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2515" windowHeight="10560" activeTab="1"/>
  </bookViews>
  <sheets>
    <sheet name="64_4t" sheetId="1" r:id="rId1"/>
    <sheet name="resultat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O136" i="2"/>
  <c r="N136"/>
  <c r="M136"/>
  <c r="L136"/>
  <c r="K136"/>
  <c r="J136"/>
  <c r="I136"/>
  <c r="H136"/>
  <c r="E136"/>
  <c r="D136"/>
  <c r="O135"/>
  <c r="N135"/>
  <c r="M135"/>
  <c r="L135"/>
  <c r="K135"/>
  <c r="J135"/>
  <c r="I135"/>
  <c r="H135"/>
  <c r="E135"/>
  <c r="D135"/>
  <c r="O134"/>
  <c r="N134"/>
  <c r="M134"/>
  <c r="L134"/>
  <c r="K134"/>
  <c r="J134"/>
  <c r="I134"/>
  <c r="H134"/>
  <c r="E134"/>
  <c r="D134"/>
  <c r="O133"/>
  <c r="N133"/>
  <c r="M133"/>
  <c r="L133"/>
  <c r="K133"/>
  <c r="J133"/>
  <c r="I133"/>
  <c r="H133"/>
  <c r="E133"/>
  <c r="D133"/>
  <c r="O132"/>
  <c r="N132"/>
  <c r="M132"/>
  <c r="L132"/>
  <c r="K132"/>
  <c r="J132"/>
  <c r="I132"/>
  <c r="H132"/>
  <c r="E132"/>
  <c r="D132"/>
  <c r="O131"/>
  <c r="N131"/>
  <c r="M131"/>
  <c r="L131"/>
  <c r="K131"/>
  <c r="J131"/>
  <c r="I131"/>
  <c r="H131"/>
  <c r="E131"/>
  <c r="D131"/>
  <c r="AB130"/>
  <c r="AB129"/>
  <c r="O129"/>
  <c r="N129"/>
  <c r="M129"/>
  <c r="L129"/>
  <c r="L130" s="1"/>
  <c r="K129"/>
  <c r="J129"/>
  <c r="J130" s="1"/>
  <c r="I129"/>
  <c r="H129"/>
  <c r="H130" s="1"/>
  <c r="E129"/>
  <c r="D129"/>
  <c r="AB128"/>
  <c r="N130" l="1"/>
  <c r="Q128"/>
  <c r="P128"/>
  <c r="AD130"/>
  <c r="AC130"/>
  <c r="AB127"/>
  <c r="Q127"/>
  <c r="P127"/>
  <c r="AD129"/>
  <c r="AC129"/>
  <c r="AB126"/>
  <c r="Q126"/>
  <c r="P126"/>
  <c r="AD128"/>
  <c r="AC128"/>
  <c r="AB125"/>
  <c r="Q125"/>
  <c r="P125"/>
  <c r="AD127"/>
  <c r="AC127"/>
  <c r="AB124"/>
  <c r="Q124"/>
  <c r="P124"/>
  <c r="AD126"/>
  <c r="AC126"/>
  <c r="AB123"/>
  <c r="Q123"/>
  <c r="P123"/>
  <c r="AD125"/>
  <c r="AC125"/>
  <c r="AB122"/>
  <c r="Q122"/>
  <c r="P122"/>
  <c r="AD124"/>
  <c r="AC124"/>
  <c r="AB121"/>
  <c r="Q121"/>
  <c r="P121"/>
  <c r="AD123"/>
  <c r="AC123"/>
  <c r="AB120"/>
  <c r="Q120"/>
  <c r="P120"/>
  <c r="AD122"/>
  <c r="AC122"/>
  <c r="AB119"/>
  <c r="Q119"/>
  <c r="P119"/>
  <c r="AD121"/>
  <c r="AC121"/>
  <c r="AB118"/>
  <c r="Q118"/>
  <c r="P118"/>
  <c r="AD120"/>
  <c r="AC120"/>
  <c r="AB117"/>
  <c r="Q117"/>
  <c r="P117"/>
  <c r="AD119"/>
  <c r="AC119"/>
  <c r="AB116"/>
  <c r="Q116"/>
  <c r="P116"/>
  <c r="AD118"/>
  <c r="AC118"/>
  <c r="AB115"/>
  <c r="Q115"/>
  <c r="P115"/>
  <c r="AD117"/>
  <c r="AC117"/>
  <c r="AB114"/>
  <c r="Q114"/>
  <c r="P114"/>
  <c r="AD116"/>
  <c r="AC116"/>
  <c r="AB113"/>
  <c r="Q113"/>
  <c r="P113"/>
  <c r="AD115"/>
  <c r="AC115"/>
  <c r="AB112"/>
  <c r="Q112"/>
  <c r="P112"/>
  <c r="AD114"/>
  <c r="AC114"/>
  <c r="AB111"/>
  <c r="Q111"/>
  <c r="P111"/>
  <c r="AD113"/>
  <c r="AC113"/>
  <c r="AB110"/>
  <c r="Q110"/>
  <c r="P110"/>
  <c r="AD112"/>
  <c r="AC112"/>
  <c r="AB109"/>
  <c r="Q109"/>
  <c r="P109"/>
  <c r="AD111"/>
  <c r="AC111"/>
  <c r="AB108"/>
  <c r="Q108"/>
  <c r="P108"/>
  <c r="AD110"/>
  <c r="AC110"/>
  <c r="AB107"/>
  <c r="Q107"/>
  <c r="P107"/>
  <c r="AD109"/>
  <c r="AC109"/>
  <c r="AB106"/>
  <c r="Q106"/>
  <c r="P106"/>
  <c r="AD108"/>
  <c r="AC108"/>
  <c r="AB105"/>
  <c r="Q105"/>
  <c r="P105"/>
  <c r="AD107"/>
  <c r="AC107"/>
  <c r="AB104"/>
  <c r="Q104"/>
  <c r="P104"/>
  <c r="AD106"/>
  <c r="AC106"/>
  <c r="AB103"/>
  <c r="Q103"/>
  <c r="P103"/>
  <c r="AD105"/>
  <c r="AC105"/>
  <c r="AB102"/>
  <c r="Q102"/>
  <c r="P102"/>
  <c r="AD104"/>
  <c r="AC104"/>
  <c r="AB101"/>
  <c r="Q101"/>
  <c r="P101"/>
  <c r="AD103"/>
  <c r="AC103"/>
  <c r="AB100"/>
  <c r="Q100"/>
  <c r="P100"/>
  <c r="AD102"/>
  <c r="AC102"/>
  <c r="AB99"/>
  <c r="Q99"/>
  <c r="P99"/>
  <c r="AD101"/>
  <c r="AC101"/>
  <c r="AB98"/>
  <c r="Q98"/>
  <c r="P98"/>
  <c r="AD100"/>
  <c r="AC100"/>
  <c r="AB97"/>
  <c r="Q97"/>
  <c r="P97"/>
  <c r="AD99"/>
  <c r="AC99"/>
  <c r="AB96"/>
  <c r="Q96"/>
  <c r="P96"/>
  <c r="AD98"/>
  <c r="AC98"/>
  <c r="AB95"/>
  <c r="Q95"/>
  <c r="P95"/>
  <c r="AD97"/>
  <c r="AC97"/>
  <c r="AB94"/>
  <c r="Q94"/>
  <c r="P94"/>
  <c r="AD96"/>
  <c r="AC96"/>
  <c r="AB93"/>
  <c r="Q93"/>
  <c r="P93"/>
  <c r="AD95"/>
  <c r="AC95"/>
  <c r="AB92"/>
  <c r="Q92"/>
  <c r="P92"/>
  <c r="AD94"/>
  <c r="AC94"/>
  <c r="AB91"/>
  <c r="Q91"/>
  <c r="P91"/>
  <c r="AD93"/>
  <c r="AC93"/>
  <c r="AB90"/>
  <c r="Q90"/>
  <c r="P90"/>
  <c r="AD92"/>
  <c r="AC92"/>
  <c r="AB89"/>
  <c r="Q89"/>
  <c r="P89"/>
  <c r="AD91"/>
  <c r="AC91"/>
  <c r="AB88"/>
  <c r="Q88"/>
  <c r="P88"/>
  <c r="AD90"/>
  <c r="AC90"/>
  <c r="AB87"/>
  <c r="Q87"/>
  <c r="P87"/>
  <c r="AD89"/>
  <c r="AC89"/>
  <c r="AB86"/>
  <c r="Q86"/>
  <c r="P86"/>
  <c r="AD88"/>
  <c r="AC88"/>
  <c r="AB85"/>
  <c r="Q85"/>
  <c r="P85"/>
  <c r="AD87"/>
  <c r="AC87"/>
  <c r="AB84"/>
  <c r="Q84"/>
  <c r="P84"/>
  <c r="AD86"/>
  <c r="AC86"/>
  <c r="AB83"/>
  <c r="Q83"/>
  <c r="P83"/>
  <c r="AD85"/>
  <c r="AC85"/>
  <c r="AB82"/>
  <c r="Q82"/>
  <c r="P82"/>
  <c r="AD84"/>
  <c r="AC84"/>
  <c r="AB81"/>
  <c r="Q81"/>
  <c r="P81"/>
  <c r="AD83"/>
  <c r="AC83"/>
  <c r="AB80"/>
  <c r="Q80"/>
  <c r="P80"/>
  <c r="AD82"/>
  <c r="AC82"/>
  <c r="AB79"/>
  <c r="Q79"/>
  <c r="P79"/>
  <c r="AD81"/>
  <c r="AC81"/>
  <c r="AB78"/>
  <c r="Q78"/>
  <c r="P78"/>
  <c r="AD80"/>
  <c r="AC80"/>
  <c r="AB77"/>
  <c r="Q77"/>
  <c r="P77"/>
  <c r="AD79"/>
  <c r="AC79"/>
  <c r="AB76"/>
  <c r="Q76"/>
  <c r="P76"/>
  <c r="AD78"/>
  <c r="AC78"/>
  <c r="AB75"/>
  <c r="Q75"/>
  <c r="P75"/>
  <c r="AD77"/>
  <c r="AC77"/>
  <c r="AB74"/>
  <c r="Q74"/>
  <c r="P74"/>
  <c r="AD76"/>
  <c r="AC76"/>
  <c r="AB73"/>
  <c r="Q73"/>
  <c r="P73"/>
  <c r="AD75"/>
  <c r="AC75"/>
  <c r="AB72"/>
  <c r="Q72"/>
  <c r="P72"/>
  <c r="AD74"/>
  <c r="AC74"/>
  <c r="AB71"/>
  <c r="Q71"/>
  <c r="P71"/>
  <c r="AD73"/>
  <c r="AC73"/>
  <c r="AB70"/>
  <c r="Q70"/>
  <c r="P70"/>
  <c r="AD72"/>
  <c r="AC72"/>
  <c r="AB69"/>
  <c r="Q69"/>
  <c r="P69"/>
  <c r="AD71"/>
  <c r="AC71"/>
  <c r="AB68"/>
  <c r="Q68"/>
  <c r="P68"/>
  <c r="AD70"/>
  <c r="AC70"/>
  <c r="AB67"/>
  <c r="Q67"/>
  <c r="P67"/>
  <c r="AD69"/>
  <c r="AC69"/>
  <c r="AB66"/>
  <c r="Q66"/>
  <c r="P66"/>
  <c r="AD68"/>
  <c r="AC68"/>
  <c r="AB65"/>
  <c r="Q65"/>
  <c r="P65"/>
  <c r="AD67"/>
  <c r="AC67"/>
  <c r="AB64"/>
  <c r="Q64"/>
  <c r="P64"/>
  <c r="AD66"/>
  <c r="AC66"/>
  <c r="AB63"/>
  <c r="Q63"/>
  <c r="P63"/>
  <c r="AD65"/>
  <c r="AC65"/>
  <c r="AB62"/>
  <c r="Q62"/>
  <c r="P62"/>
  <c r="AD64"/>
  <c r="AC64"/>
  <c r="AB61"/>
  <c r="Q61"/>
  <c r="P61"/>
  <c r="AD63"/>
  <c r="AC63"/>
  <c r="AB60"/>
  <c r="Q60"/>
  <c r="P60"/>
  <c r="AD62"/>
  <c r="AC62"/>
  <c r="AB59"/>
  <c r="Q59"/>
  <c r="P59"/>
  <c r="AD61"/>
  <c r="AC61"/>
  <c r="AB58"/>
  <c r="Q58"/>
  <c r="P58"/>
  <c r="AD60"/>
  <c r="AC60"/>
  <c r="AB57"/>
  <c r="Q57"/>
  <c r="P57"/>
  <c r="AD59"/>
  <c r="AC59"/>
  <c r="AB56"/>
  <c r="Q56"/>
  <c r="P56"/>
  <c r="AD58"/>
  <c r="AC58"/>
  <c r="AB55"/>
  <c r="Q55"/>
  <c r="P55"/>
  <c r="AD57"/>
  <c r="AC57"/>
  <c r="AW54"/>
  <c r="AB54"/>
  <c r="Q54"/>
  <c r="P54"/>
  <c r="AD56"/>
  <c r="AC56"/>
  <c r="AW53"/>
  <c r="AB53"/>
  <c r="Q53"/>
  <c r="P53"/>
  <c r="AD55"/>
  <c r="AC55"/>
  <c r="AW52"/>
  <c r="AB52"/>
  <c r="Q52"/>
  <c r="P52"/>
  <c r="AY53"/>
  <c r="AD54"/>
  <c r="AX53"/>
  <c r="AC54"/>
  <c r="AW51"/>
  <c r="AB51"/>
  <c r="Q51"/>
  <c r="P51"/>
  <c r="AD53"/>
  <c r="AC53"/>
  <c r="AW50"/>
  <c r="AB50"/>
  <c r="Q50"/>
  <c r="P50"/>
  <c r="AD52"/>
  <c r="AC52"/>
  <c r="AW49"/>
  <c r="AB49"/>
  <c r="Q49"/>
  <c r="P49"/>
  <c r="AD51"/>
  <c r="AC51"/>
  <c r="AW48"/>
  <c r="AB48"/>
  <c r="Q48"/>
  <c r="P48"/>
  <c r="AD50"/>
  <c r="AY54"/>
  <c r="AC50"/>
  <c r="AX54"/>
  <c r="AW47"/>
  <c r="AB47"/>
  <c r="Q47"/>
  <c r="P47"/>
  <c r="AD49"/>
  <c r="AC49"/>
  <c r="AW46"/>
  <c r="AB46"/>
  <c r="Q46"/>
  <c r="P46"/>
  <c r="AD48"/>
  <c r="AC48"/>
  <c r="AW45"/>
  <c r="AB45"/>
  <c r="Q45"/>
  <c r="P45"/>
  <c r="AD47"/>
  <c r="AY49"/>
  <c r="AC47"/>
  <c r="AX49"/>
  <c r="AW44"/>
  <c r="AB44"/>
  <c r="Q44"/>
  <c r="P44"/>
  <c r="AD46"/>
  <c r="AC46"/>
  <c r="AW43"/>
  <c r="AB43"/>
  <c r="Q43"/>
  <c r="P43"/>
  <c r="AD45"/>
  <c r="AC45"/>
  <c r="AW42"/>
  <c r="AB42"/>
  <c r="Q42"/>
  <c r="P42"/>
  <c r="AD44"/>
  <c r="AC44"/>
  <c r="AW41"/>
  <c r="AB41"/>
  <c r="Q41"/>
  <c r="P41"/>
  <c r="AD43"/>
  <c r="AC43"/>
  <c r="AW40"/>
  <c r="AB40"/>
  <c r="Q40"/>
  <c r="P40"/>
  <c r="AD42"/>
  <c r="AC42"/>
  <c r="AY39"/>
  <c r="AX39"/>
  <c r="AW39"/>
  <c r="AB39"/>
  <c r="Q39"/>
  <c r="P39"/>
  <c r="AD41"/>
  <c r="AC41"/>
  <c r="AY38"/>
  <c r="AX38"/>
  <c r="AW38"/>
  <c r="AB38"/>
  <c r="Q38"/>
  <c r="P38"/>
  <c r="AD40"/>
  <c r="AC40"/>
  <c r="AY37"/>
  <c r="AX37"/>
  <c r="AW37"/>
  <c r="AB37"/>
  <c r="Q37"/>
  <c r="P37"/>
  <c r="AD39"/>
  <c r="AC39"/>
  <c r="AW36"/>
  <c r="AB36"/>
  <c r="Q36"/>
  <c r="P36"/>
  <c r="AD38"/>
  <c r="AY48"/>
  <c r="AC38"/>
  <c r="AX48"/>
  <c r="AW35"/>
  <c r="AB35"/>
  <c r="Q35"/>
  <c r="P35"/>
  <c r="AD37"/>
  <c r="AY52"/>
  <c r="AC37"/>
  <c r="AX52"/>
  <c r="AW34"/>
  <c r="AB34"/>
  <c r="Q34"/>
  <c r="P34"/>
  <c r="AD36"/>
  <c r="AC36"/>
  <c r="AW33"/>
  <c r="AB33"/>
  <c r="Q33"/>
  <c r="P33"/>
  <c r="AD35"/>
  <c r="AC35"/>
  <c r="AY32"/>
  <c r="AX32"/>
  <c r="AW32"/>
  <c r="AB32"/>
  <c r="Q32"/>
  <c r="P32"/>
  <c r="AD34"/>
  <c r="AC34"/>
  <c r="AW31"/>
  <c r="AB31"/>
  <c r="Q31"/>
  <c r="P31"/>
  <c r="AD33"/>
  <c r="AC33"/>
  <c r="AY30"/>
  <c r="AX30"/>
  <c r="AW30"/>
  <c r="AB30"/>
  <c r="Q30"/>
  <c r="P30"/>
  <c r="AD32"/>
  <c r="AY51"/>
  <c r="AC32"/>
  <c r="AX51"/>
  <c r="AY29"/>
  <c r="AX29"/>
  <c r="AW29"/>
  <c r="AB29"/>
  <c r="Q29"/>
  <c r="P29"/>
  <c r="AD31"/>
  <c r="AC31"/>
  <c r="AW28"/>
  <c r="AB28"/>
  <c r="Q28"/>
  <c r="P28"/>
  <c r="AD30"/>
  <c r="AC30"/>
  <c r="AW27"/>
  <c r="AB27"/>
  <c r="Q27"/>
  <c r="P27"/>
  <c r="AD29"/>
  <c r="AC29"/>
  <c r="AW26"/>
  <c r="AB26"/>
  <c r="Q26"/>
  <c r="P26"/>
  <c r="AD28"/>
  <c r="AY43"/>
  <c r="AC28"/>
  <c r="AX43"/>
  <c r="AW25"/>
  <c r="AB25"/>
  <c r="Q25"/>
  <c r="P25"/>
  <c r="AC27"/>
  <c r="AX33"/>
  <c r="AD27"/>
  <c r="AY33"/>
  <c r="AW24"/>
  <c r="AB24"/>
  <c r="Q24"/>
  <c r="P24"/>
  <c r="AD26"/>
  <c r="AC26"/>
  <c r="AW23"/>
  <c r="AB23"/>
  <c r="Q23"/>
  <c r="P23"/>
  <c r="AD25"/>
  <c r="AY47"/>
  <c r="AC25"/>
  <c r="AX47"/>
  <c r="AY22"/>
  <c r="AX22"/>
  <c r="AW22"/>
  <c r="AB22"/>
  <c r="Q22"/>
  <c r="P22"/>
  <c r="AD24"/>
  <c r="AY41"/>
  <c r="AC24"/>
  <c r="AX41"/>
  <c r="AY21"/>
  <c r="AX21"/>
  <c r="AW21"/>
  <c r="AB21"/>
  <c r="Q21"/>
  <c r="P21"/>
  <c r="AD23"/>
  <c r="AY31"/>
  <c r="AC23"/>
  <c r="AX31"/>
  <c r="AY20"/>
  <c r="AX20"/>
  <c r="AW20"/>
  <c r="AB20"/>
  <c r="Q20"/>
  <c r="P20"/>
  <c r="AD22"/>
  <c r="AY24"/>
  <c r="AC22"/>
  <c r="AX24"/>
  <c r="AY19"/>
  <c r="AX19"/>
  <c r="AW19"/>
  <c r="AB19"/>
  <c r="Q19"/>
  <c r="P19"/>
  <c r="AD21"/>
  <c r="AC21"/>
  <c r="AY18"/>
  <c r="AX18"/>
  <c r="AW18"/>
  <c r="AB18"/>
  <c r="Q18"/>
  <c r="P18"/>
  <c r="AD20"/>
  <c r="AY45"/>
  <c r="AC20"/>
  <c r="AX45"/>
  <c r="AY17"/>
  <c r="AX17"/>
  <c r="AW17"/>
  <c r="AB17"/>
  <c r="Q17"/>
  <c r="P17"/>
  <c r="AD19"/>
  <c r="AY25"/>
  <c r="AC19"/>
  <c r="AX25"/>
  <c r="AY16"/>
  <c r="AX16"/>
  <c r="AW16"/>
  <c r="AB16"/>
  <c r="Q16"/>
  <c r="P16"/>
  <c r="AD18"/>
  <c r="AC18"/>
  <c r="AY15"/>
  <c r="AX15"/>
  <c r="AW15"/>
  <c r="AB15"/>
  <c r="Q15"/>
  <c r="P15"/>
  <c r="AD17"/>
  <c r="AY28"/>
  <c r="AC17"/>
  <c r="AX28"/>
  <c r="AW14"/>
  <c r="AB14"/>
  <c r="Q14"/>
  <c r="P14"/>
  <c r="AD16"/>
  <c r="AY42"/>
  <c r="AC16"/>
  <c r="AX42"/>
  <c r="AY13"/>
  <c r="AX13"/>
  <c r="AW13"/>
  <c r="AB13"/>
  <c r="Q13"/>
  <c r="P13"/>
  <c r="AD15"/>
  <c r="AY36"/>
  <c r="AC15"/>
  <c r="AX36"/>
  <c r="AY12"/>
  <c r="AX12"/>
  <c r="AW12"/>
  <c r="AB12"/>
  <c r="Q12"/>
  <c r="P12"/>
  <c r="AD14"/>
  <c r="AY14"/>
  <c r="AC14"/>
  <c r="AX14"/>
  <c r="AY11"/>
  <c r="AX11"/>
  <c r="AW11"/>
  <c r="AB11"/>
  <c r="Q11"/>
  <c r="P11"/>
  <c r="AD13"/>
  <c r="AY44"/>
  <c r="AC13"/>
  <c r="AX44"/>
  <c r="AY10"/>
  <c r="AX10"/>
  <c r="AW10"/>
  <c r="AJ10"/>
  <c r="AB10"/>
  <c r="Q10"/>
  <c r="P10"/>
  <c r="AD12"/>
  <c r="AY50"/>
  <c r="AC12"/>
  <c r="AX50"/>
  <c r="AY9"/>
  <c r="AX9"/>
  <c r="AW9"/>
  <c r="AB9"/>
  <c r="Q9"/>
  <c r="P9"/>
  <c r="AD11"/>
  <c r="AY46"/>
  <c r="AC11"/>
  <c r="AX46"/>
  <c r="AY8"/>
  <c r="AX8"/>
  <c r="AW8"/>
  <c r="AB8"/>
  <c r="Q8"/>
  <c r="P8"/>
  <c r="AD10"/>
  <c r="AY40"/>
  <c r="AC10"/>
  <c r="AX40"/>
  <c r="AY7"/>
  <c r="AX7"/>
  <c r="AW7"/>
  <c r="AJ7"/>
  <c r="AI7"/>
  <c r="AB7"/>
  <c r="Q7"/>
  <c r="P7"/>
  <c r="AD9"/>
  <c r="AY27"/>
  <c r="AC9"/>
  <c r="AX27"/>
  <c r="AW6"/>
  <c r="AB6"/>
  <c r="Q6"/>
  <c r="P6"/>
  <c r="AD8"/>
  <c r="AY35"/>
  <c r="AC8"/>
  <c r="AX35"/>
  <c r="AY5"/>
  <c r="AX5"/>
  <c r="AW5"/>
  <c r="AB5"/>
  <c r="Q5"/>
  <c r="P5"/>
  <c r="AD7"/>
  <c r="AY34"/>
  <c r="AC7"/>
  <c r="AX34"/>
  <c r="AY4"/>
  <c r="AX4"/>
  <c r="AW4"/>
  <c r="AB4"/>
  <c r="Q4"/>
  <c r="P4"/>
  <c r="AD6"/>
  <c r="AY23"/>
  <c r="AC6"/>
  <c r="AX23"/>
  <c r="AW3"/>
  <c r="AB3"/>
  <c r="Q3"/>
  <c r="P3"/>
  <c r="AG2"/>
  <c r="Q2"/>
  <c r="P2"/>
  <c r="Q1"/>
  <c r="P1"/>
  <c r="BR373" i="1"/>
  <c r="BR372"/>
  <c r="BR371"/>
  <c r="BR370"/>
  <c r="BR369"/>
  <c r="BR368"/>
  <c r="BR367"/>
  <c r="BR366"/>
  <c r="BR365"/>
  <c r="BR364"/>
  <c r="BR363"/>
  <c r="BR362"/>
  <c r="BR361"/>
  <c r="BR360"/>
  <c r="BR359"/>
  <c r="BR358"/>
  <c r="BR357"/>
  <c r="BR356"/>
  <c r="BR355"/>
  <c r="BR354"/>
  <c r="BR353"/>
  <c r="BR352"/>
  <c r="BR351"/>
  <c r="BR350"/>
  <c r="BR349"/>
  <c r="BR348"/>
  <c r="BR347"/>
  <c r="BR346"/>
  <c r="BR345"/>
  <c r="BR344"/>
  <c r="BR343"/>
  <c r="BR342"/>
  <c r="BS341"/>
  <c r="BR306"/>
  <c r="BR305"/>
  <c r="BR304"/>
  <c r="BR303"/>
  <c r="BR302"/>
  <c r="BR301"/>
  <c r="BR300"/>
  <c r="BR299"/>
  <c r="BR298"/>
  <c r="BR297"/>
  <c r="BR296"/>
  <c r="BR295"/>
  <c r="BR294"/>
  <c r="BR293"/>
  <c r="BR292"/>
  <c r="BR291"/>
  <c r="BR290"/>
  <c r="BR289"/>
  <c r="BR288"/>
  <c r="BR287"/>
  <c r="BR286"/>
  <c r="BR285"/>
  <c r="BR284"/>
  <c r="BR283"/>
  <c r="BR282"/>
  <c r="BR281"/>
  <c r="BR280"/>
  <c r="BR279"/>
  <c r="BR278"/>
  <c r="BR277"/>
  <c r="BR276"/>
  <c r="BR275"/>
  <c r="BS274"/>
  <c r="BR239"/>
  <c r="BR238"/>
  <c r="BR237"/>
  <c r="BR236"/>
  <c r="BR235"/>
  <c r="BR234"/>
  <c r="BR233"/>
  <c r="BR232"/>
  <c r="BR231"/>
  <c r="BR230"/>
  <c r="BR229"/>
  <c r="BR228"/>
  <c r="BR227"/>
  <c r="BR226"/>
  <c r="BR225"/>
  <c r="BR224"/>
  <c r="BR223"/>
  <c r="BR222"/>
  <c r="BR221"/>
  <c r="BR220"/>
  <c r="BR219"/>
  <c r="BR218"/>
  <c r="BR217"/>
  <c r="BR216"/>
  <c r="BR215"/>
  <c r="BR214"/>
  <c r="BR213"/>
  <c r="BR212"/>
  <c r="BR211"/>
  <c r="BR210"/>
  <c r="BR209"/>
  <c r="BR208"/>
  <c r="BS207"/>
  <c r="BV172"/>
  <c r="BU172"/>
  <c r="BT172"/>
  <c r="BS172"/>
  <c r="BR172"/>
  <c r="BV171"/>
  <c r="BU171"/>
  <c r="BT171"/>
  <c r="BS171"/>
  <c r="BR171"/>
  <c r="BV170"/>
  <c r="BU170"/>
  <c r="BT170"/>
  <c r="BS170"/>
  <c r="BR170"/>
  <c r="BV169"/>
  <c r="BU169"/>
  <c r="BT169"/>
  <c r="BS169"/>
  <c r="BR169"/>
  <c r="BV168"/>
  <c r="BU168"/>
  <c r="BT168"/>
  <c r="BS168"/>
  <c r="BR168"/>
  <c r="BV167"/>
  <c r="BU167"/>
  <c r="BT167"/>
  <c r="BS167"/>
  <c r="BR167"/>
  <c r="BV166"/>
  <c r="BU166"/>
  <c r="BT166"/>
  <c r="BS166"/>
  <c r="BR166"/>
  <c r="BV165"/>
  <c r="BU165"/>
  <c r="BT165"/>
  <c r="BS165"/>
  <c r="BR165"/>
  <c r="BV164"/>
  <c r="BU164"/>
  <c r="BT164"/>
  <c r="BS164"/>
  <c r="BR164"/>
  <c r="BV163"/>
  <c r="BU163"/>
  <c r="BT163"/>
  <c r="BS163"/>
  <c r="BR163"/>
  <c r="BV162"/>
  <c r="BU162"/>
  <c r="BT162"/>
  <c r="BS162"/>
  <c r="BR162"/>
  <c r="BV161"/>
  <c r="BU161"/>
  <c r="BT161"/>
  <c r="BS161"/>
  <c r="BR161"/>
  <c r="BV160"/>
  <c r="BU160"/>
  <c r="BT160"/>
  <c r="BS160"/>
  <c r="BR160"/>
  <c r="BV159"/>
  <c r="BU159"/>
  <c r="BT159"/>
  <c r="BS159"/>
  <c r="BR159"/>
  <c r="BV158"/>
  <c r="BU158"/>
  <c r="BT158"/>
  <c r="BS158"/>
  <c r="BR158"/>
  <c r="BV157"/>
  <c r="BU157"/>
  <c r="BT157"/>
  <c r="BS157"/>
  <c r="BR157"/>
  <c r="BV156"/>
  <c r="BU156"/>
  <c r="BT156"/>
  <c r="BS156"/>
  <c r="BR156"/>
  <c r="BV155"/>
  <c r="BU155"/>
  <c r="BT155"/>
  <c r="BS155"/>
  <c r="BR155"/>
  <c r="BV154"/>
  <c r="BU154"/>
  <c r="BT154"/>
  <c r="BS154"/>
  <c r="BR154"/>
  <c r="BV153"/>
  <c r="BU153"/>
  <c r="BT153"/>
  <c r="BS153"/>
  <c r="BR153"/>
  <c r="BV152"/>
  <c r="BU152"/>
  <c r="BT152"/>
  <c r="BS152"/>
  <c r="BR152"/>
  <c r="BV151"/>
  <c r="BU151"/>
  <c r="BT151"/>
  <c r="BS151"/>
  <c r="BR151"/>
  <c r="BV150"/>
  <c r="BU150"/>
  <c r="BT150"/>
  <c r="BS150"/>
  <c r="BR150"/>
  <c r="BV149"/>
  <c r="BU149"/>
  <c r="BT149"/>
  <c r="BS149"/>
  <c r="BR149"/>
  <c r="BV148"/>
  <c r="BU148"/>
  <c r="BT148"/>
  <c r="BS148"/>
  <c r="BR148"/>
  <c r="BV147"/>
  <c r="BU147"/>
  <c r="BT147"/>
  <c r="BS147"/>
  <c r="BR147"/>
  <c r="BV146"/>
  <c r="BU146"/>
  <c r="BT146"/>
  <c r="BS146"/>
  <c r="BR146"/>
  <c r="BV145"/>
  <c r="BU145"/>
  <c r="BT145"/>
  <c r="BS145"/>
  <c r="BR145"/>
  <c r="BV144"/>
  <c r="BU144"/>
  <c r="BT144"/>
  <c r="BS144"/>
  <c r="BR144"/>
  <c r="BV143"/>
  <c r="BU143"/>
  <c r="BT143"/>
  <c r="BS143"/>
  <c r="BR143"/>
  <c r="BV142"/>
  <c r="BU142"/>
  <c r="BT142"/>
  <c r="BS142"/>
  <c r="BR142"/>
  <c r="BV141"/>
  <c r="BU141"/>
  <c r="BT141"/>
  <c r="BS141"/>
  <c r="BR141"/>
  <c r="BS140"/>
  <c r="BV105"/>
  <c r="BU105"/>
  <c r="BT105"/>
  <c r="BS105"/>
  <c r="BR105"/>
  <c r="BV104"/>
  <c r="BU104"/>
  <c r="BT104"/>
  <c r="BS104"/>
  <c r="BR104"/>
  <c r="BV103"/>
  <c r="BU103"/>
  <c r="BT103"/>
  <c r="BS103"/>
  <c r="BR103"/>
  <c r="BV102"/>
  <c r="BU102"/>
  <c r="BT102"/>
  <c r="BS102"/>
  <c r="BR102"/>
  <c r="BV101"/>
  <c r="BU101"/>
  <c r="BT101"/>
  <c r="BS101"/>
  <c r="BR101"/>
  <c r="B101"/>
  <c r="BV100"/>
  <c r="BU100"/>
  <c r="BT100"/>
  <c r="BS100"/>
  <c r="BR100"/>
  <c r="B100"/>
  <c r="BV99"/>
  <c r="BU99"/>
  <c r="BT99"/>
  <c r="BS99"/>
  <c r="BR99"/>
  <c r="BV98"/>
  <c r="BU98"/>
  <c r="BT98"/>
  <c r="BS98"/>
  <c r="BR98"/>
  <c r="BV97"/>
  <c r="BU97"/>
  <c r="BT97"/>
  <c r="BS97"/>
  <c r="BR97"/>
  <c r="BV96"/>
  <c r="BU96"/>
  <c r="BT96"/>
  <c r="BS96"/>
  <c r="BR96"/>
  <c r="BV95"/>
  <c r="BU95"/>
  <c r="BT95"/>
  <c r="BS95"/>
  <c r="BR95"/>
  <c r="BV94"/>
  <c r="BU94"/>
  <c r="BT94"/>
  <c r="BS94"/>
  <c r="BR94"/>
  <c r="BV93"/>
  <c r="BU93"/>
  <c r="BT93"/>
  <c r="BS93"/>
  <c r="BR93"/>
  <c r="BV92"/>
  <c r="BU92"/>
  <c r="BT92"/>
  <c r="BS92"/>
  <c r="BR92"/>
  <c r="BV91"/>
  <c r="BU91"/>
  <c r="BT91"/>
  <c r="BS91"/>
  <c r="BR91"/>
  <c r="BV90"/>
  <c r="BU90"/>
  <c r="BT90"/>
  <c r="BS90"/>
  <c r="BR90"/>
  <c r="BV89"/>
  <c r="BU89"/>
  <c r="BT89"/>
  <c r="BS89"/>
  <c r="BR89"/>
  <c r="BV88"/>
  <c r="BU88"/>
  <c r="BT88"/>
  <c r="BS88"/>
  <c r="BR88"/>
  <c r="BV87"/>
  <c r="BU87"/>
  <c r="BT87"/>
  <c r="BS87"/>
  <c r="BR87"/>
  <c r="BV86"/>
  <c r="BU86"/>
  <c r="BT86"/>
  <c r="BS86"/>
  <c r="BR86"/>
  <c r="BV85"/>
  <c r="BU85"/>
  <c r="BT85"/>
  <c r="BS85"/>
  <c r="BR85"/>
  <c r="BV84"/>
  <c r="BU84"/>
  <c r="BT84"/>
  <c r="BS84"/>
  <c r="BR84"/>
  <c r="BV83"/>
  <c r="BU83"/>
  <c r="BT83"/>
  <c r="BS83"/>
  <c r="BR83"/>
  <c r="BV82"/>
  <c r="BU82"/>
  <c r="BT82"/>
  <c r="BS82"/>
  <c r="BR82"/>
  <c r="BV81"/>
  <c r="BU81"/>
  <c r="BT81"/>
  <c r="BS81"/>
  <c r="BR81"/>
  <c r="BV80"/>
  <c r="BU80"/>
  <c r="BT80"/>
  <c r="BS80"/>
  <c r="BR80"/>
  <c r="BV79"/>
  <c r="BU79"/>
  <c r="BT79"/>
  <c r="BS79"/>
  <c r="BR79"/>
  <c r="BV78"/>
  <c r="BU78"/>
  <c r="BT78"/>
  <c r="BS78"/>
  <c r="BR78"/>
  <c r="BV77"/>
  <c r="BU77"/>
  <c r="BT77"/>
  <c r="BS77"/>
  <c r="BR77"/>
  <c r="BV76"/>
  <c r="BU76"/>
  <c r="BT76"/>
  <c r="BS76"/>
  <c r="BR76"/>
  <c r="BV75"/>
  <c r="BU75"/>
  <c r="BT75"/>
  <c r="BS75"/>
  <c r="BR75"/>
  <c r="BV74"/>
  <c r="BU74"/>
  <c r="BT74"/>
  <c r="BS74"/>
  <c r="BR74"/>
  <c r="BS73"/>
  <c r="B48"/>
  <c r="B47"/>
  <c r="B46"/>
  <c r="DG39"/>
  <c r="DE39"/>
  <c r="DC39"/>
  <c r="DA39"/>
  <c r="CO39"/>
  <c r="AD39"/>
  <c r="AB39"/>
  <c r="Z39"/>
  <c r="X39"/>
  <c r="J39"/>
  <c r="H39"/>
  <c r="F39"/>
  <c r="D39"/>
  <c r="DG38"/>
  <c r="DE38"/>
  <c r="DC38"/>
  <c r="DA38"/>
  <c r="BR38"/>
  <c r="AD38"/>
  <c r="AB38"/>
  <c r="Z38"/>
  <c r="X38"/>
  <c r="J38"/>
  <c r="H38"/>
  <c r="F38"/>
  <c r="D38"/>
  <c r="DG37"/>
  <c r="DE37"/>
  <c r="DC37"/>
  <c r="DA37"/>
  <c r="BR37"/>
  <c r="BH37"/>
  <c r="BV373" s="1"/>
  <c r="BF37"/>
  <c r="BU373" s="1"/>
  <c r="BD37"/>
  <c r="BT373" s="1"/>
  <c r="BB37"/>
  <c r="BS373" s="1"/>
  <c r="AX37"/>
  <c r="BV306" s="1"/>
  <c r="AV37"/>
  <c r="BU306" s="1"/>
  <c r="AT37"/>
  <c r="BT306" s="1"/>
  <c r="AR37"/>
  <c r="BS306" s="1"/>
  <c r="AN37"/>
  <c r="BV239" s="1"/>
  <c r="AL37"/>
  <c r="BU239" s="1"/>
  <c r="AJ37"/>
  <c r="BT239" s="1"/>
  <c r="AH37"/>
  <c r="BS239" s="1"/>
  <c r="J37"/>
  <c r="BV38" s="1"/>
  <c r="H37"/>
  <c r="BU38" s="1"/>
  <c r="F37"/>
  <c r="BT38" s="1"/>
  <c r="D37"/>
  <c r="BS38" s="1"/>
  <c r="DG36"/>
  <c r="DE36"/>
  <c r="DC36"/>
  <c r="DA36"/>
  <c r="BT36"/>
  <c r="BS36"/>
  <c r="BR36"/>
  <c r="BH36"/>
  <c r="BV372" s="1"/>
  <c r="BF36"/>
  <c r="BU372" s="1"/>
  <c r="BD36"/>
  <c r="BT372" s="1"/>
  <c r="BB36"/>
  <c r="BS372" s="1"/>
  <c r="AX36"/>
  <c r="BV305" s="1"/>
  <c r="AV36"/>
  <c r="BU305" s="1"/>
  <c r="AT36"/>
  <c r="BT305" s="1"/>
  <c r="AR36"/>
  <c r="BS305" s="1"/>
  <c r="AN36"/>
  <c r="BV238" s="1"/>
  <c r="AL36"/>
  <c r="BU238" s="1"/>
  <c r="AJ36"/>
  <c r="BT238" s="1"/>
  <c r="AH36"/>
  <c r="BS238" s="1"/>
  <c r="J36"/>
  <c r="BV37" s="1"/>
  <c r="H36"/>
  <c r="BU37" s="1"/>
  <c r="F36"/>
  <c r="BT37" s="1"/>
  <c r="D36"/>
  <c r="BS37" s="1"/>
  <c r="DG35"/>
  <c r="DE35"/>
  <c r="DC35"/>
  <c r="DA35"/>
  <c r="BT35"/>
  <c r="BS35"/>
  <c r="BR35"/>
  <c r="BH35"/>
  <c r="BV371" s="1"/>
  <c r="BF35"/>
  <c r="BU371" s="1"/>
  <c r="BD35"/>
  <c r="BT371" s="1"/>
  <c r="BB35"/>
  <c r="BS371" s="1"/>
  <c r="AX35"/>
  <c r="BV304" s="1"/>
  <c r="AV35"/>
  <c r="BU304" s="1"/>
  <c r="AT35"/>
  <c r="BT304" s="1"/>
  <c r="AR35"/>
  <c r="BS304" s="1"/>
  <c r="AN35"/>
  <c r="BV237" s="1"/>
  <c r="AL35"/>
  <c r="BU237" s="1"/>
  <c r="AJ35"/>
  <c r="BT237" s="1"/>
  <c r="AH35"/>
  <c r="BS237" s="1"/>
  <c r="J35"/>
  <c r="BV36" s="1"/>
  <c r="H35"/>
  <c r="BU36" s="1"/>
  <c r="DG34"/>
  <c r="DE34"/>
  <c r="DC34"/>
  <c r="DA34"/>
  <c r="BT34"/>
  <c r="BS34"/>
  <c r="BR34"/>
  <c r="BH34"/>
  <c r="BV370" s="1"/>
  <c r="BF34"/>
  <c r="BU370" s="1"/>
  <c r="BD34"/>
  <c r="BT370" s="1"/>
  <c r="BB34"/>
  <c r="BS370" s="1"/>
  <c r="AX34"/>
  <c r="BV303" s="1"/>
  <c r="AV34"/>
  <c r="BU303" s="1"/>
  <c r="AT34"/>
  <c r="BT303" s="1"/>
  <c r="AR34"/>
  <c r="BS303" s="1"/>
  <c r="AN34"/>
  <c r="BV236" s="1"/>
  <c r="AL34"/>
  <c r="BU236" s="1"/>
  <c r="AJ34"/>
  <c r="BT236" s="1"/>
  <c r="AH34"/>
  <c r="BS236" s="1"/>
  <c r="J34"/>
  <c r="BV35" s="1"/>
  <c r="H34"/>
  <c r="BU35" s="1"/>
  <c r="DG33"/>
  <c r="DE33"/>
  <c r="DC33"/>
  <c r="DA33"/>
  <c r="BT33"/>
  <c r="BS33"/>
  <c r="BR33"/>
  <c r="BH33"/>
  <c r="BV369" s="1"/>
  <c r="BF33"/>
  <c r="BU369" s="1"/>
  <c r="BD33"/>
  <c r="BT369" s="1"/>
  <c r="BB33"/>
  <c r="BS369" s="1"/>
  <c r="AX33"/>
  <c r="BV302" s="1"/>
  <c r="AV33"/>
  <c r="BU302" s="1"/>
  <c r="AT33"/>
  <c r="BT302" s="1"/>
  <c r="AR33"/>
  <c r="BS302" s="1"/>
  <c r="AN33"/>
  <c r="BV235" s="1"/>
  <c r="AL33"/>
  <c r="BU235" s="1"/>
  <c r="AJ33"/>
  <c r="BT235" s="1"/>
  <c r="AH33"/>
  <c r="BS235" s="1"/>
  <c r="J33"/>
  <c r="BV34" s="1"/>
  <c r="H33"/>
  <c r="BU34" s="1"/>
  <c r="DG32"/>
  <c r="DE32"/>
  <c r="DC32"/>
  <c r="DA32"/>
  <c r="BV32"/>
  <c r="BU32"/>
  <c r="BT32"/>
  <c r="BS32"/>
  <c r="BR32"/>
  <c r="BH32"/>
  <c r="BV368" s="1"/>
  <c r="BF32"/>
  <c r="BU368" s="1"/>
  <c r="BD32"/>
  <c r="BT368" s="1"/>
  <c r="BB32"/>
  <c r="BS368" s="1"/>
  <c r="AX32"/>
  <c r="BV301" s="1"/>
  <c r="AV32"/>
  <c r="BU301" s="1"/>
  <c r="AT32"/>
  <c r="BT301" s="1"/>
  <c r="AR32"/>
  <c r="BS301" s="1"/>
  <c r="AN32"/>
  <c r="BV234" s="1"/>
  <c r="AL32"/>
  <c r="BU234" s="1"/>
  <c r="AJ32"/>
  <c r="BT234" s="1"/>
  <c r="AH32"/>
  <c r="BS234" s="1"/>
  <c r="J32"/>
  <c r="BV33" s="1"/>
  <c r="H32"/>
  <c r="BU33" s="1"/>
  <c r="DG31"/>
  <c r="DE31"/>
  <c r="DC31"/>
  <c r="DA31"/>
  <c r="BV31"/>
  <c r="BU31"/>
  <c r="BT31"/>
  <c r="BS31"/>
  <c r="BR31"/>
  <c r="BH31"/>
  <c r="BV367" s="1"/>
  <c r="BF31"/>
  <c r="BU367" s="1"/>
  <c r="BD31"/>
  <c r="BT367" s="1"/>
  <c r="BB31"/>
  <c r="BS367" s="1"/>
  <c r="AX31"/>
  <c r="BV300" s="1"/>
  <c r="AV31"/>
  <c r="BU300" s="1"/>
  <c r="AT31"/>
  <c r="BT300" s="1"/>
  <c r="AR31"/>
  <c r="BS300" s="1"/>
  <c r="AN31"/>
  <c r="BV233" s="1"/>
  <c r="AL31"/>
  <c r="BU233" s="1"/>
  <c r="AJ31"/>
  <c r="BT233" s="1"/>
  <c r="AH31"/>
  <c r="BS233" s="1"/>
  <c r="DG30"/>
  <c r="DE30"/>
  <c r="DC30"/>
  <c r="DA30"/>
  <c r="BV30"/>
  <c r="BU30"/>
  <c r="BT30"/>
  <c r="BS30"/>
  <c r="BR30"/>
  <c r="BH30"/>
  <c r="BV366" s="1"/>
  <c r="BF30"/>
  <c r="BU366" s="1"/>
  <c r="BD30"/>
  <c r="BT366" s="1"/>
  <c r="BB30"/>
  <c r="BS366" s="1"/>
  <c r="AX30"/>
  <c r="BV299" s="1"/>
  <c r="AV30"/>
  <c r="BU299" s="1"/>
  <c r="AT30"/>
  <c r="BT299" s="1"/>
  <c r="AR30"/>
  <c r="BS299" s="1"/>
  <c r="AN30"/>
  <c r="BV232" s="1"/>
  <c r="AL30"/>
  <c r="BU232" s="1"/>
  <c r="AJ30"/>
  <c r="BT232" s="1"/>
  <c r="AH30"/>
  <c r="BS232" s="1"/>
  <c r="DG29"/>
  <c r="DE29"/>
  <c r="DC29"/>
  <c r="DA29"/>
  <c r="BV29"/>
  <c r="BU29"/>
  <c r="BT29"/>
  <c r="BS29"/>
  <c r="BR29"/>
  <c r="BH29"/>
  <c r="BV365" s="1"/>
  <c r="BF29"/>
  <c r="BU365" s="1"/>
  <c r="BD29"/>
  <c r="BT365" s="1"/>
  <c r="BB29"/>
  <c r="BS365" s="1"/>
  <c r="AX29"/>
  <c r="BV298" s="1"/>
  <c r="AV29"/>
  <c r="BU298" s="1"/>
  <c r="AT29"/>
  <c r="BT298" s="1"/>
  <c r="AR29"/>
  <c r="BS298" s="1"/>
  <c r="AN29"/>
  <c r="BV231" s="1"/>
  <c r="AL29"/>
  <c r="BU231" s="1"/>
  <c r="AJ29"/>
  <c r="BT231" s="1"/>
  <c r="AH29"/>
  <c r="BS231" s="1"/>
  <c r="BV28"/>
  <c r="BU28"/>
  <c r="BT28"/>
  <c r="BS28"/>
  <c r="BR28"/>
  <c r="BH28"/>
  <c r="BV364" s="1"/>
  <c r="BF28"/>
  <c r="BU364" s="1"/>
  <c r="BD28"/>
  <c r="BT364" s="1"/>
  <c r="BB28"/>
  <c r="BS364" s="1"/>
  <c r="AX28"/>
  <c r="BV297" s="1"/>
  <c r="AV28"/>
  <c r="BU297" s="1"/>
  <c r="AT28"/>
  <c r="BT297" s="1"/>
  <c r="AR28"/>
  <c r="BS297" s="1"/>
  <c r="AN28"/>
  <c r="BV230" s="1"/>
  <c r="AL28"/>
  <c r="BU230" s="1"/>
  <c r="AJ28"/>
  <c r="BT230" s="1"/>
  <c r="AH28"/>
  <c r="BS230" s="1"/>
  <c r="BV27"/>
  <c r="BU27"/>
  <c r="BT27"/>
  <c r="BS27"/>
  <c r="BR27"/>
  <c r="BH27"/>
  <c r="BV363" s="1"/>
  <c r="BF27"/>
  <c r="BU363" s="1"/>
  <c r="BD27"/>
  <c r="BT363" s="1"/>
  <c r="BB27"/>
  <c r="BS363" s="1"/>
  <c r="AX27"/>
  <c r="BV296" s="1"/>
  <c r="AV27"/>
  <c r="BU296" s="1"/>
  <c r="AT27"/>
  <c r="BT296" s="1"/>
  <c r="AR27"/>
  <c r="BS296" s="1"/>
  <c r="AN27"/>
  <c r="BV229" s="1"/>
  <c r="AL27"/>
  <c r="BU229" s="1"/>
  <c r="AJ27"/>
  <c r="BT229" s="1"/>
  <c r="AH27"/>
  <c r="BS229" s="1"/>
  <c r="BV26"/>
  <c r="BU26"/>
  <c r="BT26"/>
  <c r="BS26"/>
  <c r="BR26"/>
  <c r="BH26"/>
  <c r="BV362" s="1"/>
  <c r="BF26"/>
  <c r="BU362" s="1"/>
  <c r="BD26"/>
  <c r="BT362" s="1"/>
  <c r="BB26"/>
  <c r="BS362" s="1"/>
  <c r="AX26"/>
  <c r="BV295" s="1"/>
  <c r="AV26"/>
  <c r="BU295" s="1"/>
  <c r="AT26"/>
  <c r="BT295" s="1"/>
  <c r="AR26"/>
  <c r="BS295" s="1"/>
  <c r="AN26"/>
  <c r="BV228" s="1"/>
  <c r="AL26"/>
  <c r="BU228" s="1"/>
  <c r="AJ26"/>
  <c r="BT228" s="1"/>
  <c r="AH26"/>
  <c r="BS228" s="1"/>
  <c r="BV25"/>
  <c r="BU25"/>
  <c r="BT25"/>
  <c r="BS25"/>
  <c r="BR25"/>
  <c r="BH25"/>
  <c r="BV361" s="1"/>
  <c r="BF25"/>
  <c r="BU361" s="1"/>
  <c r="BD25"/>
  <c r="BT361" s="1"/>
  <c r="BB25"/>
  <c r="BS361" s="1"/>
  <c r="AX25"/>
  <c r="BV294" s="1"/>
  <c r="AV25"/>
  <c r="BU294" s="1"/>
  <c r="AT25"/>
  <c r="BT294" s="1"/>
  <c r="AR25"/>
  <c r="BS294" s="1"/>
  <c r="AN25"/>
  <c r="BV227" s="1"/>
  <c r="AL25"/>
  <c r="BU227" s="1"/>
  <c r="AJ25"/>
  <c r="BT227" s="1"/>
  <c r="AH25"/>
  <c r="BS227" s="1"/>
  <c r="BV24"/>
  <c r="BU24"/>
  <c r="BT24"/>
  <c r="BS24"/>
  <c r="BR24"/>
  <c r="BH24"/>
  <c r="BV360" s="1"/>
  <c r="BF24"/>
  <c r="BU360" s="1"/>
  <c r="BD24"/>
  <c r="BT360" s="1"/>
  <c r="BB24"/>
  <c r="BS360" s="1"/>
  <c r="AX24"/>
  <c r="BV293" s="1"/>
  <c r="AV24"/>
  <c r="BU293" s="1"/>
  <c r="AT24"/>
  <c r="BT293" s="1"/>
  <c r="AR24"/>
  <c r="BS293" s="1"/>
  <c r="AN24"/>
  <c r="BV226" s="1"/>
  <c r="AL24"/>
  <c r="BU226" s="1"/>
  <c r="AJ24"/>
  <c r="BT226" s="1"/>
  <c r="AH24"/>
  <c r="BS226" s="1"/>
  <c r="BV23"/>
  <c r="BU23"/>
  <c r="BT23"/>
  <c r="BS23"/>
  <c r="BR23"/>
  <c r="BH23"/>
  <c r="BV359" s="1"/>
  <c r="BF23"/>
  <c r="BU359" s="1"/>
  <c r="BD23"/>
  <c r="BT359" s="1"/>
  <c r="BB23"/>
  <c r="BS359" s="1"/>
  <c r="AX23"/>
  <c r="BV292" s="1"/>
  <c r="AV23"/>
  <c r="BU292" s="1"/>
  <c r="AT23"/>
  <c r="BT292" s="1"/>
  <c r="AR23"/>
  <c r="BS292" s="1"/>
  <c r="AN23"/>
  <c r="BV225" s="1"/>
  <c r="AL23"/>
  <c r="BU225" s="1"/>
  <c r="AJ23"/>
  <c r="BT225" s="1"/>
  <c r="AH23"/>
  <c r="BS225" s="1"/>
  <c r="BV22"/>
  <c r="BU22"/>
  <c r="BT22"/>
  <c r="BS22"/>
  <c r="BR22"/>
  <c r="BH22"/>
  <c r="BV358" s="1"/>
  <c r="BF22"/>
  <c r="BU358" s="1"/>
  <c r="BD22"/>
  <c r="BT358" s="1"/>
  <c r="BB22"/>
  <c r="BS358" s="1"/>
  <c r="AX22"/>
  <c r="BV291" s="1"/>
  <c r="AV22"/>
  <c r="BU291" s="1"/>
  <c r="AT22"/>
  <c r="BT291" s="1"/>
  <c r="AR22"/>
  <c r="BS291" s="1"/>
  <c r="AN22"/>
  <c r="BV224" s="1"/>
  <c r="AL22"/>
  <c r="BU224" s="1"/>
  <c r="AJ22"/>
  <c r="BT224" s="1"/>
  <c r="AH22"/>
  <c r="BS224" s="1"/>
  <c r="BV21"/>
  <c r="BU21"/>
  <c r="BT21"/>
  <c r="BS21"/>
  <c r="BR21"/>
  <c r="BH21"/>
  <c r="BV357" s="1"/>
  <c r="BF21"/>
  <c r="BU357" s="1"/>
  <c r="BD21"/>
  <c r="BT357" s="1"/>
  <c r="BB21"/>
  <c r="BS357" s="1"/>
  <c r="AX21"/>
  <c r="BV290" s="1"/>
  <c r="AV21"/>
  <c r="BU290" s="1"/>
  <c r="AT21"/>
  <c r="BT290" s="1"/>
  <c r="AR21"/>
  <c r="BS290" s="1"/>
  <c r="AN21"/>
  <c r="BV223" s="1"/>
  <c r="AL21"/>
  <c r="BU223" s="1"/>
  <c r="AJ21"/>
  <c r="BT223" s="1"/>
  <c r="AH21"/>
  <c r="BS223" s="1"/>
  <c r="BV20"/>
  <c r="BU20"/>
  <c r="BT20"/>
  <c r="BS20"/>
  <c r="BR20"/>
  <c r="BH20"/>
  <c r="BV356" s="1"/>
  <c r="BF20"/>
  <c r="BU356" s="1"/>
  <c r="BD20"/>
  <c r="BT356" s="1"/>
  <c r="BB20"/>
  <c r="BS356" s="1"/>
  <c r="AX20"/>
  <c r="BV289" s="1"/>
  <c r="AV20"/>
  <c r="BU289" s="1"/>
  <c r="AT20"/>
  <c r="BT289" s="1"/>
  <c r="AR20"/>
  <c r="BS289" s="1"/>
  <c r="AN20"/>
  <c r="BV222" s="1"/>
  <c r="AL20"/>
  <c r="BU222" s="1"/>
  <c r="AJ20"/>
  <c r="BT222" s="1"/>
  <c r="AH20"/>
  <c r="BS222" s="1"/>
  <c r="BV19"/>
  <c r="BU19"/>
  <c r="BT19"/>
  <c r="BS19"/>
  <c r="BR19"/>
  <c r="BH19"/>
  <c r="BV355" s="1"/>
  <c r="BF19"/>
  <c r="BU355" s="1"/>
  <c r="BD19"/>
  <c r="BT355" s="1"/>
  <c r="BB19"/>
  <c r="BS355" s="1"/>
  <c r="AX19"/>
  <c r="BV288" s="1"/>
  <c r="AV19"/>
  <c r="BU288" s="1"/>
  <c r="AT19"/>
  <c r="BT288" s="1"/>
  <c r="AR19"/>
  <c r="BS288" s="1"/>
  <c r="AN19"/>
  <c r="BV221" s="1"/>
  <c r="AL19"/>
  <c r="BU221" s="1"/>
  <c r="AJ19"/>
  <c r="BT221" s="1"/>
  <c r="AH19"/>
  <c r="BS221" s="1"/>
  <c r="BV18"/>
  <c r="BU18"/>
  <c r="BT18"/>
  <c r="BS18"/>
  <c r="BR18"/>
  <c r="BH18"/>
  <c r="BV354" s="1"/>
  <c r="BF18"/>
  <c r="BU354" s="1"/>
  <c r="BD18"/>
  <c r="BT354" s="1"/>
  <c r="BB18"/>
  <c r="BS354" s="1"/>
  <c r="AX18"/>
  <c r="BV287" s="1"/>
  <c r="AV18"/>
  <c r="BU287" s="1"/>
  <c r="AT18"/>
  <c r="BT287" s="1"/>
  <c r="AR18"/>
  <c r="BS287" s="1"/>
  <c r="AN18"/>
  <c r="BV220" s="1"/>
  <c r="AL18"/>
  <c r="BU220" s="1"/>
  <c r="AJ18"/>
  <c r="BT220" s="1"/>
  <c r="AH18"/>
  <c r="BS220" s="1"/>
  <c r="BV17"/>
  <c r="BU17"/>
  <c r="BT17"/>
  <c r="BS17"/>
  <c r="BR17"/>
  <c r="BH17"/>
  <c r="BV353" s="1"/>
  <c r="BF17"/>
  <c r="BU353" s="1"/>
  <c r="BD17"/>
  <c r="BT353" s="1"/>
  <c r="BB17"/>
  <c r="BS353" s="1"/>
  <c r="AX17"/>
  <c r="BV286" s="1"/>
  <c r="AV17"/>
  <c r="BU286" s="1"/>
  <c r="AT17"/>
  <c r="BT286" s="1"/>
  <c r="AR17"/>
  <c r="BS286" s="1"/>
  <c r="AN17"/>
  <c r="BV219" s="1"/>
  <c r="AL17"/>
  <c r="BU219" s="1"/>
  <c r="AJ17"/>
  <c r="BT219" s="1"/>
  <c r="AH17"/>
  <c r="BS219" s="1"/>
  <c r="BV16"/>
  <c r="BU16"/>
  <c r="BT16"/>
  <c r="BS16"/>
  <c r="BR16"/>
  <c r="BH16"/>
  <c r="BV352" s="1"/>
  <c r="BF16"/>
  <c r="BU352" s="1"/>
  <c r="BD16"/>
  <c r="BT352" s="1"/>
  <c r="BB16"/>
  <c r="BS352" s="1"/>
  <c r="AX16"/>
  <c r="BV285" s="1"/>
  <c r="AV16"/>
  <c r="BU285" s="1"/>
  <c r="AT16"/>
  <c r="BT285" s="1"/>
  <c r="AR16"/>
  <c r="BS285" s="1"/>
  <c r="AN16"/>
  <c r="BV218" s="1"/>
  <c r="AL16"/>
  <c r="BU218" s="1"/>
  <c r="AJ16"/>
  <c r="BT218" s="1"/>
  <c r="AH16"/>
  <c r="BS218" s="1"/>
  <c r="BV15"/>
  <c r="BU15"/>
  <c r="BT15"/>
  <c r="BS15"/>
  <c r="BR15"/>
  <c r="BH15"/>
  <c r="BV351" s="1"/>
  <c r="BF15"/>
  <c r="BU351" s="1"/>
  <c r="BD15"/>
  <c r="BT351" s="1"/>
  <c r="BB15"/>
  <c r="BS351" s="1"/>
  <c r="AX15"/>
  <c r="BV284" s="1"/>
  <c r="AV15"/>
  <c r="BU284" s="1"/>
  <c r="AT15"/>
  <c r="BT284" s="1"/>
  <c r="AR15"/>
  <c r="BS284" s="1"/>
  <c r="AN15"/>
  <c r="BV217" s="1"/>
  <c r="AL15"/>
  <c r="BU217" s="1"/>
  <c r="AJ15"/>
  <c r="BT217" s="1"/>
  <c r="AH15"/>
  <c r="BS217" s="1"/>
  <c r="BV14"/>
  <c r="BU14"/>
  <c r="BT14"/>
  <c r="BS14"/>
  <c r="BR14"/>
  <c r="BH14"/>
  <c r="BV350" s="1"/>
  <c r="BF14"/>
  <c r="BU350" s="1"/>
  <c r="BD14"/>
  <c r="BT350" s="1"/>
  <c r="BB14"/>
  <c r="BS350" s="1"/>
  <c r="AX14"/>
  <c r="BV283" s="1"/>
  <c r="AV14"/>
  <c r="BU283" s="1"/>
  <c r="AT14"/>
  <c r="BT283" s="1"/>
  <c r="AR14"/>
  <c r="BS283" s="1"/>
  <c r="AN14"/>
  <c r="BV216" s="1"/>
  <c r="AL14"/>
  <c r="BU216" s="1"/>
  <c r="AJ14"/>
  <c r="BT216" s="1"/>
  <c r="AH14"/>
  <c r="BS216" s="1"/>
  <c r="BV13"/>
  <c r="BU13"/>
  <c r="BT13"/>
  <c r="BS13"/>
  <c r="BR13"/>
  <c r="BH13"/>
  <c r="BV349" s="1"/>
  <c r="BF13"/>
  <c r="BU349" s="1"/>
  <c r="BD13"/>
  <c r="BT349" s="1"/>
  <c r="BB13"/>
  <c r="BS349" s="1"/>
  <c r="AX13"/>
  <c r="BV282" s="1"/>
  <c r="AV13"/>
  <c r="BU282" s="1"/>
  <c r="AT13"/>
  <c r="BT282" s="1"/>
  <c r="AR13"/>
  <c r="BS282" s="1"/>
  <c r="AN13"/>
  <c r="BV215" s="1"/>
  <c r="AL13"/>
  <c r="BU215" s="1"/>
  <c r="AJ13"/>
  <c r="BT215" s="1"/>
  <c r="AH13"/>
  <c r="BS215" s="1"/>
  <c r="BV12"/>
  <c r="BU12"/>
  <c r="BT12"/>
  <c r="BS12"/>
  <c r="BR12"/>
  <c r="BH12"/>
  <c r="BV348" s="1"/>
  <c r="BF12"/>
  <c r="BU348" s="1"/>
  <c r="BD12"/>
  <c r="BT348" s="1"/>
  <c r="BB12"/>
  <c r="BS348" s="1"/>
  <c r="AX12"/>
  <c r="BV281" s="1"/>
  <c r="AV12"/>
  <c r="BU281" s="1"/>
  <c r="AT12"/>
  <c r="BT281" s="1"/>
  <c r="AR12"/>
  <c r="BS281" s="1"/>
  <c r="AN12"/>
  <c r="BV214" s="1"/>
  <c r="AL12"/>
  <c r="BU214" s="1"/>
  <c r="AJ12"/>
  <c r="BT214" s="1"/>
  <c r="AH12"/>
  <c r="BS214" s="1"/>
  <c r="BV11"/>
  <c r="BU11"/>
  <c r="BT11"/>
  <c r="BS11"/>
  <c r="BR11"/>
  <c r="BH11"/>
  <c r="BV347" s="1"/>
  <c r="BF11"/>
  <c r="BU347" s="1"/>
  <c r="BD11"/>
  <c r="BT347" s="1"/>
  <c r="BB11"/>
  <c r="BS347" s="1"/>
  <c r="AX11"/>
  <c r="BV280" s="1"/>
  <c r="AV11"/>
  <c r="BU280" s="1"/>
  <c r="AT11"/>
  <c r="BT280" s="1"/>
  <c r="AR11"/>
  <c r="BS280" s="1"/>
  <c r="AN11"/>
  <c r="BV213" s="1"/>
  <c r="AL11"/>
  <c r="BU213" s="1"/>
  <c r="AJ11"/>
  <c r="BT213" s="1"/>
  <c r="AH11"/>
  <c r="BS213" s="1"/>
  <c r="BV10"/>
  <c r="BU10"/>
  <c r="BT10"/>
  <c r="BS10"/>
  <c r="BR10"/>
  <c r="BH10"/>
  <c r="BV346" s="1"/>
  <c r="BF10"/>
  <c r="BU346" s="1"/>
  <c r="BD10"/>
  <c r="BT346" s="1"/>
  <c r="BB10"/>
  <c r="BS346" s="1"/>
  <c r="AX10"/>
  <c r="BV279" s="1"/>
  <c r="AV10"/>
  <c r="BU279" s="1"/>
  <c r="AT10"/>
  <c r="BT279" s="1"/>
  <c r="AR10"/>
  <c r="BS279" s="1"/>
  <c r="AN10"/>
  <c r="BV212" s="1"/>
  <c r="AL10"/>
  <c r="BU212" s="1"/>
  <c r="AJ10"/>
  <c r="BT212" s="1"/>
  <c r="AH10"/>
  <c r="BS212" s="1"/>
  <c r="BV9"/>
  <c r="BU9"/>
  <c r="BT9"/>
  <c r="BS9"/>
  <c r="BR9"/>
  <c r="BH9"/>
  <c r="BV345" s="1"/>
  <c r="BF9"/>
  <c r="BU345" s="1"/>
  <c r="BD9"/>
  <c r="BT345" s="1"/>
  <c r="BB9"/>
  <c r="BS345" s="1"/>
  <c r="AX9"/>
  <c r="BV278" s="1"/>
  <c r="AV9"/>
  <c r="BU278" s="1"/>
  <c r="AT9"/>
  <c r="BT278" s="1"/>
  <c r="AR9"/>
  <c r="BS278" s="1"/>
  <c r="AN9"/>
  <c r="BV211" s="1"/>
  <c r="AL9"/>
  <c r="BU211" s="1"/>
  <c r="AJ9"/>
  <c r="BT211" s="1"/>
  <c r="AH9"/>
  <c r="BS211" s="1"/>
  <c r="BV8"/>
  <c r="BU8"/>
  <c r="BT8"/>
  <c r="BS8"/>
  <c r="BR8"/>
  <c r="BH8"/>
  <c r="BV344" s="1"/>
  <c r="BF8"/>
  <c r="BU344" s="1"/>
  <c r="BD8"/>
  <c r="BT344" s="1"/>
  <c r="BB8"/>
  <c r="BS344" s="1"/>
  <c r="AX8"/>
  <c r="BV277" s="1"/>
  <c r="AV8"/>
  <c r="BU277" s="1"/>
  <c r="AT8"/>
  <c r="BT277" s="1"/>
  <c r="AR8"/>
  <c r="BS277" s="1"/>
  <c r="AN8"/>
  <c r="BV210" s="1"/>
  <c r="AL8"/>
  <c r="BU210" s="1"/>
  <c r="AJ8"/>
  <c r="BT210" s="1"/>
  <c r="AH8"/>
  <c r="BS210" s="1"/>
  <c r="BV7"/>
  <c r="BU7"/>
  <c r="BT7"/>
  <c r="BS7"/>
  <c r="BR7"/>
  <c r="BH7"/>
  <c r="BV343" s="1"/>
  <c r="BF7"/>
  <c r="BU343" s="1"/>
  <c r="BD7"/>
  <c r="BT343" s="1"/>
  <c r="BB7"/>
  <c r="BS343" s="1"/>
  <c r="AX7"/>
  <c r="BV276" s="1"/>
  <c r="AV7"/>
  <c r="BU276" s="1"/>
  <c r="AT7"/>
  <c r="BT276" s="1"/>
  <c r="AR7"/>
  <c r="BS276" s="1"/>
  <c r="AN7"/>
  <c r="BV209" s="1"/>
  <c r="AL7"/>
  <c r="BU209" s="1"/>
  <c r="AJ7"/>
  <c r="BT209" s="1"/>
  <c r="AH7"/>
  <c r="BS209" s="1"/>
  <c r="BS6"/>
  <c r="BH6"/>
  <c r="BV342" s="1"/>
  <c r="BF6"/>
  <c r="BU342" s="1"/>
  <c r="BD6"/>
  <c r="BT342" s="1"/>
  <c r="BB6"/>
  <c r="BS342" s="1"/>
  <c r="AX6"/>
  <c r="BV275" s="1"/>
  <c r="AV6"/>
  <c r="BU275" s="1"/>
  <c r="AT6"/>
  <c r="BT275" s="1"/>
  <c r="AR6"/>
  <c r="BS275" s="1"/>
  <c r="AN6"/>
  <c r="BV208" s="1"/>
  <c r="AL6"/>
  <c r="BU208" s="1"/>
  <c r="AJ6"/>
  <c r="BT208" s="1"/>
  <c r="AH6"/>
  <c r="BS208" s="1"/>
  <c r="BL3"/>
  <c r="BK1"/>
  <c r="BK3" s="1"/>
  <c r="AC4" i="2"/>
  <c r="AX6"/>
  <c r="AD3"/>
  <c r="AY26"/>
  <c r="AC3"/>
  <c r="AX26"/>
  <c r="AY3"/>
  <c r="AD5"/>
  <c r="AX3"/>
  <c r="AC5"/>
  <c r="AD4"/>
  <c r="AY6"/>
  <c r="P130" l="1"/>
  <c r="R1" s="1"/>
</calcChain>
</file>

<file path=xl/sharedStrings.xml><?xml version="1.0" encoding="utf-8"?>
<sst xmlns="http://schemas.openxmlformats.org/spreadsheetml/2006/main" count="946" uniqueCount="159">
  <si>
    <t>CHRISTIAN LEBARS</t>
  </si>
  <si>
    <t>ROBERTE</t>
  </si>
  <si>
    <t>COLETTE</t>
  </si>
  <si>
    <t xml:space="preserve">THIERRY </t>
  </si>
  <si>
    <t>MARYVONNE JACQUES</t>
  </si>
  <si>
    <t>ABDEL ZORRO</t>
  </si>
  <si>
    <r>
      <t xml:space="preserve">                                                 1er tour                                        </t>
    </r>
    <r>
      <rPr>
        <b/>
        <sz val="26"/>
        <color theme="0"/>
        <rFont val="Eras Bold ITC"/>
        <family val="2"/>
      </rPr>
      <t xml:space="preserve">                       </t>
    </r>
    <r>
      <rPr>
        <b/>
        <sz val="12"/>
        <color theme="0"/>
        <rFont val="DejaVu Sans Condensed"/>
        <family val="2"/>
      </rPr>
      <t>résultat</t>
    </r>
  </si>
  <si>
    <r>
      <t xml:space="preserve">                                   2 è tour                           </t>
    </r>
    <r>
      <rPr>
        <sz val="18"/>
        <rFont val="Eras Bold ITC"/>
        <family val="2"/>
      </rPr>
      <t xml:space="preserve">Poule A    </t>
    </r>
    <r>
      <rPr>
        <sz val="26"/>
        <rFont val="Eras Bold ITC"/>
        <family val="2"/>
      </rPr>
      <t xml:space="preserve">                              </t>
    </r>
    <r>
      <rPr>
        <sz val="14"/>
        <color theme="0"/>
        <rFont val="Eras Bold ITC"/>
        <family val="2"/>
      </rPr>
      <t xml:space="preserve"> résultat</t>
    </r>
  </si>
  <si>
    <r>
      <t xml:space="preserve">                                      </t>
    </r>
    <r>
      <rPr>
        <sz val="18"/>
        <rFont val="Eras Bold ITC"/>
        <family val="2"/>
      </rPr>
      <t xml:space="preserve">    </t>
    </r>
    <r>
      <rPr>
        <sz val="24"/>
        <color theme="0"/>
        <rFont val="Eras Bold ITC"/>
        <family val="2"/>
      </rPr>
      <t xml:space="preserve">3 è tour </t>
    </r>
    <r>
      <rPr>
        <sz val="18"/>
        <color theme="0"/>
        <rFont val="Eras Bold ITC"/>
        <family val="2"/>
      </rPr>
      <t xml:space="preserve">      </t>
    </r>
    <r>
      <rPr>
        <sz val="26"/>
        <color theme="0"/>
        <rFont val="Eras Bold ITC"/>
        <family val="2"/>
      </rPr>
      <t xml:space="preserve">    </t>
    </r>
    <r>
      <rPr>
        <sz val="18"/>
        <color theme="0"/>
        <rFont val="Eras Bold ITC"/>
        <family val="2"/>
      </rPr>
      <t xml:space="preserve">                                   Poule a    </t>
    </r>
    <r>
      <rPr>
        <sz val="26"/>
        <color theme="0"/>
        <rFont val="Eras Bold ITC"/>
        <family val="2"/>
      </rPr>
      <t xml:space="preserve">                                </t>
    </r>
    <r>
      <rPr>
        <b/>
        <sz val="12"/>
        <color theme="0"/>
        <rFont val="DejaVu Sans Condensed"/>
        <family val="2"/>
      </rPr>
      <t xml:space="preserve">   résultat</t>
    </r>
  </si>
  <si>
    <r>
      <t xml:space="preserve">                                             4è tour                                                       </t>
    </r>
    <r>
      <rPr>
        <b/>
        <sz val="12"/>
        <color theme="0"/>
        <rFont val="DejaVu Sans Condensed"/>
        <family val="2"/>
      </rPr>
      <t>résultat</t>
    </r>
  </si>
  <si>
    <r>
      <t xml:space="preserve">                                                 5 è tour                                               </t>
    </r>
    <r>
      <rPr>
        <b/>
        <sz val="12"/>
        <color theme="0"/>
        <rFont val="DejaVu Sans Condensed"/>
        <family val="2"/>
      </rPr>
      <t>résultat</t>
    </r>
  </si>
  <si>
    <r>
      <t xml:space="preserve">                                                 6 è tour                                              </t>
    </r>
    <r>
      <rPr>
        <b/>
        <sz val="12"/>
        <color theme="0"/>
        <rFont val="DejaVu Sans Condensed"/>
        <family val="2"/>
      </rPr>
      <t>résultat</t>
    </r>
  </si>
  <si>
    <t>PASCALE VALERIE</t>
  </si>
  <si>
    <t>THIERRY DOMINIQUE</t>
  </si>
  <si>
    <t>x</t>
  </si>
  <si>
    <t>Equ</t>
  </si>
  <si>
    <t>HUBERT DEDE</t>
  </si>
  <si>
    <t>JOSETTE  ROGER</t>
  </si>
  <si>
    <t>TITI</t>
  </si>
  <si>
    <t>DRAPEAU SERGE</t>
  </si>
  <si>
    <t>JEAN CLAUDE BEBEL</t>
  </si>
  <si>
    <t>THIERRY SEBASTIEN</t>
  </si>
  <si>
    <t>PIERRICK LILI</t>
  </si>
  <si>
    <t>JEAN NOEL - G G</t>
  </si>
  <si>
    <t xml:space="preserve">Terrain  </t>
  </si>
  <si>
    <t>MONIQUE JESUS</t>
  </si>
  <si>
    <t>SERGE MARTIAL</t>
  </si>
  <si>
    <t>FRANCOIS DOMINIQUE</t>
  </si>
  <si>
    <t>MICHEL DEDE</t>
  </si>
  <si>
    <t>EASIO CHRISTIAN</t>
  </si>
  <si>
    <t>PHILIPPE BABETTE</t>
  </si>
  <si>
    <t>JEAN PIERRE   JACKY</t>
  </si>
  <si>
    <t>JOSIANE ODILE</t>
  </si>
  <si>
    <t>DIDIER ALAIN</t>
  </si>
  <si>
    <t>NONO BRUNO</t>
  </si>
  <si>
    <t>ALAIN ALCIDE</t>
  </si>
  <si>
    <t xml:space="preserve">JACKY JEAN CLAUDE </t>
  </si>
  <si>
    <t>BEAUDOUIN</t>
  </si>
  <si>
    <t>RENAUD</t>
  </si>
  <si>
    <t>VERO JEAN</t>
  </si>
  <si>
    <t>DOMINIQUE CHRISTIAN</t>
  </si>
  <si>
    <t>OSCAR JACKY</t>
  </si>
  <si>
    <r>
      <t xml:space="preserve">                                      </t>
    </r>
    <r>
      <rPr>
        <sz val="18"/>
        <rFont val="Eras Bold ITC"/>
        <family val="2"/>
      </rPr>
      <t xml:space="preserve">    </t>
    </r>
    <r>
      <rPr>
        <sz val="18"/>
        <color theme="0"/>
        <rFont val="Eras Bold ITC"/>
        <family val="2"/>
      </rPr>
      <t xml:space="preserve">3 è tour       </t>
    </r>
    <r>
      <rPr>
        <sz val="26"/>
        <color theme="0"/>
        <rFont val="Eras Bold ITC"/>
        <family val="2"/>
      </rPr>
      <t xml:space="preserve">    </t>
    </r>
    <r>
      <rPr>
        <sz val="18"/>
        <color theme="0"/>
        <rFont val="Eras Bold ITC"/>
        <family val="2"/>
      </rPr>
      <t xml:space="preserve">                                   Poule B     </t>
    </r>
    <r>
      <rPr>
        <sz val="26"/>
        <color theme="0"/>
        <rFont val="Eras Bold ITC"/>
        <family val="2"/>
      </rPr>
      <t xml:space="preserve">                                </t>
    </r>
    <r>
      <rPr>
        <b/>
        <sz val="12"/>
        <color theme="0"/>
        <rFont val="DejaVu Sans Condensed"/>
        <family val="2"/>
      </rPr>
      <t xml:space="preserve">   résultat</t>
    </r>
  </si>
  <si>
    <t>PACO FRANCOIS</t>
  </si>
  <si>
    <t>DAVID MICHEL</t>
  </si>
  <si>
    <t>BOUBOU GEGE</t>
  </si>
  <si>
    <t>HUARD BOUSSERON</t>
  </si>
  <si>
    <t>PATRICK ROGER</t>
  </si>
  <si>
    <t xml:space="preserve">SERGE  </t>
  </si>
  <si>
    <t>OLIVIER</t>
  </si>
  <si>
    <t>LOLO GEGE</t>
  </si>
  <si>
    <t>PATRICK PIERRE</t>
  </si>
  <si>
    <r>
      <t xml:space="preserve">                                                                2 è tour                           Poule  B                                </t>
    </r>
    <r>
      <rPr>
        <sz val="18"/>
        <color theme="0"/>
        <rFont val="Eras Bold ITC"/>
        <family val="2"/>
      </rPr>
      <t xml:space="preserve">                         </t>
    </r>
    <r>
      <rPr>
        <sz val="14"/>
        <color theme="0"/>
        <rFont val="Eras Bold ITC"/>
        <family val="2"/>
      </rPr>
      <t>résultat</t>
    </r>
  </si>
  <si>
    <t>CHRISTIAN DANIELLE</t>
  </si>
  <si>
    <t>ANNIE BABETH</t>
  </si>
  <si>
    <t>PATRICK FLORENCE</t>
  </si>
  <si>
    <t>CHRISTIAN JEAN PIERRE</t>
  </si>
  <si>
    <t>JEAN LUC POLO</t>
  </si>
  <si>
    <t>ABEL</t>
  </si>
  <si>
    <t>LUC</t>
  </si>
  <si>
    <t>HERMAN</t>
  </si>
  <si>
    <t>MICHEL CHARLES</t>
  </si>
  <si>
    <t>FLORENTIN</t>
  </si>
  <si>
    <r>
      <t xml:space="preserve">                                      </t>
    </r>
    <r>
      <rPr>
        <sz val="18"/>
        <rFont val="Eras Bold ITC"/>
        <family val="2"/>
      </rPr>
      <t xml:space="preserve">    </t>
    </r>
    <r>
      <rPr>
        <sz val="18"/>
        <color theme="0"/>
        <rFont val="Eras Bold ITC"/>
        <family val="2"/>
      </rPr>
      <t xml:space="preserve">3 è tour       </t>
    </r>
    <r>
      <rPr>
        <sz val="26"/>
        <color theme="0"/>
        <rFont val="Eras Bold ITC"/>
        <family val="2"/>
      </rPr>
      <t xml:space="preserve">    </t>
    </r>
    <r>
      <rPr>
        <sz val="18"/>
        <color theme="0"/>
        <rFont val="Eras Bold ITC"/>
        <family val="2"/>
      </rPr>
      <t xml:space="preserve">                                   Poule C     </t>
    </r>
    <r>
      <rPr>
        <sz val="26"/>
        <color theme="0"/>
        <rFont val="Eras Bold ITC"/>
        <family val="2"/>
      </rPr>
      <t xml:space="preserve">                                </t>
    </r>
    <r>
      <rPr>
        <b/>
        <sz val="12"/>
        <color theme="0"/>
        <rFont val="DejaVu Sans Condensed"/>
        <family val="2"/>
      </rPr>
      <t xml:space="preserve">   résultat</t>
    </r>
  </si>
  <si>
    <t>INDIQUER VOTRE N° DE TERRAIN POUR REMETTRE VOTRE SCORE</t>
  </si>
  <si>
    <r>
      <rPr>
        <sz val="14"/>
        <rFont val="Eras Bold ITC"/>
        <family val="2"/>
      </rPr>
      <t xml:space="preserve">Poule A  </t>
    </r>
    <r>
      <rPr>
        <sz val="12"/>
        <rFont val="Eras Bold ITC"/>
        <family val="2"/>
      </rPr>
      <t>Terrain</t>
    </r>
  </si>
  <si>
    <t>Copie résultat 1</t>
  </si>
  <si>
    <r>
      <rPr>
        <sz val="14"/>
        <rFont val="Eras Bold ITC"/>
        <family val="2"/>
      </rPr>
      <t xml:space="preserve">Poule B  </t>
    </r>
    <r>
      <rPr>
        <sz val="12"/>
        <rFont val="Eras Bold ITC"/>
        <family val="2"/>
      </rPr>
      <t>Terrain</t>
    </r>
  </si>
  <si>
    <t>CLASSEMENT FINAL</t>
  </si>
  <si>
    <t>Nb eq 1er tableau</t>
  </si>
  <si>
    <t>Nb Poule A</t>
  </si>
  <si>
    <t>CLASSEMENT FINAL POULE A</t>
  </si>
  <si>
    <t>CLASSEMENT FINAL POULE B</t>
  </si>
  <si>
    <t>N° eq</t>
  </si>
  <si>
    <t>Nom équipes</t>
  </si>
  <si>
    <t>Parties gagnées</t>
  </si>
  <si>
    <t>Goal average</t>
  </si>
  <si>
    <t>Parties 1 &amp; 2</t>
  </si>
  <si>
    <t>Nb Poule B</t>
  </si>
  <si>
    <t>Nb Poule C</t>
  </si>
  <si>
    <t>Poule Gagnants</t>
  </si>
  <si>
    <t xml:space="preserve"> </t>
  </si>
  <si>
    <t>Poule Perdants</t>
  </si>
  <si>
    <t>AURELIEN</t>
  </si>
  <si>
    <t>DAMIEN</t>
  </si>
  <si>
    <t>GREGOIRE</t>
  </si>
  <si>
    <t xml:space="preserve">RENE  </t>
  </si>
  <si>
    <t>ARSENE</t>
  </si>
  <si>
    <t>FRANCIS</t>
  </si>
  <si>
    <t>NADEGE</t>
  </si>
  <si>
    <t>EDITH</t>
  </si>
  <si>
    <t>COME</t>
  </si>
  <si>
    <t>DIMITRI</t>
  </si>
  <si>
    <t>FIRMIN</t>
  </si>
  <si>
    <t>QUENTIN</t>
  </si>
  <si>
    <t>GEOFFROY</t>
  </si>
  <si>
    <t>FLORIAN</t>
  </si>
  <si>
    <t>YVONNICK</t>
  </si>
  <si>
    <t>BRICE</t>
  </si>
  <si>
    <t>ALBERT</t>
  </si>
  <si>
    <t>TANGUY</t>
  </si>
  <si>
    <t>JIMMY</t>
  </si>
  <si>
    <t>DELPHINE</t>
  </si>
  <si>
    <t>EDMOND</t>
  </si>
  <si>
    <t>GERALD</t>
  </si>
  <si>
    <t>NICOLAS</t>
  </si>
  <si>
    <t>AMBROISE</t>
  </si>
  <si>
    <t>DANIEL</t>
  </si>
  <si>
    <t>GAEL</t>
  </si>
  <si>
    <t>GATIEN</t>
  </si>
  <si>
    <t>LUCIE</t>
  </si>
  <si>
    <t>THEOPHILE</t>
  </si>
  <si>
    <t>URBAIN</t>
  </si>
  <si>
    <t>ETIENNE</t>
  </si>
  <si>
    <t>BASILE</t>
  </si>
  <si>
    <t>RAYMOND</t>
  </si>
  <si>
    <t>LUCIEN</t>
  </si>
  <si>
    <t>GUILLAUME</t>
  </si>
  <si>
    <t>VINCENT</t>
  </si>
  <si>
    <t>BERNARD</t>
  </si>
  <si>
    <t>VALENTIN</t>
  </si>
  <si>
    <t>VALERIE</t>
  </si>
  <si>
    <t>ROMAIN</t>
  </si>
  <si>
    <t>JOSEPH</t>
  </si>
  <si>
    <t>HUGUES</t>
  </si>
  <si>
    <t>RICHARD</t>
  </si>
  <si>
    <t>GAUTIER</t>
  </si>
  <si>
    <t>MATTHIAS</t>
  </si>
  <si>
    <t>STANISLAS</t>
  </si>
  <si>
    <t>ROLANDE</t>
  </si>
  <si>
    <t>CONSTANTIN</t>
  </si>
  <si>
    <t>HONORE</t>
  </si>
  <si>
    <t>DONATIEN</t>
  </si>
  <si>
    <t>GERMAIN</t>
  </si>
  <si>
    <t>RODRIGUE</t>
  </si>
  <si>
    <t>CYRILL</t>
  </si>
  <si>
    <t>LOUISE</t>
  </si>
  <si>
    <t>GONTRAN</t>
  </si>
  <si>
    <t>ISIDORE</t>
  </si>
  <si>
    <t>MARCELLIN</t>
  </si>
  <si>
    <t>ANICET</t>
  </si>
  <si>
    <t>SOLANGE</t>
  </si>
  <si>
    <t>AYMAR</t>
  </si>
  <si>
    <t>NORBERT</t>
  </si>
  <si>
    <t>BARNABE</t>
  </si>
  <si>
    <t>LEON</t>
  </si>
  <si>
    <t>ALBAN</t>
  </si>
  <si>
    <t>PROSPER</t>
  </si>
  <si>
    <t>FERNAND</t>
  </si>
  <si>
    <t>MARTINIEN</t>
  </si>
  <si>
    <t>ELOI</t>
  </si>
  <si>
    <t>PETER</t>
  </si>
  <si>
    <t>JOHN</t>
  </si>
  <si>
    <t>AIME</t>
  </si>
  <si>
    <t>GINET</t>
  </si>
  <si>
    <t>JEAN JACQUES</t>
  </si>
  <si>
    <t>ROBERT</t>
  </si>
  <si>
    <t>MICHEL</t>
  </si>
  <si>
    <t>HENRI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</si>
</sst>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0;;;@\,"/>
    <numFmt numFmtId="166" formatCode=";;;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b/>
      <i/>
      <sz val="16"/>
      <color rgb="FF000000"/>
      <name val="Times New Roman"/>
      <family val="1"/>
    </font>
    <font>
      <sz val="14"/>
      <color rgb="FFFF0000"/>
      <name val="Arial"/>
      <family val="2"/>
    </font>
    <font>
      <sz val="26"/>
      <name val="Eras Bold ITC"/>
      <family val="2"/>
    </font>
    <font>
      <b/>
      <sz val="26"/>
      <color theme="0"/>
      <name val="Eras Bold ITC"/>
      <family val="2"/>
    </font>
    <font>
      <b/>
      <sz val="12"/>
      <color theme="0"/>
      <name val="DejaVu Sans Condensed"/>
      <family val="2"/>
    </font>
    <font>
      <sz val="18"/>
      <name val="Eras Bold ITC"/>
      <family val="2"/>
    </font>
    <font>
      <sz val="14"/>
      <color theme="0"/>
      <name val="Eras Bold ITC"/>
      <family val="2"/>
    </font>
    <font>
      <sz val="24"/>
      <color theme="0"/>
      <name val="Eras Bold ITC"/>
      <family val="2"/>
    </font>
    <font>
      <sz val="18"/>
      <color theme="0"/>
      <name val="Eras Bold ITC"/>
      <family val="2"/>
    </font>
    <font>
      <sz val="26"/>
      <color theme="0"/>
      <name val="Eras Bold ITC"/>
      <family val="2"/>
    </font>
    <font>
      <sz val="14"/>
      <name val="Eras Bold ITC"/>
      <family val="2"/>
    </font>
    <font>
      <b/>
      <sz val="14"/>
      <name val="DejaVu Sans Condensed"/>
      <family val="2"/>
    </font>
    <font>
      <b/>
      <sz val="16"/>
      <name val="DejaVu Sans Condensed"/>
      <family val="2"/>
    </font>
    <font>
      <sz val="16"/>
      <name val="Eras Bold ITC"/>
      <family val="2"/>
    </font>
    <font>
      <sz val="12"/>
      <name val="Eras Bold ITC"/>
      <family val="2"/>
    </font>
    <font>
      <b/>
      <sz val="16"/>
      <color theme="0"/>
      <name val="DejaVu Sans Condensed"/>
      <family val="2"/>
    </font>
    <font>
      <sz val="8"/>
      <color theme="0"/>
      <name val="Arial"/>
      <family val="2"/>
    </font>
    <font>
      <sz val="11"/>
      <name val="DejaVu Sans Condensed"/>
      <family val="2"/>
    </font>
    <font>
      <sz val="11"/>
      <name val="Arial"/>
      <family val="2"/>
    </font>
    <font>
      <sz val="10"/>
      <name val="Calibri"/>
      <family val="2"/>
    </font>
    <font>
      <sz val="8"/>
      <color theme="0"/>
      <name val="Cambria"/>
      <family val="1"/>
      <scheme val="major"/>
    </font>
    <font>
      <sz val="8"/>
      <color theme="1"/>
      <name val="Arial"/>
      <family val="2"/>
    </font>
    <font>
      <sz val="11"/>
      <color rgb="FFFFFFFF"/>
      <name val="Calibri"/>
      <family val="2"/>
    </font>
    <font>
      <sz val="11"/>
      <color rgb="FF000000"/>
      <name val="Calibri"/>
      <family val="2"/>
    </font>
    <font>
      <b/>
      <vertAlign val="superscript"/>
      <sz val="12"/>
      <color rgb="FFFFFFFF"/>
      <name val="Arial"/>
      <family val="2"/>
    </font>
    <font>
      <b/>
      <sz val="9"/>
      <color indexed="16"/>
      <name val="Calibri"/>
      <family val="2"/>
    </font>
    <font>
      <sz val="10"/>
      <color indexed="39"/>
      <name val="Arial"/>
      <family val="2"/>
    </font>
    <font>
      <sz val="10"/>
      <color indexed="14"/>
      <name val="Arial"/>
      <family val="2"/>
    </font>
    <font>
      <sz val="10"/>
      <color indexed="12"/>
      <name val="Arial"/>
      <family val="2"/>
    </font>
    <font>
      <b/>
      <sz val="10"/>
      <color indexed="37"/>
      <name val="Calibri"/>
      <family val="2"/>
    </font>
    <font>
      <b/>
      <sz val="10"/>
      <color indexed="18"/>
      <name val="Calibri"/>
      <family val="2"/>
    </font>
    <font>
      <sz val="9"/>
      <color indexed="60"/>
      <name val="Arial"/>
      <family val="2"/>
    </font>
    <font>
      <sz val="9"/>
      <color indexed="18"/>
      <name val="Arial"/>
      <family val="2"/>
    </font>
    <font>
      <sz val="20"/>
      <name val="Berlin Sans FB Demi"/>
      <family val="2"/>
    </font>
    <font>
      <sz val="12"/>
      <color theme="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0"/>
      <name val="Arial"/>
      <family val="2"/>
    </font>
    <font>
      <sz val="10"/>
      <color rgb="FF33CC33"/>
      <name val="Arial"/>
      <family val="2"/>
    </font>
    <font>
      <sz val="8"/>
      <color rgb="FF000000"/>
      <name val="DejaVu Serif Condensed"/>
      <family val="1"/>
    </font>
    <font>
      <b/>
      <sz val="8"/>
      <color rgb="FF2600FF"/>
      <name val="Courier New"/>
      <family val="3"/>
    </font>
    <font>
      <sz val="9"/>
      <color rgb="FF111111"/>
      <name val="Courier New"/>
      <family val="3"/>
    </font>
    <font>
      <sz val="12"/>
      <color theme="1"/>
      <name val="Calibri"/>
      <family val="2"/>
      <scheme val="minor"/>
    </font>
    <font>
      <sz val="10"/>
      <color rgb="FF333333"/>
      <name val="Trebuchet MS"/>
      <family val="2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336600"/>
        <bgColor indexed="64"/>
      </patternFill>
    </fill>
    <fill>
      <patternFill patternType="solid">
        <fgColor rgb="FF665920"/>
        <bgColor indexed="64"/>
      </patternFill>
    </fill>
    <fill>
      <patternFill patternType="solid">
        <fgColor rgb="FFC864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indexed="13"/>
      </patternFill>
    </fill>
    <fill>
      <patternFill patternType="solid">
        <fgColor rgb="FFF6AF22"/>
        <bgColor indexed="64"/>
      </patternFill>
    </fill>
    <fill>
      <patternFill patternType="gray125">
        <bgColor rgb="FFF6AF22"/>
      </patternFill>
    </fill>
    <fill>
      <patternFill patternType="solid">
        <fgColor theme="7" tint="0.79998168889431442"/>
        <bgColor indexed="64"/>
      </patternFill>
    </fill>
    <fill>
      <patternFill patternType="gray125">
        <bgColor theme="7" tint="0.79998168889431442"/>
      </patternFill>
    </fill>
    <fill>
      <patternFill patternType="gray125">
        <bgColor rgb="FFFFFF00"/>
      </patternFill>
    </fill>
    <fill>
      <patternFill patternType="solid">
        <fgColor rgb="FFBFA63B"/>
        <bgColor indexed="64"/>
      </patternFill>
    </fill>
    <fill>
      <patternFill patternType="gray125">
        <bgColor rgb="FFBFA63B"/>
      </patternFill>
    </fill>
    <fill>
      <patternFill patternType="solid">
        <fgColor rgb="FFED8411"/>
        <bgColor indexed="64"/>
      </patternFill>
    </fill>
    <fill>
      <patternFill patternType="gray125">
        <bgColor rgb="FFFF9933"/>
      </patternFill>
    </fill>
    <fill>
      <patternFill patternType="solid">
        <fgColor theme="7" tint="0.59999389629810485"/>
        <bgColor indexed="64"/>
      </patternFill>
    </fill>
    <fill>
      <patternFill patternType="gray125">
        <bgColor theme="7" tint="0.59999389629810485"/>
      </patternFill>
    </fill>
    <fill>
      <patternFill patternType="gray125">
        <bgColor rgb="FFED8411"/>
      </patternFill>
    </fill>
    <fill>
      <patternFill patternType="solid">
        <fgColor theme="7" tint="0.39997558519241921"/>
        <bgColor indexed="64"/>
      </patternFill>
    </fill>
    <fill>
      <patternFill patternType="gray125">
        <bgColor theme="7" tint="0.39997558519241921"/>
      </patternFill>
    </fill>
    <fill>
      <patternFill patternType="solid">
        <fgColor rgb="FFC000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DFA7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3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theme="9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6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8">
    <xf numFmtId="0" fontId="0" fillId="0" borderId="0" xfId="0"/>
    <xf numFmtId="0" fontId="0" fillId="0" borderId="0" xfId="0" applyProtection="1"/>
    <xf numFmtId="0" fontId="0" fillId="0" borderId="0" xfId="0" applyBorder="1" applyAlignment="1" applyProtection="1">
      <alignment horizontal="center" vertical="top"/>
    </xf>
    <xf numFmtId="0" fontId="0" fillId="0" borderId="1" xfId="0" applyBorder="1" applyProtection="1"/>
    <xf numFmtId="0" fontId="0" fillId="0" borderId="0" xfId="0" applyFill="1" applyProtection="1"/>
    <xf numFmtId="0" fontId="0" fillId="0" borderId="0" xfId="0" applyAlignment="1" applyProtection="1">
      <alignment horizontal="center"/>
    </xf>
    <xf numFmtId="0" fontId="0" fillId="0" borderId="1" xfId="0" applyBorder="1" applyAlignment="1" applyProtection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4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0" borderId="0" xfId="0" applyFont="1" applyFill="1" applyProtection="1"/>
    <xf numFmtId="0" fontId="0" fillId="0" borderId="1" xfId="0" applyBorder="1" applyAlignment="1" applyProtection="1">
      <alignment horizontal="center" vertical="top"/>
    </xf>
    <xf numFmtId="0" fontId="1" fillId="0" borderId="0" xfId="0" applyFont="1" applyAlignment="1" applyProtection="1">
      <alignment horizontal="center"/>
    </xf>
    <xf numFmtId="0" fontId="1" fillId="0" borderId="1" xfId="0" applyFont="1" applyBorder="1" applyAlignment="1" applyProtection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Protection="1"/>
    <xf numFmtId="0" fontId="0" fillId="0" borderId="0" xfId="0" applyFill="1" applyAlignment="1" applyProtection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0" applyBorder="1" applyProtection="1"/>
    <xf numFmtId="164" fontId="7" fillId="0" borderId="0" xfId="0" applyNumberFormat="1" applyFont="1" applyAlignment="1" applyProtection="1">
      <alignment horizontal="left"/>
    </xf>
    <xf numFmtId="0" fontId="8" fillId="4" borderId="0" xfId="0" applyFont="1" applyFill="1" applyBorder="1" applyAlignment="1" applyProtection="1">
      <alignment horizontal="center"/>
    </xf>
    <xf numFmtId="0" fontId="8" fillId="5" borderId="0" xfId="0" applyFont="1" applyFill="1" applyBorder="1" applyAlignment="1" applyProtection="1">
      <alignment horizontal="center"/>
    </xf>
    <xf numFmtId="0" fontId="8" fillId="6" borderId="0" xfId="0" applyFont="1" applyFill="1" applyBorder="1" applyAlignment="1" applyProtection="1">
      <alignment horizontal="center"/>
    </xf>
    <xf numFmtId="0" fontId="8" fillId="7" borderId="0" xfId="0" applyFont="1" applyFill="1" applyBorder="1" applyAlignment="1" applyProtection="1">
      <alignment horizontal="center"/>
    </xf>
    <xf numFmtId="0" fontId="8" fillId="8" borderId="5" xfId="0" applyFont="1" applyFill="1" applyBorder="1" applyAlignment="1" applyProtection="1">
      <alignment horizontal="center"/>
    </xf>
    <xf numFmtId="0" fontId="8" fillId="9" borderId="0" xfId="0" applyFont="1" applyFill="1" applyBorder="1" applyAlignment="1" applyProtection="1">
      <alignment horizontal="center"/>
    </xf>
    <xf numFmtId="0" fontId="12" fillId="10" borderId="0" xfId="0" applyFont="1" applyFill="1" applyAlignment="1" applyProtection="1">
      <alignment horizontal="center" vertical="center"/>
      <protection locked="0"/>
    </xf>
    <xf numFmtId="0" fontId="17" fillId="11" borderId="4" xfId="0" applyFont="1" applyFill="1" applyBorder="1" applyAlignment="1">
      <alignment horizontal="center"/>
    </xf>
    <xf numFmtId="0" fontId="17" fillId="12" borderId="3" xfId="0" applyFont="1" applyFill="1" applyBorder="1" applyAlignment="1">
      <alignment horizontal="center"/>
    </xf>
    <xf numFmtId="0" fontId="17" fillId="11" borderId="1" xfId="0" applyFont="1" applyFill="1" applyBorder="1"/>
    <xf numFmtId="0" fontId="17" fillId="12" borderId="6" xfId="0" applyFont="1" applyFill="1" applyBorder="1" applyAlignment="1">
      <alignment horizontal="left"/>
    </xf>
    <xf numFmtId="0" fontId="17" fillId="11" borderId="7" xfId="0" applyFont="1" applyFill="1" applyBorder="1" applyAlignment="1" applyProtection="1">
      <alignment horizontal="center"/>
    </xf>
    <xf numFmtId="165" fontId="17" fillId="11" borderId="3" xfId="0" applyNumberFormat="1" applyFont="1" applyFill="1" applyBorder="1" applyAlignment="1">
      <alignment horizontal="center" vertical="center"/>
    </xf>
    <xf numFmtId="0" fontId="17" fillId="11" borderId="1" xfId="0" applyFont="1" applyFill="1" applyBorder="1" applyAlignment="1" applyProtection="1">
      <alignment horizontal="right"/>
    </xf>
    <xf numFmtId="0" fontId="17" fillId="11" borderId="8" xfId="0" applyFont="1" applyFill="1" applyBorder="1" applyAlignment="1" applyProtection="1">
      <alignment horizontal="left"/>
    </xf>
    <xf numFmtId="0" fontId="17" fillId="13" borderId="4" xfId="0" applyFont="1" applyFill="1" applyBorder="1" applyAlignment="1" applyProtection="1">
      <alignment horizontal="center"/>
      <protection locked="0"/>
    </xf>
    <xf numFmtId="0" fontId="17" fillId="14" borderId="4" xfId="0" applyFont="1" applyFill="1" applyBorder="1" applyAlignment="1" applyProtection="1">
      <alignment horizontal="center" vertical="center"/>
    </xf>
    <xf numFmtId="0" fontId="17" fillId="14" borderId="4" xfId="0" applyFont="1" applyFill="1" applyBorder="1" applyAlignment="1">
      <alignment horizontal="center"/>
    </xf>
    <xf numFmtId="0" fontId="17" fillId="14" borderId="4" xfId="0" applyFont="1" applyFill="1" applyBorder="1" applyAlignment="1" applyProtection="1">
      <alignment horizontal="center" vertical="top"/>
    </xf>
    <xf numFmtId="0" fontId="17" fillId="14" borderId="3" xfId="0" applyFont="1" applyFill="1" applyBorder="1" applyAlignment="1" applyProtection="1">
      <alignment horizontal="left"/>
    </xf>
    <xf numFmtId="0" fontId="17" fillId="14" borderId="9" xfId="0" applyFont="1" applyFill="1" applyBorder="1" applyAlignment="1" applyProtection="1">
      <alignment horizontal="center"/>
    </xf>
    <xf numFmtId="0" fontId="17" fillId="14" borderId="4" xfId="0" applyFont="1" applyFill="1" applyBorder="1" applyAlignment="1" applyProtection="1">
      <alignment horizontal="right"/>
    </xf>
    <xf numFmtId="0" fontId="17" fillId="14" borderId="4" xfId="0" applyFont="1" applyFill="1" applyBorder="1" applyAlignment="1" applyProtection="1">
      <alignment horizontal="left"/>
    </xf>
    <xf numFmtId="0" fontId="17" fillId="15" borderId="4" xfId="0" applyFont="1" applyFill="1" applyBorder="1" applyAlignment="1" applyProtection="1">
      <alignment horizontal="center"/>
      <protection locked="0"/>
    </xf>
    <xf numFmtId="0" fontId="17" fillId="16" borderId="4" xfId="0" applyFont="1" applyFill="1" applyBorder="1" applyAlignment="1" applyProtection="1">
      <alignment horizontal="center" vertical="center"/>
    </xf>
    <xf numFmtId="0" fontId="17" fillId="16" borderId="4" xfId="0" applyFont="1" applyFill="1" applyBorder="1" applyAlignment="1">
      <alignment horizontal="center"/>
    </xf>
    <xf numFmtId="0" fontId="17" fillId="16" borderId="4" xfId="0" applyFont="1" applyFill="1" applyBorder="1" applyAlignment="1" applyProtection="1">
      <alignment horizontal="center" vertical="top"/>
    </xf>
    <xf numFmtId="0" fontId="17" fillId="16" borderId="3" xfId="0" applyFont="1" applyFill="1" applyBorder="1" applyAlignment="1" applyProtection="1">
      <alignment horizontal="left"/>
    </xf>
    <xf numFmtId="0" fontId="17" fillId="16" borderId="10" xfId="0" applyFont="1" applyFill="1" applyBorder="1" applyAlignment="1" applyProtection="1">
      <alignment horizontal="center"/>
    </xf>
    <xf numFmtId="0" fontId="17" fillId="16" borderId="4" xfId="0" applyFont="1" applyFill="1" applyBorder="1" applyAlignment="1" applyProtection="1">
      <alignment horizontal="right"/>
    </xf>
    <xf numFmtId="0" fontId="17" fillId="16" borderId="4" xfId="0" applyFont="1" applyFill="1" applyBorder="1" applyAlignment="1" applyProtection="1">
      <alignment horizontal="left"/>
    </xf>
    <xf numFmtId="0" fontId="17" fillId="17" borderId="4" xfId="0" applyFont="1" applyFill="1" applyBorder="1" applyAlignment="1" applyProtection="1">
      <alignment horizontal="center"/>
      <protection locked="0"/>
    </xf>
    <xf numFmtId="0" fontId="17" fillId="12" borderId="4" xfId="0" applyFont="1" applyFill="1" applyBorder="1" applyAlignment="1" applyProtection="1">
      <alignment horizontal="center" vertical="center"/>
    </xf>
    <xf numFmtId="0" fontId="17" fillId="12" borderId="4" xfId="0" applyFont="1" applyFill="1" applyBorder="1" applyAlignment="1">
      <alignment horizontal="center"/>
    </xf>
    <xf numFmtId="0" fontId="17" fillId="12" borderId="4" xfId="0" applyFont="1" applyFill="1" applyBorder="1" applyAlignment="1" applyProtection="1">
      <alignment horizontal="center" vertical="top"/>
    </xf>
    <xf numFmtId="0" fontId="17" fillId="12" borderId="4" xfId="0" applyFont="1" applyFill="1" applyBorder="1" applyAlignment="1" applyProtection="1">
      <alignment horizontal="left"/>
    </xf>
    <xf numFmtId="0" fontId="17" fillId="12" borderId="4" xfId="0" applyFont="1" applyFill="1" applyBorder="1" applyAlignment="1" applyProtection="1">
      <alignment horizontal="right"/>
    </xf>
    <xf numFmtId="0" fontId="17" fillId="18" borderId="4" xfId="0" applyFont="1" applyFill="1" applyBorder="1" applyAlignment="1" applyProtection="1">
      <alignment horizontal="center"/>
      <protection locked="0"/>
    </xf>
    <xf numFmtId="0" fontId="17" fillId="19" borderId="8" xfId="0" applyFont="1" applyFill="1" applyBorder="1" applyAlignment="1" applyProtection="1">
      <alignment horizontal="center" vertical="center"/>
    </xf>
    <xf numFmtId="165" fontId="18" fillId="19" borderId="8" xfId="0" applyNumberFormat="1" applyFont="1" applyFill="1" applyBorder="1" applyAlignment="1">
      <alignment horizontal="center" vertical="center"/>
    </xf>
    <xf numFmtId="0" fontId="17" fillId="19" borderId="4" xfId="0" applyFont="1" applyFill="1" applyBorder="1" applyAlignment="1" applyProtection="1">
      <alignment horizontal="center" vertical="top"/>
    </xf>
    <xf numFmtId="0" fontId="17" fillId="19" borderId="4" xfId="0" applyFont="1" applyFill="1" applyBorder="1" applyAlignment="1" applyProtection="1">
      <alignment horizontal="left"/>
    </xf>
    <xf numFmtId="165" fontId="18" fillId="19" borderId="4" xfId="0" applyNumberFormat="1" applyFont="1" applyFill="1" applyBorder="1" applyAlignment="1">
      <alignment horizontal="center" vertical="center"/>
    </xf>
    <xf numFmtId="0" fontId="17" fillId="19" borderId="4" xfId="0" applyFont="1" applyFill="1" applyBorder="1" applyAlignment="1" applyProtection="1">
      <alignment horizontal="right"/>
    </xf>
    <xf numFmtId="0" fontId="2" fillId="20" borderId="4" xfId="0" applyFont="1" applyFill="1" applyBorder="1" applyAlignment="1" applyProtection="1">
      <alignment horizontal="center"/>
      <protection locked="0"/>
    </xf>
    <xf numFmtId="0" fontId="17" fillId="21" borderId="4" xfId="0" applyFont="1" applyFill="1" applyBorder="1" applyAlignment="1" applyProtection="1">
      <alignment horizontal="center" vertical="center"/>
    </xf>
    <xf numFmtId="165" fontId="18" fillId="21" borderId="4" xfId="0" applyNumberFormat="1" applyFont="1" applyFill="1" applyBorder="1" applyAlignment="1">
      <alignment horizontal="center" vertical="center"/>
    </xf>
    <xf numFmtId="0" fontId="17" fillId="21" borderId="4" xfId="0" applyFont="1" applyFill="1" applyBorder="1" applyAlignment="1" applyProtection="1">
      <alignment horizontal="center" vertical="top"/>
    </xf>
    <xf numFmtId="0" fontId="17" fillId="21" borderId="4" xfId="0" applyFont="1" applyFill="1" applyBorder="1" applyAlignment="1" applyProtection="1">
      <alignment horizontal="left"/>
    </xf>
    <xf numFmtId="0" fontId="17" fillId="21" borderId="4" xfId="0" applyFont="1" applyFill="1" applyBorder="1" applyAlignment="1" applyProtection="1">
      <alignment horizontal="right"/>
    </xf>
    <xf numFmtId="0" fontId="2" fillId="22" borderId="4" xfId="0" applyFont="1" applyFill="1" applyBorder="1" applyAlignment="1" applyProtection="1">
      <alignment horizontal="center"/>
      <protection locked="0"/>
    </xf>
    <xf numFmtId="0" fontId="19" fillId="0" borderId="11" xfId="0" applyFont="1" applyFill="1" applyBorder="1" applyAlignment="1" applyProtection="1"/>
    <xf numFmtId="0" fontId="19" fillId="0" borderId="12" xfId="0" applyFont="1" applyFill="1" applyBorder="1" applyAlignment="1" applyProtection="1"/>
    <xf numFmtId="0" fontId="19" fillId="0" borderId="13" xfId="0" applyFont="1" applyFill="1" applyBorder="1" applyAlignment="1" applyProtection="1"/>
    <xf numFmtId="0" fontId="20" fillId="0" borderId="14" xfId="0" applyFont="1" applyFill="1" applyBorder="1" applyAlignment="1" applyProtection="1"/>
    <xf numFmtId="0" fontId="20" fillId="0" borderId="15" xfId="0" applyFont="1" applyFill="1" applyBorder="1" applyAlignment="1" applyProtection="1"/>
    <xf numFmtId="0" fontId="17" fillId="11" borderId="3" xfId="0" applyFont="1" applyFill="1" applyBorder="1" applyAlignment="1">
      <alignment horizontal="center"/>
    </xf>
    <xf numFmtId="0" fontId="20" fillId="0" borderId="4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left"/>
    </xf>
    <xf numFmtId="0" fontId="2" fillId="0" borderId="16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7" fillId="11" borderId="6" xfId="0" applyFont="1" applyFill="1" applyBorder="1" applyAlignment="1">
      <alignment horizontal="left"/>
    </xf>
    <xf numFmtId="0" fontId="8" fillId="6" borderId="6" xfId="0" applyFont="1" applyFill="1" applyBorder="1" applyAlignment="1" applyProtection="1">
      <alignment horizontal="center"/>
    </xf>
    <xf numFmtId="0" fontId="17" fillId="23" borderId="4" xfId="0" applyFont="1" applyFill="1" applyBorder="1" applyAlignment="1" applyProtection="1">
      <alignment horizontal="center" vertical="center"/>
    </xf>
    <xf numFmtId="0" fontId="17" fillId="23" borderId="4" xfId="0" applyFont="1" applyFill="1" applyBorder="1" applyAlignment="1">
      <alignment horizontal="center"/>
    </xf>
    <xf numFmtId="0" fontId="17" fillId="23" borderId="4" xfId="0" applyFont="1" applyFill="1" applyBorder="1" applyAlignment="1" applyProtection="1">
      <alignment horizontal="center" vertical="top"/>
    </xf>
    <xf numFmtId="0" fontId="17" fillId="23" borderId="3" xfId="0" applyFont="1" applyFill="1" applyBorder="1" applyAlignment="1" applyProtection="1">
      <alignment horizontal="left"/>
    </xf>
    <xf numFmtId="0" fontId="17" fillId="23" borderId="10" xfId="0" applyFont="1" applyFill="1" applyBorder="1" applyAlignment="1" applyProtection="1">
      <alignment horizontal="center"/>
    </xf>
    <xf numFmtId="0" fontId="17" fillId="23" borderId="4" xfId="0" applyFont="1" applyFill="1" applyBorder="1" applyAlignment="1" applyProtection="1">
      <alignment horizontal="right"/>
    </xf>
    <xf numFmtId="0" fontId="17" fillId="23" borderId="4" xfId="0" applyFont="1" applyFill="1" applyBorder="1" applyAlignment="1" applyProtection="1">
      <alignment horizontal="left"/>
    </xf>
    <xf numFmtId="0" fontId="17" fillId="24" borderId="4" xfId="0" applyFont="1" applyFill="1" applyBorder="1" applyAlignment="1" applyProtection="1">
      <alignment horizontal="center"/>
      <protection locked="0"/>
    </xf>
    <xf numFmtId="0" fontId="11" fillId="5" borderId="3" xfId="0" applyFont="1" applyFill="1" applyBorder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 vertical="center"/>
    </xf>
    <xf numFmtId="0" fontId="11" fillId="5" borderId="8" xfId="0" applyFont="1" applyFill="1" applyBorder="1" applyAlignment="1" applyProtection="1">
      <alignment horizontal="center" vertical="center"/>
    </xf>
    <xf numFmtId="0" fontId="17" fillId="21" borderId="4" xfId="0" applyFont="1" applyFill="1" applyBorder="1" applyAlignment="1">
      <alignment horizontal="center"/>
    </xf>
    <xf numFmtId="0" fontId="17" fillId="25" borderId="4" xfId="0" applyFont="1" applyFill="1" applyBorder="1" applyAlignment="1" applyProtection="1">
      <alignment horizont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21" borderId="3" xfId="0" applyFont="1" applyFill="1" applyBorder="1" applyAlignment="1" applyProtection="1">
      <alignment horizontal="left"/>
    </xf>
    <xf numFmtId="0" fontId="17" fillId="21" borderId="9" xfId="0" applyFont="1" applyFill="1" applyBorder="1" applyAlignment="1" applyProtection="1">
      <alignment horizontal="center"/>
    </xf>
    <xf numFmtId="0" fontId="17" fillId="11" borderId="1" xfId="0" applyFont="1" applyFill="1" applyBorder="1" applyAlignment="1" applyProtection="1">
      <alignment horizontal="center" vertical="top"/>
    </xf>
    <xf numFmtId="49" fontId="2" fillId="3" borderId="4" xfId="0" applyNumberFormat="1" applyFont="1" applyFill="1" applyBorder="1" applyAlignment="1">
      <alignment horizontal="center" vertical="center"/>
    </xf>
    <xf numFmtId="0" fontId="17" fillId="11" borderId="1" xfId="0" applyFont="1" applyFill="1" applyBorder="1" applyProtection="1"/>
    <xf numFmtId="0" fontId="17" fillId="11" borderId="4" xfId="0" applyFont="1" applyFill="1" applyBorder="1" applyAlignment="1" applyProtection="1">
      <alignment horizontal="center" vertical="center"/>
    </xf>
    <xf numFmtId="0" fontId="17" fillId="11" borderId="6" xfId="0" applyFont="1" applyFill="1" applyBorder="1" applyAlignment="1" applyProtection="1">
      <alignment horizontal="left"/>
    </xf>
    <xf numFmtId="0" fontId="17" fillId="26" borderId="4" xfId="0" applyFont="1" applyFill="1" applyBorder="1" applyAlignment="1" applyProtection="1">
      <alignment horizontal="center" vertical="center"/>
    </xf>
    <xf numFmtId="0" fontId="17" fillId="26" borderId="4" xfId="0" applyFont="1" applyFill="1" applyBorder="1" applyAlignment="1">
      <alignment horizontal="center"/>
    </xf>
    <xf numFmtId="0" fontId="17" fillId="26" borderId="4" xfId="0" applyFont="1" applyFill="1" applyBorder="1" applyAlignment="1" applyProtection="1">
      <alignment horizontal="center" vertical="top"/>
    </xf>
    <xf numFmtId="0" fontId="17" fillId="26" borderId="3" xfId="0" applyFont="1" applyFill="1" applyBorder="1" applyAlignment="1" applyProtection="1">
      <alignment horizontal="left"/>
    </xf>
    <xf numFmtId="0" fontId="17" fillId="26" borderId="10" xfId="0" applyFont="1" applyFill="1" applyBorder="1" applyAlignment="1" applyProtection="1">
      <alignment horizontal="center"/>
    </xf>
    <xf numFmtId="0" fontId="17" fillId="26" borderId="4" xfId="0" applyFont="1" applyFill="1" applyBorder="1" applyAlignment="1" applyProtection="1">
      <alignment horizontal="right"/>
    </xf>
    <xf numFmtId="0" fontId="17" fillId="26" borderId="4" xfId="0" applyFont="1" applyFill="1" applyBorder="1" applyAlignment="1" applyProtection="1">
      <alignment horizontal="left"/>
    </xf>
    <xf numFmtId="0" fontId="17" fillId="27" borderId="4" xfId="0" applyFont="1" applyFill="1" applyBorder="1" applyAlignment="1" applyProtection="1">
      <alignment horizontal="center"/>
      <protection locked="0"/>
    </xf>
    <xf numFmtId="0" fontId="17" fillId="12" borderId="7" xfId="0" applyFont="1" applyFill="1" applyBorder="1" applyAlignment="1" applyProtection="1">
      <alignment horizontal="center"/>
    </xf>
    <xf numFmtId="165" fontId="17" fillId="12" borderId="3" xfId="0" applyNumberFormat="1" applyFont="1" applyFill="1" applyBorder="1" applyAlignment="1">
      <alignment horizontal="center" vertical="center"/>
    </xf>
    <xf numFmtId="0" fontId="17" fillId="12" borderId="1" xfId="0" applyFont="1" applyFill="1" applyBorder="1" applyAlignment="1" applyProtection="1">
      <alignment horizontal="right"/>
    </xf>
    <xf numFmtId="0" fontId="17" fillId="12" borderId="8" xfId="0" applyFont="1" applyFill="1" applyBorder="1" applyAlignment="1" applyProtection="1">
      <alignment horizontal="left"/>
    </xf>
    <xf numFmtId="0" fontId="3" fillId="0" borderId="0" xfId="0" applyFont="1" applyProtection="1"/>
    <xf numFmtId="0" fontId="0" fillId="0" borderId="19" xfId="0" applyFill="1" applyBorder="1" applyAlignment="1" applyProtection="1">
      <alignment horizontal="center"/>
    </xf>
    <xf numFmtId="0" fontId="0" fillId="0" borderId="19" xfId="0" applyFill="1" applyBorder="1" applyProtection="1"/>
    <xf numFmtId="0" fontId="0" fillId="0" borderId="4" xfId="0" applyFill="1" applyBorder="1" applyAlignment="1" applyProtection="1">
      <alignment horizontal="center"/>
    </xf>
    <xf numFmtId="0" fontId="20" fillId="0" borderId="20" xfId="0" applyFont="1" applyBorder="1" applyAlignment="1" applyProtection="1">
      <alignment horizontal="right"/>
    </xf>
    <xf numFmtId="0" fontId="4" fillId="0" borderId="20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left"/>
    </xf>
    <xf numFmtId="0" fontId="2" fillId="0" borderId="21" xfId="0" applyFont="1" applyBorder="1" applyAlignment="1" applyProtection="1">
      <alignment horizontal="center"/>
    </xf>
    <xf numFmtId="0" fontId="2" fillId="0" borderId="20" xfId="0" applyFont="1" applyBorder="1" applyAlignment="1" applyProtection="1">
      <alignment horizontal="left"/>
    </xf>
    <xf numFmtId="0" fontId="2" fillId="0" borderId="20" xfId="0" applyFont="1" applyBorder="1" applyAlignment="1" applyProtection="1">
      <alignment horizontal="center"/>
    </xf>
    <xf numFmtId="0" fontId="21" fillId="28" borderId="0" xfId="0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3" fillId="0" borderId="0" xfId="0" applyFont="1" applyAlignment="1" applyProtection="1"/>
    <xf numFmtId="0" fontId="20" fillId="0" borderId="0" xfId="0" applyFont="1" applyBorder="1" applyAlignment="1" applyProtection="1">
      <alignment horizontal="right"/>
    </xf>
    <xf numFmtId="0" fontId="4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/>
    <xf numFmtId="0" fontId="3" fillId="2" borderId="0" xfId="0" applyFont="1" applyFill="1" applyAlignment="1" applyProtection="1"/>
    <xf numFmtId="0" fontId="21" fillId="29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5" borderId="0" xfId="0" applyFill="1" applyProtection="1"/>
    <xf numFmtId="166" fontId="0" fillId="5" borderId="0" xfId="0" applyNumberFormat="1" applyFill="1" applyProtection="1"/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0" fillId="0" borderId="0" xfId="0" applyBorder="1" applyAlignment="1" applyProtection="1">
      <alignment horizontal="center"/>
    </xf>
    <xf numFmtId="0" fontId="17" fillId="0" borderId="1" xfId="0" applyFont="1" applyFill="1" applyBorder="1" applyAlignment="1" applyProtection="1">
      <alignment horizontal="center" vertical="top"/>
    </xf>
    <xf numFmtId="0" fontId="17" fillId="0" borderId="1" xfId="0" applyFont="1" applyFill="1" applyBorder="1" applyAlignment="1" applyProtection="1">
      <alignment horizontal="right"/>
    </xf>
    <xf numFmtId="0" fontId="24" fillId="0" borderId="0" xfId="0" applyFont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25" fillId="3" borderId="0" xfId="0" applyFont="1" applyFill="1" applyBorder="1" applyAlignment="1">
      <alignment horizontal="center" wrapText="1"/>
    </xf>
    <xf numFmtId="0" fontId="26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center" vertic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0" fillId="0" borderId="0" xfId="0" applyFill="1" applyBorder="1" applyAlignment="1" applyProtection="1">
      <alignment horizontal="center" vertical="top"/>
    </xf>
    <xf numFmtId="0" fontId="20" fillId="1" borderId="4" xfId="0" applyFont="1" applyFill="1" applyBorder="1" applyAlignment="1" applyProtection="1">
      <alignment horizontal="right"/>
    </xf>
    <xf numFmtId="0" fontId="4" fillId="1" borderId="4" xfId="0" applyFont="1" applyFill="1" applyBorder="1" applyAlignment="1" applyProtection="1">
      <alignment horizontal="center"/>
    </xf>
    <xf numFmtId="0" fontId="2" fillId="1" borderId="3" xfId="0" applyFont="1" applyFill="1" applyBorder="1" applyAlignment="1" applyProtection="1">
      <alignment horizontal="center"/>
    </xf>
    <xf numFmtId="0" fontId="2" fillId="1" borderId="3" xfId="0" applyFont="1" applyFill="1" applyBorder="1" applyAlignment="1" applyProtection="1">
      <alignment horizontal="left"/>
    </xf>
    <xf numFmtId="0" fontId="2" fillId="1" borderId="16" xfId="0" applyFont="1" applyFill="1" applyBorder="1" applyAlignment="1" applyProtection="1">
      <alignment horizontal="center"/>
    </xf>
    <xf numFmtId="0" fontId="2" fillId="1" borderId="4" xfId="0" applyFont="1" applyFill="1" applyBorder="1" applyAlignment="1" applyProtection="1">
      <alignment horizontal="left"/>
    </xf>
    <xf numFmtId="0" fontId="2" fillId="1" borderId="4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12" borderId="3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5" fillId="2" borderId="8" xfId="0" applyFont="1" applyFill="1" applyBorder="1" applyAlignment="1">
      <alignment horizontal="center"/>
    </xf>
    <xf numFmtId="0" fontId="5" fillId="0" borderId="1" xfId="0" applyFont="1" applyFill="1" applyBorder="1" applyAlignment="1" applyProtection="1">
      <alignment horizontal="right"/>
    </xf>
    <xf numFmtId="0" fontId="5" fillId="2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20" fillId="1" borderId="20" xfId="0" applyFont="1" applyFill="1" applyBorder="1" applyAlignment="1" applyProtection="1">
      <alignment horizontal="right"/>
    </xf>
    <xf numFmtId="0" fontId="4" fillId="1" borderId="20" xfId="0" applyFont="1" applyFill="1" applyBorder="1" applyAlignment="1" applyProtection="1">
      <alignment horizontal="center"/>
    </xf>
    <xf numFmtId="0" fontId="2" fillId="1" borderId="18" xfId="0" applyFont="1" applyFill="1" applyBorder="1" applyAlignment="1" applyProtection="1">
      <alignment horizontal="center"/>
    </xf>
    <xf numFmtId="0" fontId="2" fillId="1" borderId="18" xfId="0" applyFont="1" applyFill="1" applyBorder="1" applyAlignment="1" applyProtection="1">
      <alignment horizontal="left"/>
    </xf>
    <xf numFmtId="0" fontId="2" fillId="1" borderId="21" xfId="0" applyFont="1" applyFill="1" applyBorder="1" applyAlignment="1" applyProtection="1">
      <alignment horizontal="center"/>
    </xf>
    <xf numFmtId="0" fontId="2" fillId="1" borderId="20" xfId="0" applyFont="1" applyFill="1" applyBorder="1" applyAlignment="1" applyProtection="1">
      <alignment horizontal="left"/>
    </xf>
    <xf numFmtId="0" fontId="2" fillId="1" borderId="20" xfId="0" applyFont="1" applyFill="1" applyBorder="1" applyAlignment="1" applyProtection="1">
      <alignment horizontal="center"/>
    </xf>
    <xf numFmtId="0" fontId="0" fillId="0" borderId="8" xfId="0" applyBorder="1" applyAlignment="1">
      <alignment horizontal="center"/>
    </xf>
    <xf numFmtId="0" fontId="0" fillId="0" borderId="1" xfId="0" applyFill="1" applyBorder="1" applyAlignment="1" applyProtection="1">
      <alignment horizontal="right"/>
    </xf>
    <xf numFmtId="0" fontId="1" fillId="0" borderId="6" xfId="0" applyFont="1" applyBorder="1" applyAlignment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Fill="1" applyBorder="1"/>
    <xf numFmtId="0" fontId="2" fillId="0" borderId="0" xfId="0" applyFont="1" applyAlignment="1">
      <alignment horizontal="center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center"/>
    </xf>
    <xf numFmtId="0" fontId="16" fillId="12" borderId="0" xfId="0" applyFont="1" applyFill="1" applyAlignment="1" applyProtection="1">
      <alignment horizontal="center" vertical="center"/>
      <protection locked="0"/>
    </xf>
    <xf numFmtId="0" fontId="16" fillId="12" borderId="0" xfId="0" applyNumberFormat="1" applyFont="1" applyFill="1" applyAlignment="1" applyProtection="1">
      <alignment horizontal="center" vertical="center"/>
      <protection locked="0"/>
    </xf>
    <xf numFmtId="0" fontId="16" fillId="21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20" fillId="0" borderId="28" xfId="0" applyFont="1" applyBorder="1" applyAlignment="1" applyProtection="1">
      <alignment horizontal="right"/>
    </xf>
    <xf numFmtId="0" fontId="4" fillId="0" borderId="28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left"/>
    </xf>
    <xf numFmtId="0" fontId="2" fillId="0" borderId="30" xfId="0" applyFont="1" applyBorder="1" applyAlignment="1" applyProtection="1">
      <alignment horizontal="center"/>
    </xf>
    <xf numFmtId="0" fontId="2" fillId="0" borderId="28" xfId="0" applyFont="1" applyBorder="1" applyAlignment="1" applyProtection="1">
      <alignment horizontal="left"/>
    </xf>
    <xf numFmtId="0" fontId="0" fillId="2" borderId="0" xfId="0" applyFill="1" applyProtection="1"/>
    <xf numFmtId="0" fontId="0" fillId="2" borderId="0" xfId="0" applyFill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1" fillId="3" borderId="4" xfId="0" applyFont="1" applyFill="1" applyBorder="1" applyAlignment="1">
      <alignment horizontal="left"/>
    </xf>
    <xf numFmtId="0" fontId="2" fillId="30" borderId="4" xfId="0" applyFont="1" applyFill="1" applyBorder="1" applyAlignment="1">
      <alignment horizontal="center"/>
    </xf>
    <xf numFmtId="0" fontId="2" fillId="31" borderId="4" xfId="0" applyFont="1" applyFill="1" applyBorder="1" applyAlignment="1">
      <alignment horizontal="center"/>
    </xf>
    <xf numFmtId="0" fontId="0" fillId="32" borderId="0" xfId="0" applyFill="1" applyAlignment="1">
      <alignment horizontal="center" vertical="center"/>
    </xf>
    <xf numFmtId="0" fontId="0" fillId="33" borderId="0" xfId="0" applyFill="1"/>
    <xf numFmtId="0" fontId="39" fillId="33" borderId="0" xfId="0" applyFont="1" applyFill="1" applyAlignment="1">
      <alignment horizontal="center" vertical="center"/>
    </xf>
    <xf numFmtId="0" fontId="2" fillId="34" borderId="0" xfId="0" applyFont="1" applyFill="1" applyAlignment="1">
      <alignment horizontal="center"/>
    </xf>
    <xf numFmtId="0" fontId="40" fillId="6" borderId="0" xfId="0" applyFont="1" applyFill="1" applyAlignment="1">
      <alignment horizontal="center"/>
    </xf>
    <xf numFmtId="0" fontId="1" fillId="0" borderId="0" xfId="0" applyFont="1"/>
    <xf numFmtId="0" fontId="0" fillId="33" borderId="0" xfId="0" applyFill="1" applyAlignment="1">
      <alignment horizontal="center"/>
    </xf>
    <xf numFmtId="0" fontId="1" fillId="33" borderId="0" xfId="0" applyFont="1" applyFill="1" applyBorder="1"/>
    <xf numFmtId="0" fontId="0" fillId="26" borderId="0" xfId="0" applyFill="1" applyAlignment="1">
      <alignment horizontal="center"/>
    </xf>
    <xf numFmtId="0" fontId="1" fillId="26" borderId="0" xfId="0" applyFont="1" applyFill="1" applyBorder="1"/>
    <xf numFmtId="0" fontId="1" fillId="35" borderId="0" xfId="0" applyFont="1" applyFill="1" applyBorder="1" applyAlignment="1">
      <alignment horizontal="center"/>
    </xf>
    <xf numFmtId="0" fontId="1" fillId="35" borderId="0" xfId="0" applyFont="1" applyFill="1" applyBorder="1"/>
    <xf numFmtId="0" fontId="25" fillId="36" borderId="0" xfId="0" applyFont="1" applyFill="1" applyBorder="1" applyAlignment="1">
      <alignment horizontal="center" wrapText="1"/>
    </xf>
    <xf numFmtId="0" fontId="1" fillId="36" borderId="0" xfId="0" applyFont="1" applyFill="1"/>
    <xf numFmtId="0" fontId="1" fillId="37" borderId="0" xfId="0" applyFont="1" applyFill="1"/>
    <xf numFmtId="0" fontId="2" fillId="0" borderId="0" xfId="0" applyFont="1"/>
    <xf numFmtId="0" fontId="3" fillId="0" borderId="0" xfId="0" applyFont="1" applyAlignment="1">
      <alignment horizontal="center"/>
    </xf>
    <xf numFmtId="0" fontId="0" fillId="38" borderId="0" xfId="0" applyFill="1"/>
    <xf numFmtId="0" fontId="39" fillId="38" borderId="0" xfId="0" applyFont="1" applyFill="1" applyAlignment="1">
      <alignment horizontal="center" vertical="center"/>
    </xf>
    <xf numFmtId="0" fontId="0" fillId="38" borderId="0" xfId="0" applyFill="1" applyBorder="1"/>
    <xf numFmtId="0" fontId="2" fillId="39" borderId="4" xfId="0" applyFont="1" applyFill="1" applyBorder="1" applyAlignment="1">
      <alignment horizontal="center"/>
    </xf>
    <xf numFmtId="0" fontId="1" fillId="39" borderId="4" xfId="0" applyFont="1" applyFill="1" applyBorder="1" applyAlignment="1">
      <alignment horizontal="left"/>
    </xf>
    <xf numFmtId="0" fontId="3" fillId="33" borderId="0" xfId="0" applyFont="1" applyFill="1"/>
    <xf numFmtId="0" fontId="24" fillId="33" borderId="4" xfId="0" applyFont="1" applyFill="1" applyBorder="1"/>
    <xf numFmtId="0" fontId="24" fillId="33" borderId="4" xfId="0" applyFont="1" applyFill="1" applyBorder="1" applyAlignment="1">
      <alignment horizontal="left"/>
    </xf>
    <xf numFmtId="0" fontId="1" fillId="33" borderId="4" xfId="0" applyFont="1" applyFill="1" applyBorder="1" applyAlignment="1">
      <alignment horizontal="center"/>
    </xf>
    <xf numFmtId="0" fontId="41" fillId="33" borderId="31" xfId="0" applyFont="1" applyFill="1" applyBorder="1" applyAlignment="1">
      <alignment horizontal="center"/>
    </xf>
    <xf numFmtId="0" fontId="42" fillId="26" borderId="31" xfId="0" applyFont="1" applyFill="1" applyBorder="1" applyAlignment="1">
      <alignment horizontal="center"/>
    </xf>
    <xf numFmtId="0" fontId="1" fillId="3" borderId="0" xfId="0" applyFont="1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24" fillId="3" borderId="4" xfId="0" applyFont="1" applyFill="1" applyBorder="1"/>
    <xf numFmtId="0" fontId="24" fillId="3" borderId="4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40" borderId="4" xfId="0" applyFont="1" applyFill="1" applyBorder="1" applyAlignment="1">
      <alignment horizontal="center" vertical="center"/>
    </xf>
    <xf numFmtId="0" fontId="1" fillId="40" borderId="4" xfId="0" applyFont="1" applyFill="1" applyBorder="1" applyAlignment="1">
      <alignment horizontal="left"/>
    </xf>
    <xf numFmtId="0" fontId="2" fillId="40" borderId="4" xfId="0" applyFont="1" applyFill="1" applyBorder="1" applyAlignment="1">
      <alignment horizontal="center"/>
    </xf>
    <xf numFmtId="0" fontId="43" fillId="41" borderId="0" xfId="0" applyFont="1" applyFill="1" applyAlignment="1">
      <alignment horizontal="center"/>
    </xf>
    <xf numFmtId="0" fontId="41" fillId="0" borderId="4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41" fillId="39" borderId="4" xfId="0" applyFont="1" applyFill="1" applyBorder="1" applyAlignment="1">
      <alignment horizontal="center" vertical="center"/>
    </xf>
    <xf numFmtId="0" fontId="3" fillId="39" borderId="4" xfId="0" applyFont="1" applyFill="1" applyBorder="1" applyAlignment="1">
      <alignment horizontal="left"/>
    </xf>
    <xf numFmtId="0" fontId="3" fillId="39" borderId="4" xfId="0" applyFont="1" applyFill="1" applyBorder="1" applyAlignment="1">
      <alignment horizontal="center"/>
    </xf>
    <xf numFmtId="0" fontId="41" fillId="3" borderId="4" xfId="0" applyFont="1" applyFill="1" applyBorder="1" applyAlignment="1">
      <alignment horizontal="center"/>
    </xf>
    <xf numFmtId="0" fontId="3" fillId="38" borderId="0" xfId="0" applyFont="1" applyFill="1" applyBorder="1" applyAlignment="1">
      <alignment horizontal="center"/>
    </xf>
    <xf numFmtId="0" fontId="44" fillId="41" borderId="0" xfId="0" applyFont="1" applyFill="1"/>
    <xf numFmtId="0" fontId="3" fillId="34" borderId="0" xfId="0" applyFont="1" applyFill="1" applyBorder="1" applyAlignment="1">
      <alignment horizontal="center"/>
    </xf>
    <xf numFmtId="0" fontId="42" fillId="42" borderId="31" xfId="0" applyFont="1" applyFill="1" applyBorder="1" applyAlignment="1">
      <alignment horizontal="center"/>
    </xf>
    <xf numFmtId="0" fontId="41" fillId="39" borderId="4" xfId="0" applyFont="1" applyFill="1" applyBorder="1" applyAlignment="1">
      <alignment horizontal="center"/>
    </xf>
    <xf numFmtId="0" fontId="45" fillId="3" borderId="0" xfId="0" applyFont="1" applyFill="1" applyAlignment="1">
      <alignment horizontal="center"/>
    </xf>
    <xf numFmtId="0" fontId="41" fillId="40" borderId="4" xfId="0" applyFont="1" applyFill="1" applyBorder="1" applyAlignment="1">
      <alignment horizontal="center" vertical="center"/>
    </xf>
    <xf numFmtId="0" fontId="3" fillId="40" borderId="4" xfId="0" applyFont="1" applyFill="1" applyBorder="1" applyAlignment="1">
      <alignment horizontal="left"/>
    </xf>
    <xf numFmtId="0" fontId="3" fillId="40" borderId="4" xfId="0" applyFont="1" applyFill="1" applyBorder="1" applyAlignment="1">
      <alignment horizontal="center"/>
    </xf>
    <xf numFmtId="0" fontId="2" fillId="39" borderId="4" xfId="0" applyFont="1" applyFill="1" applyBorder="1" applyAlignment="1">
      <alignment horizontal="center" vertical="center"/>
    </xf>
    <xf numFmtId="0" fontId="0" fillId="6" borderId="0" xfId="0" applyFill="1"/>
    <xf numFmtId="0" fontId="45" fillId="0" borderId="0" xfId="0" applyFont="1" applyAlignment="1">
      <alignment horizontal="center"/>
    </xf>
    <xf numFmtId="0" fontId="42" fillId="36" borderId="31" xfId="0" applyFont="1" applyFill="1" applyBorder="1" applyAlignment="1">
      <alignment horizontal="center"/>
    </xf>
    <xf numFmtId="0" fontId="42" fillId="28" borderId="31" xfId="0" applyFont="1" applyFill="1" applyBorder="1" applyAlignment="1">
      <alignment horizontal="center"/>
    </xf>
    <xf numFmtId="0" fontId="0" fillId="0" borderId="0" xfId="0" applyFill="1"/>
    <xf numFmtId="0" fontId="43" fillId="33" borderId="0" xfId="0" applyFont="1" applyFill="1" applyAlignment="1">
      <alignment horizontal="center"/>
    </xf>
    <xf numFmtId="0" fontId="41" fillId="0" borderId="4" xfId="0" applyFont="1" applyFill="1" applyBorder="1" applyAlignment="1">
      <alignment horizontal="center"/>
    </xf>
    <xf numFmtId="0" fontId="41" fillId="40" borderId="4" xfId="0" applyFont="1" applyFill="1" applyBorder="1" applyAlignment="1">
      <alignment horizontal="center"/>
    </xf>
    <xf numFmtId="0" fontId="25" fillId="33" borderId="0" xfId="0" applyFont="1" applyFill="1" applyBorder="1" applyAlignment="1">
      <alignment horizontal="center" wrapText="1"/>
    </xf>
    <xf numFmtId="0" fontId="1" fillId="33" borderId="0" xfId="0" applyFont="1" applyFill="1"/>
    <xf numFmtId="0" fontId="25" fillId="26" borderId="0" xfId="0" applyFont="1" applyFill="1" applyBorder="1" applyAlignment="1">
      <alignment horizontal="center" wrapText="1"/>
    </xf>
    <xf numFmtId="0" fontId="1" fillId="26" borderId="0" xfId="0" applyFont="1" applyFill="1"/>
    <xf numFmtId="0" fontId="1" fillId="35" borderId="0" xfId="0" applyFont="1" applyFill="1" applyAlignment="1">
      <alignment horizontal="center"/>
    </xf>
    <xf numFmtId="0" fontId="1" fillId="35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2" borderId="0" xfId="0" applyFill="1"/>
    <xf numFmtId="0" fontId="43" fillId="38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6" fillId="0" borderId="0" xfId="0" applyFont="1"/>
    <xf numFmtId="0" fontId="47" fillId="0" borderId="0" xfId="0" applyFont="1"/>
    <xf numFmtId="0" fontId="0" fillId="36" borderId="0" xfId="0" applyFill="1" applyAlignment="1">
      <alignment horizontal="center"/>
    </xf>
    <xf numFmtId="0" fontId="1" fillId="36" borderId="0" xfId="0" applyFont="1" applyFill="1" applyBorder="1"/>
    <xf numFmtId="49" fontId="2" fillId="40" borderId="4" xfId="0" applyNumberFormat="1" applyFont="1" applyFill="1" applyBorder="1" applyAlignment="1">
      <alignment horizontal="center" vertical="center"/>
    </xf>
    <xf numFmtId="0" fontId="41" fillId="3" borderId="28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left"/>
    </xf>
    <xf numFmtId="0" fontId="3" fillId="3" borderId="28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1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0" fontId="3" fillId="38" borderId="0" xfId="0" applyFont="1" applyFill="1" applyBorder="1"/>
    <xf numFmtId="0" fontId="0" fillId="0" borderId="0" xfId="0" applyBorder="1"/>
    <xf numFmtId="0" fontId="41" fillId="3" borderId="0" xfId="0" applyFont="1" applyFill="1" applyBorder="1" applyAlignment="1">
      <alignment horizontal="center" vertical="center"/>
    </xf>
    <xf numFmtId="0" fontId="48" fillId="40" borderId="4" xfId="0" applyFont="1" applyFill="1" applyBorder="1" applyAlignment="1" applyProtection="1">
      <alignment horizontal="left"/>
      <protection locked="0"/>
    </xf>
    <xf numFmtId="0" fontId="48" fillId="3" borderId="4" xfId="0" applyFont="1" applyFill="1" applyBorder="1" applyAlignment="1" applyProtection="1">
      <alignment horizontal="left"/>
      <protection locked="0"/>
    </xf>
    <xf numFmtId="0" fontId="41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1" fillId="0" borderId="0" xfId="0" applyFont="1" applyBorder="1"/>
    <xf numFmtId="0" fontId="1" fillId="0" borderId="0" xfId="0" applyFont="1" applyFill="1"/>
    <xf numFmtId="0" fontId="5" fillId="3" borderId="4" xfId="0" applyFont="1" applyFill="1" applyBorder="1" applyProtection="1">
      <protection locked="0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25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/>
    </xf>
    <xf numFmtId="0" fontId="0" fillId="33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" fontId="48" fillId="3" borderId="4" xfId="0" applyNumberFormat="1" applyFont="1" applyFill="1" applyBorder="1" applyProtection="1">
      <protection locked="0"/>
    </xf>
    <xf numFmtId="0" fontId="1" fillId="0" borderId="4" xfId="0" applyFont="1" applyFill="1" applyBorder="1" applyAlignment="1" applyProtection="1">
      <alignment horizontal="left"/>
      <protection locked="0"/>
    </xf>
    <xf numFmtId="0" fontId="2" fillId="0" borderId="0" xfId="0" applyNumberFormat="1" applyFont="1" applyAlignment="1">
      <alignment horizontal="center"/>
    </xf>
    <xf numFmtId="0" fontId="2" fillId="0" borderId="0" xfId="0" quotePrefix="1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0" fillId="0" borderId="4" xfId="0" applyFont="1" applyFill="1" applyBorder="1" applyAlignment="1" applyProtection="1">
      <alignment horizontal="left"/>
      <protection locked="0"/>
    </xf>
    <xf numFmtId="0" fontId="3" fillId="0" borderId="0" xfId="0" applyFont="1" applyFill="1"/>
    <xf numFmtId="0" fontId="49" fillId="0" borderId="0" xfId="0" applyFont="1"/>
    <xf numFmtId="0" fontId="2" fillId="0" borderId="4" xfId="0" applyFont="1" applyFill="1" applyBorder="1" applyProtection="1">
      <protection locked="0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139025</xdr:rowOff>
    </xdr:from>
    <xdr:to>
      <xdr:col>1</xdr:col>
      <xdr:colOff>811068</xdr:colOff>
      <xdr:row>41</xdr:row>
      <xdr:rowOff>31755</xdr:rowOff>
    </xdr:to>
    <xdr:sp macro="" textlink="">
      <xdr:nvSpPr>
        <xdr:cNvPr id="2" name="Rectangle 1"/>
        <xdr:cNvSpPr/>
      </xdr:nvSpPr>
      <xdr:spPr>
        <a:xfrm>
          <a:off x="951778" y="9416375"/>
          <a:ext cx="3250190" cy="207055"/>
        </a:xfrm>
        <a:prstGeom prst="rect">
          <a:avLst/>
        </a:prstGeom>
        <a:solidFill>
          <a:schemeClr val="tx2">
            <a:lumMod val="20000"/>
            <a:lumOff val="80000"/>
            <a:alpha val="35000"/>
          </a:schemeClr>
        </a:solidFill>
        <a:effectLst>
          <a:outerShdw blurRad="50800" dist="50800" dir="5400000" algn="ctr" rotWithShape="0">
            <a:srgbClr val="000000">
              <a:alpha val="74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41275</xdr:colOff>
      <xdr:row>39</xdr:row>
      <xdr:rowOff>35984</xdr:rowOff>
    </xdr:from>
    <xdr:to>
      <xdr:col>12</xdr:col>
      <xdr:colOff>41275</xdr:colOff>
      <xdr:row>40</xdr:row>
      <xdr:rowOff>187326</xdr:rowOff>
    </xdr:to>
    <xdr:sp macro="[0]!Feuil1.copy_result1" textlink="">
      <xdr:nvSpPr>
        <xdr:cNvPr id="4" name="Arrondir un rectangle avec un coin diagonal 3"/>
        <xdr:cNvSpPr/>
      </xdr:nvSpPr>
      <xdr:spPr>
        <a:xfrm>
          <a:off x="15243175" y="9199034"/>
          <a:ext cx="1333500" cy="265642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1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60</xdr:col>
      <xdr:colOff>28574</xdr:colOff>
      <xdr:row>37</xdr:row>
      <xdr:rowOff>9525</xdr:rowOff>
    </xdr:from>
    <xdr:to>
      <xdr:col>62</xdr:col>
      <xdr:colOff>22411</xdr:colOff>
      <xdr:row>38</xdr:row>
      <xdr:rowOff>47625</xdr:rowOff>
    </xdr:to>
    <xdr:sp macro="[1]!Feuil2.copy_6p" textlink="">
      <xdr:nvSpPr>
        <xdr:cNvPr id="5" name="Arrondir un rectangle avec un coin diagonal 4"/>
        <xdr:cNvSpPr/>
      </xdr:nvSpPr>
      <xdr:spPr>
        <a:xfrm>
          <a:off x="73428224" y="8677275"/>
          <a:ext cx="1327337" cy="285750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 6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47624</xdr:colOff>
      <xdr:row>37</xdr:row>
      <xdr:rowOff>9525</xdr:rowOff>
    </xdr:from>
    <xdr:to>
      <xdr:col>51</xdr:col>
      <xdr:colOff>862852</xdr:colOff>
      <xdr:row>38</xdr:row>
      <xdr:rowOff>47625</xdr:rowOff>
    </xdr:to>
    <xdr:sp macro="[1]!Feuil2.copy_5p" textlink="">
      <xdr:nvSpPr>
        <xdr:cNvPr id="6" name="Arrondir un rectangle avec un coin diagonal 5"/>
        <xdr:cNvSpPr/>
      </xdr:nvSpPr>
      <xdr:spPr>
        <a:xfrm>
          <a:off x="61998224" y="8677275"/>
          <a:ext cx="1281953" cy="285750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 5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12986</xdr:colOff>
      <xdr:row>40</xdr:row>
      <xdr:rowOff>0</xdr:rowOff>
    </xdr:from>
    <xdr:to>
      <xdr:col>21</xdr:col>
      <xdr:colOff>637067</xdr:colOff>
      <xdr:row>40</xdr:row>
      <xdr:rowOff>297537</xdr:rowOff>
    </xdr:to>
    <xdr:sp macro="[1]!Feuil14.copy_result2" textlink="">
      <xdr:nvSpPr>
        <xdr:cNvPr id="7" name="Arrondir un rectangle avec un coin diagonal 6"/>
        <xdr:cNvSpPr/>
      </xdr:nvSpPr>
      <xdr:spPr>
        <a:xfrm>
          <a:off x="27140186" y="9277350"/>
          <a:ext cx="1290831" cy="297537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0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</a:t>
          </a:r>
          <a:r>
            <a:rPr lang="fr-FR" sz="1100" i="1">
              <a:solidFill>
                <a:sysClr val="windowText" lastClr="000000"/>
              </a:solidFill>
            </a:rPr>
            <a:t>résultat</a:t>
          </a:r>
          <a:r>
            <a:rPr lang="fr-FR" sz="1100" baseline="0">
              <a:solidFill>
                <a:sysClr val="windowText" lastClr="000000"/>
              </a:solidFill>
            </a:rPr>
            <a:t>  2 PA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40</xdr:col>
      <xdr:colOff>19640</xdr:colOff>
      <xdr:row>36</xdr:row>
      <xdr:rowOff>225851</xdr:rowOff>
    </xdr:from>
    <xdr:to>
      <xdr:col>41</xdr:col>
      <xdr:colOff>638274</xdr:colOff>
      <xdr:row>38</xdr:row>
      <xdr:rowOff>0</xdr:rowOff>
    </xdr:to>
    <xdr:sp macro="[1]!Feuil10.copy_4p" textlink="">
      <xdr:nvSpPr>
        <xdr:cNvPr id="8" name="Arrondir un rectangle avec un coin diagonal 7"/>
        <xdr:cNvSpPr/>
      </xdr:nvSpPr>
      <xdr:spPr>
        <a:xfrm>
          <a:off x="50521190" y="8645951"/>
          <a:ext cx="1285384" cy="269449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 </a:t>
          </a:r>
          <a:r>
            <a:rPr lang="fr-FR" sz="1100" baseline="0">
              <a:solidFill>
                <a:sysClr val="windowText" lastClr="000000"/>
              </a:solidFill>
            </a:rPr>
            <a:t>4pa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45</xdr:row>
      <xdr:rowOff>1298</xdr:rowOff>
    </xdr:from>
    <xdr:to>
      <xdr:col>1</xdr:col>
      <xdr:colOff>533400</xdr:colOff>
      <xdr:row>46</xdr:row>
      <xdr:rowOff>57150</xdr:rowOff>
    </xdr:to>
    <xdr:sp macro="[1]!Module_64b.Imprimer_tab_1et2" textlink="">
      <xdr:nvSpPr>
        <xdr:cNvPr id="11" name="Parchemin horizontal 10"/>
        <xdr:cNvSpPr/>
      </xdr:nvSpPr>
      <xdr:spPr>
        <a:xfrm>
          <a:off x="227301" y="10507373"/>
          <a:ext cx="3696999" cy="284452"/>
        </a:xfrm>
        <a:prstGeom prst="horizontalScroll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  tableau  1 et  2</a:t>
          </a:r>
        </a:p>
      </xdr:txBody>
    </xdr:sp>
    <xdr:clientData/>
  </xdr:twoCellAnchor>
  <xdr:twoCellAnchor>
    <xdr:from>
      <xdr:col>1</xdr:col>
      <xdr:colOff>0</xdr:colOff>
      <xdr:row>46</xdr:row>
      <xdr:rowOff>140709</xdr:rowOff>
    </xdr:from>
    <xdr:to>
      <xdr:col>1</xdr:col>
      <xdr:colOff>530370</xdr:colOff>
      <xdr:row>47</xdr:row>
      <xdr:rowOff>206951</xdr:rowOff>
    </xdr:to>
    <xdr:sp macro="[1]!Module_64b.Imprimer_tab_3et4" textlink="">
      <xdr:nvSpPr>
        <xdr:cNvPr id="12" name="Parchemin horizontal 11"/>
        <xdr:cNvSpPr/>
      </xdr:nvSpPr>
      <xdr:spPr>
        <a:xfrm>
          <a:off x="232498" y="10875384"/>
          <a:ext cx="3688772" cy="294842"/>
        </a:xfrm>
        <a:prstGeom prst="horizontalScroll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  tableau  3 et  4</a:t>
          </a:r>
        </a:p>
      </xdr:txBody>
    </xdr:sp>
    <xdr:clientData/>
  </xdr:twoCellAnchor>
  <xdr:twoCellAnchor>
    <xdr:from>
      <xdr:col>1</xdr:col>
      <xdr:colOff>0</xdr:colOff>
      <xdr:row>48</xdr:row>
      <xdr:rowOff>95250</xdr:rowOff>
    </xdr:from>
    <xdr:to>
      <xdr:col>1</xdr:col>
      <xdr:colOff>533400</xdr:colOff>
      <xdr:row>49</xdr:row>
      <xdr:rowOff>161925</xdr:rowOff>
    </xdr:to>
    <xdr:sp macro="[1]!Module_64b.Imprimer_tab_5et6" textlink="">
      <xdr:nvSpPr>
        <xdr:cNvPr id="13" name="Parchemin horizontal 12"/>
        <xdr:cNvSpPr/>
      </xdr:nvSpPr>
      <xdr:spPr>
        <a:xfrm>
          <a:off x="238125" y="11287125"/>
          <a:ext cx="3686175" cy="295275"/>
        </a:xfrm>
        <a:prstGeom prst="horizontalScroll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  tableau  5 et  6</a:t>
          </a:r>
        </a:p>
      </xdr:txBody>
    </xdr:sp>
    <xdr:clientData/>
  </xdr:twoCellAnchor>
  <xdr:oneCellAnchor>
    <xdr:from>
      <xdr:col>1</xdr:col>
      <xdr:colOff>0</xdr:colOff>
      <xdr:row>35</xdr:row>
      <xdr:rowOff>231218</xdr:rowOff>
    </xdr:from>
    <xdr:ext cx="774510" cy="591395"/>
    <xdr:sp macro="[1]!Module64.ecr_resu" textlink="">
      <xdr:nvSpPr>
        <xdr:cNvPr id="14" name="Flèche gauche 13"/>
        <xdr:cNvSpPr/>
      </xdr:nvSpPr>
      <xdr:spPr>
        <a:xfrm>
          <a:off x="80575" y="8403668"/>
          <a:ext cx="774510" cy="591395"/>
        </a:xfrm>
        <a:prstGeom prst="leftArrow">
          <a:avLst/>
        </a:prstGeom>
        <a:solidFill>
          <a:schemeClr val="accent3">
            <a:lumMod val="5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rtlCol="0" anchor="ctr">
          <a:noAutofit/>
        </a:bodyPr>
        <a:lstStyle/>
        <a:p>
          <a:pPr algn="ctr"/>
          <a:r>
            <a:rPr lang="fr-FR" sz="1100" baseline="0"/>
            <a:t> Resultat</a:t>
          </a:r>
          <a:endParaRPr lang="fr-FR" sz="1100"/>
        </a:p>
      </xdr:txBody>
    </xdr:sp>
    <xdr:clientData/>
  </xdr:oneCellAnchor>
  <xdr:twoCellAnchor>
    <xdr:from>
      <xdr:col>10</xdr:col>
      <xdr:colOff>0</xdr:colOff>
      <xdr:row>100</xdr:row>
      <xdr:rowOff>0</xdr:rowOff>
    </xdr:from>
    <xdr:to>
      <xdr:col>12</xdr:col>
      <xdr:colOff>38100</xdr:colOff>
      <xdr:row>102</xdr:row>
      <xdr:rowOff>173182</xdr:rowOff>
    </xdr:to>
    <xdr:sp macro="" textlink="">
      <xdr:nvSpPr>
        <xdr:cNvPr id="15" name="Rectangle 14"/>
        <xdr:cNvSpPr/>
      </xdr:nvSpPr>
      <xdr:spPr>
        <a:xfrm>
          <a:off x="15201900" y="26469975"/>
          <a:ext cx="1371600" cy="858982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40</xdr:col>
      <xdr:colOff>0</xdr:colOff>
      <xdr:row>100</xdr:row>
      <xdr:rowOff>0</xdr:rowOff>
    </xdr:from>
    <xdr:to>
      <xdr:col>42</xdr:col>
      <xdr:colOff>38100</xdr:colOff>
      <xdr:row>102</xdr:row>
      <xdr:rowOff>151534</xdr:rowOff>
    </xdr:to>
    <xdr:sp macro="" textlink="">
      <xdr:nvSpPr>
        <xdr:cNvPr id="16" name="Rectangle 15"/>
        <xdr:cNvSpPr/>
      </xdr:nvSpPr>
      <xdr:spPr>
        <a:xfrm>
          <a:off x="50501550" y="26469975"/>
          <a:ext cx="1371600" cy="837334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50</xdr:col>
      <xdr:colOff>0</xdr:colOff>
      <xdr:row>100</xdr:row>
      <xdr:rowOff>0</xdr:rowOff>
    </xdr:from>
    <xdr:to>
      <xdr:col>52</xdr:col>
      <xdr:colOff>38100</xdr:colOff>
      <xdr:row>102</xdr:row>
      <xdr:rowOff>140710</xdr:rowOff>
    </xdr:to>
    <xdr:sp macro="" textlink="">
      <xdr:nvSpPr>
        <xdr:cNvPr id="17" name="Rectangle 16"/>
        <xdr:cNvSpPr/>
      </xdr:nvSpPr>
      <xdr:spPr>
        <a:xfrm>
          <a:off x="61950600" y="26469975"/>
          <a:ext cx="1371600" cy="826510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60</xdr:col>
      <xdr:colOff>0</xdr:colOff>
      <xdr:row>100</xdr:row>
      <xdr:rowOff>0</xdr:rowOff>
    </xdr:from>
    <xdr:to>
      <xdr:col>62</xdr:col>
      <xdr:colOff>38100</xdr:colOff>
      <xdr:row>102</xdr:row>
      <xdr:rowOff>173182</xdr:rowOff>
    </xdr:to>
    <xdr:sp macro="" textlink="">
      <xdr:nvSpPr>
        <xdr:cNvPr id="18" name="Rectangle 17"/>
        <xdr:cNvSpPr/>
      </xdr:nvSpPr>
      <xdr:spPr>
        <a:xfrm>
          <a:off x="73399650" y="26469975"/>
          <a:ext cx="1371600" cy="858982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40</xdr:col>
      <xdr:colOff>117835</xdr:colOff>
      <xdr:row>4</xdr:row>
      <xdr:rowOff>19639</xdr:rowOff>
    </xdr:from>
    <xdr:to>
      <xdr:col>41</xdr:col>
      <xdr:colOff>579355</xdr:colOff>
      <xdr:row>4</xdr:row>
      <xdr:rowOff>314228</xdr:rowOff>
    </xdr:to>
    <xdr:sp macro="[1]!Module_64b.ecran_normal" textlink="">
      <xdr:nvSpPr>
        <xdr:cNvPr id="22" name="Rectangle 21"/>
        <xdr:cNvSpPr/>
      </xdr:nvSpPr>
      <xdr:spPr>
        <a:xfrm>
          <a:off x="50619385" y="19639"/>
          <a:ext cx="1128270" cy="29458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9821</xdr:colOff>
      <xdr:row>38</xdr:row>
      <xdr:rowOff>49099</xdr:rowOff>
    </xdr:from>
    <xdr:to>
      <xdr:col>42</xdr:col>
      <xdr:colOff>1</xdr:colOff>
      <xdr:row>38</xdr:row>
      <xdr:rowOff>343686</xdr:rowOff>
    </xdr:to>
    <xdr:sp macro="[1]!Feuil10.copy_4pb" textlink="">
      <xdr:nvSpPr>
        <xdr:cNvPr id="23" name="Arrondir un rectangle avec un coin diagonal 22"/>
        <xdr:cNvSpPr/>
      </xdr:nvSpPr>
      <xdr:spPr>
        <a:xfrm>
          <a:off x="50511371" y="8964499"/>
          <a:ext cx="1323680" cy="199337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tIns="72000" rIns="36000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 4 pb</a:t>
          </a:r>
          <a:endParaRPr lang="fr-FR" sz="1100">
            <a:solidFill>
              <a:sysClr val="windowText" lastClr="000000"/>
            </a:solidFill>
            <a:latin typeface="Bahnschrift" pitchFamily="34" charset="0"/>
          </a:endParaRPr>
        </a:p>
      </xdr:txBody>
    </xdr:sp>
    <xdr:clientData/>
  </xdr:twoCellAnchor>
  <xdr:twoCellAnchor>
    <xdr:from>
      <xdr:col>30</xdr:col>
      <xdr:colOff>58363</xdr:colOff>
      <xdr:row>40</xdr:row>
      <xdr:rowOff>104</xdr:rowOff>
    </xdr:from>
    <xdr:to>
      <xdr:col>32</xdr:col>
      <xdr:colOff>58363</xdr:colOff>
      <xdr:row>40</xdr:row>
      <xdr:rowOff>305673</xdr:rowOff>
    </xdr:to>
    <xdr:sp macro="[1]!Feuil10.cop_3pb" textlink="">
      <xdr:nvSpPr>
        <xdr:cNvPr id="24" name="Arrondir un rectangle avec un coin diagonal 23"/>
        <xdr:cNvSpPr/>
      </xdr:nvSpPr>
      <xdr:spPr>
        <a:xfrm>
          <a:off x="39110863" y="9277454"/>
          <a:ext cx="1333500" cy="305569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3 PB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199159</xdr:colOff>
      <xdr:row>18</xdr:row>
      <xdr:rowOff>155863</xdr:rowOff>
    </xdr:from>
    <xdr:to>
      <xdr:col>18</xdr:col>
      <xdr:colOff>623454</xdr:colOff>
      <xdr:row>20</xdr:row>
      <xdr:rowOff>77932</xdr:rowOff>
    </xdr:to>
    <xdr:sp macro="[1]!Feuil6.ecr_tabequipe" textlink="">
      <xdr:nvSpPr>
        <xdr:cNvPr id="2" name="Flèche droite 1"/>
        <xdr:cNvSpPr/>
      </xdr:nvSpPr>
      <xdr:spPr>
        <a:xfrm>
          <a:off x="9066934" y="4432588"/>
          <a:ext cx="1376795" cy="379269"/>
        </a:xfrm>
        <a:prstGeom prst="righ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r>
            <a:rPr lang="fr-FR" sz="900"/>
            <a:t>Retour</a:t>
          </a:r>
          <a:r>
            <a:rPr lang="fr-FR" sz="900" baseline="0"/>
            <a:t>   écran   tableau</a:t>
          </a:r>
          <a:endParaRPr lang="fr-FR" sz="900"/>
        </a:p>
      </xdr:txBody>
    </xdr:sp>
    <xdr:clientData/>
  </xdr:twoCellAnchor>
  <xdr:twoCellAnchor>
    <xdr:from>
      <xdr:col>17</xdr:col>
      <xdr:colOff>0</xdr:colOff>
      <xdr:row>131</xdr:row>
      <xdr:rowOff>0</xdr:rowOff>
    </xdr:from>
    <xdr:to>
      <xdr:col>18</xdr:col>
      <xdr:colOff>424295</xdr:colOff>
      <xdr:row>132</xdr:row>
      <xdr:rowOff>147205</xdr:rowOff>
    </xdr:to>
    <xdr:sp macro="[1]!Feuil6.ecr_tabequipe" textlink="">
      <xdr:nvSpPr>
        <xdr:cNvPr id="3" name="Flèche droite 2"/>
        <xdr:cNvSpPr/>
      </xdr:nvSpPr>
      <xdr:spPr>
        <a:xfrm>
          <a:off x="8867775" y="30099000"/>
          <a:ext cx="1376795" cy="375805"/>
        </a:xfrm>
        <a:prstGeom prst="righ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r>
            <a:rPr lang="fr-FR" sz="900"/>
            <a:t>Retour</a:t>
          </a:r>
          <a:r>
            <a:rPr lang="fr-FR" sz="900" baseline="0"/>
            <a:t>   écran   tirage</a:t>
          </a:r>
          <a:endParaRPr lang="fr-FR" sz="900"/>
        </a:p>
      </xdr:txBody>
    </xdr:sp>
    <xdr:clientData/>
  </xdr:twoCellAnchor>
  <xdr:twoCellAnchor>
    <xdr:from>
      <xdr:col>32</xdr:col>
      <xdr:colOff>209551</xdr:colOff>
      <xdr:row>8</xdr:row>
      <xdr:rowOff>93517</xdr:rowOff>
    </xdr:from>
    <xdr:to>
      <xdr:col>35</xdr:col>
      <xdr:colOff>5197</xdr:colOff>
      <xdr:row>10</xdr:row>
      <xdr:rowOff>15585</xdr:rowOff>
    </xdr:to>
    <xdr:sp macro="[1]!Feuil6.tabl_1" textlink="">
      <xdr:nvSpPr>
        <xdr:cNvPr id="4" name="Rogner un rectangle à un seul coin 3"/>
        <xdr:cNvSpPr/>
      </xdr:nvSpPr>
      <xdr:spPr>
        <a:xfrm>
          <a:off x="19878676" y="2084242"/>
          <a:ext cx="1624446" cy="379268"/>
        </a:xfrm>
        <a:prstGeom prst="snip1Rect">
          <a:avLst/>
        </a:prstGeom>
        <a:solidFill>
          <a:schemeClr val="accent2">
            <a:lumMod val="75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Tableau  tour</a:t>
          </a:r>
          <a:r>
            <a:rPr lang="fr-FR" sz="1200" b="1" baseline="0"/>
            <a:t> 1 et  2</a:t>
          </a:r>
        </a:p>
        <a:p>
          <a:pPr algn="ctr"/>
          <a:endParaRPr lang="fr-FR" sz="1100"/>
        </a:p>
      </xdr:txBody>
    </xdr:sp>
    <xdr:clientData/>
  </xdr:twoCellAnchor>
  <xdr:twoCellAnchor>
    <xdr:from>
      <xdr:col>32</xdr:col>
      <xdr:colOff>150669</xdr:colOff>
      <xdr:row>17</xdr:row>
      <xdr:rowOff>226868</xdr:rowOff>
    </xdr:from>
    <xdr:to>
      <xdr:col>34</xdr:col>
      <xdr:colOff>1287607</xdr:colOff>
      <xdr:row>19</xdr:row>
      <xdr:rowOff>102178</xdr:rowOff>
    </xdr:to>
    <xdr:sp macro="[1]!Feuil6.tabl_pc" textlink="">
      <xdr:nvSpPr>
        <xdr:cNvPr id="5" name="Rogner un rectangle à un seul coin 4"/>
        <xdr:cNvSpPr/>
      </xdr:nvSpPr>
      <xdr:spPr>
        <a:xfrm>
          <a:off x="19819794" y="4274993"/>
          <a:ext cx="1660813" cy="332510"/>
        </a:xfrm>
        <a:prstGeom prst="snip1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Poule </a:t>
          </a:r>
          <a:r>
            <a:rPr lang="fr-FR" sz="1400" b="1" baseline="0"/>
            <a:t>  C</a:t>
          </a:r>
          <a:endParaRPr lang="fr-FR" sz="1200" b="1"/>
        </a:p>
      </xdr:txBody>
    </xdr:sp>
    <xdr:clientData/>
  </xdr:twoCellAnchor>
  <xdr:twoCellAnchor>
    <xdr:from>
      <xdr:col>32</xdr:col>
      <xdr:colOff>140278</xdr:colOff>
      <xdr:row>15</xdr:row>
      <xdr:rowOff>114300</xdr:rowOff>
    </xdr:from>
    <xdr:to>
      <xdr:col>34</xdr:col>
      <xdr:colOff>1277216</xdr:colOff>
      <xdr:row>16</xdr:row>
      <xdr:rowOff>218210</xdr:rowOff>
    </xdr:to>
    <xdr:sp macro="[1]!Feuil6.tabl_pb" textlink="">
      <xdr:nvSpPr>
        <xdr:cNvPr id="6" name="Rogner un rectangle à un seul coin 5"/>
        <xdr:cNvSpPr/>
      </xdr:nvSpPr>
      <xdr:spPr>
        <a:xfrm>
          <a:off x="19809403" y="3705225"/>
          <a:ext cx="1660813" cy="332510"/>
        </a:xfrm>
        <a:prstGeom prst="snip1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lt1"/>
              </a:solidFill>
              <a:latin typeface="+mn-lt"/>
              <a:ea typeface="+mn-ea"/>
              <a:cs typeface="+mn-cs"/>
            </a:rPr>
            <a:t>Poule </a:t>
          </a:r>
          <a:r>
            <a:rPr lang="fr-FR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B</a:t>
          </a:r>
          <a:endParaRPr lang="fr-FR" sz="14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oneCellAnchor>
    <xdr:from>
      <xdr:col>18</xdr:col>
      <xdr:colOff>308796</xdr:colOff>
      <xdr:row>0</xdr:row>
      <xdr:rowOff>62762</xdr:rowOff>
    </xdr:from>
    <xdr:ext cx="615130" cy="455501"/>
    <xdr:sp macro="[1]!Feuil6.plein_ecran" textlink="">
      <xdr:nvSpPr>
        <xdr:cNvPr id="7" name="Flèche vers le haut 6"/>
        <xdr:cNvSpPr/>
      </xdr:nvSpPr>
      <xdr:spPr>
        <a:xfrm>
          <a:off x="10129071" y="62762"/>
          <a:ext cx="615130" cy="455501"/>
        </a:xfrm>
        <a:prstGeom prst="upArrow">
          <a:avLst>
            <a:gd name="adj1" fmla="val 50000"/>
            <a:gd name="adj2" fmla="val 50000"/>
          </a:avLst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tIns="0" rIns="36000" bIns="0" rtlCol="0" anchor="ctr">
          <a:noAutofit/>
        </a:bodyPr>
        <a:lstStyle/>
        <a:p>
          <a:pPr algn="ctr"/>
          <a:r>
            <a:rPr lang="fr-FR" sz="800"/>
            <a:t>plein</a:t>
          </a:r>
        </a:p>
        <a:p>
          <a:pPr algn="ctr"/>
          <a:r>
            <a:rPr lang="fr-FR" sz="800"/>
            <a:t>ecran</a:t>
          </a:r>
        </a:p>
      </xdr:txBody>
    </xdr:sp>
    <xdr:clientData/>
  </xdr:oneCellAnchor>
  <xdr:twoCellAnchor>
    <xdr:from>
      <xdr:col>18</xdr:col>
      <xdr:colOff>314324</xdr:colOff>
      <xdr:row>2</xdr:row>
      <xdr:rowOff>123825</xdr:rowOff>
    </xdr:from>
    <xdr:to>
      <xdr:col>19</xdr:col>
      <xdr:colOff>114299</xdr:colOff>
      <xdr:row>4</xdr:row>
      <xdr:rowOff>161925</xdr:rowOff>
    </xdr:to>
    <xdr:sp macro="[1]!Feuil6.ecran_normal" textlink="">
      <xdr:nvSpPr>
        <xdr:cNvPr id="8" name="Flèche vers le bas 7"/>
        <xdr:cNvSpPr/>
      </xdr:nvSpPr>
      <xdr:spPr>
        <a:xfrm>
          <a:off x="10134599" y="695325"/>
          <a:ext cx="561975" cy="514350"/>
        </a:xfrm>
        <a:prstGeom prst="downArrow">
          <a:avLst>
            <a:gd name="adj1" fmla="val 50000"/>
            <a:gd name="adj2" fmla="val 50000"/>
          </a:avLst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fer</a:t>
          </a:r>
        </a:p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pl</a:t>
          </a:r>
        </a:p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ecr</a:t>
          </a:r>
        </a:p>
      </xdr:txBody>
    </xdr:sp>
    <xdr:clientData/>
  </xdr:twoCellAnchor>
  <xdr:oneCellAnchor>
    <xdr:from>
      <xdr:col>60</xdr:col>
      <xdr:colOff>80196</xdr:colOff>
      <xdr:row>0</xdr:row>
      <xdr:rowOff>158012</xdr:rowOff>
    </xdr:from>
    <xdr:ext cx="615130" cy="455501"/>
    <xdr:sp macro="[1]!Feuil6.plein_ecran" textlink="">
      <xdr:nvSpPr>
        <xdr:cNvPr id="9" name="Flèche vers le haut 8"/>
        <xdr:cNvSpPr/>
      </xdr:nvSpPr>
      <xdr:spPr>
        <a:xfrm>
          <a:off x="42675996" y="158012"/>
          <a:ext cx="615130" cy="455501"/>
        </a:xfrm>
        <a:prstGeom prst="upArrow">
          <a:avLst>
            <a:gd name="adj1" fmla="val 50000"/>
            <a:gd name="adj2" fmla="val 50000"/>
          </a:avLst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tIns="0" rIns="36000" bIns="0" rtlCol="0" anchor="ctr">
          <a:noAutofit/>
        </a:bodyPr>
        <a:lstStyle/>
        <a:p>
          <a:pPr algn="ctr"/>
          <a:r>
            <a:rPr lang="fr-FR" sz="800"/>
            <a:t>plein</a:t>
          </a:r>
        </a:p>
        <a:p>
          <a:pPr algn="ctr"/>
          <a:r>
            <a:rPr lang="fr-FR" sz="800"/>
            <a:t>ecran</a:t>
          </a:r>
        </a:p>
      </xdr:txBody>
    </xdr:sp>
    <xdr:clientData/>
  </xdr:oneCellAnchor>
  <xdr:twoCellAnchor>
    <xdr:from>
      <xdr:col>60</xdr:col>
      <xdr:colOff>95249</xdr:colOff>
      <xdr:row>2</xdr:row>
      <xdr:rowOff>133350</xdr:rowOff>
    </xdr:from>
    <xdr:to>
      <xdr:col>60</xdr:col>
      <xdr:colOff>657224</xdr:colOff>
      <xdr:row>4</xdr:row>
      <xdr:rowOff>171450</xdr:rowOff>
    </xdr:to>
    <xdr:sp macro="[1]!Feuil6.ecran_normal" textlink="">
      <xdr:nvSpPr>
        <xdr:cNvPr id="10" name="Flèche vers le bas 9"/>
        <xdr:cNvSpPr/>
      </xdr:nvSpPr>
      <xdr:spPr>
        <a:xfrm>
          <a:off x="42691049" y="704850"/>
          <a:ext cx="561975" cy="514350"/>
        </a:xfrm>
        <a:prstGeom prst="downArrow">
          <a:avLst>
            <a:gd name="adj1" fmla="val 50000"/>
            <a:gd name="adj2" fmla="val 50000"/>
          </a:avLst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fer</a:t>
          </a:r>
        </a:p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pl</a:t>
          </a:r>
        </a:p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ecr</a:t>
          </a:r>
        </a:p>
      </xdr:txBody>
    </xdr:sp>
    <xdr:clientData/>
  </xdr:twoCellAnchor>
  <xdr:twoCellAnchor>
    <xdr:from>
      <xdr:col>32</xdr:col>
      <xdr:colOff>179244</xdr:colOff>
      <xdr:row>12</xdr:row>
      <xdr:rowOff>226868</xdr:rowOff>
    </xdr:from>
    <xdr:to>
      <xdr:col>35</xdr:col>
      <xdr:colOff>11257</xdr:colOff>
      <xdr:row>14</xdr:row>
      <xdr:rowOff>102178</xdr:rowOff>
    </xdr:to>
    <xdr:sp macro="[1]!Feuil6.tabl_pa" textlink="">
      <xdr:nvSpPr>
        <xdr:cNvPr id="11" name="Rogner un rectangle à un seul coin 10"/>
        <xdr:cNvSpPr/>
      </xdr:nvSpPr>
      <xdr:spPr>
        <a:xfrm>
          <a:off x="19848369" y="3131993"/>
          <a:ext cx="1660813" cy="332510"/>
        </a:xfrm>
        <a:prstGeom prst="snip1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Poule </a:t>
          </a:r>
          <a:r>
            <a:rPr lang="fr-FR" sz="1400" b="1" baseline="0"/>
            <a:t> A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ours_2po%20sauv%2006_0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utilisation"/>
      <sheetName val="resultat"/>
      <sheetName val="tirage"/>
      <sheetName val="22 eq"/>
      <sheetName val="42_64 eq"/>
      <sheetName val="tirage_2p"/>
      <sheetName val="42_64 3t"/>
      <sheetName val="66_128 eq"/>
      <sheetName val="128_2po"/>
      <sheetName val="64_4t"/>
      <sheetName val="tab_2po"/>
      <sheetName val="16_40 eq"/>
      <sheetName val="tableau"/>
      <sheetName val="tirage_po"/>
      <sheetName val="pre_tab"/>
      <sheetName val="Feuil1"/>
      <sheetName val="concours_2po sauv 06_02"/>
    </sheetNames>
    <definedNames>
      <definedName name="classement"/>
      <definedName name="classement_2t"/>
      <definedName name="classement_2tperd"/>
      <definedName name="classementpremier"/>
      <definedName name="col_cach"/>
      <definedName name="col_visib"/>
      <definedName name="copy_colo"/>
      <definedName name="ecran_normal_l"/>
      <definedName name="Feuil10.cop_3pb"/>
      <definedName name="Feuil10.copy_4p"/>
      <definedName name="Feuil10.copy_4pb"/>
      <definedName name="Feuil14.copy_np"/>
      <definedName name="Feuil14.copy_result1"/>
      <definedName name="Feuil14.copy_result2"/>
      <definedName name="Feuil15.copy_lis_tab1_tour1"/>
      <definedName name="Feuil15.copy_lis_tab2_tour2"/>
      <definedName name="Feuil15.copy_lis_tab4_tour3"/>
      <definedName name="Feuil15.copy_lis_tab7_tour32p"/>
      <definedName name="Feuil15.copy_tabl6b"/>
      <definedName name="Feuil2.copy_5p"/>
      <definedName name="Feuil2.copy_6p"/>
      <definedName name="Feuil6.ecr_tabequipe"/>
      <definedName name="Feuil6.ecran_normal"/>
      <definedName name="Feuil6.efface"/>
      <definedName name="Feuil6.efface_col_hk"/>
      <definedName name="Feuil6.efface_liste"/>
      <definedName name="Feuil6.Imprimer_resultat"/>
      <definedName name="Feuil6.plein_ecran"/>
      <definedName name="Feuil6.tabl_1"/>
      <definedName name="Feuil6.tabl_pa"/>
      <definedName name="Feuil6.tabl_pb"/>
      <definedName name="Feuil6.tabl_pc"/>
      <definedName name="liste"/>
      <definedName name="liste2"/>
      <definedName name="Macro3"/>
      <definedName name="Module_64b.ecran_normal"/>
      <definedName name="Module_64b.Imprimer_tab_1et2"/>
      <definedName name="Module_64b.Imprimer_tab_3et4"/>
      <definedName name="Module_64b.Imprimer_tab_5et6"/>
      <definedName name="Module64.ecr_resu"/>
      <definedName name="plein_ecran_p"/>
      <definedName name="retri"/>
      <definedName name="retria"/>
      <definedName name="retrib"/>
      <definedName name="retripremier"/>
      <definedName name="tabl_64b11"/>
      <definedName name="tabl_64b22"/>
      <definedName name="tour2"/>
      <definedName name="tour3"/>
      <definedName name="tour4"/>
    </definedNames>
    <sheetDataSet>
      <sheetData sheetId="0" refreshError="1"/>
      <sheetData sheetId="1">
        <row r="2">
          <cell r="AI2">
            <v>52</v>
          </cell>
          <cell r="AJ2">
            <v>26</v>
          </cell>
        </row>
      </sheetData>
      <sheetData sheetId="2">
        <row r="4">
          <cell r="G4">
            <v>26</v>
          </cell>
        </row>
      </sheetData>
      <sheetData sheetId="3" refreshError="1"/>
      <sheetData sheetId="4" refreshError="1"/>
      <sheetData sheetId="5">
        <row r="4">
          <cell r="G4">
            <v>12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">
          <cell r="G4">
            <v>28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L405"/>
  <sheetViews>
    <sheetView topLeftCell="A5" workbookViewId="0">
      <selection activeCell="A23" sqref="A23"/>
    </sheetView>
  </sheetViews>
  <sheetFormatPr baseColWidth="10" defaultRowHeight="18"/>
  <cols>
    <col min="1" max="1" width="27.5703125" style="1" customWidth="1"/>
    <col min="2" max="2" width="17.7109375" style="1" customWidth="1"/>
    <col min="3" max="3" width="9.7109375" style="1" customWidth="1"/>
    <col min="4" max="4" width="9.7109375" style="2" customWidth="1"/>
    <col min="5" max="5" width="1.5703125" style="22" customWidth="1"/>
    <col min="6" max="6" width="58.7109375" style="1" customWidth="1"/>
    <col min="7" max="8" width="9.7109375" style="5" customWidth="1"/>
    <col min="9" max="9" width="1.5703125" style="6" customWidth="1"/>
    <col min="10" max="10" width="58.7109375" style="1" customWidth="1"/>
    <col min="11" max="12" width="10" style="1" customWidth="1"/>
    <col min="13" max="13" width="9.5703125" style="229" customWidth="1"/>
    <col min="14" max="14" width="9.5703125" style="230" customWidth="1"/>
    <col min="15" max="15" width="1.5703125" style="231" customWidth="1"/>
    <col min="16" max="16" width="58.7109375" style="231" customWidth="1"/>
    <col min="17" max="18" width="9.5703125" style="230" customWidth="1"/>
    <col min="19" max="19" width="1.5703125" style="229" customWidth="1"/>
    <col min="20" max="20" width="58.7109375" style="229" customWidth="1"/>
    <col min="21" max="22" width="10" style="229" customWidth="1"/>
    <col min="23" max="23" width="7.28515625" style="7" customWidth="1"/>
    <col min="24" max="24" width="8.28515625" style="8" customWidth="1"/>
    <col min="25" max="25" width="1.5703125" style="7" customWidth="1"/>
    <col min="26" max="26" width="62.28515625" style="7" customWidth="1"/>
    <col min="27" max="27" width="7.28515625" style="8" customWidth="1"/>
    <col min="28" max="28" width="8.28515625" style="8" customWidth="1"/>
    <col min="29" max="29" width="1.5703125" style="7" customWidth="1"/>
    <col min="30" max="30" width="62.28515625" style="7" customWidth="1"/>
    <col min="31" max="32" width="10" style="7" customWidth="1"/>
    <col min="33" max="33" width="7.28515625" style="7" customWidth="1"/>
    <col min="34" max="34" width="8.28515625" style="8" customWidth="1"/>
    <col min="35" max="35" width="1.5703125" style="7" customWidth="1"/>
    <col min="36" max="36" width="58.7109375" style="7" customWidth="1"/>
    <col min="37" max="37" width="7.28515625" style="7" customWidth="1"/>
    <col min="38" max="38" width="8.28515625" style="8" customWidth="1"/>
    <col min="39" max="39" width="1.5703125" style="7" customWidth="1"/>
    <col min="40" max="40" width="58.7109375" style="7" customWidth="1"/>
    <col min="41" max="42" width="10" style="7" customWidth="1"/>
    <col min="43" max="43" width="7.28515625" style="7" customWidth="1"/>
    <col min="44" max="44" width="8.28515625" style="8" customWidth="1"/>
    <col min="45" max="45" width="1.5703125" style="7" customWidth="1"/>
    <col min="46" max="46" width="58.7109375" style="7" customWidth="1"/>
    <col min="47" max="47" width="7.28515625" style="7" customWidth="1"/>
    <col min="48" max="48" width="8.28515625" style="8" customWidth="1"/>
    <col min="49" max="49" width="1.5703125" style="7" customWidth="1"/>
    <col min="50" max="50" width="58.7109375" style="7" customWidth="1"/>
    <col min="51" max="52" width="10" style="7" customWidth="1"/>
    <col min="53" max="53" width="7.28515625" style="7" customWidth="1"/>
    <col min="54" max="54" width="8.28515625" style="8" customWidth="1"/>
    <col min="55" max="55" width="1.5703125" style="7" customWidth="1"/>
    <col min="56" max="56" width="58.7109375" style="7" customWidth="1"/>
    <col min="57" max="57" width="7.28515625" style="7" customWidth="1"/>
    <col min="58" max="58" width="8.28515625" style="8" customWidth="1"/>
    <col min="59" max="59" width="1.5703125" style="7" customWidth="1"/>
    <col min="60" max="60" width="58.7109375" style="7" customWidth="1"/>
    <col min="61" max="62" width="10" style="7" customWidth="1"/>
    <col min="63" max="63" width="9.85546875" style="7" customWidth="1"/>
    <col min="64" max="64" width="11.42578125" style="1"/>
    <col min="65" max="65" width="7.140625" style="219" customWidth="1"/>
    <col min="66" max="66" width="30.85546875" style="13" customWidth="1"/>
    <col min="67" max="67" width="8.5703125" style="134" customWidth="1"/>
    <col min="68" max="68" width="27" style="134" customWidth="1"/>
    <col min="69" max="69" width="19.140625" style="1" customWidth="1"/>
    <col min="70" max="70" width="10.28515625" style="14" customWidth="1"/>
    <col min="71" max="71" width="9.28515625" style="15" customWidth="1"/>
    <col min="72" max="72" width="30.28515625" style="16" customWidth="1"/>
    <col min="73" max="73" width="9" style="17" customWidth="1"/>
    <col min="74" max="74" width="28.140625" style="16" customWidth="1"/>
    <col min="75" max="75" width="10.42578125" style="17" customWidth="1"/>
    <col min="76" max="76" width="10.85546875" style="17" customWidth="1"/>
    <col min="77" max="86" width="11.42578125" style="1"/>
    <col min="87" max="87" width="20.85546875" style="1" customWidth="1"/>
    <col min="88" max="89" width="11.42578125" style="1"/>
    <col min="90" max="90" width="8" style="213" customWidth="1"/>
    <col min="91" max="91" width="11.42578125" style="1"/>
    <col min="92" max="92" width="7.28515625" style="1" customWidth="1"/>
    <col min="93" max="93" width="8.28515625" style="1" customWidth="1"/>
    <col min="94" max="94" width="1.5703125" style="1" customWidth="1"/>
    <col min="95" max="95" width="62.28515625" style="1" customWidth="1"/>
    <col min="96" max="96" width="7.28515625" style="1" customWidth="1"/>
    <col min="97" max="97" width="8.28515625" style="1" customWidth="1"/>
    <col min="98" max="98" width="1.5703125" style="1" customWidth="1"/>
    <col min="99" max="99" width="62.28515625" style="1" customWidth="1"/>
    <col min="100" max="101" width="10" style="1" customWidth="1"/>
    <col min="102" max="103" width="11.42578125" style="1"/>
    <col min="104" max="104" width="7.28515625" style="1" customWidth="1"/>
    <col min="105" max="105" width="8.28515625" style="1" customWidth="1"/>
    <col min="106" max="106" width="1.5703125" style="1" customWidth="1"/>
    <col min="107" max="107" width="62.28515625" style="1" customWidth="1"/>
    <col min="108" max="108" width="7.28515625" style="1" customWidth="1"/>
    <col min="109" max="109" width="8.28515625" style="1" customWidth="1"/>
    <col min="110" max="110" width="1.5703125" style="1" customWidth="1"/>
    <col min="111" max="111" width="62.28515625" style="1" customWidth="1"/>
    <col min="112" max="113" width="10" style="1" customWidth="1"/>
    <col min="114" max="16384" width="11.42578125" style="1"/>
  </cols>
  <sheetData>
    <row r="1" spans="2:116" ht="18" hidden="1" customHeight="1">
      <c r="E1" s="3"/>
      <c r="F1" s="4"/>
      <c r="M1" s="7"/>
      <c r="N1" s="8"/>
      <c r="O1" s="9"/>
      <c r="P1" s="9"/>
      <c r="Q1" s="8"/>
      <c r="R1" s="8"/>
      <c r="S1" s="7"/>
      <c r="T1" s="7"/>
      <c r="U1" s="7"/>
      <c r="V1" s="7"/>
      <c r="AY1" s="10"/>
      <c r="AZ1" s="10"/>
      <c r="BA1" s="10"/>
      <c r="BB1" s="11"/>
      <c r="BC1" s="10"/>
      <c r="BD1" s="10"/>
      <c r="BE1" s="10"/>
      <c r="BF1" s="11"/>
      <c r="BG1" s="10"/>
      <c r="BH1" s="10"/>
      <c r="BI1" s="10"/>
      <c r="BJ1" s="10"/>
      <c r="BK1" s="10">
        <f>[1]resultat!AI4</f>
        <v>0</v>
      </c>
      <c r="BL1" s="1">
        <v>44</v>
      </c>
      <c r="BM1" s="12">
        <v>1</v>
      </c>
      <c r="BO1" s="13"/>
      <c r="BP1" s="13"/>
      <c r="CA1" s="18">
        <v>37</v>
      </c>
      <c r="CB1" s="19">
        <v>18</v>
      </c>
      <c r="CC1" s="1">
        <v>1</v>
      </c>
      <c r="CD1" s="1" t="s">
        <v>0</v>
      </c>
      <c r="CI1" s="1" t="s">
        <v>1</v>
      </c>
      <c r="CL1" s="20">
        <v>1</v>
      </c>
    </row>
    <row r="2" spans="2:116" ht="18" hidden="1" customHeight="1">
      <c r="B2" s="4"/>
      <c r="F2" s="21"/>
      <c r="G2" s="23"/>
      <c r="H2" s="23"/>
      <c r="I2" s="24"/>
      <c r="J2" s="25"/>
      <c r="K2" s="26"/>
      <c r="L2" s="26"/>
      <c r="M2" s="10"/>
      <c r="N2" s="8"/>
      <c r="O2" s="9"/>
      <c r="P2" s="9"/>
      <c r="Q2" s="8"/>
      <c r="R2" s="8"/>
      <c r="S2" s="7"/>
      <c r="T2" s="7"/>
      <c r="U2" s="7"/>
      <c r="V2" s="7"/>
      <c r="AY2" s="10"/>
      <c r="AZ2" s="10"/>
      <c r="BA2" s="10"/>
      <c r="BB2" s="11"/>
      <c r="BC2" s="10"/>
      <c r="BD2" s="10"/>
      <c r="BE2" s="10"/>
      <c r="BF2" s="11"/>
      <c r="BG2" s="10"/>
      <c r="BH2" s="10"/>
      <c r="BI2" s="10"/>
      <c r="BJ2" s="10"/>
      <c r="BK2" s="10">
        <v>2</v>
      </c>
      <c r="BL2" s="1">
        <v>2</v>
      </c>
      <c r="BM2" s="12">
        <v>2</v>
      </c>
      <c r="BN2" s="13">
        <v>13</v>
      </c>
      <c r="BO2" s="13"/>
      <c r="BP2" s="13"/>
      <c r="CA2" s="18">
        <v>15</v>
      </c>
      <c r="CB2" s="19">
        <v>1</v>
      </c>
      <c r="CC2" s="1">
        <v>2</v>
      </c>
      <c r="CD2" s="1" t="s">
        <v>1</v>
      </c>
      <c r="CI2" s="1" t="s">
        <v>2</v>
      </c>
      <c r="CL2" s="20">
        <v>2</v>
      </c>
    </row>
    <row r="3" spans="2:116" ht="18" hidden="1" customHeight="1">
      <c r="F3" s="27"/>
      <c r="M3" s="7"/>
      <c r="N3" s="8"/>
      <c r="O3" s="9"/>
      <c r="P3" s="9"/>
      <c r="Q3" s="8"/>
      <c r="R3" s="8"/>
      <c r="S3" s="7"/>
      <c r="T3" s="7"/>
      <c r="U3" s="7"/>
      <c r="V3" s="7"/>
      <c r="AY3" s="10"/>
      <c r="AZ3" s="10"/>
      <c r="BA3" s="10"/>
      <c r="BB3" s="11"/>
      <c r="BC3" s="10"/>
      <c r="BD3" s="10"/>
      <c r="BE3" s="10"/>
      <c r="BF3" s="11"/>
      <c r="BG3" s="10"/>
      <c r="BH3" s="10"/>
      <c r="BI3" s="10"/>
      <c r="BJ3" s="10"/>
      <c r="BK3" s="10">
        <f>BK1/BK2</f>
        <v>0</v>
      </c>
      <c r="BL3" s="1">
        <f>BL1/BL2</f>
        <v>22</v>
      </c>
      <c r="BM3" s="12">
        <v>3</v>
      </c>
      <c r="BN3" s="13">
        <v>13</v>
      </c>
      <c r="BO3" s="13"/>
      <c r="BP3" s="13"/>
      <c r="CA3" s="18">
        <v>10</v>
      </c>
      <c r="CB3" s="19">
        <v>32</v>
      </c>
      <c r="CC3" s="1">
        <v>3</v>
      </c>
      <c r="CD3" s="1" t="s">
        <v>3</v>
      </c>
      <c r="CI3" s="1" t="s">
        <v>4</v>
      </c>
      <c r="CL3" s="28">
        <v>3</v>
      </c>
    </row>
    <row r="4" spans="2:116" ht="18" hidden="1" customHeight="1">
      <c r="E4" s="3"/>
      <c r="F4" s="4"/>
      <c r="M4" s="7"/>
      <c r="N4" s="8"/>
      <c r="O4" s="9"/>
      <c r="P4" s="9"/>
      <c r="Q4" s="8"/>
      <c r="R4" s="8"/>
      <c r="S4" s="7"/>
      <c r="T4" s="7"/>
      <c r="U4" s="7"/>
      <c r="V4" s="7"/>
      <c r="AY4" s="10"/>
      <c r="AZ4" s="10"/>
      <c r="BA4" s="10"/>
      <c r="BB4" s="11"/>
      <c r="BC4" s="10"/>
      <c r="BD4" s="10"/>
      <c r="BE4" s="10"/>
      <c r="BF4" s="11"/>
      <c r="BG4" s="10"/>
      <c r="BH4" s="10"/>
      <c r="BI4" s="10"/>
      <c r="BJ4" s="10"/>
      <c r="BK4" s="10"/>
      <c r="BM4" s="12">
        <v>4</v>
      </c>
      <c r="BN4" s="13">
        <v>13</v>
      </c>
      <c r="BO4" s="13"/>
      <c r="BP4" s="13"/>
      <c r="CA4" s="18">
        <v>2</v>
      </c>
      <c r="CB4" s="19">
        <v>12</v>
      </c>
      <c r="CC4" s="1">
        <v>4</v>
      </c>
      <c r="CD4" s="1" t="s">
        <v>2</v>
      </c>
      <c r="CI4" s="1" t="s">
        <v>5</v>
      </c>
      <c r="CL4" s="28">
        <v>4</v>
      </c>
    </row>
    <row r="5" spans="2:116" ht="30.75" customHeight="1" thickBot="1">
      <c r="B5" s="30">
        <v>43496.626689814817</v>
      </c>
      <c r="C5" s="31" t="s">
        <v>6</v>
      </c>
      <c r="D5" s="31"/>
      <c r="E5" s="31"/>
      <c r="F5" s="31"/>
      <c r="G5" s="31"/>
      <c r="H5" s="31"/>
      <c r="I5" s="31"/>
      <c r="J5" s="31"/>
      <c r="K5" s="31"/>
      <c r="L5" s="31"/>
      <c r="M5" s="32" t="s">
        <v>7</v>
      </c>
      <c r="N5" s="32"/>
      <c r="O5" s="32"/>
      <c r="P5" s="32"/>
      <c r="Q5" s="32"/>
      <c r="R5" s="32"/>
      <c r="S5" s="32"/>
      <c r="T5" s="32"/>
      <c r="U5" s="32"/>
      <c r="V5" s="32"/>
      <c r="W5" s="33" t="s">
        <v>8</v>
      </c>
      <c r="X5" s="33"/>
      <c r="Y5" s="33"/>
      <c r="Z5" s="33"/>
      <c r="AA5" s="33"/>
      <c r="AB5" s="33"/>
      <c r="AC5" s="33"/>
      <c r="AD5" s="33"/>
      <c r="AE5" s="33"/>
      <c r="AF5" s="33"/>
      <c r="AG5" s="34" t="s">
        <v>9</v>
      </c>
      <c r="AH5" s="34"/>
      <c r="AI5" s="34"/>
      <c r="AJ5" s="34"/>
      <c r="AK5" s="34"/>
      <c r="AL5" s="34"/>
      <c r="AM5" s="34"/>
      <c r="AN5" s="34"/>
      <c r="AO5" s="34"/>
      <c r="AP5" s="34"/>
      <c r="AQ5" s="35" t="s">
        <v>10</v>
      </c>
      <c r="AR5" s="35"/>
      <c r="AS5" s="35"/>
      <c r="AT5" s="35"/>
      <c r="AU5" s="35"/>
      <c r="AV5" s="35"/>
      <c r="AW5" s="35"/>
      <c r="AX5" s="35"/>
      <c r="AY5" s="35"/>
      <c r="AZ5" s="35"/>
      <c r="BA5" s="36" t="s">
        <v>11</v>
      </c>
      <c r="BB5" s="36"/>
      <c r="BC5" s="36"/>
      <c r="BD5" s="36"/>
      <c r="BE5" s="36"/>
      <c r="BF5" s="36"/>
      <c r="BG5" s="36"/>
      <c r="BH5" s="36"/>
      <c r="BI5" s="36"/>
      <c r="BJ5" s="36"/>
      <c r="BK5" s="10"/>
      <c r="BL5" s="1">
        <v>99</v>
      </c>
      <c r="BM5" s="12">
        <v>5</v>
      </c>
      <c r="BO5" s="13"/>
      <c r="BP5" s="13"/>
      <c r="CA5" s="18">
        <v>33</v>
      </c>
      <c r="CB5" s="19">
        <v>14</v>
      </c>
      <c r="CC5" s="1">
        <v>5</v>
      </c>
      <c r="CD5" s="1" t="s">
        <v>12</v>
      </c>
      <c r="CI5" s="1" t="s">
        <v>13</v>
      </c>
      <c r="CL5" s="28">
        <v>5</v>
      </c>
      <c r="CN5" s="33" t="s">
        <v>8</v>
      </c>
      <c r="CO5" s="33"/>
      <c r="CP5" s="33"/>
      <c r="CQ5" s="33"/>
      <c r="CR5" s="33"/>
      <c r="CS5" s="33"/>
      <c r="CT5" s="33"/>
      <c r="CU5" s="33"/>
      <c r="CV5" s="33"/>
      <c r="CW5" s="33"/>
      <c r="CZ5" s="33" t="s">
        <v>8</v>
      </c>
      <c r="DA5" s="33"/>
      <c r="DB5" s="33"/>
      <c r="DC5" s="33"/>
      <c r="DD5" s="33"/>
      <c r="DE5" s="33"/>
      <c r="DF5" s="33"/>
      <c r="DG5" s="33"/>
      <c r="DH5" s="33"/>
      <c r="DI5" s="33"/>
      <c r="DL5" s="26" t="s">
        <v>14</v>
      </c>
    </row>
    <row r="6" spans="2:116" ht="21" thickTop="1">
      <c r="B6" s="37">
        <v>1</v>
      </c>
      <c r="C6" s="38" t="s">
        <v>15</v>
      </c>
      <c r="D6" s="39">
        <v>7</v>
      </c>
      <c r="E6" s="40"/>
      <c r="F6" s="41" t="s">
        <v>16</v>
      </c>
      <c r="G6" s="42" t="s">
        <v>15</v>
      </c>
      <c r="H6" s="43">
        <v>5</v>
      </c>
      <c r="I6" s="44"/>
      <c r="J6" s="45" t="s">
        <v>12</v>
      </c>
      <c r="K6" s="46">
        <v>13</v>
      </c>
      <c r="L6" s="46">
        <v>5</v>
      </c>
      <c r="M6" s="47" t="s">
        <v>15</v>
      </c>
      <c r="N6" s="48">
        <v>11</v>
      </c>
      <c r="O6" s="49"/>
      <c r="P6" s="50" t="s">
        <v>17</v>
      </c>
      <c r="Q6" s="51" t="s">
        <v>15</v>
      </c>
      <c r="R6" s="48">
        <v>20</v>
      </c>
      <c r="S6" s="52"/>
      <c r="T6" s="53" t="s">
        <v>18</v>
      </c>
      <c r="U6" s="54">
        <v>2</v>
      </c>
      <c r="V6" s="54">
        <v>13</v>
      </c>
      <c r="W6" s="55" t="s">
        <v>15</v>
      </c>
      <c r="X6" s="56">
        <v>2</v>
      </c>
      <c r="Y6" s="57"/>
      <c r="Z6" s="58" t="s">
        <v>1</v>
      </c>
      <c r="AA6" s="59" t="s">
        <v>15</v>
      </c>
      <c r="AB6" s="56">
        <v>7</v>
      </c>
      <c r="AC6" s="60"/>
      <c r="AD6" s="61" t="s">
        <v>16</v>
      </c>
      <c r="AE6" s="62"/>
      <c r="AF6" s="62"/>
      <c r="AG6" s="63"/>
      <c r="AH6" s="64" t="str">
        <f t="shared" ref="AH6:AH21" si="0">IF((AJ101)=1,$BM$1,"")&amp;IF((AJ101)=2,$BM$2,"")&amp;IF((AJ101)=3,$BM$3,"")&amp;IF((AJ101)=4,$BM$4,"")&amp;IF((AJ101)=5,$BM$5,"")&amp;IF((AJ101)=6,$BM$6,"")&amp;IF((AJ101)=7,$BM$7,"")&amp;IF((AJ101)=8,$BM$8,"")&amp;IF((AJ101)=9,$BM$9,"")&amp;IF((AJ101)=10,$BM$10,"")&amp;IF((AJ101)=11,$BM$11,"")&amp;IF((AJ101)=12,$BM$12,"")&amp;IF((AJ101)=13,$BM$13,"")&amp;IF((AJ101)=14,$BM$14,"")&amp;IF((AJ101)=15,$BM$15,"")&amp;IF((AJ101)=16,$BM$16,"")&amp;IF((AJ101)=17,$BM$17,"")&amp;IF((AJ101)=18,$BM$18,"")&amp;IF((AJ101)=19,$BM$19,"")&amp;IF((AJ101)=20,$BM$20,"")&amp;IF((AJ101)=21,$BM$21,"")&amp;IF((AJ101)=22,$BM$22,"")&amp;IF((AJ101)=23,$BM$23,"")&amp;IF((AJ101)=24,$BM$24,"")&amp;IF((AJ101)=25,$BM$25,"")&amp;IF((AJ101)=26,$BM$26,"")&amp;IF((AJ101)=27,$BM$27,"")&amp;IF((AJ101)=28,$BM$28,"")&amp;IF((AJ101)=29,$BM$29,"")&amp;IF((AJ101)=30,$BM$30,"")&amp;IF((AJ101)=31,$BM$31,"")&amp;IF((AJ101)=32,$BM$32,"")&amp;IF((AJ101)=33,$BM$33,"")&amp;IF((AJ101)=34,$BM$34,"")&amp;IF((AJ101)=35,$BM$35,"")&amp;IF((AJ101)=36,$BM$36,"")&amp;IF((AJ101)=37,$BM$37,"")&amp;IF((AJ101)=38,$BM$38,"")&amp;IF((AJ101)=39,$BM$39,"")&amp;IF((AJ101)=40,$BM$40,"")&amp;IF((AJ101)=41,$BM$41,"")&amp;IF((AJ101)=42,$BM$42,"")&amp;IF((AJ101)=43,$BM$43,"")&amp;IF((AJ101)=44,$BM$44,"")&amp;IF((AJ101)=45,$BM$45,"")&amp;IF((AJ101)=46,$BM$46,"")&amp;IF((AJ101)=47,$BM$47,"")&amp;IF((AJ101)=48,$BM$48,"")&amp;IF((AJ101)=49,$BM$49,"")&amp;IF((AJ101)=50,$BM$50,"")&amp;IF((AJ101)=51,$BM$51,"")&amp;IF((AJ101)=52,$BM$52,"")&amp;IF((AJ101)=53,$BM$53,"")&amp;IF((AJ101)=54,$BM$54,"")&amp;IF((AJ101)=55,$BM$55,"")&amp;IF((AJ101)=56,$BM$56,"")&amp;IF((AJ101)=57,$BM$57,"")&amp;IF((AJ101)=58,$BM$58,"")&amp;IF((AJ101)=59,$BM$59,"")&amp;IF((AJ101)=60,$BM$60,"")&amp;IF((AJ101)=61,$BM$61,"")&amp;IF((AJ101)=62,$BM$62,"")&amp;IF((AJ101)=63,$BM$63,"")&amp;IF((AJ101)=64,$BM$64,"")&amp;IF((AJ101)=65,$BM$65,"")&amp;IF((AJ101)=66,$BM$66,"")&amp;IF((AJ101)=67,$BM$67,"")&amp;IF((AJ101)=68,$BM$68,"")&amp;IF((AJ101)=69,$BM$69,"")&amp;IF((AJ101)=70,$BM$70,"")&amp;IF((AJ101)=71,$BM$71,"")&amp;IF((AJ101)=72,$BM$72,"")&amp;IF((AJ101)=73,$BM$73,"")&amp;IF((AJ101)=74,$BM$74,"")&amp;IF((AJ101)=75,$BM$75,"")&amp;IF((AJ101)=76,$BM$76,"")&amp;IF((AJ101)=77,$BM$77,"")&amp;IF((AJ101)=78,$BM$78,"")&amp;IF((AJ101)=79,$BM$79,"")&amp;IF((AJ101)=80,$BM$80,"")&amp;IF((AJ101)=81,$BM$81,"")&amp;IF((AJ101)=82,$BM$82,"")&amp;IF((AJ101)=83,$BM$83,"")&amp;IF((AJ101)=84,$BM$84,"")&amp;IF((AJ101)=85,$BM$85,"")&amp;IF((AJ101)=86,$BM$86,"")&amp;IF((AJ101)=87,$BM$87,"")&amp;IF((AJ101)=88,$BM$88,"")&amp;IF((AJ101)=89,$BM$89,"")&amp;IF((AJ101)=90,$BM$90,"")&amp;IF((AJ101)=91,$BM$91,"")&amp;IF((AJ101)=92,$BM$92,"")&amp;IF((AJ101)=93,$BM$93,"")&amp;IF((AJ101)=94,$BM$94,"")&amp;IF((AJ101)=95,$BM$95,"")&amp;IF((AJ101)=96,$BM$96,"")&amp;IF((AJ101)=97,$BM$97,"")&amp;IF((AJ101)=98,$BM$98,"")&amp;IF((AJ101)=99,$BM$99,"")&amp;IF((AJ101)=100,$BM$100,"")&amp;IF((AJ101)=101,$BM$101,"")&amp;IF((AJ101)=102,$BM$102,"")&amp;IF((AJ101)=103,$BM$103,"")&amp;IF((AJ101)=104,$BM$104,"")&amp;IF((AJ101)=105,$BM$105,"")&amp;IF((AJ101)=106,$BM$106,"")&amp;IF((AJ101)=107,$BM$107,"")&amp;IF((AJ101)=108,$BM$108,"")&amp;IF((AJ101)=109,$BM$109,"")&amp;IF((AJ101)=110,$BM$110,"")&amp;IF((AJ101)=111,$BM$111,"")&amp;IF((AJ101)=112,$BM$112,"")&amp;IF((AJ101)=113,$BM$113,"")&amp;IF((AJ101)=114,$BM$114,"")&amp;IF((AJ101)=115,$BM$115,"")&amp;IF((AJ101)=116,$BM$116,"")&amp;IF((AJ101)=117,$BM$117,"")&amp;IF((AJ101)=118,$BM$118,"")&amp;IF((AJ101)=119,$BM$119,"")&amp;IF((AJ101)=120,$BM$120,"")&amp;IF((AJ101)=121,$BM$121,"")&amp;IF((AJ101)=122,$BM$122,"")&amp;IF((AJ101)=123,$BM$123,"")&amp;IF((AJ101)=124,$BM$124,"")&amp;IF((AJ101)=125,$BM$125,"")&amp;IF((AJ101)=126,$BM$126,"")&amp;IF((AJ101)=127,$BM$127,"")&amp;IF((AJ101)=128,$BM$128,"")</f>
        <v/>
      </c>
      <c r="AI6" s="65"/>
      <c r="AJ6" s="66" t="str">
        <f t="shared" ref="AJ6:AJ21" si="1">IF((AJ101)=1,$BN$1,"")&amp;IF((AJ101)=2,$BN$2,"")&amp;IF((AJ101)=3,$BN$3,"")&amp;IF((AJ101)=4,$BN$4,"")&amp;IF((AJ101)=5,$BN$5,"")&amp;IF((AJ101)=6,$BN$6,"")&amp;IF((AJ101)=7,$BN$7,"")&amp;IF((AJ101)=8,$BN$8,"")&amp;IF((AJ101)=9,$BN$9,"")&amp;IF((AJ101)=10,$BN$10,"")&amp;IF((AJ101)=11,$BN$11,"")&amp;IF((AJ101)=12,$BN$12,"")&amp;IF((AJ101)=13,$BN$13,"")&amp;IF((AJ101)=14,$BN$14,"")&amp;IF((AJ101)=15,$BN$15,"")&amp;IF((AJ101)=16,$BN$16,"")&amp;IF((AJ101)=17,$BN$17,"")&amp;IF((AJ101)=18,$BN$18,"")&amp;IF((AJ101)=19,$BN$19,"")&amp;IF((AJ101)=20,$BN$20,"")&amp;IF((AJ101)=21,$BN$21,"")&amp;IF((AJ101)=22,$BN$22,"")&amp;IF((AJ101)=23,$BN$23,"")&amp;IF((AJ101)=24,$BN$24,"")&amp;IF((AJ101)=25,$BN$25,"")&amp;IF((AJ101)=26,$BN$26,"")&amp;IF((AJ101)=27,$BN$27,"")&amp;IF((AJ101)=28,$BN$28,"")&amp;IF((AJ101)=29,$BN$29,"")&amp;IF((AJ101)=30,$BN$30,"")&amp;IF((AJ101)=31,$BN$31,"")&amp;IF((AJ101)=32,$BN$32,"")&amp;IF((AJ101)=33,$BN$33,"")&amp;IF((AJ101)=34,$BN$34,"")&amp;IF((AJ101)=35,$BN$35,"")&amp;IF((AJ101)=36,$BN$36,"")&amp;IF((AJ101)=37,$BN$37,"")&amp;IF((AJ101)=38,$BN$38,"")&amp;IF((AJ101)=39,$BN$39,"")&amp;IF((AJ101)=40,$BN$40,"")&amp;IF((AJ101)=41,$BN$41,"")&amp;IF((AJ101)=42,$BN$42,"")&amp;IF((AJ101)=43,$BN$43,"")&amp;IF((AJ101)=44,$BN$44,"")&amp;IF((AJ101)=45,$BN$45,"")&amp;IF((AJ101)=46,$BN$46,"")&amp;IF((AJ101)=47,$BN$47,"")&amp;IF((AJ101)=48,$BN$48,"")&amp;IF((AJ101)=49,$BN$49,"")&amp;IF((AJ101)=50,$BN$50,"")&amp;IF((AJ101)=51,$BN$51,"")&amp;IF((AJ101)=52,$BN$52,"")&amp;IF((AJ101)=53,$BN$53,"")&amp;IF((AJ101)=54,$BN$54,"")&amp;IF((AJ101)=55,$BN$55,"")&amp;IF((AJ101)=56,$BN$56,"")&amp;IF((AJ101)=57,$BN$57,"")&amp;IF((AJ101)=58,$BN$58,"")&amp;IF((AJ101)=59,$BN$59,"")&amp;IF((AJ101)=60,$BN$60,"")&amp;IF((AJ101)=61,$BN$61,"")&amp;IF((AJ101)=62,$BN$62,"")&amp;IF((AJ101)=63,$BN$63,"")&amp;IF((AJ101)=64,$BN$64,"")&amp;IF((AJ101)=65,$BN$65,"")&amp;IF((AJ101)=66,$BN$66,"")&amp;IF((AJ101)=67,$BN$67,"")&amp;IF((AJ101)=68,$BN$68,"")&amp;IF((AJ101)=69,$BN$69,"")&amp;IF((AJ101)=70,$BN$70,"")&amp;IF((AJ101)=71,$BN$71,"")&amp;IF((AJ101)=72,$BN$72,"")&amp;IF((AJ101)=73,$BN$73,"")&amp;IF((AJ101)=74,$BN$74,"")&amp;IF((AJ101)=75,$BN$75,"")&amp;IF((AJ101)=76,$BN$76,"")&amp;IF((AJ101)=77,$BN$77,"")&amp;IF((AJ101)=78,$BN$78,"")&amp;IF((AJ101)=79,$BN$79,"")&amp;IF((AJ101)=80,$BN$80,"")&amp;IF((AJ101)=81,$BN$81,"")&amp;IF((AJ101)=82,$BN$82,"")&amp;IF((AJ101)=83,$BN$83,"")&amp;IF((AJ101)=84,$BN$84,"")&amp;IF((AJ101)=85,$BN$85,"")&amp;IF((AJ101)=86,$BN$86,"")&amp;IF((AJ101)=87,$BN$87,"")&amp;IF((AJ101)=88,$BN$88,"")&amp;IF((AJ101)=89,$BN$89,"")&amp;IF((AJ101)=90,$BN$90,"")&amp;IF((AJ101)=91,$BN$91,"")&amp;IF((AJ101)=92,$BN$92,"")&amp;IF((AJ101)=93,$BN$93,"")&amp;IF((AJ101)=94,$BN$94,"")&amp;IF((AJ101)=95,$BN$95,"")&amp;IF((AJ101)=96,$BN$96,"")&amp;IF((AJ101)=97,$BN$97,"")&amp;IF((AJ101)=98,$BN$98,"")&amp;IF((AJ101)=99,$BN$99,"")&amp;IF((AJ101)=100,$BN$100,"")&amp;IF((AJ101)=101,$BN$101,"")&amp;IF((AJ101)=102,$BN$102,"")&amp;IF((AJ101)=103,$BN$103,"")&amp;IF((AJ101)=104,$BN$104,"")&amp;IF((AJ101)=105,$BN$105,"")&amp;IF((AJ101)=106,$BN$106,"")&amp;IF((AJ101)=107,$BN$107,"")&amp;IF((AJ101)=108,$BN$108,"")&amp;IF((AJ101)=109,$BN$109,"")&amp;IF((AJ101)=110,$BN$110,"")&amp;IF((AJ101)=111,$BN$111,"")&amp;IF((AJ101)=112,$BN$112,"")&amp;IF((AJ101)=113,$BN$113,"")&amp;IF((AJ101)=114,$BN$114,"")&amp;IF((AJ101)=115,$BN$115,"")&amp;IF((AJ101)=116,$BN$116,"")&amp;IF((AJ101)=117,$BN$117,"")&amp;IF((AJ101)=118,$BN$118,"")&amp;IF((AJ101)=119,$BN$119,"")&amp;IF((AJ101)=120,$BN$120,"")&amp;IF((AJ101)=121,$BN$121,"")&amp;IF((AJ101)=122,$BN$122,"")&amp;IF((AJ101)=123,$BN$123,"")&amp;IF((AJ101)=124,$BN$124,"")&amp;IF((AJ101)=125,$BN$125,"")&amp;IF((AJ101)=126,$BN$126,"")&amp;IF((AJ101)=127,$BN$127,"")&amp;IF((AJ101)=128,$BN$128,"")</f>
        <v/>
      </c>
      <c r="AK6" s="66"/>
      <c r="AL6" s="64" t="str">
        <f t="shared" ref="AL6:AL21" si="2">IF((AN101)=1,$BM$1,"")&amp;IF((AN101)=2,$BM$2,"")&amp;IF((AN101)=3,$BM$3,"")&amp;IF((AN101)=4,$BM$4,"")&amp;IF((AN101)=5,$BM$5,"")&amp;IF((AN101)=6,$BM$6,"")&amp;IF((AN101)=7,$BM$7,"")&amp;IF((AN101)=8,$BM$8,"")&amp;IF((AN101)=9,$BM$9,"")&amp;IF((AN101)=10,$BM$10,"")&amp;IF((AN101)=11,$BM$11,"")&amp;IF((AN101)=12,$BM$12,"")&amp;IF((AN101)=13,$BM$13,"")&amp;IF((AN101)=14,$BM$14,"")&amp;IF((AN101)=15,$BM$15,"")&amp;IF((AN101)=16,$BM$16,"")&amp;IF((AN101)=17,$BM$17,"")&amp;IF((AN101)=18,$BM$18,"")&amp;IF((AN101)=19,$BM$19,"")&amp;IF((AN101)=20,$BM$20,"")&amp;IF((AN101)=21,$BM$21,"")&amp;IF((AN101)=22,$BM$22,"")&amp;IF((AN101)=23,$BM$23,"")&amp;IF((AN101)=24,$BM$24,"")&amp;IF((AN101)=25,$BM$25,"")&amp;IF((AN101)=26,$BM$26,"")&amp;IF((AN101)=27,$BM$27,"")&amp;IF((AN101)=28,$BM$28,"")&amp;IF((AN101)=29,$BM$29,"")&amp;IF((AN101)=30,$BM$30,"")&amp;IF((AN101)=31,$BM$31,"")&amp;IF((AN101)=32,$BM$32,"")&amp;IF((AN101)=33,$BM$33,"")&amp;IF((AN101)=34,$BM$34,"")&amp;IF((AN101)=35,$BM$35,"")&amp;IF((AN101)=36,$BM$36,"")&amp;IF((AN101)=37,$BM$37,"")&amp;IF((AN101)=38,$BM$38,"")&amp;IF((AN101)=39,$BM$39,"")&amp;IF((AN101)=40,$BM$40,"")&amp;IF((AN101)=41,$BM$41,"")&amp;IF((AN101)=42,$BM$42,"")&amp;IF((AN101)=43,$BM$43,"")&amp;IF((AN101)=44,$BM$44,"")&amp;IF((AN101)=45,$BM$45,"")&amp;IF((AN101)=46,$BM$46,"")&amp;IF((AN101)=47,$BM$47,"")&amp;IF((AN101)=48,$BM$48,"")&amp;IF((AN101)=49,$BM$49,"")&amp;IF((AN101)=50,$BM$50,"")&amp;IF((AN101)=51,$BM$51,"")&amp;IF((AN101)=52,$BM$52,"")&amp;IF((AN101)=53,$BM$53,"")&amp;IF((AN101)=54,$BM$54,"")&amp;IF((AN101)=55,$BM$55,"")&amp;IF((AN101)=56,$BM$56,"")&amp;IF((AN101)=57,$BM$57,"")&amp;IF((AN101)=58,$BM$58,"")&amp;IF((AN101)=59,$BM$59,"")&amp;IF((AN101)=60,$BM$60,"")&amp;IF((AN101)=61,$BM$61,"")&amp;IF((AN101)=62,$BM$62,"")&amp;IF((AN101)=63,$BM$63,"")&amp;IF((AN101)=64,$BM$64,"")&amp;IF((AN101)=65,$BM$65,"")&amp;IF((AN101)=66,$BM$66,"")&amp;IF((AN101)=67,$BM$67,"")&amp;IF((AN101)=68,$BM$68,"")&amp;IF((AN101)=69,$BM$69,"")&amp;IF((AN101)=70,$BM$70,"")&amp;IF((AN101)=71,$BM$71,"")&amp;IF((AN101)=72,$BM$72,"")&amp;IF((AN101)=73,$BM$73,"")&amp;IF((AN101)=74,$BM$74,"")&amp;IF((AN101)=75,$BM$75,"")&amp;IF((AN101)=76,$BM$76,"")&amp;IF((AN101)=77,$BM$77,"")&amp;IF((AN101)=78,$BM$78,"")&amp;IF((AN101)=79,$BM$79,"")&amp;IF((AN101)=80,$BM$80,"")&amp;IF((AN101)=81,$BM$81,"")&amp;IF((AN101)=82,$BM$82,"")&amp;IF((AN101)=83,$BM$83,"")&amp;IF((AN101)=84,$BM$84,"")&amp;IF((AN101)=85,$BM$85,"")&amp;IF((AN101)=86,$BM$86,"")&amp;IF((AN101)=87,$BM$87,"")&amp;IF((AN101)=88,$BM$88,"")&amp;IF((AN101)=89,$BM$89,"")&amp;IF((AN101)=90,$BM$90,"")&amp;IF((AN101)=91,$BM$91,"")&amp;IF((AN101)=92,$BM$92,"")&amp;IF((AN101)=93,$BM$93,"")&amp;IF((AN101)=94,$BM$94,"")&amp;IF((AN101)=95,$BM$95,"")&amp;IF((AN101)=96,$BM$96,"")&amp;IF((AN101)=97,$BM$97,"")&amp;IF((AN101)=98,$BM$98,"")&amp;IF((AN101)=99,$BM$99,"")&amp;IF((AN101)=100,$BM$100,"")&amp;IF((AN101)=101,$BM$101,"")&amp;IF((AN101)=102,$BM$102,"")&amp;IF((AN101)=103,$BM$103,"")&amp;IF((AN101)=104,$BM$104,"")&amp;IF((AN101)=105,$BM$105,"")&amp;IF((AN101)=106,$BM$106,"")&amp;IF((AN101)=107,$BM$107,"")&amp;IF((AN101)=108,$BM$108,"")&amp;IF((AN101)=109,$BM$109,"")&amp;IF((AN101)=110,$BM$110,"")&amp;IF((AN101)=111,$BM$111,"")&amp;IF((AN101)=112,$BM$112,"")&amp;IF((AN101)=113,$BM$113,"")&amp;IF((AN101)=114,$BM$114,"")&amp;IF((AN101)=115,$BM$115,"")&amp;IF((AN101)=116,$BM$116,"")&amp;IF((AN101)=117,$BM$117,"")&amp;IF((AN101)=118,$BM$118,"")&amp;IF((AN101)=119,$BM$119,"")&amp;IF((AN101)=120,$BM$120,"")&amp;IF((AN101)=121,$BM$121,"")&amp;IF((AN101)=122,$BM$122,"")&amp;IF((AN101)=123,$BM$123,"")&amp;IF((AN101)=124,$BM$124,"")&amp;IF((AN101)=125,$BM$125,"")&amp;IF((AN101)=126,$BM$126,"")&amp;IF((AN101)=127,$BM$127,"")&amp;IF((AN101)=128,$BM$128,"")</f>
        <v/>
      </c>
      <c r="AM6" s="67"/>
      <c r="AN6" s="66" t="str">
        <f t="shared" ref="AN6:AN21" si="3">IF((AN101)=1,$BN$1,"")&amp;IF((AN101)=2,$BN$2,"")&amp;IF((AN101)=3,$BN$3,"")&amp;IF((AN101)=4,$BN$4,"")&amp;IF((AN101)=5,$BN$5,"")&amp;IF((AN101)=6,$BN$6,"")&amp;IF((AN101)=7,$BN$7,"")&amp;IF((AN101)=8,$BN$8,"")&amp;IF((AN101)=9,$BN$9,"")&amp;IF((AN101)=10,$BN$10,"")&amp;IF((AN101)=11,$BN$11,"")&amp;IF((AN101)=12,$BN$12,"")&amp;IF((AN101)=13,$BN$13,"")&amp;IF((AN101)=14,$BN$14,"")&amp;IF((AN101)=15,$BN$15,"")&amp;IF((AN101)=16,$BN$16,"")&amp;IF((AN101)=17,$BN$17,"")&amp;IF((AN101)=18,$BN$18,"")&amp;IF((AN101)=19,$BN$19,"")&amp;IF((AN101)=20,$BN$20,"")&amp;IF((AN101)=21,$BN$21,"")&amp;IF((AN101)=22,$BN$22,"")&amp;IF((AN101)=23,$BN$23,"")&amp;IF((AN101)=24,$BN$24,"")&amp;IF((AN101)=25,$BN$25,"")&amp;IF((AN101)=26,$BN$26,"")&amp;IF((AN101)=27,$BN$27,"")&amp;IF((AN101)=28,$BN$28,"")&amp;IF((AN101)=29,$BN$29,"")&amp;IF((AN101)=30,$BN$30,"")&amp;IF((AN101)=31,$BN$31,"")&amp;IF((AN101)=32,$BN$32,"")&amp;IF((AN101)=33,$BN$33,"")&amp;IF((AN101)=34,$BN$34,"")&amp;IF((AN101)=35,$BN$35,"")&amp;IF((AN101)=36,$BN$36,"")&amp;IF((AN101)=37,$BN$37,"")&amp;IF((AN101)=38,$BN$38,"")&amp;IF((AN101)=39,$BN$39,"")&amp;IF((AN101)=40,$BN$40,"")&amp;IF((AN101)=41,$BN$41,"")&amp;IF((AN101)=42,$BN$42,"")&amp;IF((AN101)=43,$BN$43,"")&amp;IF((AN101)=44,$BN$44,"")&amp;IF((AN101)=45,$BN$45,"")&amp;IF((AN101)=46,$BN$46,"")&amp;IF((AN101)=47,$BN$47,"")&amp;IF((AN101)=48,$BN$48,"")&amp;IF((AN101)=49,$BN$49,"")&amp;IF((AN101)=50,$BN$50,"")&amp;IF((AN101)=51,$BN$51,"")&amp;IF((AN101)=52,$BN$52,"")&amp;IF((AN101)=53,$BN$53,"")&amp;IF((AN101)=54,$BN$54,"")&amp;IF((AN101)=55,$BN$55,"")&amp;IF((AN101)=56,$BN$56,"")&amp;IF((AN101)=57,$BN$57,"")&amp;IF((AN101)=58,$BN$58,"")&amp;IF((AN101)=59,$BN$59,"")&amp;IF((AN101)=60,$BN$60,"")&amp;IF((AN101)=61,$BN$61,"")&amp;IF((AN101)=62,$BN$62,"")&amp;IF((AN101)=63,$BN$63,"")&amp;IF((AN101)=64,$BN$64,"")&amp;IF((AN101)=65,$BN$65,"")&amp;IF((AN101)=66,$BN$66,"")&amp;IF((AN101)=67,$BN$67,"")&amp;IF((AN101)=68,$BN$68,"")&amp;IF((AN101)=69,$BN$69,"")&amp;IF((AN101)=70,$BN$70,"")&amp;IF((AN101)=71,$BN$71,"")&amp;IF((AN101)=72,$BN$72,"")&amp;IF((AN101)=73,$BN$73,"")&amp;IF((AN101)=74,$BN$74,"")&amp;IF((AN101)=75,$BN$75,"")&amp;IF((AN101)=76,$BN$76,"")&amp;IF((AN101)=77,$BN$77,"")&amp;IF((AN101)=78,$BN$78,"")&amp;IF((AN101)=79,$BN$79,"")&amp;IF((AN101)=80,$BN$80,"")&amp;IF((AN101)=81,$BN$81,"")&amp;IF((AN101)=82,$BN$82,"")&amp;IF((AN101)=83,$BN$83,"")&amp;IF((AN101)=84,$BN$84,"")&amp;IF((AN101)=85,$BN$85,"")&amp;IF((AN101)=86,$BN$86,"")&amp;IF((AN101)=87,$BN$87,"")&amp;IF((AN101)=88,$BN$88,"")&amp;IF((AN101)=89,$BN$89,"")&amp;IF((AN101)=90,$BN$90,"")&amp;IF((AN101)=91,$BN$91,"")&amp;IF((AN101)=92,$BN$92,"")&amp;IF((AN101)=93,$BN$93,"")&amp;IF((AN101)=94,$BN$94,"")&amp;IF((AN101)=95,$BN$95,"")&amp;IF((AN101)=96,$BN$96,"")&amp;IF((AN101)=97,$BN$97,"")&amp;IF((AN101)=98,$BN$98,"")&amp;IF((AN101)=99,$BN$99,"")&amp;IF((AN101)=100,$BN$100,"")&amp;IF((AN101)=101,$BN$101,"")&amp;IF((AN101)=102,$BN$102,"")&amp;IF((AN101)=103,$BN$103,"")&amp;IF((AN101)=104,$BN$104,"")&amp;IF((AN101)=105,$BN$105,"")&amp;IF((AN101)=106,$BN$106,"")&amp;IF((AN101)=107,$BN$107,"")&amp;IF((AN101)=108,$BN$108,"")&amp;IF((AN101)=109,$BN$109,"")&amp;IF((AN101)=110,$BN$110,"")&amp;IF((AN101)=111,$BN$111,"")&amp;IF((AN101)=112,$BN$112,"")&amp;IF((AN101)=113,$BN$113,"")&amp;IF((AN101)=114,$BN$114,"")&amp;IF((AN101)=115,$BN$115,"")&amp;IF((AN101)=116,$BN$116,"")&amp;IF((AN101)=117,$BN$117,"")&amp;IF((AN101)=118,$BN$118,"")&amp;IF((AN101)=119,$BN$119,"")&amp;IF((AN101)=120,$BN$120,"")&amp;IF((AN101)=121,$BN$121,"")&amp;IF((AN101)=122,$BN$122,"")&amp;IF((AN101)=123,$BN$123,"")&amp;IF((AN101)=124,$BN$124,"")&amp;IF((AN101)=125,$BN$125,"")&amp;IF((AN101)=126,$BN$126,"")&amp;IF((AN101)=127,$BN$127,"")&amp;IF((AN101)=128,$BN$128,"")</f>
        <v/>
      </c>
      <c r="AO6" s="68"/>
      <c r="AP6" s="68"/>
      <c r="AQ6" s="69"/>
      <c r="AR6" s="70">
        <f t="shared" ref="AR6:AR37" si="4">AT101</f>
        <v>0</v>
      </c>
      <c r="AS6" s="71"/>
      <c r="AT6" s="72" t="str">
        <f t="shared" ref="AT6:AT37" si="5">IF((AT101)=1,$BN$1,"")&amp;IF((AT101)=2,$BN$2,"")&amp;IF((AT101)=3,$BN$3,"")&amp;IF((AT101)=4,$BN$4,"")&amp;IF((AT101)=5,$BN$5,"")&amp;IF((AT101)=6,$BN$6,"")&amp;IF((AT101)=7,$BN$7,"")&amp;IF((AT101)=8,$BN$8,"")&amp;IF((AT101)=9,$BN$9,"")&amp;IF((AT101)=10,$BN$10,"")&amp;IF((AT101)=11,$BN$11,"")&amp;IF((AT101)=12,$BN$12,"")&amp;IF((AT101)=13,$BN$13,"")&amp;IF((AT101)=14,$BN$14,"")&amp;IF((AT101)=15,$BN$15,"")&amp;IF((AT101)=16,$BN$16,"")&amp;IF((AT101)=17,$BN$17,"")&amp;IF((AT101)=18,$BN$18,"")&amp;IF((AT101)=19,$BN$19,"")&amp;IF((AT101)=20,$BN$20,"")&amp;IF((AT101)=21,$BN$21,"")&amp;IF((AT101)=22,$BN$22,"")&amp;IF((AT101)=23,$BN$23,"")&amp;IF((AT101)=24,$BN$24,"")&amp;IF((AT101)=25,$BN$25,"")&amp;IF((AT101)=26,$BN$26,"")&amp;IF((AT101)=27,$BN$27,"")&amp;IF((AT101)=28,$BN$28,"")&amp;IF((AT101)=29,$BN$29,"")&amp;IF((AT101)=30,$BN$30,"")&amp;IF((AT101)=31,$BN$31,"")&amp;IF((AT101)=32,$BN$32,"")&amp;IF((AT101)=33,$BN$33,"")&amp;IF((AT101)=34,$BN$34,"")&amp;IF((AT101)=35,$BN$35,"")&amp;IF((AT101)=36,$BN$36,"")&amp;IF((AT101)=37,$BN$37,"")&amp;IF((AT101)=38,$BN$38,"")&amp;IF((AT101)=39,$BN$39,"")&amp;IF((AT101)=40,$BN$40,"")&amp;IF((AT101)=41,$BN$41,"")&amp;IF((AT101)=42,$BN$42,"")&amp;IF((AT101)=43,$BN$43,"")&amp;IF((AT101)=44,$BN$44,"")&amp;IF((AT101)=45,$BN$45,"")&amp;IF((AT101)=46,$BN$46,"")&amp;IF((AT101)=47,$BN$47,"")&amp;IF((AT101)=48,$BN$48,"")&amp;IF((AT101)=49,$BN$49,"")&amp;IF((AT101)=50,$BN$50,"")&amp;IF((AT101)=51,$BN$51,"")&amp;IF((AT101)=52,$BN$52,"")&amp;IF((AT101)=53,$BN$53,"")&amp;IF((AT101)=54,$BN$54,"")&amp;IF((AT101)=55,$BN$55,"")&amp;IF((AT101)=56,$BN$56,"")&amp;IF((AT101)=57,$BN$57,"")&amp;IF((AT101)=58,$BN$58,"")&amp;IF((AT101)=59,$BN$59,"")&amp;IF((AT101)=60,$BN$60,"")&amp;IF((AT101)=61,$BN$61,"")&amp;IF((AT101)=62,$BN$62,"")&amp;IF((AT101)=63,$BN$63,"")&amp;IF((AT101)=64,$BN$64,"")&amp;IF((AT101)=65,$BN$65,"")&amp;IF((AT101)=66,$BN$66,"")&amp;IF((AT101)=67,$BN$67,"")&amp;IF((AT101)=68,$BN$68,"")&amp;IF((AT101)=69,$BN$69,"")&amp;IF((AT101)=70,$BN$70,"")&amp;IF((AT101)=71,$BN$71,"")&amp;IF((AT101)=72,$BN$72,"")&amp;IF((AT101)=73,$BN$73,"")&amp;IF((AT101)=74,$BN$74,"")&amp;IF((AT101)=75,$BN$75,"")&amp;IF((AT101)=76,$BN$76,"")&amp;IF((AT101)=77,$BN$77,"")&amp;IF((AT101)=78,$BN$78,"")&amp;IF((AT101)=79,$BN$79,"")&amp;IF((AT101)=80,$BN$80,"")&amp;IF((AT101)=81,$BN$81,"")&amp;IF((AT101)=82,$BN$82,"")&amp;IF((AT101)=83,$BN$83,"")&amp;IF((AT101)=84,$BN$84,"")&amp;IF((AT101)=85,$BN$85,"")&amp;IF((AT101)=86,$BN$86,"")&amp;IF((AT101)=87,$BN$87,"")&amp;IF((AT101)=88,$BN$88,"")&amp;IF((AT101)=89,$BN$89,"")&amp;IF((AT101)=90,$BN$90,"")&amp;IF((AT101)=91,$BN$91,"")&amp;IF((AT101)=92,$BN$92,"")&amp;IF((AT101)=93,$BN$93,"")&amp;IF((AT101)=94,$BN$94,"")&amp;IF((AT101)=95,$BN$95,"")&amp;IF((AT101)=96,$BN$96,"")&amp;IF((AT101)=97,$BN$97,"")&amp;IF((AT101)=98,$BN$98,"")&amp;IF((AT101)=99,$BN$99,"")&amp;IF((AT101)=100,$BN$100,"")&amp;IF((AT101)=101,$BN$101,"")&amp;IF((AT101)=102,$BN$102,"")&amp;IF((AT101)=103,$BN$103,"")&amp;IF((AT101)=104,$BN$104,"")&amp;IF((AT101)=105,$BN$105,"")&amp;IF((AT101)=106,$BN$106,"")&amp;IF((AT101)=107,$BN$107,"")&amp;IF((AT101)=108,$BN$108,"")&amp;IF((AT101)=109,$BN$109,"")&amp;IF((AT101)=110,$BN$110,"")&amp;IF((AT101)=111,$BN$111,"")&amp;IF((AT101)=112,$BN$112,"")&amp;IF((AT101)=113,$BN$113,"")&amp;IF((AT101)=114,$BN$114,"")&amp;IF((AT101)=115,$BN$115,"")&amp;IF((AT101)=116,$BN$116,"")&amp;IF((AT101)=117,$BN$117,"")&amp;IF((AT101)=118,$BN$118,"")&amp;IF((AT101)=119,$BN$119,"")&amp;IF((AT101)=120,$BN$120,"")&amp;IF((AT101)=121,$BN$121,"")&amp;IF((AT101)=122,$BN$122,"")&amp;IF((AT101)=123,$BN$123,"")&amp;IF((AT101)=124,$BN$124,"")&amp;IF((AT101)=125,$BN$125,"")&amp;IF((AT101)=126,$BN$126,"")&amp;IF((AT101)=127,$BN$127,"")&amp;IF((AT101)=128,$BN$128,"")</f>
        <v/>
      </c>
      <c r="AU6" s="72"/>
      <c r="AV6" s="73">
        <f t="shared" ref="AV6:AV37" si="6">AX101</f>
        <v>0</v>
      </c>
      <c r="AW6" s="74"/>
      <c r="AX6" s="72" t="str">
        <f t="shared" ref="AX6:AX37" si="7">IF((AX101)=1,$BN$1,"")&amp;IF((AX101)=2,$BN$2,"")&amp;IF((AX101)=3,$BN$3,"")&amp;IF((AX101)=4,$BN$4,"")&amp;IF((AX101)=5,$BN$5,"")&amp;IF((AX101)=6,$BN$6,"")&amp;IF((AX101)=7,$BN$7,"")&amp;IF((AX101)=8,$BN$8,"")&amp;IF((AX101)=9,$BN$9,"")&amp;IF((AX101)=10,$BN$10,"")&amp;IF((AX101)=11,$BN$11,"")&amp;IF((AX101)=12,$BN$12,"")&amp;IF((AX101)=13,$BN$13,"")&amp;IF((AX101)=14,$BN$14,"")&amp;IF((AX101)=15,$BN$15,"")&amp;IF((AX101)=16,$BN$16,"")&amp;IF((AX101)=17,$BN$17,"")&amp;IF((AX101)=18,$BN$18,"")&amp;IF((AX101)=19,$BN$19,"")&amp;IF((AX101)=20,$BN$20,"")&amp;IF((AX101)=21,$BN$21,"")&amp;IF((AX101)=22,$BN$22,"")&amp;IF((AX101)=23,$BN$23,"")&amp;IF((AX101)=24,$BN$24,"")&amp;IF((AX101)=25,$BN$25,"")&amp;IF((AX101)=26,$BN$26,"")&amp;IF((AX101)=27,$BN$27,"")&amp;IF((AX101)=28,$BN$28,"")&amp;IF((AX101)=29,$BN$29,"")&amp;IF((AX101)=30,$BN$30,"")&amp;IF((AX101)=31,$BN$31,"")&amp;IF((AX101)=32,$BN$32,"")&amp;IF((AX101)=33,$BN$33,"")&amp;IF((AX101)=34,$BN$34,"")&amp;IF((AX101)=35,$BN$35,"")&amp;IF((AX101)=36,$BN$36,"")&amp;IF((AX101)=37,$BN$37,"")&amp;IF((AX101)=38,$BN$38,"")&amp;IF((AX101)=39,$BN$39,"")&amp;IF((AX101)=40,$BN$40,"")&amp;IF((AX101)=41,$BN$41,"")&amp;IF((AX101)=42,$BN$42,"")&amp;IF((AX101)=43,$BN$43,"")&amp;IF((AX101)=44,$BN$44,"")&amp;IF((AX101)=45,$BN$45,"")&amp;IF((AX101)=46,$BN$46,"")&amp;IF((AX101)=47,$BN$47,"")&amp;IF((AX101)=48,$BN$48,"")&amp;IF((AX101)=49,$BN$49,"")&amp;IF((AX101)=50,$BN$50,"")&amp;IF((AX101)=51,$BN$51,"")&amp;IF((AX101)=52,$BN$52,"")&amp;IF((AX101)=53,$BN$53,"")&amp;IF((AX101)=54,$BN$54,"")&amp;IF((AX101)=55,$BN$55,"")&amp;IF((AX101)=56,$BN$56,"")&amp;IF((AX101)=57,$BN$57,"")&amp;IF((AX101)=58,$BN$58,"")&amp;IF((AX101)=59,$BN$59,"")&amp;IF((AX101)=60,$BN$60,"")&amp;IF((AX101)=61,$BN$61,"")&amp;IF((AX101)=62,$BN$62,"")&amp;IF((AX101)=63,$BN$63,"")&amp;IF((AX101)=64,$BN$64,"")&amp;IF((AX101)=65,$BN$65,"")&amp;IF((AX101)=66,$BN$66,"")&amp;IF((AX101)=67,$BN$67,"")&amp;IF((AX101)=68,$BN$68,"")&amp;IF((AX101)=69,$BN$69,"")&amp;IF((AX101)=70,$BN$70,"")&amp;IF((AX101)=71,$BN$71,"")&amp;IF((AX101)=72,$BN$72,"")&amp;IF((AX101)=73,$BN$73,"")&amp;IF((AX101)=74,$BN$74,"")&amp;IF((AX101)=75,$BN$75,"")&amp;IF((AX101)=76,$BN$76,"")&amp;IF((AX101)=77,$BN$77,"")&amp;IF((AX101)=78,$BN$78,"")&amp;IF((AX101)=79,$BN$79,"")&amp;IF((AX101)=80,$BN$80,"")&amp;IF((AX101)=81,$BN$81,"")&amp;IF((AX101)=82,$BN$82,"")&amp;IF((AX101)=83,$BN$83,"")&amp;IF((AX101)=84,$BN$84,"")&amp;IF((AX101)=85,$BN$85,"")&amp;IF((AX101)=86,$BN$86,"")&amp;IF((AX101)=87,$BN$87,"")&amp;IF((AX101)=88,$BN$88,"")&amp;IF((AX101)=89,$BN$89,"")&amp;IF((AX101)=90,$BN$90,"")&amp;IF((AX101)=91,$BN$91,"")&amp;IF((AX101)=92,$BN$92,"")&amp;IF((AX101)=93,$BN$93,"")&amp;IF((AX101)=94,$BN$94,"")&amp;IF((AX101)=95,$BN$95,"")&amp;IF((AX101)=96,$BN$96,"")&amp;IF((AX101)=97,$BN$97,"")&amp;IF((AX101)=98,$BN$98,"")&amp;IF((AX101)=99,$BN$99,"")&amp;IF((AX101)=100,$BN$100,"")&amp;IF((AX101)=101,$BN$101,"")&amp;IF((AX101)=102,$BN$102,"")&amp;IF((AX101)=103,$BN$103,"")&amp;IF((AX101)=104,$BN$104,"")&amp;IF((AX101)=105,$BN$105,"")&amp;IF((AX101)=106,$BN$106,"")&amp;IF((AX101)=107,$BN$107,"")&amp;IF((AX101)=108,$BN$108,"")&amp;IF((AX101)=109,$BN$109,"")&amp;IF((AX101)=110,$BN$110,"")&amp;IF((AX101)=111,$BN$111,"")&amp;IF((AX101)=112,$BN$112,"")&amp;IF((AX101)=113,$BN$113,"")&amp;IF((AX101)=114,$BN$114,"")&amp;IF((AX101)=115,$BN$115,"")&amp;IF((AX101)=116,$BN$116,"")&amp;IF((AX101)=117,$BN$117,"")&amp;IF((AX101)=118,$BN$118,"")&amp;IF((AX101)=119,$BN$119,"")&amp;IF((AX101)=120,$BN$120,"")&amp;IF((AX101)=121,$BN$121,"")&amp;IF((AX101)=122,$BN$122,"")&amp;IF((AX101)=123,$BN$123,"")&amp;IF((AX101)=124,$BN$124,"")&amp;IF((AX101)=125,$BN$125,"")&amp;IF((AX101)=126,$BN$126,"")&amp;IF((AX101)=127,$BN$127,"")&amp;IF((AX101)=128,$BN$128,"")</f>
        <v/>
      </c>
      <c r="AY6" s="75"/>
      <c r="AZ6" s="75"/>
      <c r="BA6" s="76"/>
      <c r="BB6" s="77">
        <f t="shared" ref="BB6:BB37" si="8">BD101</f>
        <v>0</v>
      </c>
      <c r="BC6" s="78"/>
      <c r="BD6" s="79" t="str">
        <f t="shared" ref="BD6:BD37" si="9">IF((BD101)=1,$BN$1,"")&amp;IF((BD101)=2,$BN$2,"")&amp;IF((BD101)=3,$BN$3,"")&amp;IF((BD101)=4,$BN$4,"")&amp;IF((BD101)=5,$BN$5,"")&amp;IF((BD101)=6,$BN$6,"")&amp;IF((BD101)=7,$BN$7,"")&amp;IF((BD101)=8,$BN$8,"")&amp;IF((BD101)=9,$BN$9,"")&amp;IF((BD101)=10,$BN$10,"")&amp;IF((BD101)=11,$BN$11,"")&amp;IF((BD101)=12,$BN$12,"")&amp;IF((BD101)=13,$BN$13,"")&amp;IF((BD101)=14,$BN$14,"")&amp;IF((BD101)=15,$BN$15,"")&amp;IF((BD101)=16,$BN$16,"")&amp;IF((BD101)=17,$BN$17,"")&amp;IF((BD101)=18,$BN$18,"")&amp;IF((BD101)=19,$BN$19,"")&amp;IF((BD101)=20,$BN$20,"")&amp;IF((BD101)=21,$BN$21,"")&amp;IF((BD101)=22,$BN$22,"")&amp;IF((BD101)=23,$BN$23,"")&amp;IF((BD101)=24,$BN$24,"")&amp;IF((BD101)=25,$BN$25,"")&amp;IF((BD101)=26,$BN$26,"")&amp;IF((BD101)=27,$BN$27,"")&amp;IF((BD101)=28,$BN$28,"")&amp;IF((BD101)=29,$BN$29,"")&amp;IF((BD101)=30,$BN$30,"")&amp;IF((BD101)=31,$BN$31,"")&amp;IF((BD101)=32,$BN$32,"")&amp;IF((BD101)=33,$BN$33,"")&amp;IF((BD101)=34,$BN$34,"")&amp;IF((BD101)=35,$BN$35,"")&amp;IF((BD101)=36,$BN$36,"")&amp;IF((BD101)=37,$BN$37,"")&amp;IF((BD101)=38,$BN$38,"")&amp;IF((BD101)=39,$BN$39,"")&amp;IF((BD101)=40,$BN$40,"")&amp;IF((BD101)=41,$BN$41,"")&amp;IF((BD101)=42,$BN$42,"")&amp;IF((BD101)=43,$BN$43,"")&amp;IF((BD101)=44,$BN$44,"")&amp;IF((BD101)=45,$BN$45,"")&amp;IF((BD101)=46,$BN$46,"")&amp;IF((BD101)=47,$BN$47,"")&amp;IF((BD101)=48,$BN$48,"")&amp;IF((BD101)=49,$BN$49,"")&amp;IF((BD101)=50,$BN$50,"")&amp;IF((BD101)=51,$BN$51,"")&amp;IF((BD101)=52,$BN$52,"")&amp;IF((BD101)=53,$BN$53,"")&amp;IF((BD101)=54,$BN$54,"")&amp;IF((BD101)=55,$BN$55,"")&amp;IF((BD101)=56,$BN$56,"")&amp;IF((BD101)=57,$BN$57,"")&amp;IF((BD101)=58,$BN$58,"")&amp;IF((BD101)=59,$BN$59,"")&amp;IF((BD101)=60,$BN$60,"")&amp;IF((BD101)=61,$BN$61,"")&amp;IF((BD101)=62,$BN$62,"")&amp;IF((BD101)=63,$BN$63,"")&amp;IF((BD101)=64,$BN$64,"")&amp;IF((BD101)=65,$BN$65,"")&amp;IF((BD101)=66,$BN$66,"")&amp;IF((BD101)=67,$BN$67,"")&amp;IF((BD101)=68,$BN$68,"")&amp;IF((BD101)=69,$BN$69,"")&amp;IF((BD101)=70,$BN$70,"")&amp;IF((BD101)=71,$BN$71,"")&amp;IF((BD101)=72,$BN$72,"")&amp;IF((BD101)=73,$BN$73,"")&amp;IF((BD101)=74,$BN$74,"")&amp;IF((BD101)=75,$BN$75,"")&amp;IF((BD101)=76,$BN$76,"")&amp;IF((BD101)=77,$BN$77,"")&amp;IF((BD101)=78,$BN$78,"")&amp;IF((BD101)=79,$BN$79,"")&amp;IF((BD101)=80,$BN$80,"")&amp;IF((BD101)=81,$BN$81,"")&amp;IF((BD101)=82,$BN$82,"")&amp;IF((BD101)=83,$BN$83,"")&amp;IF((BD101)=84,$BN$84,"")&amp;IF((BD101)=85,$BN$85,"")&amp;IF((BD101)=86,$BN$86,"")&amp;IF((BD101)=87,$BN$87,"")&amp;IF((BD101)=88,$BN$88,"")&amp;IF((BD101)=89,$BN$89,"")&amp;IF((BD101)=90,$BN$90,"")&amp;IF((BD101)=91,$BN$91,"")&amp;IF((BD101)=92,$BN$92,"")&amp;IF((BD101)=93,$BN$93,"")&amp;IF((BD101)=94,$BN$94,"")&amp;IF((BD101)=95,$BN$95,"")&amp;IF((BD101)=96,$BN$96,"")&amp;IF((BD101)=97,$BN$97,"")&amp;IF((BD101)=98,$BN$98,"")&amp;IF((BD101)=99,$BN$99,"")&amp;IF((BD101)=100,$BN$100,"")&amp;IF((BD101)=101,$BN$101,"")&amp;IF((BD101)=102,$BN$102,"")&amp;IF((BD101)=103,$BN$103,"")&amp;IF((BD101)=104,$BN$104,"")&amp;IF((BD101)=105,$BN$105,"")&amp;IF((BD101)=106,$BN$106,"")&amp;IF((BD101)=107,$BN$107,"")&amp;IF((BD101)=108,$BN$108,"")&amp;IF((BD101)=109,$BN$109,"")&amp;IF((BD101)=110,$BN$110,"")&amp;IF((BD101)=111,$BN$111,"")&amp;IF((BD101)=112,$BN$112,"")&amp;IF((BD101)=113,$BN$113,"")&amp;IF((BD101)=114,$BN$114,"")&amp;IF((BD101)=115,$BN$115,"")&amp;IF((BD101)=116,$BN$116,"")&amp;IF((BD101)=117,$BN$117,"")&amp;IF((BD101)=118,$BN$118,"")&amp;IF((BD101)=119,$BN$119,"")&amp;IF((BD101)=120,$BN$120,"")&amp;IF((BD101)=121,$BN$121,"")&amp;IF((BD101)=122,$BN$122,"")&amp;IF((BD101)=123,$BN$123,"")&amp;IF((BD101)=124,$BN$124,"")&amp;IF((BD101)=125,$BN$125,"")&amp;IF((BD101)=126,$BN$126,"")&amp;IF((BD101)=127,$BN$127,"")&amp;IF((BD101)=128,$BN$128,"")</f>
        <v/>
      </c>
      <c r="BE6" s="79"/>
      <c r="BF6" s="77">
        <f t="shared" ref="BF6:BF37" si="10">BH101</f>
        <v>0</v>
      </c>
      <c r="BG6" s="80"/>
      <c r="BH6" s="79" t="str">
        <f t="shared" ref="BH6:BH37" si="11">IF((BH101)=1,$BN$1,"")&amp;IF((BH101)=2,$BN$2,"")&amp;IF((BH101)=3,$BN$3,"")&amp;IF((BH101)=4,$BN$4,"")&amp;IF((BH101)=5,$BN$5,"")&amp;IF((BH101)=6,$BN$6,"")&amp;IF((BH101)=7,$BN$7,"")&amp;IF((BH101)=8,$BN$8,"")&amp;IF((BH101)=9,$BN$9,"")&amp;IF((BH101)=10,$BN$10,"")&amp;IF((BH101)=11,$BN$11,"")&amp;IF((BH101)=12,$BN$12,"")&amp;IF((BH101)=13,$BN$13,"")&amp;IF((BH101)=14,$BN$14,"")&amp;IF((BH101)=15,$BN$15,"")&amp;IF((BH101)=16,$BN$16,"")&amp;IF((BH101)=17,$BN$17,"")&amp;IF((BH101)=18,$BN$18,"")&amp;IF((BH101)=19,$BN$19,"")&amp;IF((BH101)=20,$BN$20,"")&amp;IF((BH101)=21,$BN$21,"")&amp;IF((BH101)=22,$BN$22,"")&amp;IF((BH101)=23,$BN$23,"")&amp;IF((BH101)=24,$BN$24,"")&amp;IF((BH101)=25,$BN$25,"")&amp;IF((BH101)=26,$BN$26,"")&amp;IF((BH101)=27,$BN$27,"")&amp;IF((BH101)=28,$BN$28,"")&amp;IF((BH101)=29,$BN$29,"")&amp;IF((BH101)=30,$BN$30,"")&amp;IF((BH101)=31,$BN$31,"")&amp;IF((BH101)=32,$BN$32,"")&amp;IF((BH101)=33,$BN$33,"")&amp;IF((BH101)=34,$BN$34,"")&amp;IF((BH101)=35,$BN$35,"")&amp;IF((BH101)=36,$BN$36,"")&amp;IF((BH101)=37,$BN$37,"")&amp;IF((BH101)=38,$BN$38,"")&amp;IF((BH101)=39,$BN$39,"")&amp;IF((BH101)=40,$BN$40,"")&amp;IF((BH101)=41,$BN$41,"")&amp;IF((BH101)=42,$BN$42,"")&amp;IF((BH101)=43,$BN$43,"")&amp;IF((BH101)=44,$BN$44,"")&amp;IF((BH101)=45,$BN$45,"")&amp;IF((BH101)=46,$BN$46,"")&amp;IF((BH101)=47,$BN$47,"")&amp;IF((BH101)=48,$BN$48,"")&amp;IF((BH101)=49,$BN$49,"")&amp;IF((BH101)=50,$BN$50,"")&amp;IF((BH101)=51,$BN$51,"")&amp;IF((BH101)=52,$BN$52,"")&amp;IF((BH101)=53,$BN$53,"")&amp;IF((BH101)=54,$BN$54,"")&amp;IF((BH101)=55,$BN$55,"")&amp;IF((BH101)=56,$BN$56,"")&amp;IF((BH101)=57,$BN$57,"")&amp;IF((BH101)=58,$BN$58,"")&amp;IF((BH101)=59,$BN$59,"")&amp;IF((BH101)=60,$BN$60,"")&amp;IF((BH101)=61,$BN$61,"")&amp;IF((BH101)=62,$BN$62,"")&amp;IF((BH101)=63,$BN$63,"")&amp;IF((BH101)=64,$BN$64,"")&amp;IF((BH101)=65,$BN$65,"")&amp;IF((BH101)=66,$BN$66,"")&amp;IF((BH101)=67,$BN$67,"")&amp;IF((BH101)=68,$BN$68,"")&amp;IF((BH101)=69,$BN$69,"")&amp;IF((BH101)=70,$BN$70,"")&amp;IF((BH101)=71,$BN$71,"")&amp;IF((BH101)=72,$BN$72,"")&amp;IF((BH101)=73,$BN$73,"")&amp;IF((BH101)=74,$BN$74,"")&amp;IF((BH101)=75,$BN$75,"")&amp;IF((BH101)=76,$BN$76,"")&amp;IF((BH101)=77,$BN$77,"")&amp;IF((BH101)=78,$BN$78,"")&amp;IF((BH101)=79,$BN$79,"")&amp;IF((BH101)=80,$BN$80,"")&amp;IF((BH101)=81,$BN$81,"")&amp;IF((BH101)=82,$BN$82,"")&amp;IF((BH101)=83,$BN$83,"")&amp;IF((BH101)=84,$BN$84,"")&amp;IF((BH101)=85,$BN$85,"")&amp;IF((BH101)=86,$BN$86,"")&amp;IF((BH101)=87,$BN$87,"")&amp;IF((BH101)=88,$BN$88,"")&amp;IF((BH101)=89,$BN$89,"")&amp;IF((BH101)=90,$BN$90,"")&amp;IF((BH101)=91,$BN$91,"")&amp;IF((BH101)=92,$BN$92,"")&amp;IF((BH101)=93,$BN$93,"")&amp;IF((BH101)=94,$BN$94,"")&amp;IF((BH101)=95,$BN$95,"")&amp;IF((BH101)=96,$BN$96,"")&amp;IF((BH101)=97,$BN$97,"")&amp;IF((BH101)=98,$BN$98,"")&amp;IF((BH101)=99,$BN$99,"")&amp;IF((BH101)=100,$BN$100,"")&amp;IF((BH101)=101,$BN$101,"")&amp;IF((BH101)=102,$BN$102,"")&amp;IF((BH101)=103,$BN$103,"")&amp;IF((BH101)=104,$BN$104,"")&amp;IF((BH101)=105,$BN$105,"")&amp;IF((BH101)=106,$BN$106,"")&amp;IF((BH101)=107,$BN$107,"")&amp;IF((BH101)=108,$BN$108,"")&amp;IF((BH101)=109,$BN$109,"")&amp;IF((BH101)=110,$BN$110,"")&amp;IF((BH101)=111,$BN$111,"")&amp;IF((BH101)=112,$BN$112,"")&amp;IF((BH101)=113,$BN$113,"")&amp;IF((BH101)=114,$BN$114,"")&amp;IF((BH101)=115,$BN$115,"")&amp;IF((BH101)=116,$BN$116,"")&amp;IF((BH101)=117,$BN$117,"")&amp;IF((BH101)=118,$BN$118,"")&amp;IF((BH101)=119,$BN$119,"")&amp;IF((BH101)=120,$BN$120,"")&amp;IF((BH101)=121,$BN$121,"")&amp;IF((BH101)=122,$BN$122,"")&amp;IF((BH101)=123,$BN$123,"")&amp;IF((BH101)=124,$BN$124,"")&amp;IF((BH101)=125,$BN$125,"")&amp;IF((BH101)=126,$BN$126,"")&amp;IF((BH101)=127,$BN$127,"")&amp;IF((BH101)=128,$BN$128,"")</f>
        <v/>
      </c>
      <c r="BI6" s="81"/>
      <c r="BJ6" s="81"/>
      <c r="BK6" s="9"/>
      <c r="BM6" s="12">
        <v>6</v>
      </c>
      <c r="BO6" s="13"/>
      <c r="BP6" s="13"/>
      <c r="BS6" s="82" t="str">
        <f>C5</f>
        <v xml:space="preserve">                                                 1er tour                                                               résultat</v>
      </c>
      <c r="BT6" s="83"/>
      <c r="BU6" s="83"/>
      <c r="BV6" s="84"/>
      <c r="BW6" s="85"/>
      <c r="BX6" s="86"/>
      <c r="CA6" s="18">
        <v>16</v>
      </c>
      <c r="CB6" s="19">
        <v>25</v>
      </c>
      <c r="CC6" s="1">
        <v>6</v>
      </c>
      <c r="CD6" s="1" t="s">
        <v>19</v>
      </c>
      <c r="CI6" s="1" t="s">
        <v>20</v>
      </c>
      <c r="CL6" s="28">
        <v>6</v>
      </c>
      <c r="CN6" s="55"/>
      <c r="CO6" s="56"/>
      <c r="CP6" s="57"/>
      <c r="CQ6" s="58"/>
      <c r="CR6" s="59"/>
      <c r="CS6" s="56"/>
      <c r="CT6" s="60"/>
      <c r="CU6" s="61"/>
      <c r="CV6" s="62"/>
      <c r="CW6" s="62"/>
      <c r="CZ6" s="55"/>
      <c r="DA6" s="56"/>
      <c r="DB6" s="57"/>
      <c r="DC6" s="58"/>
      <c r="DD6" s="59"/>
      <c r="DE6" s="56"/>
      <c r="DF6" s="60"/>
      <c r="DG6" s="61"/>
      <c r="DH6" s="62"/>
      <c r="DI6" s="62"/>
    </row>
    <row r="7" spans="2:116" ht="20.25">
      <c r="B7" s="37">
        <v>2</v>
      </c>
      <c r="C7" s="38" t="s">
        <v>15</v>
      </c>
      <c r="D7" s="87">
        <v>11</v>
      </c>
      <c r="E7" s="40"/>
      <c r="F7" s="41" t="s">
        <v>17</v>
      </c>
      <c r="G7" s="42" t="s">
        <v>15</v>
      </c>
      <c r="H7" s="43">
        <v>17</v>
      </c>
      <c r="I7" s="44"/>
      <c r="J7" s="45" t="s">
        <v>21</v>
      </c>
      <c r="K7" s="46">
        <v>13</v>
      </c>
      <c r="L7" s="46">
        <v>8</v>
      </c>
      <c r="M7" s="47" t="s">
        <v>15</v>
      </c>
      <c r="N7" s="48">
        <v>21</v>
      </c>
      <c r="O7" s="49"/>
      <c r="P7" s="50" t="s">
        <v>13</v>
      </c>
      <c r="Q7" s="51" t="s">
        <v>15</v>
      </c>
      <c r="R7" s="48">
        <v>19</v>
      </c>
      <c r="S7" s="52"/>
      <c r="T7" s="53" t="s">
        <v>22</v>
      </c>
      <c r="U7" s="54">
        <v>12</v>
      </c>
      <c r="V7" s="54">
        <v>13</v>
      </c>
      <c r="W7" s="55" t="s">
        <v>15</v>
      </c>
      <c r="X7" s="56">
        <v>8</v>
      </c>
      <c r="Y7" s="57"/>
      <c r="Z7" s="58" t="s">
        <v>23</v>
      </c>
      <c r="AA7" s="59" t="s">
        <v>15</v>
      </c>
      <c r="AB7" s="56">
        <v>4</v>
      </c>
      <c r="AC7" s="60"/>
      <c r="AD7" s="61" t="s">
        <v>2</v>
      </c>
      <c r="AE7" s="62"/>
      <c r="AF7" s="62"/>
      <c r="AG7" s="63"/>
      <c r="AH7" s="64" t="str">
        <f t="shared" si="0"/>
        <v/>
      </c>
      <c r="AI7" s="65"/>
      <c r="AJ7" s="66" t="str">
        <f t="shared" si="1"/>
        <v/>
      </c>
      <c r="AK7" s="66"/>
      <c r="AL7" s="64" t="str">
        <f t="shared" si="2"/>
        <v/>
      </c>
      <c r="AM7" s="67"/>
      <c r="AN7" s="66" t="str">
        <f t="shared" si="3"/>
        <v/>
      </c>
      <c r="AO7" s="68"/>
      <c r="AP7" s="68"/>
      <c r="AQ7" s="69"/>
      <c r="AR7" s="70">
        <f t="shared" si="4"/>
        <v>0</v>
      </c>
      <c r="AS7" s="71"/>
      <c r="AT7" s="72" t="str">
        <f t="shared" si="5"/>
        <v/>
      </c>
      <c r="AU7" s="72"/>
      <c r="AV7" s="73">
        <f t="shared" si="6"/>
        <v>0</v>
      </c>
      <c r="AW7" s="74"/>
      <c r="AX7" s="72" t="str">
        <f t="shared" si="7"/>
        <v/>
      </c>
      <c r="AY7" s="75"/>
      <c r="AZ7" s="75"/>
      <c r="BA7" s="76"/>
      <c r="BB7" s="77">
        <f t="shared" si="8"/>
        <v>0</v>
      </c>
      <c r="BC7" s="78"/>
      <c r="BD7" s="79" t="str">
        <f t="shared" si="9"/>
        <v/>
      </c>
      <c r="BE7" s="79"/>
      <c r="BF7" s="77">
        <f t="shared" si="10"/>
        <v>0</v>
      </c>
      <c r="BG7" s="80"/>
      <c r="BH7" s="79" t="str">
        <f t="shared" si="11"/>
        <v/>
      </c>
      <c r="BI7" s="81"/>
      <c r="BJ7" s="81"/>
      <c r="BK7" s="9"/>
      <c r="BM7" s="12">
        <v>7</v>
      </c>
      <c r="BO7" s="13"/>
      <c r="BP7" s="13"/>
      <c r="BQ7" s="88" t="s">
        <v>24</v>
      </c>
      <c r="BR7" s="89">
        <f t="shared" ref="BR7:BR38" si="12">B6</f>
        <v>1</v>
      </c>
      <c r="BS7" s="90">
        <f t="shared" ref="BS7:BS38" si="13">D6</f>
        <v>7</v>
      </c>
      <c r="BT7" s="91" t="str">
        <f t="shared" ref="BT7:BT38" si="14">F6</f>
        <v>HUBERT DEDE</v>
      </c>
      <c r="BU7" s="92">
        <f t="shared" ref="BU7:BU38" si="15">H6</f>
        <v>5</v>
      </c>
      <c r="BV7" s="93" t="str">
        <f>J6</f>
        <v>PASCALE VALERIE</v>
      </c>
      <c r="BW7" s="94"/>
      <c r="BX7" s="94"/>
      <c r="CA7" s="18">
        <v>40</v>
      </c>
      <c r="CB7" s="19">
        <v>30</v>
      </c>
      <c r="CC7" s="1">
        <v>7</v>
      </c>
      <c r="CD7" s="1" t="s">
        <v>16</v>
      </c>
      <c r="CI7" s="1" t="s">
        <v>21</v>
      </c>
      <c r="CL7" s="28">
        <v>7</v>
      </c>
      <c r="CN7" s="55"/>
      <c r="CO7" s="56"/>
      <c r="CP7" s="57"/>
      <c r="CQ7" s="58"/>
      <c r="CR7" s="59"/>
      <c r="CS7" s="56"/>
      <c r="CT7" s="60"/>
      <c r="CU7" s="61"/>
      <c r="CV7" s="62"/>
      <c r="CW7" s="62"/>
      <c r="CZ7" s="55"/>
      <c r="DA7" s="56"/>
      <c r="DB7" s="57"/>
      <c r="DC7" s="58"/>
      <c r="DD7" s="59"/>
      <c r="DE7" s="56"/>
      <c r="DF7" s="60"/>
      <c r="DG7" s="61"/>
      <c r="DH7" s="62"/>
      <c r="DI7" s="62"/>
    </row>
    <row r="8" spans="2:116" ht="20.25">
      <c r="B8" s="37">
        <v>3</v>
      </c>
      <c r="C8" s="38" t="s">
        <v>15</v>
      </c>
      <c r="D8" s="87">
        <v>13</v>
      </c>
      <c r="E8" s="40"/>
      <c r="F8" s="41" t="s">
        <v>25</v>
      </c>
      <c r="G8" s="42" t="s">
        <v>15</v>
      </c>
      <c r="H8" s="43">
        <v>33</v>
      </c>
      <c r="I8" s="44"/>
      <c r="J8" s="45" t="s">
        <v>26</v>
      </c>
      <c r="K8" s="46">
        <v>13</v>
      </c>
      <c r="L8" s="46">
        <v>9</v>
      </c>
      <c r="M8" s="47" t="s">
        <v>15</v>
      </c>
      <c r="N8" s="48">
        <v>17</v>
      </c>
      <c r="O8" s="49"/>
      <c r="P8" s="50" t="s">
        <v>21</v>
      </c>
      <c r="Q8" s="51" t="s">
        <v>15</v>
      </c>
      <c r="R8" s="48">
        <v>26</v>
      </c>
      <c r="S8" s="52"/>
      <c r="T8" s="53" t="s">
        <v>27</v>
      </c>
      <c r="U8" s="54">
        <v>5</v>
      </c>
      <c r="V8" s="54">
        <v>13</v>
      </c>
      <c r="W8" s="55" t="s">
        <v>15</v>
      </c>
      <c r="X8" s="56">
        <v>1</v>
      </c>
      <c r="Y8" s="57"/>
      <c r="Z8" s="58" t="s">
        <v>0</v>
      </c>
      <c r="AA8" s="59" t="s">
        <v>15</v>
      </c>
      <c r="AB8" s="56">
        <v>3</v>
      </c>
      <c r="AC8" s="60"/>
      <c r="AD8" s="61" t="s">
        <v>3</v>
      </c>
      <c r="AE8" s="62"/>
      <c r="AF8" s="62"/>
      <c r="AG8" s="63"/>
      <c r="AH8" s="64" t="str">
        <f t="shared" si="0"/>
        <v/>
      </c>
      <c r="AI8" s="65"/>
      <c r="AJ8" s="66" t="str">
        <f t="shared" si="1"/>
        <v/>
      </c>
      <c r="AK8" s="66"/>
      <c r="AL8" s="64" t="str">
        <f t="shared" si="2"/>
        <v/>
      </c>
      <c r="AM8" s="67"/>
      <c r="AN8" s="66" t="str">
        <f t="shared" si="3"/>
        <v/>
      </c>
      <c r="AO8" s="68"/>
      <c r="AP8" s="68"/>
      <c r="AQ8" s="69"/>
      <c r="AR8" s="70">
        <f t="shared" si="4"/>
        <v>0</v>
      </c>
      <c r="AS8" s="71"/>
      <c r="AT8" s="72" t="str">
        <f t="shared" si="5"/>
        <v/>
      </c>
      <c r="AU8" s="72"/>
      <c r="AV8" s="73">
        <f t="shared" si="6"/>
        <v>0</v>
      </c>
      <c r="AW8" s="74"/>
      <c r="AX8" s="72" t="str">
        <f t="shared" si="7"/>
        <v/>
      </c>
      <c r="AY8" s="75"/>
      <c r="AZ8" s="75"/>
      <c r="BA8" s="76"/>
      <c r="BB8" s="77">
        <f t="shared" si="8"/>
        <v>0</v>
      </c>
      <c r="BC8" s="78"/>
      <c r="BD8" s="79" t="str">
        <f t="shared" si="9"/>
        <v/>
      </c>
      <c r="BE8" s="79"/>
      <c r="BF8" s="77">
        <f t="shared" si="10"/>
        <v>0</v>
      </c>
      <c r="BG8" s="80"/>
      <c r="BH8" s="79" t="str">
        <f t="shared" si="11"/>
        <v/>
      </c>
      <c r="BI8" s="81"/>
      <c r="BJ8" s="81"/>
      <c r="BK8" s="9"/>
      <c r="BM8" s="12">
        <v>8</v>
      </c>
      <c r="BN8" s="13">
        <v>13</v>
      </c>
      <c r="BO8" s="13"/>
      <c r="BP8" s="13"/>
      <c r="BQ8" s="88" t="s">
        <v>24</v>
      </c>
      <c r="BR8" s="89">
        <f t="shared" si="12"/>
        <v>2</v>
      </c>
      <c r="BS8" s="90">
        <f t="shared" si="13"/>
        <v>11</v>
      </c>
      <c r="BT8" s="91" t="str">
        <f t="shared" si="14"/>
        <v>JOSETTE  ROGER</v>
      </c>
      <c r="BU8" s="92">
        <f t="shared" si="15"/>
        <v>17</v>
      </c>
      <c r="BV8" s="93" t="str">
        <f t="shared" ref="BV8:BV38" si="16">J7</f>
        <v>THIERRY SEBASTIEN</v>
      </c>
      <c r="BW8" s="94"/>
      <c r="BX8" s="94"/>
      <c r="CA8" s="95">
        <v>36</v>
      </c>
      <c r="CB8" s="96">
        <v>35</v>
      </c>
      <c r="CC8" s="1">
        <v>8</v>
      </c>
      <c r="CD8" s="1" t="s">
        <v>23</v>
      </c>
      <c r="CI8" s="1" t="s">
        <v>28</v>
      </c>
      <c r="CL8" s="28">
        <v>8</v>
      </c>
      <c r="CN8" s="55"/>
      <c r="CO8" s="56"/>
      <c r="CP8" s="57"/>
      <c r="CQ8" s="58"/>
      <c r="CR8" s="59"/>
      <c r="CS8" s="56"/>
      <c r="CT8" s="60"/>
      <c r="CU8" s="61"/>
      <c r="CV8" s="62"/>
      <c r="CW8" s="62"/>
      <c r="CZ8" s="55"/>
      <c r="DA8" s="56"/>
      <c r="DB8" s="57"/>
      <c r="DC8" s="58"/>
      <c r="DD8" s="59"/>
      <c r="DE8" s="56"/>
      <c r="DF8" s="60"/>
      <c r="DG8" s="61"/>
      <c r="DH8" s="62"/>
      <c r="DI8" s="62"/>
    </row>
    <row r="9" spans="2:116" ht="20.25">
      <c r="B9" s="37">
        <v>4</v>
      </c>
      <c r="C9" s="38" t="s">
        <v>15</v>
      </c>
      <c r="D9" s="87">
        <v>35</v>
      </c>
      <c r="E9" s="40"/>
      <c r="F9" s="41" t="s">
        <v>29</v>
      </c>
      <c r="G9" s="42" t="s">
        <v>15</v>
      </c>
      <c r="H9" s="43">
        <v>25</v>
      </c>
      <c r="I9" s="44"/>
      <c r="J9" s="45" t="s">
        <v>30</v>
      </c>
      <c r="K9" s="46">
        <v>7</v>
      </c>
      <c r="L9" s="46">
        <v>13</v>
      </c>
      <c r="M9" s="47" t="s">
        <v>15</v>
      </c>
      <c r="N9" s="48">
        <v>5</v>
      </c>
      <c r="O9" s="49"/>
      <c r="P9" s="50" t="s">
        <v>12</v>
      </c>
      <c r="Q9" s="51" t="s">
        <v>15</v>
      </c>
      <c r="R9" s="48">
        <v>8</v>
      </c>
      <c r="S9" s="52"/>
      <c r="T9" s="53" t="s">
        <v>23</v>
      </c>
      <c r="U9" s="54">
        <v>13</v>
      </c>
      <c r="V9" s="54">
        <v>9</v>
      </c>
      <c r="W9" s="55" t="s">
        <v>15</v>
      </c>
      <c r="X9" s="56">
        <v>14</v>
      </c>
      <c r="Y9" s="57"/>
      <c r="Z9" s="58" t="s">
        <v>5</v>
      </c>
      <c r="AA9" s="59" t="s">
        <v>15</v>
      </c>
      <c r="AB9" s="56">
        <v>6</v>
      </c>
      <c r="AC9" s="60"/>
      <c r="AD9" s="61" t="s">
        <v>19</v>
      </c>
      <c r="AE9" s="62"/>
      <c r="AF9" s="62"/>
      <c r="AG9" s="63"/>
      <c r="AH9" s="64" t="str">
        <f t="shared" si="0"/>
        <v/>
      </c>
      <c r="AI9" s="65"/>
      <c r="AJ9" s="66" t="str">
        <f t="shared" si="1"/>
        <v/>
      </c>
      <c r="AK9" s="66"/>
      <c r="AL9" s="64" t="str">
        <f t="shared" si="2"/>
        <v/>
      </c>
      <c r="AM9" s="67"/>
      <c r="AN9" s="66" t="str">
        <f t="shared" si="3"/>
        <v/>
      </c>
      <c r="AO9" s="68"/>
      <c r="AP9" s="68"/>
      <c r="AQ9" s="69"/>
      <c r="AR9" s="70">
        <f t="shared" si="4"/>
        <v>0</v>
      </c>
      <c r="AS9" s="71"/>
      <c r="AT9" s="72" t="str">
        <f t="shared" si="5"/>
        <v/>
      </c>
      <c r="AU9" s="72"/>
      <c r="AV9" s="73">
        <f t="shared" si="6"/>
        <v>0</v>
      </c>
      <c r="AW9" s="74"/>
      <c r="AX9" s="72" t="str">
        <f t="shared" si="7"/>
        <v/>
      </c>
      <c r="AY9" s="75"/>
      <c r="AZ9" s="75"/>
      <c r="BA9" s="76"/>
      <c r="BB9" s="77">
        <f t="shared" si="8"/>
        <v>0</v>
      </c>
      <c r="BC9" s="78"/>
      <c r="BD9" s="79" t="str">
        <f t="shared" si="9"/>
        <v/>
      </c>
      <c r="BE9" s="79"/>
      <c r="BF9" s="77">
        <f t="shared" si="10"/>
        <v>0</v>
      </c>
      <c r="BG9" s="80"/>
      <c r="BH9" s="79" t="str">
        <f t="shared" si="11"/>
        <v/>
      </c>
      <c r="BI9" s="81"/>
      <c r="BJ9" s="81"/>
      <c r="BK9" s="9"/>
      <c r="BM9" s="12">
        <v>9</v>
      </c>
      <c r="BO9" s="13"/>
      <c r="BP9" s="13"/>
      <c r="BQ9" s="88" t="s">
        <v>24</v>
      </c>
      <c r="BR9" s="89">
        <f t="shared" si="12"/>
        <v>3</v>
      </c>
      <c r="BS9" s="90">
        <f t="shared" si="13"/>
        <v>13</v>
      </c>
      <c r="BT9" s="91" t="str">
        <f t="shared" si="14"/>
        <v>MONIQUE JESUS</v>
      </c>
      <c r="BU9" s="92">
        <f t="shared" si="15"/>
        <v>33</v>
      </c>
      <c r="BV9" s="93" t="str">
        <f t="shared" si="16"/>
        <v>SERGE MARTIAL</v>
      </c>
      <c r="BW9" s="94"/>
      <c r="BX9" s="94"/>
      <c r="CA9" s="95">
        <v>6</v>
      </c>
      <c r="CB9" s="97">
        <v>38</v>
      </c>
      <c r="CC9" s="1">
        <v>9</v>
      </c>
      <c r="CD9" s="1" t="s">
        <v>20</v>
      </c>
      <c r="CI9" s="1" t="s">
        <v>21</v>
      </c>
      <c r="CL9" s="28">
        <v>9</v>
      </c>
      <c r="CN9" s="55"/>
      <c r="CO9" s="56"/>
      <c r="CP9" s="57"/>
      <c r="CQ9" s="58"/>
      <c r="CR9" s="59"/>
      <c r="CS9" s="56"/>
      <c r="CT9" s="60"/>
      <c r="CU9" s="61"/>
      <c r="CV9" s="62"/>
      <c r="CW9" s="62"/>
      <c r="CZ9" s="55"/>
      <c r="DA9" s="56"/>
      <c r="DB9" s="57"/>
      <c r="DC9" s="58"/>
      <c r="DD9" s="59"/>
      <c r="DE9" s="56"/>
      <c r="DF9" s="60"/>
      <c r="DG9" s="61"/>
      <c r="DH9" s="62"/>
      <c r="DI9" s="62"/>
    </row>
    <row r="10" spans="2:116" ht="19.5" customHeight="1">
      <c r="B10" s="37">
        <v>5</v>
      </c>
      <c r="C10" s="38" t="s">
        <v>15</v>
      </c>
      <c r="D10" s="87">
        <v>23</v>
      </c>
      <c r="E10" s="40"/>
      <c r="F10" s="41" t="s">
        <v>31</v>
      </c>
      <c r="G10" s="42" t="s">
        <v>15</v>
      </c>
      <c r="H10" s="43">
        <v>28</v>
      </c>
      <c r="I10" s="44"/>
      <c r="J10" s="45" t="s">
        <v>32</v>
      </c>
      <c r="K10" s="46">
        <v>13</v>
      </c>
      <c r="L10" s="46">
        <v>7</v>
      </c>
      <c r="M10" s="47" t="s">
        <v>15</v>
      </c>
      <c r="N10" s="48">
        <v>10</v>
      </c>
      <c r="O10" s="49"/>
      <c r="P10" s="50" t="s">
        <v>33</v>
      </c>
      <c r="Q10" s="51" t="s">
        <v>15</v>
      </c>
      <c r="R10" s="48">
        <v>1</v>
      </c>
      <c r="S10" s="52"/>
      <c r="T10" s="53" t="s">
        <v>0</v>
      </c>
      <c r="U10" s="54">
        <v>13</v>
      </c>
      <c r="V10" s="54">
        <v>9</v>
      </c>
      <c r="W10" s="55" t="s">
        <v>15</v>
      </c>
      <c r="X10" s="56">
        <v>12</v>
      </c>
      <c r="Y10" s="57"/>
      <c r="Z10" s="58" t="s">
        <v>28</v>
      </c>
      <c r="AA10" s="59" t="s">
        <v>15</v>
      </c>
      <c r="AB10" s="56">
        <v>10</v>
      </c>
      <c r="AC10" s="60"/>
      <c r="AD10" s="61" t="s">
        <v>33</v>
      </c>
      <c r="AE10" s="62"/>
      <c r="AF10" s="62"/>
      <c r="AG10" s="63"/>
      <c r="AH10" s="64" t="str">
        <f t="shared" si="0"/>
        <v/>
      </c>
      <c r="AI10" s="65"/>
      <c r="AJ10" s="66" t="str">
        <f t="shared" si="1"/>
        <v/>
      </c>
      <c r="AK10" s="66"/>
      <c r="AL10" s="64" t="str">
        <f t="shared" si="2"/>
        <v/>
      </c>
      <c r="AM10" s="67"/>
      <c r="AN10" s="66" t="str">
        <f t="shared" si="3"/>
        <v/>
      </c>
      <c r="AO10" s="68"/>
      <c r="AP10" s="68"/>
      <c r="AQ10" s="69"/>
      <c r="AR10" s="70">
        <f t="shared" si="4"/>
        <v>0</v>
      </c>
      <c r="AS10" s="71"/>
      <c r="AT10" s="72" t="str">
        <f t="shared" si="5"/>
        <v/>
      </c>
      <c r="AU10" s="72"/>
      <c r="AV10" s="73">
        <f t="shared" si="6"/>
        <v>0</v>
      </c>
      <c r="AW10" s="74"/>
      <c r="AX10" s="72" t="str">
        <f t="shared" si="7"/>
        <v/>
      </c>
      <c r="AY10" s="75"/>
      <c r="AZ10" s="75"/>
      <c r="BA10" s="76"/>
      <c r="BB10" s="77">
        <f t="shared" si="8"/>
        <v>0</v>
      </c>
      <c r="BC10" s="78"/>
      <c r="BD10" s="79" t="str">
        <f t="shared" si="9"/>
        <v/>
      </c>
      <c r="BE10" s="79"/>
      <c r="BF10" s="77">
        <f t="shared" si="10"/>
        <v>0</v>
      </c>
      <c r="BG10" s="80"/>
      <c r="BH10" s="79" t="str">
        <f t="shared" si="11"/>
        <v/>
      </c>
      <c r="BI10" s="81"/>
      <c r="BJ10" s="81"/>
      <c r="BK10" s="9"/>
      <c r="BM10" s="12">
        <v>10</v>
      </c>
      <c r="BO10" s="13"/>
      <c r="BP10" s="13"/>
      <c r="BQ10" s="88" t="s">
        <v>24</v>
      </c>
      <c r="BR10" s="89">
        <f t="shared" si="12"/>
        <v>4</v>
      </c>
      <c r="BS10" s="90">
        <f t="shared" si="13"/>
        <v>35</v>
      </c>
      <c r="BT10" s="91" t="str">
        <f t="shared" si="14"/>
        <v>EASIO CHRISTIAN</v>
      </c>
      <c r="BU10" s="92">
        <f t="shared" si="15"/>
        <v>25</v>
      </c>
      <c r="BV10" s="93" t="str">
        <f t="shared" si="16"/>
        <v>PHILIPPE BABETTE</v>
      </c>
      <c r="BW10" s="94"/>
      <c r="BX10" s="94"/>
      <c r="CA10" s="95">
        <v>42</v>
      </c>
      <c r="CB10" s="97">
        <v>22</v>
      </c>
      <c r="CC10" s="1">
        <v>10</v>
      </c>
      <c r="CD10" s="1" t="s">
        <v>33</v>
      </c>
      <c r="CI10" s="1" t="s">
        <v>3</v>
      </c>
      <c r="CL10" s="28">
        <v>10</v>
      </c>
      <c r="CN10" s="55"/>
      <c r="CO10" s="56"/>
      <c r="CP10" s="57"/>
      <c r="CQ10" s="58"/>
      <c r="CR10" s="59"/>
      <c r="CS10" s="56"/>
      <c r="CT10" s="60"/>
      <c r="CU10" s="61"/>
      <c r="CV10" s="62"/>
      <c r="CW10" s="62"/>
      <c r="CZ10" s="55"/>
      <c r="DA10" s="56"/>
      <c r="DB10" s="57"/>
      <c r="DC10" s="58"/>
      <c r="DD10" s="59"/>
      <c r="DE10" s="56"/>
      <c r="DF10" s="60"/>
      <c r="DG10" s="61"/>
      <c r="DH10" s="62"/>
      <c r="DI10" s="62"/>
    </row>
    <row r="11" spans="2:116" ht="20.25">
      <c r="B11" s="37">
        <v>6</v>
      </c>
      <c r="C11" s="38" t="s">
        <v>15</v>
      </c>
      <c r="D11" s="87">
        <v>34</v>
      </c>
      <c r="E11" s="40"/>
      <c r="F11" s="98" t="s">
        <v>34</v>
      </c>
      <c r="G11" s="42" t="s">
        <v>15</v>
      </c>
      <c r="H11" s="43">
        <v>41</v>
      </c>
      <c r="I11" s="44"/>
      <c r="J11" s="45" t="s">
        <v>35</v>
      </c>
      <c r="K11" s="46">
        <v>13</v>
      </c>
      <c r="L11" s="46">
        <v>12</v>
      </c>
      <c r="M11" s="47" t="s">
        <v>15</v>
      </c>
      <c r="N11" s="48">
        <v>2</v>
      </c>
      <c r="O11" s="49"/>
      <c r="P11" s="50" t="s">
        <v>1</v>
      </c>
      <c r="Q11" s="51" t="s">
        <v>15</v>
      </c>
      <c r="R11" s="48">
        <v>16</v>
      </c>
      <c r="S11" s="52"/>
      <c r="T11" s="53" t="s">
        <v>36</v>
      </c>
      <c r="U11" s="54">
        <v>13</v>
      </c>
      <c r="V11" s="54">
        <v>9</v>
      </c>
      <c r="W11" s="55" t="s">
        <v>15</v>
      </c>
      <c r="X11" s="56">
        <v>11</v>
      </c>
      <c r="Y11" s="57"/>
      <c r="Z11" s="58" t="s">
        <v>17</v>
      </c>
      <c r="AA11" s="59" t="s">
        <v>15</v>
      </c>
      <c r="AB11" s="56">
        <v>5</v>
      </c>
      <c r="AC11" s="60"/>
      <c r="AD11" s="61" t="s">
        <v>12</v>
      </c>
      <c r="AE11" s="62"/>
      <c r="AF11" s="62"/>
      <c r="AG11" s="63"/>
      <c r="AH11" s="64" t="str">
        <f t="shared" si="0"/>
        <v/>
      </c>
      <c r="AI11" s="65"/>
      <c r="AJ11" s="66" t="str">
        <f t="shared" si="1"/>
        <v/>
      </c>
      <c r="AK11" s="66"/>
      <c r="AL11" s="64" t="str">
        <f t="shared" si="2"/>
        <v/>
      </c>
      <c r="AM11" s="67"/>
      <c r="AN11" s="66" t="str">
        <f t="shared" si="3"/>
        <v/>
      </c>
      <c r="AO11" s="68"/>
      <c r="AP11" s="68"/>
      <c r="AQ11" s="69"/>
      <c r="AR11" s="70">
        <f t="shared" si="4"/>
        <v>0</v>
      </c>
      <c r="AS11" s="71"/>
      <c r="AT11" s="72" t="str">
        <f t="shared" si="5"/>
        <v/>
      </c>
      <c r="AU11" s="72"/>
      <c r="AV11" s="73">
        <f t="shared" si="6"/>
        <v>0</v>
      </c>
      <c r="AW11" s="74"/>
      <c r="AX11" s="72" t="str">
        <f t="shared" si="7"/>
        <v/>
      </c>
      <c r="AY11" s="75"/>
      <c r="AZ11" s="75"/>
      <c r="BA11" s="76"/>
      <c r="BB11" s="77">
        <f t="shared" si="8"/>
        <v>0</v>
      </c>
      <c r="BC11" s="78"/>
      <c r="BD11" s="79" t="str">
        <f t="shared" si="9"/>
        <v/>
      </c>
      <c r="BE11" s="79"/>
      <c r="BF11" s="77">
        <f t="shared" si="10"/>
        <v>0</v>
      </c>
      <c r="BG11" s="80"/>
      <c r="BH11" s="79" t="str">
        <f t="shared" si="11"/>
        <v/>
      </c>
      <c r="BI11" s="81"/>
      <c r="BJ11" s="81"/>
      <c r="BK11" s="9"/>
      <c r="BM11" s="12">
        <v>11</v>
      </c>
      <c r="BO11" s="13"/>
      <c r="BP11" s="13"/>
      <c r="BQ11" s="88" t="s">
        <v>24</v>
      </c>
      <c r="BR11" s="89">
        <f t="shared" si="12"/>
        <v>5</v>
      </c>
      <c r="BS11" s="90">
        <f t="shared" si="13"/>
        <v>23</v>
      </c>
      <c r="BT11" s="91" t="str">
        <f t="shared" si="14"/>
        <v>JEAN PIERRE   JACKY</v>
      </c>
      <c r="BU11" s="92">
        <f t="shared" si="15"/>
        <v>28</v>
      </c>
      <c r="BV11" s="93" t="str">
        <f t="shared" si="16"/>
        <v>JOSIANE ODILE</v>
      </c>
      <c r="BW11" s="94"/>
      <c r="BX11" s="94"/>
      <c r="CA11" s="95">
        <v>23</v>
      </c>
      <c r="CB11" s="97">
        <v>11</v>
      </c>
      <c r="CC11" s="1">
        <v>11</v>
      </c>
      <c r="CD11" s="1" t="s">
        <v>17</v>
      </c>
      <c r="CI11" s="1" t="s">
        <v>17</v>
      </c>
      <c r="CL11" s="28">
        <v>11</v>
      </c>
      <c r="CN11" s="55"/>
      <c r="CO11" s="56"/>
      <c r="CP11" s="57"/>
      <c r="CQ11" s="58"/>
      <c r="CR11" s="59"/>
      <c r="CS11" s="56"/>
      <c r="CT11" s="60"/>
      <c r="CU11" s="61"/>
      <c r="CV11" s="62"/>
      <c r="CW11" s="62"/>
      <c r="CZ11" s="55"/>
      <c r="DA11" s="56"/>
      <c r="DB11" s="57"/>
      <c r="DC11" s="58"/>
      <c r="DD11" s="59"/>
      <c r="DE11" s="56"/>
      <c r="DF11" s="60"/>
      <c r="DG11" s="61"/>
      <c r="DH11" s="62"/>
      <c r="DI11" s="62"/>
    </row>
    <row r="12" spans="2:116" ht="20.25" customHeight="1">
      <c r="B12" s="37">
        <v>7</v>
      </c>
      <c r="C12" s="38" t="s">
        <v>15</v>
      </c>
      <c r="D12" s="87">
        <v>51</v>
      </c>
      <c r="E12" s="40"/>
      <c r="F12" s="98" t="s">
        <v>37</v>
      </c>
      <c r="G12" s="42" t="s">
        <v>15</v>
      </c>
      <c r="H12" s="43">
        <v>45</v>
      </c>
      <c r="I12" s="44"/>
      <c r="J12" s="45" t="s">
        <v>38</v>
      </c>
      <c r="K12" s="46">
        <v>11</v>
      </c>
      <c r="L12" s="46">
        <v>13</v>
      </c>
      <c r="M12" s="47" t="s">
        <v>15</v>
      </c>
      <c r="N12" s="48">
        <v>4</v>
      </c>
      <c r="O12" s="49"/>
      <c r="P12" s="50" t="s">
        <v>2</v>
      </c>
      <c r="Q12" s="51" t="s">
        <v>15</v>
      </c>
      <c r="R12" s="48">
        <v>14</v>
      </c>
      <c r="S12" s="52"/>
      <c r="T12" s="53" t="s">
        <v>5</v>
      </c>
      <c r="U12" s="54">
        <v>13</v>
      </c>
      <c r="V12" s="54">
        <v>9</v>
      </c>
      <c r="W12" s="55" t="s">
        <v>15</v>
      </c>
      <c r="X12" s="56">
        <v>9</v>
      </c>
      <c r="Y12" s="57"/>
      <c r="Z12" s="58" t="s">
        <v>20</v>
      </c>
      <c r="AA12" s="59" t="s">
        <v>15</v>
      </c>
      <c r="AB12" s="56">
        <v>13</v>
      </c>
      <c r="AC12" s="60"/>
      <c r="AD12" s="61" t="s">
        <v>25</v>
      </c>
      <c r="AE12" s="62"/>
      <c r="AF12" s="62"/>
      <c r="AG12" s="63"/>
      <c r="AH12" s="64" t="str">
        <f t="shared" si="0"/>
        <v/>
      </c>
      <c r="AI12" s="65"/>
      <c r="AJ12" s="66" t="str">
        <f t="shared" si="1"/>
        <v/>
      </c>
      <c r="AK12" s="66"/>
      <c r="AL12" s="64" t="str">
        <f t="shared" si="2"/>
        <v/>
      </c>
      <c r="AM12" s="67"/>
      <c r="AN12" s="66" t="str">
        <f t="shared" si="3"/>
        <v/>
      </c>
      <c r="AO12" s="68"/>
      <c r="AP12" s="68"/>
      <c r="AQ12" s="69"/>
      <c r="AR12" s="70">
        <f t="shared" si="4"/>
        <v>0</v>
      </c>
      <c r="AS12" s="71"/>
      <c r="AT12" s="72" t="str">
        <f t="shared" si="5"/>
        <v/>
      </c>
      <c r="AU12" s="72"/>
      <c r="AV12" s="73">
        <f t="shared" si="6"/>
        <v>0</v>
      </c>
      <c r="AW12" s="74"/>
      <c r="AX12" s="72" t="str">
        <f t="shared" si="7"/>
        <v/>
      </c>
      <c r="AY12" s="75"/>
      <c r="AZ12" s="75"/>
      <c r="BA12" s="76"/>
      <c r="BB12" s="77">
        <f t="shared" si="8"/>
        <v>0</v>
      </c>
      <c r="BC12" s="78"/>
      <c r="BD12" s="79" t="str">
        <f t="shared" si="9"/>
        <v/>
      </c>
      <c r="BE12" s="79"/>
      <c r="BF12" s="77">
        <f t="shared" si="10"/>
        <v>0</v>
      </c>
      <c r="BG12" s="80"/>
      <c r="BH12" s="79" t="str">
        <f t="shared" si="11"/>
        <v/>
      </c>
      <c r="BI12" s="81"/>
      <c r="BJ12" s="81"/>
      <c r="BK12" s="9"/>
      <c r="BM12" s="12">
        <v>12</v>
      </c>
      <c r="BN12" s="13">
        <v>13</v>
      </c>
      <c r="BO12" s="13"/>
      <c r="BP12" s="13"/>
      <c r="BQ12" s="88" t="s">
        <v>24</v>
      </c>
      <c r="BR12" s="89">
        <f t="shared" si="12"/>
        <v>6</v>
      </c>
      <c r="BS12" s="90">
        <f t="shared" si="13"/>
        <v>34</v>
      </c>
      <c r="BT12" s="91" t="str">
        <f t="shared" si="14"/>
        <v>NONO BRUNO</v>
      </c>
      <c r="BU12" s="92">
        <f t="shared" si="15"/>
        <v>41</v>
      </c>
      <c r="BV12" s="93" t="str">
        <f t="shared" si="16"/>
        <v>ALAIN ALCIDE</v>
      </c>
      <c r="BW12" s="94"/>
      <c r="BX12" s="94"/>
      <c r="CA12" s="95">
        <v>8</v>
      </c>
      <c r="CB12" s="97">
        <v>13</v>
      </c>
      <c r="CC12" s="1">
        <v>12</v>
      </c>
      <c r="CD12" s="1" t="s">
        <v>28</v>
      </c>
      <c r="CI12" s="1" t="s">
        <v>2</v>
      </c>
      <c r="CL12" s="28">
        <v>12</v>
      </c>
      <c r="CN12" s="55"/>
      <c r="CO12" s="56"/>
      <c r="CP12" s="57"/>
      <c r="CQ12" s="58"/>
      <c r="CR12" s="59"/>
      <c r="CS12" s="56"/>
      <c r="CT12" s="60"/>
      <c r="CU12" s="61"/>
      <c r="CV12" s="62"/>
      <c r="CW12" s="62"/>
      <c r="CZ12" s="55"/>
      <c r="DA12" s="56"/>
      <c r="DB12" s="57"/>
      <c r="DC12" s="58"/>
      <c r="DD12" s="59"/>
      <c r="DE12" s="56"/>
      <c r="DF12" s="60"/>
      <c r="DG12" s="61"/>
      <c r="DH12" s="62"/>
      <c r="DI12" s="62"/>
    </row>
    <row r="13" spans="2:116" ht="20.25" customHeight="1">
      <c r="B13" s="37">
        <v>8</v>
      </c>
      <c r="C13" s="38" t="s">
        <v>15</v>
      </c>
      <c r="D13" s="87">
        <v>9</v>
      </c>
      <c r="E13" s="40"/>
      <c r="F13" s="98" t="s">
        <v>20</v>
      </c>
      <c r="G13" s="42" t="s">
        <v>15</v>
      </c>
      <c r="H13" s="43">
        <v>4</v>
      </c>
      <c r="I13" s="44"/>
      <c r="J13" s="45" t="s">
        <v>2</v>
      </c>
      <c r="K13" s="46">
        <v>13</v>
      </c>
      <c r="L13" s="46">
        <v>7</v>
      </c>
      <c r="M13" s="47" t="s">
        <v>15</v>
      </c>
      <c r="N13" s="48">
        <v>23</v>
      </c>
      <c r="O13" s="49"/>
      <c r="P13" s="50" t="s">
        <v>31</v>
      </c>
      <c r="Q13" s="51" t="s">
        <v>15</v>
      </c>
      <c r="R13" s="48">
        <v>9</v>
      </c>
      <c r="S13" s="52"/>
      <c r="T13" s="53" t="s">
        <v>20</v>
      </c>
      <c r="U13" s="54">
        <v>13</v>
      </c>
      <c r="V13" s="54">
        <v>9</v>
      </c>
      <c r="W13" s="55"/>
      <c r="X13" s="56"/>
      <c r="Y13" s="57"/>
      <c r="Z13" s="61"/>
      <c r="AA13" s="59"/>
      <c r="AB13" s="56"/>
      <c r="AC13" s="60"/>
      <c r="AD13" s="61"/>
      <c r="AE13" s="62"/>
      <c r="AF13" s="62"/>
      <c r="AG13" s="63"/>
      <c r="AH13" s="64" t="str">
        <f t="shared" si="0"/>
        <v/>
      </c>
      <c r="AI13" s="65"/>
      <c r="AJ13" s="66" t="str">
        <f t="shared" si="1"/>
        <v/>
      </c>
      <c r="AK13" s="66"/>
      <c r="AL13" s="64" t="str">
        <f t="shared" si="2"/>
        <v/>
      </c>
      <c r="AM13" s="67"/>
      <c r="AN13" s="66" t="str">
        <f t="shared" si="3"/>
        <v/>
      </c>
      <c r="AO13" s="68"/>
      <c r="AP13" s="68"/>
      <c r="AQ13" s="69"/>
      <c r="AR13" s="70">
        <f t="shared" si="4"/>
        <v>0</v>
      </c>
      <c r="AS13" s="71"/>
      <c r="AT13" s="72" t="str">
        <f t="shared" si="5"/>
        <v/>
      </c>
      <c r="AU13" s="72"/>
      <c r="AV13" s="73">
        <f t="shared" si="6"/>
        <v>0</v>
      </c>
      <c r="AW13" s="74"/>
      <c r="AX13" s="72" t="str">
        <f t="shared" si="7"/>
        <v/>
      </c>
      <c r="AY13" s="75"/>
      <c r="AZ13" s="75"/>
      <c r="BA13" s="76"/>
      <c r="BB13" s="77">
        <f t="shared" si="8"/>
        <v>0</v>
      </c>
      <c r="BC13" s="78"/>
      <c r="BD13" s="79" t="str">
        <f t="shared" si="9"/>
        <v/>
      </c>
      <c r="BE13" s="79"/>
      <c r="BF13" s="77">
        <f t="shared" si="10"/>
        <v>0</v>
      </c>
      <c r="BG13" s="80"/>
      <c r="BH13" s="79" t="str">
        <f t="shared" si="11"/>
        <v/>
      </c>
      <c r="BI13" s="81"/>
      <c r="BJ13" s="81"/>
      <c r="BK13" s="9"/>
      <c r="BM13" s="12">
        <v>13</v>
      </c>
      <c r="BN13" s="13">
        <v>21</v>
      </c>
      <c r="BO13" s="13"/>
      <c r="BP13" s="13"/>
      <c r="BQ13" s="88" t="s">
        <v>24</v>
      </c>
      <c r="BR13" s="89">
        <f t="shared" si="12"/>
        <v>7</v>
      </c>
      <c r="BS13" s="90">
        <f t="shared" si="13"/>
        <v>51</v>
      </c>
      <c r="BT13" s="91" t="str">
        <f t="shared" si="14"/>
        <v>BEAUDOUIN</v>
      </c>
      <c r="BU13" s="92">
        <f t="shared" si="15"/>
        <v>45</v>
      </c>
      <c r="BV13" s="93" t="str">
        <f t="shared" si="16"/>
        <v>RENAUD</v>
      </c>
      <c r="BW13" s="94"/>
      <c r="BX13" s="94"/>
      <c r="CA13" s="95">
        <v>41</v>
      </c>
      <c r="CB13" s="97">
        <v>43</v>
      </c>
      <c r="CC13" s="1">
        <v>13</v>
      </c>
      <c r="CD13" s="1" t="s">
        <v>25</v>
      </c>
      <c r="CI13" s="1" t="s">
        <v>28</v>
      </c>
      <c r="CL13" s="28">
        <v>13</v>
      </c>
      <c r="CN13" s="55"/>
      <c r="CO13" s="56"/>
      <c r="CP13" s="57"/>
      <c r="CQ13" s="61"/>
      <c r="CR13" s="59"/>
      <c r="CS13" s="56"/>
      <c r="CT13" s="60"/>
      <c r="CU13" s="61"/>
      <c r="CV13" s="62"/>
      <c r="CW13" s="62"/>
      <c r="CZ13" s="55"/>
      <c r="DA13" s="56"/>
      <c r="DB13" s="57"/>
      <c r="DC13" s="61"/>
      <c r="DD13" s="59"/>
      <c r="DE13" s="56"/>
      <c r="DF13" s="60"/>
      <c r="DG13" s="61"/>
      <c r="DH13" s="62"/>
      <c r="DI13" s="62"/>
    </row>
    <row r="14" spans="2:116" ht="20.25" customHeight="1">
      <c r="B14" s="37">
        <v>9</v>
      </c>
      <c r="C14" s="38" t="s">
        <v>15</v>
      </c>
      <c r="D14" s="87">
        <v>31</v>
      </c>
      <c r="E14" s="40"/>
      <c r="F14" s="98" t="s">
        <v>39</v>
      </c>
      <c r="G14" s="42" t="s">
        <v>15</v>
      </c>
      <c r="H14" s="43">
        <v>37</v>
      </c>
      <c r="I14" s="44"/>
      <c r="J14" s="45" t="s">
        <v>40</v>
      </c>
      <c r="K14" s="46">
        <v>13</v>
      </c>
      <c r="L14" s="46">
        <v>7</v>
      </c>
      <c r="M14" s="47" t="s">
        <v>15</v>
      </c>
      <c r="N14" s="48">
        <v>25</v>
      </c>
      <c r="O14" s="49"/>
      <c r="P14" s="50" t="s">
        <v>30</v>
      </c>
      <c r="Q14" s="51" t="s">
        <v>15</v>
      </c>
      <c r="R14" s="48">
        <v>22</v>
      </c>
      <c r="S14" s="52"/>
      <c r="T14" s="53" t="s">
        <v>41</v>
      </c>
      <c r="U14" s="54">
        <v>13</v>
      </c>
      <c r="V14" s="54">
        <v>9</v>
      </c>
      <c r="W14" s="55"/>
      <c r="X14" s="56"/>
      <c r="Y14" s="57"/>
      <c r="Z14" s="61"/>
      <c r="AA14" s="59"/>
      <c r="AB14" s="56"/>
      <c r="AC14" s="60"/>
      <c r="AD14" s="61"/>
      <c r="AE14" s="62"/>
      <c r="AF14" s="62"/>
      <c r="AG14" s="63"/>
      <c r="AH14" s="64" t="str">
        <f t="shared" si="0"/>
        <v/>
      </c>
      <c r="AI14" s="65"/>
      <c r="AJ14" s="66" t="str">
        <f t="shared" si="1"/>
        <v/>
      </c>
      <c r="AK14" s="66"/>
      <c r="AL14" s="64" t="str">
        <f t="shared" si="2"/>
        <v/>
      </c>
      <c r="AM14" s="67"/>
      <c r="AN14" s="66" t="str">
        <f t="shared" si="3"/>
        <v/>
      </c>
      <c r="AO14" s="68"/>
      <c r="AP14" s="68"/>
      <c r="AQ14" s="69"/>
      <c r="AR14" s="70">
        <f t="shared" si="4"/>
        <v>0</v>
      </c>
      <c r="AS14" s="71"/>
      <c r="AT14" s="72" t="str">
        <f t="shared" si="5"/>
        <v/>
      </c>
      <c r="AU14" s="72"/>
      <c r="AV14" s="73">
        <f t="shared" si="6"/>
        <v>0</v>
      </c>
      <c r="AW14" s="74"/>
      <c r="AX14" s="72" t="str">
        <f t="shared" si="7"/>
        <v/>
      </c>
      <c r="AY14" s="75"/>
      <c r="AZ14" s="75"/>
      <c r="BA14" s="76"/>
      <c r="BB14" s="77">
        <f t="shared" si="8"/>
        <v>0</v>
      </c>
      <c r="BC14" s="78"/>
      <c r="BD14" s="79" t="str">
        <f t="shared" si="9"/>
        <v/>
      </c>
      <c r="BE14" s="79"/>
      <c r="BF14" s="77">
        <f t="shared" si="10"/>
        <v>0</v>
      </c>
      <c r="BG14" s="80"/>
      <c r="BH14" s="79" t="str">
        <f t="shared" si="11"/>
        <v/>
      </c>
      <c r="BI14" s="81"/>
      <c r="BJ14" s="81"/>
      <c r="BK14" s="9"/>
      <c r="BM14" s="12">
        <v>14</v>
      </c>
      <c r="BN14" s="13">
        <v>13</v>
      </c>
      <c r="BO14" s="13"/>
      <c r="BP14" s="13"/>
      <c r="BQ14" s="88" t="s">
        <v>24</v>
      </c>
      <c r="BR14" s="89">
        <f t="shared" si="12"/>
        <v>8</v>
      </c>
      <c r="BS14" s="90">
        <f t="shared" si="13"/>
        <v>9</v>
      </c>
      <c r="BT14" s="91" t="str">
        <f t="shared" si="14"/>
        <v>JEAN CLAUDE BEBEL</v>
      </c>
      <c r="BU14" s="92">
        <f t="shared" si="15"/>
        <v>4</v>
      </c>
      <c r="BV14" s="93" t="str">
        <f t="shared" si="16"/>
        <v>COLETTE</v>
      </c>
      <c r="BW14" s="94"/>
      <c r="BX14" s="94"/>
      <c r="CA14" s="95">
        <v>20</v>
      </c>
      <c r="CB14" s="97">
        <v>4</v>
      </c>
      <c r="CC14" s="1">
        <v>14</v>
      </c>
      <c r="CD14" s="1" t="s">
        <v>5</v>
      </c>
      <c r="CI14" s="1" t="s">
        <v>12</v>
      </c>
      <c r="CL14" s="28">
        <v>14</v>
      </c>
      <c r="CN14" s="99" t="s">
        <v>42</v>
      </c>
      <c r="CO14" s="99"/>
      <c r="CP14" s="99"/>
      <c r="CQ14" s="99"/>
      <c r="CR14" s="99"/>
      <c r="CS14" s="99"/>
      <c r="CT14" s="99"/>
      <c r="CU14" s="99"/>
      <c r="CV14" s="99"/>
      <c r="CW14" s="99"/>
      <c r="CZ14" s="55"/>
      <c r="DA14" s="56"/>
      <c r="DB14" s="57"/>
      <c r="DC14" s="61"/>
      <c r="DD14" s="59"/>
      <c r="DE14" s="56"/>
      <c r="DF14" s="60"/>
      <c r="DG14" s="61"/>
      <c r="DH14" s="62"/>
      <c r="DI14" s="62"/>
    </row>
    <row r="15" spans="2:116" ht="20.25" customHeight="1">
      <c r="B15" s="37">
        <v>10</v>
      </c>
      <c r="C15" s="38" t="s">
        <v>15</v>
      </c>
      <c r="D15" s="87">
        <v>24</v>
      </c>
      <c r="E15" s="40"/>
      <c r="F15" s="98" t="s">
        <v>43</v>
      </c>
      <c r="G15" s="42" t="s">
        <v>15</v>
      </c>
      <c r="H15" s="43">
        <v>43</v>
      </c>
      <c r="I15" s="44"/>
      <c r="J15" s="45" t="s">
        <v>44</v>
      </c>
      <c r="K15" s="46">
        <v>13</v>
      </c>
      <c r="L15" s="46">
        <v>7</v>
      </c>
      <c r="M15" s="47" t="s">
        <v>15</v>
      </c>
      <c r="N15" s="48">
        <v>7</v>
      </c>
      <c r="O15" s="49"/>
      <c r="P15" s="50" t="s">
        <v>16</v>
      </c>
      <c r="Q15" s="51" t="s">
        <v>15</v>
      </c>
      <c r="R15" s="48">
        <v>24</v>
      </c>
      <c r="S15" s="52"/>
      <c r="T15" s="53" t="s">
        <v>43</v>
      </c>
      <c r="U15" s="54">
        <v>13</v>
      </c>
      <c r="V15" s="54">
        <v>9</v>
      </c>
      <c r="W15" s="55"/>
      <c r="X15" s="56"/>
      <c r="Y15" s="57"/>
      <c r="Z15" s="61"/>
      <c r="AA15" s="59"/>
      <c r="AB15" s="56"/>
      <c r="AC15" s="60"/>
      <c r="AD15" s="61"/>
      <c r="AE15" s="62"/>
      <c r="AF15" s="62"/>
      <c r="AG15" s="63"/>
      <c r="AH15" s="64" t="str">
        <f t="shared" si="0"/>
        <v/>
      </c>
      <c r="AI15" s="65"/>
      <c r="AJ15" s="66" t="str">
        <f t="shared" si="1"/>
        <v/>
      </c>
      <c r="AK15" s="66"/>
      <c r="AL15" s="64" t="str">
        <f t="shared" si="2"/>
        <v/>
      </c>
      <c r="AM15" s="67"/>
      <c r="AN15" s="66" t="str">
        <f t="shared" si="3"/>
        <v/>
      </c>
      <c r="AO15" s="68"/>
      <c r="AP15" s="68"/>
      <c r="AQ15" s="69"/>
      <c r="AR15" s="70">
        <f t="shared" si="4"/>
        <v>0</v>
      </c>
      <c r="AS15" s="71"/>
      <c r="AT15" s="72" t="str">
        <f t="shared" si="5"/>
        <v/>
      </c>
      <c r="AU15" s="72"/>
      <c r="AV15" s="73">
        <f t="shared" si="6"/>
        <v>0</v>
      </c>
      <c r="AW15" s="74"/>
      <c r="AX15" s="72" t="str">
        <f t="shared" si="7"/>
        <v/>
      </c>
      <c r="AY15" s="75"/>
      <c r="AZ15" s="75"/>
      <c r="BA15" s="76"/>
      <c r="BB15" s="77">
        <f t="shared" si="8"/>
        <v>0</v>
      </c>
      <c r="BC15" s="78"/>
      <c r="BD15" s="79" t="str">
        <f t="shared" si="9"/>
        <v/>
      </c>
      <c r="BE15" s="79"/>
      <c r="BF15" s="77">
        <f t="shared" si="10"/>
        <v>0</v>
      </c>
      <c r="BG15" s="80"/>
      <c r="BH15" s="79" t="str">
        <f t="shared" si="11"/>
        <v/>
      </c>
      <c r="BI15" s="81"/>
      <c r="BJ15" s="81"/>
      <c r="BK15" s="9"/>
      <c r="BM15" s="12">
        <v>15</v>
      </c>
      <c r="BO15" s="13"/>
      <c r="BP15" s="13"/>
      <c r="BQ15" s="88" t="s">
        <v>24</v>
      </c>
      <c r="BR15" s="89">
        <f t="shared" si="12"/>
        <v>9</v>
      </c>
      <c r="BS15" s="90">
        <f t="shared" si="13"/>
        <v>31</v>
      </c>
      <c r="BT15" s="91" t="str">
        <f t="shared" si="14"/>
        <v>VERO JEAN</v>
      </c>
      <c r="BU15" s="92">
        <f t="shared" si="15"/>
        <v>37</v>
      </c>
      <c r="BV15" s="93" t="str">
        <f t="shared" si="16"/>
        <v>DOMINIQUE CHRISTIAN</v>
      </c>
      <c r="BW15" s="94"/>
      <c r="BX15" s="94"/>
      <c r="CA15" s="95">
        <v>3</v>
      </c>
      <c r="CB15" s="97">
        <v>24</v>
      </c>
      <c r="CC15" s="1">
        <v>15</v>
      </c>
      <c r="CD15" s="1" t="s">
        <v>4</v>
      </c>
      <c r="CI15" s="1" t="s">
        <v>1</v>
      </c>
      <c r="CL15" s="28">
        <v>15</v>
      </c>
      <c r="CN15" s="100"/>
      <c r="CO15" s="101"/>
      <c r="CP15" s="102"/>
      <c r="CQ15" s="103"/>
      <c r="CR15" s="104"/>
      <c r="CS15" s="101"/>
      <c r="CT15" s="105"/>
      <c r="CU15" s="106"/>
      <c r="CV15" s="107"/>
      <c r="CW15" s="107"/>
      <c r="CZ15" s="55"/>
      <c r="DA15" s="56"/>
      <c r="DB15" s="57"/>
      <c r="DC15" s="61"/>
      <c r="DD15" s="59"/>
      <c r="DE15" s="56"/>
      <c r="DF15" s="60"/>
      <c r="DG15" s="61"/>
      <c r="DH15" s="62"/>
      <c r="DI15" s="62"/>
    </row>
    <row r="16" spans="2:116" ht="20.25" customHeight="1">
      <c r="B16" s="37">
        <v>11</v>
      </c>
      <c r="C16" s="38" t="s">
        <v>15</v>
      </c>
      <c r="D16" s="87">
        <v>36</v>
      </c>
      <c r="E16" s="40"/>
      <c r="F16" s="98" t="s">
        <v>45</v>
      </c>
      <c r="G16" s="42" t="s">
        <v>15</v>
      </c>
      <c r="H16" s="43">
        <v>8</v>
      </c>
      <c r="I16" s="44"/>
      <c r="J16" s="45" t="s">
        <v>23</v>
      </c>
      <c r="K16" s="46">
        <v>13</v>
      </c>
      <c r="L16" s="46">
        <v>7</v>
      </c>
      <c r="M16" s="47" t="s">
        <v>15</v>
      </c>
      <c r="N16" s="48">
        <v>3</v>
      </c>
      <c r="O16" s="49"/>
      <c r="P16" s="50" t="s">
        <v>3</v>
      </c>
      <c r="Q16" s="51" t="s">
        <v>15</v>
      </c>
      <c r="R16" s="48">
        <v>18</v>
      </c>
      <c r="S16" s="52"/>
      <c r="T16" s="53" t="s">
        <v>46</v>
      </c>
      <c r="U16" s="54">
        <v>7</v>
      </c>
      <c r="V16" s="54">
        <v>13</v>
      </c>
      <c r="W16" s="55"/>
      <c r="X16" s="56"/>
      <c r="Y16" s="57"/>
      <c r="Z16" s="61"/>
      <c r="AA16" s="59"/>
      <c r="AB16" s="56"/>
      <c r="AC16" s="60"/>
      <c r="AD16" s="61"/>
      <c r="AE16" s="62"/>
      <c r="AF16" s="62"/>
      <c r="AG16" s="63"/>
      <c r="AH16" s="64" t="str">
        <f t="shared" si="0"/>
        <v/>
      </c>
      <c r="AI16" s="65"/>
      <c r="AJ16" s="66" t="str">
        <f t="shared" si="1"/>
        <v/>
      </c>
      <c r="AK16" s="66"/>
      <c r="AL16" s="64" t="str">
        <f t="shared" si="2"/>
        <v/>
      </c>
      <c r="AM16" s="67"/>
      <c r="AN16" s="66" t="str">
        <f t="shared" si="3"/>
        <v/>
      </c>
      <c r="AO16" s="68"/>
      <c r="AP16" s="68"/>
      <c r="AQ16" s="69"/>
      <c r="AR16" s="70">
        <f t="shared" si="4"/>
        <v>0</v>
      </c>
      <c r="AS16" s="71"/>
      <c r="AT16" s="72" t="str">
        <f t="shared" si="5"/>
        <v/>
      </c>
      <c r="AU16" s="72"/>
      <c r="AV16" s="73">
        <f t="shared" si="6"/>
        <v>0</v>
      </c>
      <c r="AW16" s="74"/>
      <c r="AX16" s="72" t="str">
        <f t="shared" si="7"/>
        <v/>
      </c>
      <c r="AY16" s="75"/>
      <c r="AZ16" s="75"/>
      <c r="BA16" s="76"/>
      <c r="BB16" s="77">
        <f t="shared" si="8"/>
        <v>0</v>
      </c>
      <c r="BC16" s="78"/>
      <c r="BD16" s="79" t="str">
        <f t="shared" si="9"/>
        <v/>
      </c>
      <c r="BE16" s="79"/>
      <c r="BF16" s="77">
        <f t="shared" si="10"/>
        <v>0</v>
      </c>
      <c r="BG16" s="80"/>
      <c r="BH16" s="79" t="str">
        <f t="shared" si="11"/>
        <v/>
      </c>
      <c r="BI16" s="81"/>
      <c r="BJ16" s="81"/>
      <c r="BK16" s="9"/>
      <c r="BM16" s="12">
        <v>16</v>
      </c>
      <c r="BN16" s="13">
        <v>13</v>
      </c>
      <c r="BO16" s="13"/>
      <c r="BP16" s="13"/>
      <c r="BQ16" s="88" t="s">
        <v>24</v>
      </c>
      <c r="BR16" s="89">
        <f t="shared" si="12"/>
        <v>10</v>
      </c>
      <c r="BS16" s="90">
        <f t="shared" si="13"/>
        <v>24</v>
      </c>
      <c r="BT16" s="91" t="str">
        <f t="shared" si="14"/>
        <v>PACO FRANCOIS</v>
      </c>
      <c r="BU16" s="92">
        <f t="shared" si="15"/>
        <v>43</v>
      </c>
      <c r="BV16" s="93" t="str">
        <f t="shared" si="16"/>
        <v>DAVID MICHEL</v>
      </c>
      <c r="BW16" s="94"/>
      <c r="BX16" s="94"/>
      <c r="CA16" s="95">
        <v>17</v>
      </c>
      <c r="CB16" s="97">
        <v>26</v>
      </c>
      <c r="CC16" s="1">
        <v>16</v>
      </c>
      <c r="CD16" s="1" t="s">
        <v>36</v>
      </c>
      <c r="CI16" s="1" t="s">
        <v>19</v>
      </c>
      <c r="CL16" s="28">
        <v>16</v>
      </c>
      <c r="CN16" s="100"/>
      <c r="CO16" s="101"/>
      <c r="CP16" s="102"/>
      <c r="CQ16" s="103"/>
      <c r="CR16" s="104"/>
      <c r="CS16" s="101"/>
      <c r="CT16" s="105"/>
      <c r="CU16" s="106"/>
      <c r="CV16" s="107"/>
      <c r="CW16" s="107"/>
      <c r="CZ16" s="55"/>
      <c r="DA16" s="56"/>
      <c r="DB16" s="57"/>
      <c r="DC16" s="61"/>
      <c r="DD16" s="59"/>
      <c r="DE16" s="56"/>
      <c r="DF16" s="60"/>
      <c r="DG16" s="61"/>
      <c r="DH16" s="62"/>
      <c r="DI16" s="62"/>
    </row>
    <row r="17" spans="2:113" ht="20.25">
      <c r="B17" s="37">
        <v>12</v>
      </c>
      <c r="C17" s="38" t="s">
        <v>15</v>
      </c>
      <c r="D17" s="87">
        <v>44</v>
      </c>
      <c r="E17" s="40"/>
      <c r="F17" s="98" t="s">
        <v>47</v>
      </c>
      <c r="G17" s="42" t="s">
        <v>15</v>
      </c>
      <c r="H17" s="43">
        <v>46</v>
      </c>
      <c r="I17" s="44"/>
      <c r="J17" s="45" t="s">
        <v>48</v>
      </c>
      <c r="K17" s="46">
        <v>13</v>
      </c>
      <c r="L17" s="46">
        <v>7</v>
      </c>
      <c r="M17" s="47" t="s">
        <v>15</v>
      </c>
      <c r="N17" s="48">
        <v>13</v>
      </c>
      <c r="O17" s="49"/>
      <c r="P17" s="50" t="s">
        <v>25</v>
      </c>
      <c r="Q17" s="51" t="s">
        <v>15</v>
      </c>
      <c r="R17" s="48">
        <v>15</v>
      </c>
      <c r="S17" s="52"/>
      <c r="T17" s="53" t="s">
        <v>4</v>
      </c>
      <c r="U17" s="54">
        <v>7</v>
      </c>
      <c r="V17" s="54">
        <v>13</v>
      </c>
      <c r="W17" s="55"/>
      <c r="X17" s="56"/>
      <c r="Y17" s="57"/>
      <c r="Z17" s="61"/>
      <c r="AA17" s="59"/>
      <c r="AB17" s="56"/>
      <c r="AC17" s="60"/>
      <c r="AD17" s="61"/>
      <c r="AE17" s="62"/>
      <c r="AF17" s="62"/>
      <c r="AG17" s="63"/>
      <c r="AH17" s="64" t="str">
        <f t="shared" si="0"/>
        <v/>
      </c>
      <c r="AI17" s="65"/>
      <c r="AJ17" s="66" t="str">
        <f t="shared" si="1"/>
        <v/>
      </c>
      <c r="AK17" s="66"/>
      <c r="AL17" s="64" t="str">
        <f t="shared" si="2"/>
        <v/>
      </c>
      <c r="AM17" s="67"/>
      <c r="AN17" s="66" t="str">
        <f t="shared" si="3"/>
        <v/>
      </c>
      <c r="AO17" s="68"/>
      <c r="AP17" s="68"/>
      <c r="AQ17" s="69"/>
      <c r="AR17" s="70">
        <f t="shared" si="4"/>
        <v>0</v>
      </c>
      <c r="AS17" s="71"/>
      <c r="AT17" s="72" t="str">
        <f t="shared" si="5"/>
        <v/>
      </c>
      <c r="AU17" s="72"/>
      <c r="AV17" s="73">
        <f t="shared" si="6"/>
        <v>0</v>
      </c>
      <c r="AW17" s="74"/>
      <c r="AX17" s="72" t="str">
        <f t="shared" si="7"/>
        <v/>
      </c>
      <c r="AY17" s="75"/>
      <c r="AZ17" s="75"/>
      <c r="BA17" s="76"/>
      <c r="BB17" s="77">
        <f t="shared" si="8"/>
        <v>0</v>
      </c>
      <c r="BC17" s="78"/>
      <c r="BD17" s="79" t="str">
        <f t="shared" si="9"/>
        <v/>
      </c>
      <c r="BE17" s="79"/>
      <c r="BF17" s="77">
        <f t="shared" si="10"/>
        <v>0</v>
      </c>
      <c r="BG17" s="80"/>
      <c r="BH17" s="79" t="str">
        <f t="shared" si="11"/>
        <v/>
      </c>
      <c r="BI17" s="81"/>
      <c r="BJ17" s="81"/>
      <c r="BK17" s="9"/>
      <c r="BM17" s="12">
        <v>17</v>
      </c>
      <c r="BO17" s="13"/>
      <c r="BP17" s="13"/>
      <c r="BQ17" s="88" t="s">
        <v>24</v>
      </c>
      <c r="BR17" s="89">
        <f t="shared" si="12"/>
        <v>11</v>
      </c>
      <c r="BS17" s="90">
        <f t="shared" si="13"/>
        <v>36</v>
      </c>
      <c r="BT17" s="91" t="str">
        <f t="shared" si="14"/>
        <v>BOUBOU GEGE</v>
      </c>
      <c r="BU17" s="92">
        <f t="shared" si="15"/>
        <v>8</v>
      </c>
      <c r="BV17" s="93" t="str">
        <f t="shared" si="16"/>
        <v>JEAN NOEL - G G</v>
      </c>
      <c r="BW17" s="94"/>
      <c r="BX17" s="94"/>
      <c r="CA17" s="95">
        <v>9</v>
      </c>
      <c r="CB17" s="97">
        <v>7</v>
      </c>
      <c r="CC17" s="1">
        <v>17</v>
      </c>
      <c r="CD17" s="1" t="s">
        <v>21</v>
      </c>
      <c r="CI17" s="1" t="s">
        <v>36</v>
      </c>
      <c r="CL17" s="28">
        <v>17</v>
      </c>
      <c r="CN17" s="100"/>
      <c r="CO17" s="101"/>
      <c r="CP17" s="102"/>
      <c r="CQ17" s="103"/>
      <c r="CR17" s="104"/>
      <c r="CS17" s="101"/>
      <c r="CT17" s="105"/>
      <c r="CU17" s="106"/>
      <c r="CV17" s="107"/>
      <c r="CW17" s="107"/>
      <c r="CZ17" s="55"/>
      <c r="DA17" s="56"/>
      <c r="DB17" s="57"/>
      <c r="DC17" s="61"/>
      <c r="DD17" s="59"/>
      <c r="DE17" s="56"/>
      <c r="DF17" s="60"/>
      <c r="DG17" s="61"/>
      <c r="DH17" s="62"/>
      <c r="DI17" s="62"/>
    </row>
    <row r="18" spans="2:113" ht="20.25">
      <c r="B18" s="37">
        <v>13</v>
      </c>
      <c r="C18" s="38" t="s">
        <v>15</v>
      </c>
      <c r="D18" s="87">
        <v>49</v>
      </c>
      <c r="E18" s="40"/>
      <c r="F18" s="98" t="s">
        <v>49</v>
      </c>
      <c r="G18" s="42" t="s">
        <v>15</v>
      </c>
      <c r="H18" s="43">
        <v>14</v>
      </c>
      <c r="I18" s="44"/>
      <c r="J18" s="45" t="s">
        <v>5</v>
      </c>
      <c r="K18" s="46">
        <v>13</v>
      </c>
      <c r="L18" s="46">
        <v>7</v>
      </c>
      <c r="M18" s="47" t="s">
        <v>15</v>
      </c>
      <c r="N18" s="48">
        <v>12</v>
      </c>
      <c r="O18" s="49"/>
      <c r="P18" s="50" t="s">
        <v>28</v>
      </c>
      <c r="Q18" s="51" t="s">
        <v>15</v>
      </c>
      <c r="R18" s="48">
        <v>6</v>
      </c>
      <c r="S18" s="52"/>
      <c r="T18" s="53" t="s">
        <v>19</v>
      </c>
      <c r="U18" s="54">
        <v>7</v>
      </c>
      <c r="V18" s="54">
        <v>13</v>
      </c>
      <c r="W18" s="55"/>
      <c r="X18" s="56"/>
      <c r="Y18" s="57"/>
      <c r="Z18" s="61"/>
      <c r="AA18" s="59"/>
      <c r="AB18" s="56"/>
      <c r="AC18" s="60"/>
      <c r="AD18" s="61"/>
      <c r="AE18" s="62"/>
      <c r="AF18" s="62"/>
      <c r="AG18" s="63"/>
      <c r="AH18" s="64" t="str">
        <f t="shared" si="0"/>
        <v/>
      </c>
      <c r="AI18" s="65"/>
      <c r="AJ18" s="66" t="str">
        <f t="shared" si="1"/>
        <v/>
      </c>
      <c r="AK18" s="66"/>
      <c r="AL18" s="64" t="str">
        <f t="shared" si="2"/>
        <v/>
      </c>
      <c r="AM18" s="67"/>
      <c r="AN18" s="66" t="str">
        <f t="shared" si="3"/>
        <v/>
      </c>
      <c r="AO18" s="68"/>
      <c r="AP18" s="68"/>
      <c r="AQ18" s="69"/>
      <c r="AR18" s="70">
        <f t="shared" si="4"/>
        <v>0</v>
      </c>
      <c r="AS18" s="71"/>
      <c r="AT18" s="72" t="str">
        <f t="shared" si="5"/>
        <v/>
      </c>
      <c r="AU18" s="72"/>
      <c r="AV18" s="73">
        <f t="shared" si="6"/>
        <v>0</v>
      </c>
      <c r="AW18" s="74"/>
      <c r="AX18" s="72" t="str">
        <f t="shared" si="7"/>
        <v/>
      </c>
      <c r="AY18" s="75"/>
      <c r="AZ18" s="75"/>
      <c r="BA18" s="76"/>
      <c r="BB18" s="77">
        <f t="shared" si="8"/>
        <v>0</v>
      </c>
      <c r="BC18" s="78"/>
      <c r="BD18" s="79" t="str">
        <f t="shared" si="9"/>
        <v/>
      </c>
      <c r="BE18" s="79"/>
      <c r="BF18" s="77">
        <f t="shared" si="10"/>
        <v>0</v>
      </c>
      <c r="BG18" s="80"/>
      <c r="BH18" s="79" t="str">
        <f t="shared" si="11"/>
        <v/>
      </c>
      <c r="BI18" s="81"/>
      <c r="BJ18" s="81"/>
      <c r="BK18" s="9"/>
      <c r="BM18" s="12">
        <v>18</v>
      </c>
      <c r="BO18" s="13"/>
      <c r="BP18" s="13"/>
      <c r="BQ18" s="88" t="s">
        <v>24</v>
      </c>
      <c r="BR18" s="89">
        <f t="shared" si="12"/>
        <v>12</v>
      </c>
      <c r="BS18" s="90">
        <f t="shared" si="13"/>
        <v>44</v>
      </c>
      <c r="BT18" s="91" t="str">
        <f t="shared" si="14"/>
        <v>PATRICK ROGER</v>
      </c>
      <c r="BU18" s="92">
        <f t="shared" si="15"/>
        <v>46</v>
      </c>
      <c r="BV18" s="93" t="str">
        <f t="shared" si="16"/>
        <v xml:space="preserve">SERGE  </v>
      </c>
      <c r="BW18" s="94"/>
      <c r="BX18" s="94"/>
      <c r="CA18" s="95">
        <v>28</v>
      </c>
      <c r="CB18" s="97">
        <v>27</v>
      </c>
      <c r="CC18" s="1">
        <v>18</v>
      </c>
      <c r="CD18" s="1" t="s">
        <v>46</v>
      </c>
      <c r="CI18" s="1" t="s">
        <v>0</v>
      </c>
      <c r="CL18" s="28">
        <v>18</v>
      </c>
      <c r="CN18" s="100"/>
      <c r="CO18" s="101"/>
      <c r="CP18" s="102"/>
      <c r="CQ18" s="103"/>
      <c r="CR18" s="104"/>
      <c r="CS18" s="101"/>
      <c r="CT18" s="105"/>
      <c r="CU18" s="106"/>
      <c r="CV18" s="107"/>
      <c r="CW18" s="107"/>
      <c r="CZ18" s="55"/>
      <c r="DA18" s="56"/>
      <c r="DB18" s="57"/>
      <c r="DC18" s="61"/>
      <c r="DD18" s="59"/>
      <c r="DE18" s="56"/>
      <c r="DF18" s="60"/>
      <c r="DG18" s="61"/>
      <c r="DH18" s="62"/>
      <c r="DI18" s="62"/>
    </row>
    <row r="19" spans="2:113" ht="20.25">
      <c r="B19" s="37">
        <v>14</v>
      </c>
      <c r="C19" s="38" t="s">
        <v>15</v>
      </c>
      <c r="D19" s="87">
        <v>39</v>
      </c>
      <c r="E19" s="40"/>
      <c r="F19" s="98" t="s">
        <v>50</v>
      </c>
      <c r="G19" s="42" t="s">
        <v>15</v>
      </c>
      <c r="H19" s="43">
        <v>16</v>
      </c>
      <c r="I19" s="44"/>
      <c r="J19" s="45" t="s">
        <v>36</v>
      </c>
      <c r="K19" s="46">
        <v>13</v>
      </c>
      <c r="L19" s="46">
        <v>7</v>
      </c>
      <c r="M19" s="47"/>
      <c r="N19" s="48"/>
      <c r="O19" s="49"/>
      <c r="P19" s="50"/>
      <c r="Q19" s="51"/>
      <c r="R19" s="48"/>
      <c r="S19" s="52"/>
      <c r="T19" s="53"/>
      <c r="U19" s="54"/>
      <c r="V19" s="54"/>
      <c r="W19" s="55"/>
      <c r="X19" s="56"/>
      <c r="Y19" s="57"/>
      <c r="Z19" s="61"/>
      <c r="AA19" s="59"/>
      <c r="AB19" s="56"/>
      <c r="AC19" s="60"/>
      <c r="AD19" s="61"/>
      <c r="AE19" s="62"/>
      <c r="AF19" s="62"/>
      <c r="AG19" s="63"/>
      <c r="AH19" s="64" t="str">
        <f t="shared" si="0"/>
        <v/>
      </c>
      <c r="AI19" s="65"/>
      <c r="AJ19" s="66" t="str">
        <f t="shared" si="1"/>
        <v/>
      </c>
      <c r="AK19" s="66"/>
      <c r="AL19" s="64" t="str">
        <f t="shared" si="2"/>
        <v/>
      </c>
      <c r="AM19" s="67"/>
      <c r="AN19" s="66" t="str">
        <f t="shared" si="3"/>
        <v/>
      </c>
      <c r="AO19" s="68"/>
      <c r="AP19" s="68"/>
      <c r="AQ19" s="69"/>
      <c r="AR19" s="70">
        <f t="shared" si="4"/>
        <v>0</v>
      </c>
      <c r="AS19" s="71"/>
      <c r="AT19" s="72" t="str">
        <f t="shared" si="5"/>
        <v/>
      </c>
      <c r="AU19" s="72"/>
      <c r="AV19" s="73">
        <f t="shared" si="6"/>
        <v>0</v>
      </c>
      <c r="AW19" s="74"/>
      <c r="AX19" s="72" t="str">
        <f t="shared" si="7"/>
        <v/>
      </c>
      <c r="AY19" s="75"/>
      <c r="AZ19" s="75"/>
      <c r="BA19" s="76"/>
      <c r="BB19" s="77">
        <f t="shared" si="8"/>
        <v>0</v>
      </c>
      <c r="BC19" s="78"/>
      <c r="BD19" s="79" t="str">
        <f t="shared" si="9"/>
        <v/>
      </c>
      <c r="BE19" s="79"/>
      <c r="BF19" s="77">
        <f t="shared" si="10"/>
        <v>0</v>
      </c>
      <c r="BG19" s="80"/>
      <c r="BH19" s="79" t="str">
        <f t="shared" si="11"/>
        <v/>
      </c>
      <c r="BI19" s="81"/>
      <c r="BJ19" s="81"/>
      <c r="BK19" s="9"/>
      <c r="BM19" s="12">
        <v>19</v>
      </c>
      <c r="BN19" s="13">
        <v>13</v>
      </c>
      <c r="BO19" s="13"/>
      <c r="BP19" s="13"/>
      <c r="BQ19" s="88" t="s">
        <v>24</v>
      </c>
      <c r="BR19" s="89">
        <f t="shared" si="12"/>
        <v>13</v>
      </c>
      <c r="BS19" s="90">
        <f t="shared" si="13"/>
        <v>49</v>
      </c>
      <c r="BT19" s="91" t="str">
        <f t="shared" si="14"/>
        <v>OLIVIER</v>
      </c>
      <c r="BU19" s="92">
        <f t="shared" si="15"/>
        <v>14</v>
      </c>
      <c r="BV19" s="93" t="str">
        <f t="shared" si="16"/>
        <v>ABDEL ZORRO</v>
      </c>
      <c r="BW19" s="94"/>
      <c r="BX19" s="94"/>
      <c r="CA19" s="95">
        <v>19</v>
      </c>
      <c r="CB19" s="97">
        <v>39</v>
      </c>
      <c r="CC19" s="1">
        <v>19</v>
      </c>
      <c r="CD19" s="1" t="s">
        <v>22</v>
      </c>
      <c r="CI19" s="1" t="s">
        <v>22</v>
      </c>
      <c r="CL19" s="28">
        <v>19</v>
      </c>
      <c r="CN19" s="100"/>
      <c r="CO19" s="101"/>
      <c r="CP19" s="102"/>
      <c r="CQ19" s="103"/>
      <c r="CR19" s="104"/>
      <c r="CS19" s="101"/>
      <c r="CT19" s="105"/>
      <c r="CU19" s="106"/>
      <c r="CV19" s="107"/>
      <c r="CW19" s="107"/>
      <c r="CZ19" s="55"/>
      <c r="DA19" s="56"/>
      <c r="DB19" s="57"/>
      <c r="DC19" s="61"/>
      <c r="DD19" s="59"/>
      <c r="DE19" s="56"/>
      <c r="DF19" s="60"/>
      <c r="DG19" s="61"/>
      <c r="DH19" s="62"/>
      <c r="DI19" s="62"/>
    </row>
    <row r="20" spans="2:113" ht="20.25">
      <c r="B20" s="37">
        <v>15</v>
      </c>
      <c r="C20" s="38" t="s">
        <v>15</v>
      </c>
      <c r="D20" s="87">
        <v>2</v>
      </c>
      <c r="E20" s="40"/>
      <c r="F20" s="98" t="s">
        <v>1</v>
      </c>
      <c r="G20" s="42" t="s">
        <v>15</v>
      </c>
      <c r="H20" s="43">
        <v>1</v>
      </c>
      <c r="I20" s="44"/>
      <c r="J20" s="45" t="s">
        <v>0</v>
      </c>
      <c r="K20" s="46">
        <v>13</v>
      </c>
      <c r="L20" s="46">
        <v>7</v>
      </c>
      <c r="M20" s="47"/>
      <c r="N20" s="48"/>
      <c r="O20" s="49"/>
      <c r="P20" s="50"/>
      <c r="Q20" s="51"/>
      <c r="R20" s="48"/>
      <c r="S20" s="52"/>
      <c r="T20" s="53"/>
      <c r="U20" s="54"/>
      <c r="V20" s="54"/>
      <c r="W20" s="55"/>
      <c r="X20" s="56"/>
      <c r="Y20" s="57"/>
      <c r="Z20" s="61"/>
      <c r="AA20" s="59"/>
      <c r="AB20" s="56"/>
      <c r="AC20" s="60"/>
      <c r="AD20" s="61"/>
      <c r="AE20" s="62"/>
      <c r="AF20" s="62"/>
      <c r="AG20" s="63"/>
      <c r="AH20" s="64" t="str">
        <f t="shared" si="0"/>
        <v/>
      </c>
      <c r="AI20" s="65"/>
      <c r="AJ20" s="66" t="str">
        <f t="shared" si="1"/>
        <v/>
      </c>
      <c r="AK20" s="66"/>
      <c r="AL20" s="64" t="str">
        <f t="shared" si="2"/>
        <v/>
      </c>
      <c r="AM20" s="67"/>
      <c r="AN20" s="66" t="str">
        <f t="shared" si="3"/>
        <v/>
      </c>
      <c r="AO20" s="68"/>
      <c r="AP20" s="68"/>
      <c r="AQ20" s="69"/>
      <c r="AR20" s="70">
        <f t="shared" si="4"/>
        <v>0</v>
      </c>
      <c r="AS20" s="71"/>
      <c r="AT20" s="72" t="str">
        <f t="shared" si="5"/>
        <v/>
      </c>
      <c r="AU20" s="72"/>
      <c r="AV20" s="73">
        <f t="shared" si="6"/>
        <v>0</v>
      </c>
      <c r="AW20" s="74"/>
      <c r="AX20" s="72" t="str">
        <f t="shared" si="7"/>
        <v/>
      </c>
      <c r="AY20" s="75"/>
      <c r="AZ20" s="75"/>
      <c r="BA20" s="76"/>
      <c r="BB20" s="77">
        <f t="shared" si="8"/>
        <v>0</v>
      </c>
      <c r="BC20" s="78"/>
      <c r="BD20" s="79" t="str">
        <f t="shared" si="9"/>
        <v/>
      </c>
      <c r="BE20" s="79"/>
      <c r="BF20" s="77">
        <f t="shared" si="10"/>
        <v>0</v>
      </c>
      <c r="BG20" s="80"/>
      <c r="BH20" s="79" t="str">
        <f t="shared" si="11"/>
        <v/>
      </c>
      <c r="BI20" s="81"/>
      <c r="BJ20" s="81"/>
      <c r="BK20" s="9"/>
      <c r="BM20" s="12">
        <v>20</v>
      </c>
      <c r="BN20" s="13">
        <v>13</v>
      </c>
      <c r="BO20" s="13"/>
      <c r="BP20" s="13"/>
      <c r="BQ20" s="88" t="s">
        <v>24</v>
      </c>
      <c r="BR20" s="89">
        <f t="shared" si="12"/>
        <v>14</v>
      </c>
      <c r="BS20" s="90">
        <f t="shared" si="13"/>
        <v>39</v>
      </c>
      <c r="BT20" s="91" t="str">
        <f t="shared" si="14"/>
        <v>LOLO GEGE</v>
      </c>
      <c r="BU20" s="92">
        <f t="shared" si="15"/>
        <v>16</v>
      </c>
      <c r="BV20" s="93" t="str">
        <f t="shared" si="16"/>
        <v xml:space="preserve">JACKY JEAN CLAUDE </v>
      </c>
      <c r="BW20" s="94"/>
      <c r="BX20" s="94"/>
      <c r="CA20" s="95">
        <v>29</v>
      </c>
      <c r="CB20" s="97">
        <v>31</v>
      </c>
      <c r="CC20" s="1">
        <v>20</v>
      </c>
      <c r="CD20" s="1" t="s">
        <v>18</v>
      </c>
      <c r="CI20" s="1" t="s">
        <v>5</v>
      </c>
      <c r="CL20" s="28">
        <v>20</v>
      </c>
      <c r="CN20" s="100"/>
      <c r="CO20" s="101"/>
      <c r="CP20" s="102"/>
      <c r="CQ20" s="103"/>
      <c r="CR20" s="104"/>
      <c r="CS20" s="101"/>
      <c r="CT20" s="105"/>
      <c r="CU20" s="106"/>
      <c r="CV20" s="107"/>
      <c r="CW20" s="107"/>
      <c r="CZ20" s="55"/>
      <c r="DA20" s="56"/>
      <c r="DB20" s="57"/>
      <c r="DC20" s="61"/>
      <c r="DD20" s="59"/>
      <c r="DE20" s="56"/>
      <c r="DF20" s="60"/>
      <c r="DG20" s="61"/>
      <c r="DH20" s="62"/>
      <c r="DI20" s="62"/>
    </row>
    <row r="21" spans="2:113" ht="20.25">
      <c r="B21" s="37">
        <v>16</v>
      </c>
      <c r="C21" s="38" t="s">
        <v>15</v>
      </c>
      <c r="D21" s="87">
        <v>21</v>
      </c>
      <c r="E21" s="40"/>
      <c r="F21" s="98" t="s">
        <v>13</v>
      </c>
      <c r="G21" s="42" t="s">
        <v>15</v>
      </c>
      <c r="H21" s="43">
        <v>15</v>
      </c>
      <c r="I21" s="44"/>
      <c r="J21" s="45" t="s">
        <v>4</v>
      </c>
      <c r="K21" s="46">
        <v>13</v>
      </c>
      <c r="L21" s="46">
        <v>7</v>
      </c>
      <c r="M21" s="47"/>
      <c r="N21" s="48"/>
      <c r="O21" s="49"/>
      <c r="P21" s="50"/>
      <c r="Q21" s="51"/>
      <c r="R21" s="48"/>
      <c r="S21" s="52"/>
      <c r="T21" s="53"/>
      <c r="U21" s="54"/>
      <c r="V21" s="54"/>
      <c r="W21" s="55"/>
      <c r="X21" s="56"/>
      <c r="Y21" s="57"/>
      <c r="Z21" s="61"/>
      <c r="AA21" s="59"/>
      <c r="AB21" s="56"/>
      <c r="AC21" s="60"/>
      <c r="AD21" s="61"/>
      <c r="AE21" s="62"/>
      <c r="AF21" s="62"/>
      <c r="AG21" s="63"/>
      <c r="AH21" s="64" t="str">
        <f t="shared" si="0"/>
        <v/>
      </c>
      <c r="AI21" s="65"/>
      <c r="AJ21" s="66" t="str">
        <f t="shared" si="1"/>
        <v/>
      </c>
      <c r="AK21" s="66"/>
      <c r="AL21" s="64" t="str">
        <f t="shared" si="2"/>
        <v/>
      </c>
      <c r="AM21" s="67"/>
      <c r="AN21" s="66" t="str">
        <f t="shared" si="3"/>
        <v/>
      </c>
      <c r="AO21" s="68"/>
      <c r="AP21" s="68"/>
      <c r="AQ21" s="69"/>
      <c r="AR21" s="70">
        <f t="shared" si="4"/>
        <v>0</v>
      </c>
      <c r="AS21" s="71"/>
      <c r="AT21" s="72" t="str">
        <f t="shared" si="5"/>
        <v/>
      </c>
      <c r="AU21" s="72"/>
      <c r="AV21" s="73">
        <f t="shared" si="6"/>
        <v>0</v>
      </c>
      <c r="AW21" s="74"/>
      <c r="AX21" s="72" t="str">
        <f t="shared" si="7"/>
        <v/>
      </c>
      <c r="AY21" s="75"/>
      <c r="AZ21" s="75"/>
      <c r="BA21" s="76"/>
      <c r="BB21" s="77">
        <f t="shared" si="8"/>
        <v>0</v>
      </c>
      <c r="BC21" s="78"/>
      <c r="BD21" s="79" t="str">
        <f t="shared" si="9"/>
        <v/>
      </c>
      <c r="BE21" s="79"/>
      <c r="BF21" s="77">
        <f t="shared" si="10"/>
        <v>0</v>
      </c>
      <c r="BG21" s="80"/>
      <c r="BH21" s="79" t="str">
        <f t="shared" si="11"/>
        <v/>
      </c>
      <c r="BI21" s="81"/>
      <c r="BJ21" s="81"/>
      <c r="BK21" s="9"/>
      <c r="BM21" s="12">
        <v>21</v>
      </c>
      <c r="BN21" s="13">
        <v>13</v>
      </c>
      <c r="BO21" s="13"/>
      <c r="BP21" s="13"/>
      <c r="BQ21" s="88" t="s">
        <v>24</v>
      </c>
      <c r="BR21" s="89">
        <f t="shared" si="12"/>
        <v>15</v>
      </c>
      <c r="BS21" s="90">
        <f t="shared" si="13"/>
        <v>2</v>
      </c>
      <c r="BT21" s="91" t="str">
        <f t="shared" si="14"/>
        <v>ROBERTE</v>
      </c>
      <c r="BU21" s="92">
        <f t="shared" si="15"/>
        <v>1</v>
      </c>
      <c r="BV21" s="93" t="str">
        <f t="shared" si="16"/>
        <v>CHRISTIAN LEBARS</v>
      </c>
      <c r="BW21" s="94"/>
      <c r="BX21" s="94"/>
      <c r="CA21" s="95">
        <v>21</v>
      </c>
      <c r="CB21" s="97">
        <v>5</v>
      </c>
      <c r="CC21" s="1">
        <v>21</v>
      </c>
      <c r="CD21" s="1" t="s">
        <v>13</v>
      </c>
      <c r="CI21" s="1" t="s">
        <v>13</v>
      </c>
      <c r="CL21" s="28">
        <v>21</v>
      </c>
      <c r="CN21" s="100"/>
      <c r="CO21" s="101"/>
      <c r="CP21" s="102"/>
      <c r="CQ21" s="103"/>
      <c r="CR21" s="104"/>
      <c r="CS21" s="101"/>
      <c r="CT21" s="105"/>
      <c r="CU21" s="106"/>
      <c r="CV21" s="107"/>
      <c r="CW21" s="107"/>
      <c r="CZ21" s="55"/>
      <c r="DA21" s="56"/>
      <c r="DB21" s="57"/>
      <c r="DC21" s="61"/>
      <c r="DD21" s="59"/>
      <c r="DE21" s="56"/>
      <c r="DF21" s="60"/>
      <c r="DG21" s="61"/>
      <c r="DH21" s="62"/>
      <c r="DI21" s="62"/>
    </row>
    <row r="22" spans="2:113" ht="34.5" thickBot="1">
      <c r="B22" s="37">
        <v>17</v>
      </c>
      <c r="C22" s="38" t="s">
        <v>15</v>
      </c>
      <c r="D22" s="87">
        <v>12</v>
      </c>
      <c r="E22" s="40"/>
      <c r="F22" s="98" t="s">
        <v>28</v>
      </c>
      <c r="G22" s="42" t="s">
        <v>15</v>
      </c>
      <c r="H22" s="43">
        <v>29</v>
      </c>
      <c r="I22" s="44"/>
      <c r="J22" s="45" t="s">
        <v>51</v>
      </c>
      <c r="K22" s="46">
        <v>13</v>
      </c>
      <c r="L22" s="46">
        <v>7</v>
      </c>
      <c r="M22" s="108" t="s">
        <v>52</v>
      </c>
      <c r="N22" s="109"/>
      <c r="O22" s="109"/>
      <c r="P22" s="109"/>
      <c r="Q22" s="109"/>
      <c r="R22" s="109"/>
      <c r="S22" s="109"/>
      <c r="T22" s="109"/>
      <c r="U22" s="109"/>
      <c r="V22" s="110"/>
      <c r="W22" s="99" t="s">
        <v>42</v>
      </c>
      <c r="X22" s="99"/>
      <c r="Y22" s="99"/>
      <c r="Z22" s="99"/>
      <c r="AA22" s="99"/>
      <c r="AB22" s="99"/>
      <c r="AC22" s="99"/>
      <c r="AD22" s="99"/>
      <c r="AE22" s="99"/>
      <c r="AF22" s="99"/>
      <c r="AG22" s="76"/>
      <c r="AH22" s="111" t="str">
        <f t="shared" ref="AH22:AH37" si="17">IF((AJ201)=1,$BO$1,"")&amp;IF((AJ201)=2,$BO$2,"")&amp;IF((AJ201)=3,$BO$3,"")&amp;IF((AJ201)=4,$BO$4,"")&amp;IF((AJ201)=5,$BO$5,"")&amp;IF((AJ201)=6,$BO$6,"")&amp;IF((AJ201)=7,$BO$7,"")&amp;IF((AJ201)=8,$BO$8,"")&amp;IF((AJ201)=9,$BO$9,"")&amp;IF((AJ201)=10,$BO$10,"")&amp;IF((AJ201)=11,$BO$11,"")&amp;IF((AJ201)=12,$BO$12,"")&amp;IF((AJ201)=13,$BO$13,"")&amp;IF((AJ201)=14,$BO$14,"")&amp;IF((AJ201)=15,$BO$15,"")&amp;IF((AJ201)=16,$BO$16,"")&amp;IF((AJ201)=17,$BO$17,"")&amp;IF((AJ201)=18,$BO$18,"")&amp;IF((AJ201)=19,$BO$19,"")&amp;IF((AJ201)=20,$BO$20,"")&amp;IF((AJ201)=21,$BO$21,"")&amp;IF((AJ201)=22,$BO$22,"")&amp;IF((AJ201)=23,$BO$23,"")&amp;IF((AJ201)=24,$BO$24,"")&amp;IF((AJ201)=25,$BO$25,"")&amp;IF((AJ201)=26,$BO$26,"")&amp;IF((AJ201)=27,$BO$27,"")&amp;IF((AJ201)=28,$BO$28,"")&amp;IF((AJ201)=29,$BO$29,"")&amp;IF((AJ201)=30,$BO$30,"")&amp;IF((AJ201)=31,$BO$31,"")&amp;IF((AJ201)=32,$BO$32,"")&amp;IF((AJ201)=33,$BO$33,"")&amp;IF((AJ201)=34,$BO$34,"")&amp;IF((AJ201)=35,$BO$35,"")&amp;IF((AJ201)=36,$BO$36,"")&amp;IF((AJ201)=37,$BO$37,"")&amp;IF((AJ201)=38,$BO$38,"")&amp;IF((AJ201)=39,$BO$39,"")&amp;IF((AJ201)=40,$BO$40,"")&amp;IF((AJ201)=41,$BO$41,"")&amp;IF((AJ201)=42,$BO$42,"")&amp;IF((AJ201)=43,$BO$43,"")&amp;IF((AJ201)=44,$BO$44,"")&amp;IF((AJ201)=45,$BO$45,"")&amp;IF((AJ201)=46,$BO$46,"")&amp;IF((AJ201)=47,$BO$47,"")&amp;IF((AJ201)=48,$BO$48,"")&amp;IF((AJ201)=49,$BO$49,"")&amp;IF((AJ201)=50,$BO$50,"")&amp;IF((AJ201)=51,$BO$51,"")&amp;IF((AJ201)=52,$BO$52,"")&amp;IF((AJ201)=53,$BO$53,"")&amp;IF((AJ201)=54,$BO$54,"")&amp;IF((AJ201)=55,$BO$55,"")&amp;IF((AJ201)=56,$BO$56,"")&amp;IF((AJ201)=57,$BO$57,"")&amp;IF((AJ201)=58,$BO$58,"")&amp;IF((AJ201)=59,$BO$59,"")&amp;IF((AJ201)=60,$BO$60,"")&amp;IF((AJ201)=61,$BO$61,"")&amp;IF((AJ201)=62,$BO$62,"")&amp;IF((AJ201)=63,$BO$63,"")&amp;IF((AJ201)=64,$BO$64,"")&amp;IF((AJ201)=65,$BO$65,"")&amp;IF((AJ201)=66,$BO$66,"")&amp;IF((AJ201)=67,$BO$67,"")&amp;IF((AJ201)=68,$BO$68,"")&amp;IF((AJ201)=69,$BO$69,"")&amp;IF((AJ201)=70,$BO$70,"")&amp;IF((AJ201)=71,$BO$71,"")&amp;IF((AJ201)=72,$BO$72,"")&amp;IF((AJ201)=73,$BO$73,"")&amp;IF((AJ201)=74,$BO$74,"")&amp;IF((AJ201)=75,$BO$75,"")&amp;IF((AJ201)=76,$BO$76,"")&amp;IF((AJ201)=77,$BO$77,"")&amp;IF((AJ201)=78,$BO$78,"")&amp;IF((AJ201)=79,$BO$79,"")&amp;IF((AJ201)=80,$BO$80,"")&amp;IF((AJ201)=81,$BO$81,"")&amp;IF((AJ201)=82,$BO$82,"")&amp;IF((AJ201)=83,$BO$83,"")&amp;IF((AJ201)=84,$BO$84,"")&amp;IF((AJ201)=85,$BO$85,"")&amp;IF((AJ201)=86,$BO$86,"")&amp;IF((AJ201)=87,$BO$87,"")&amp;IF((AJ201)=88,$BO$88,"")&amp;IF((AJ201)=89,$BO$89,"")&amp;IF((AJ201)=90,$BO$90,"")&amp;IF((AJ201)=91,$BO$91,"")&amp;IF((AJ201)=92,$BO$92,"")&amp;IF((AJ201)=93,$BO$93,"")&amp;IF((AJ201)=94,$BO$94,"")&amp;IF((AJ201)=95,$BO$95,"")&amp;IF((AJ201)=96,$BO$96,"")&amp;IF((AJ201)=97,$BO$97,"")&amp;IF((AJ201)=98,$BO$98,"")&amp;IF((AJ201)=99,$BO$99,"")&amp;IF((AJ201)=100,$BO$100,"")&amp;IF((AJ201)=101,$BO$101,"")&amp;IF((AJ201)=102,$BO$102,"")&amp;IF((AJ201)=103,$BO$103,"")&amp;IF((AJ201)=104,$BO$104,"")&amp;IF((AJ201)=105,$BO$105,"")&amp;IF((AJ201)=106,$BO$106,"")&amp;IF((AJ201)=107,$BO$107,"")&amp;IF((AJ201)=108,$BO$108,"")&amp;IF((AJ201)=109,$BO$109,"")&amp;IF((AJ201)=110,$BO$110,"")&amp;IF((AJ201)=111,$BO$111,"")&amp;IF((AJ201)=112,$BO$112,"")&amp;IF((AJ201)=113,$BO$113,"")&amp;IF((AJ201)=114,$BO$114,"")&amp;IF((AJ201)=115,$BO$115,"")&amp;IF((AJ201)=116,$BO$116,"")&amp;IF((AJ201)=117,$BO$117,"")&amp;IF((AJ201)=118,$BO$118,"")&amp;IF((AJ201)=119,$BO$119,"")&amp;IF((AJ201)=120,$BO$120,"")&amp;IF((AJ201)=121,$BO$121,"")&amp;IF((AJ201)=122,$BO$122,"")&amp;IF((AJ201)=123,$BO$123,"")&amp;IF((AJ201)=124,$BO$124,"")&amp;IF((AJ201)=125,$BO$125,"")&amp;IF((AJ201)=126,$BO$126,"")&amp;IF((AJ201)=127,$BO$127,"")&amp;IF((AJ201)=128,$BO$128,"")</f>
        <v/>
      </c>
      <c r="AI22" s="78"/>
      <c r="AJ22" s="79" t="str">
        <f t="shared" ref="AJ22:AJ37" si="18">IF((AJ201)=1,$BP$1,"")&amp;IF((AJ201)=2,$BP$2,"")&amp;IF((AJ201)=3,$BP$3,"")&amp;IF((AJ201)=4,$BP$4,"")&amp;IF((AJ201)=5,$BP$5,"")&amp;IF((AJ201)=6,$BP$6,"")&amp;IF((AJ201)=7,$BP$7,"")&amp;IF((AJ201)=8,$BP$8,"")&amp;IF((AJ201)=9,$BP$9,"")&amp;IF((AJ201)=10,$BP$10,"")&amp;IF((AJ201)=11,$BP$11,"")&amp;IF((AJ201)=12,$BP$12,"")&amp;IF((AJ201)=13,$BP$13,"")&amp;IF((AJ201)=14,$BP$14,"")&amp;IF((AJ201)=15,$BP$15,"")&amp;IF((AJ201)=16,$BP$16,"")&amp;IF((AJ201)=17,$BP$17,"")&amp;IF((AJ201)=18,$BP$18,"")&amp;IF((AJ201)=19,$BP$19,"")&amp;IF((AJ201)=20,$BP$20,"")&amp;IF((AJ201)=21,$BP$21,"")&amp;IF((AJ201)=22,$BP$22,"")&amp;IF((AJ201)=23,$BP$23,"")&amp;IF((AJ201)=24,$BP$24,"")&amp;IF((AJ201)=25,$BP$25,"")&amp;IF((AJ201)=26,$BP$26,"")&amp;IF((AJ201)=27,$BP$27,"")&amp;IF((AJ201)=28,$BP$28,"")&amp;IF((AJ201)=29,$BP$29,"")&amp;IF((AJ201)=30,$BP$30,"")&amp;IF((AJ201)=31,$BP$31,"")&amp;IF((AJ201)=32,$BP$32,"")&amp;IF((AJ201)=33,$BP$33,"")&amp;IF((AJ201)=34,$BP$34,"")&amp;IF((AJ201)=35,$BP$35,"")&amp;IF((AJ201)=36,$BP$36,"")&amp;IF((AJ201)=37,$BP$37,"")&amp;IF((AJ201)=38,$BP$38,"")&amp;IF((AJ201)=39,$BP$39,"")&amp;IF((AJ201)=40,$BP$40,"")&amp;IF((AJ201)=41,$BP$41,"")&amp;IF((AJ201)=42,$BP$42,"")&amp;IF((AJ201)=43,$BP$43,"")&amp;IF((AJ201)=44,$BP$44,"")&amp;IF((AJ201)=45,$BP$45,"")&amp;IF((AJ201)=46,$BP$46,"")&amp;IF((AJ201)=47,$BP$47,"")&amp;IF((AJ201)=48,$BP$48,"")&amp;IF((AJ201)=49,$BP$49,"")&amp;IF((AJ201)=50,$BP$50,"")&amp;IF((AJ201)=51,$BP$51,"")&amp;IF((AJ201)=52,$BP$52,"")&amp;IF((AJ201)=53,$BP$53,"")&amp;IF((AJ201)=54,$BP$54,"")&amp;IF((AJ201)=55,$BP$55,"")&amp;IF((AJ201)=56,$BP$56,"")&amp;IF((AJ201)=57,$BP$57,"")&amp;IF((AJ201)=58,$BP$58,"")&amp;IF((AJ201)=59,$BP$59,"")&amp;IF((AJ201)=60,$BP$60,"")&amp;IF((AJ201)=61,$BP$61,"")&amp;IF((AJ201)=62,$BP$62,"")&amp;IF((AJ201)=63,$BP$63,"")&amp;IF((AJ201)=64,$BP$64,"")&amp;IF((AJ201)=65,$BP$65,"")&amp;IF((AJ201)=66,$BP$66,"")&amp;IF((AJ201)=67,$BP$67,"")&amp;IF((AJ201)=68,$BP$68,"")&amp;IF((AJ201)=69,$BP$69,"")&amp;IF((AJ201)=70,$BP$70,"")&amp;IF((AJ201)=71,$BP$71,"")&amp;IF((AJ201)=72,$BP$72,"")&amp;IF((AJ201)=73,$BP$73,"")&amp;IF((AJ201)=74,$BP$74,"")&amp;IF((AJ201)=75,$BP$75,"")&amp;IF((AJ201)=76,$BP$76,"")&amp;IF((AJ201)=77,$BP$77,"")&amp;IF((AJ201)=78,$BP$78,"")&amp;IF((AJ201)=79,$BP$79,"")&amp;IF((AJ201)=80,$BP$80,"")&amp;IF((AJ201)=81,$BP$81,"")&amp;IF((AJ201)=82,$BP$82,"")&amp;IF((AJ201)=83,$BP$83,"")&amp;IF((AJ201)=84,$BP$84,"")&amp;IF((AJ201)=85,$BP$85,"")&amp;IF((AJ201)=86,$BP$86,"")&amp;IF((AJ201)=87,$BP$87,"")&amp;IF((AJ201)=88,$BP$88,"")&amp;IF((AJ201)=89,$BP$89,"")&amp;IF((AJ201)=90,$BP$90,"")&amp;IF((AJ201)=91,$BP$91,"")&amp;IF((AJ201)=92,$BP$92,"")&amp;IF((AJ201)=93,$BP$93,"")&amp;IF((AJ201)=94,$BP$94,"")&amp;IF((AJ201)=95,$BP$95,"")&amp;IF((AJ201)=96,$BP$96,"")&amp;IF((AJ201)=97,$BP$97,"")&amp;IF((AJ201)=98,$BP$98,"")&amp;IF((AJ201)=99,$BP$99,"")&amp;IF((AJ201)=100,$BP$100,"")&amp;IF((AJ201)=101,$BP$101,"")&amp;IF((AJ201)=102,$BP$102,"")&amp;IF((AJ201)=103,$BP$103,"")&amp;IF((AJ201)=104,$BP$104,"")&amp;IF((AJ201)=105,$BP$105,"")&amp;IF((AJ201)=106,$BP$106,"")&amp;IF((AJ201)=107,$BP$107,"")&amp;IF((AJ201)=108,$BP$108,"")&amp;IF((AJ201)=109,$BP$109,"")&amp;IF((AJ201)=110,$BP$110,"")&amp;IF((AJ201)=111,$BP$111,"")&amp;IF((AJ201)=112,$BP$112,"")&amp;IF((AJ201)=113,$BP$113,"")&amp;IF((AJ201)=114,$BP$114,"")&amp;IF((AJ201)=115,$BP$115,"")&amp;IF((AJ201)=116,$BP$116,"")&amp;IF((AJ201)=117,$BP$117,"")&amp;IF((AJ201)=118,$BP$118,"")&amp;IF((AJ201)=119,$BP$119,"")&amp;IF((AJ201)=120,$BP$120,"")&amp;IF((AJ201)=121,$BP$121,"")&amp;IF((AJ201)=122,$BP$122,"")&amp;IF((AJ201)=123,$BP$123,"")&amp;IF((AJ201)=124,$BP$124,"")&amp;IF((AJ201)=125,$BP$125,"")&amp;IF((AJ201)=126,$BP$126,"")&amp;IF((AJ201)=127,$BP$127,"")&amp;IF((AJ201)=128,$BP$128,"")</f>
        <v/>
      </c>
      <c r="AK22" s="79"/>
      <c r="AL22" s="111" t="str">
        <f t="shared" ref="AL22:AL37" si="19">IF((AN201)=1,$BO$1,"")&amp;IF((AN201)=2,$BO$2,"")&amp;IF((AN201)=3,$BO$3,"")&amp;IF((AN201)=4,$BO$4,"")&amp;IF((AN201)=5,$BO$5,"")&amp;IF((AN201)=6,$BO$6,"")&amp;IF((AN201)=7,$BO$7,"")&amp;IF((AN201)=8,$BO$8,"")&amp;IF((AN201)=9,$BO$9,"")&amp;IF((AN201)=10,$BO$10,"")&amp;IF((AN201)=11,$BO$11,"")&amp;IF((AN201)=12,$BO$12,"")&amp;IF((AN201)=13,$BO$13,"")&amp;IF((AN201)=14,$BO$14,"")&amp;IF((AN201)=15,$BO$15,"")&amp;IF((AN201)=16,$BO$16,"")&amp;IF((AN201)=17,$BO$17,"")&amp;IF((AN201)=18,$BO$18,"")&amp;IF((AN201)=19,$BO$19,"")&amp;IF((AN201)=20,$BO$20,"")&amp;IF((AN201)=21,$BO$21,"")&amp;IF((AN201)=22,$BO$22,"")&amp;IF((AN201)=23,$BO$23,"")&amp;IF((AN201)=24,$BO$24,"")&amp;IF((AN201)=25,$BO$25,"")&amp;IF((AN201)=26,$BO$26,"")&amp;IF((AN201)=27,$BO$27,"")&amp;IF((AN201)=28,$BO$28,"")&amp;IF((AN201)=29,$BO$29,"")&amp;IF((AN201)=30,$BO$30,"")&amp;IF((AN201)=31,$BO$31,"")&amp;IF((AN201)=32,$BO$32,"")&amp;IF((AN201)=33,$BO$33,"")&amp;IF((AN201)=34,$BO$34,"")&amp;IF((AN201)=35,$BO$35,"")&amp;IF((AN201)=36,$BO$36,"")&amp;IF((AN201)=37,$BO$37,"")&amp;IF((AN201)=38,$BO$38,"")&amp;IF((AN201)=39,$BO$39,"")&amp;IF((AN201)=40,$BO$40,"")&amp;IF((AN201)=41,$BO$41,"")&amp;IF((AN201)=42,$BO$42,"")&amp;IF((AN201)=43,$BO$43,"")&amp;IF((AN201)=44,$BO$44,"")&amp;IF((AN201)=45,$BO$45,"")&amp;IF((AN201)=46,$BO$46,"")&amp;IF((AN201)=47,$BO$47,"")&amp;IF((AN201)=48,$BO$48,"")&amp;IF((AN201)=49,$BO$49,"")&amp;IF((AN201)=50,$BO$50,"")&amp;IF((AN201)=51,$BO$51,"")&amp;IF((AN201)=52,$BO$52,"")&amp;IF((AN201)=53,$BO$53,"")&amp;IF((AN201)=54,$BO$54,"")&amp;IF((AN201)=55,$BO$55,"")&amp;IF((AN201)=56,$BO$56,"")&amp;IF((AN201)=57,$BO$57,"")&amp;IF((AN201)=58,$BO$58,"")&amp;IF((AN201)=59,$BO$59,"")&amp;IF((AN201)=60,$BO$60,"")&amp;IF((AN201)=61,$BO$61,"")&amp;IF((AN201)=62,$BO$62,"")&amp;IF((AN201)=63,$BO$63,"")&amp;IF((AN201)=64,$BO$64,"")&amp;IF((AN201)=65,$BO$65,"")&amp;IF((AN201)=66,$BO$66,"")&amp;IF((AN201)=67,$BO$67,"")&amp;IF((AN201)=68,$BO$68,"")&amp;IF((AN201)=69,$BO$69,"")&amp;IF((AN201)=70,$BO$70,"")&amp;IF((AN201)=71,$BO$71,"")&amp;IF((AN201)=72,$BO$72,"")&amp;IF((AN201)=73,$BO$73,"")&amp;IF((AN201)=74,$BO$74,"")&amp;IF((AN201)=75,$BO$75,"")&amp;IF((AN201)=76,$BO$76,"")&amp;IF((AN201)=77,$BO$77,"")&amp;IF((AN201)=78,$BO$78,"")&amp;IF((AN201)=79,$BO$79,"")&amp;IF((AN201)=80,$BO$80,"")&amp;IF((AN201)=81,$BO$81,"")&amp;IF((AN201)=82,$BO$82,"")&amp;IF((AN201)=83,$BO$83,"")&amp;IF((AN201)=84,$BO$84,"")&amp;IF((AN201)=85,$BO$85,"")&amp;IF((AN201)=86,$BO$86,"")&amp;IF((AN201)=87,$BO$87,"")&amp;IF((AN201)=88,$BO$88,"")&amp;IF((AN201)=89,$BO$89,"")&amp;IF((AN201)=90,$BO$90,"")&amp;IF((AN201)=91,$BO$91,"")&amp;IF((AN201)=92,$BO$92,"")&amp;IF((AN201)=93,$BO$93,"")&amp;IF((AN201)=94,$BO$94,"")&amp;IF((AN201)=95,$BO$95,"")&amp;IF((AN201)=96,$BO$96,"")&amp;IF((AN201)=97,$BO$97,"")&amp;IF((AN201)=98,$BO$98,"")&amp;IF((AN201)=99,$BO$99,"")&amp;IF((AN201)=100,$BO$100,"")&amp;IF((AN201)=101,$BO$101,"")&amp;IF((AN201)=102,$BO$102,"")&amp;IF((AN201)=103,$BO$103,"")&amp;IF((AN201)=104,$BO$104,"")&amp;IF((AN201)=105,$BO$105,"")&amp;IF((AN201)=106,$BO$106,"")&amp;IF((AN201)=107,$BO$107,"")&amp;IF((AN201)=108,$BO$108,"")&amp;IF((AN201)=109,$BO$109,"")&amp;IF((AN201)=110,$BO$110,"")&amp;IF((AN201)=111,$BO$111,"")&amp;IF((AN201)=112,$BO$112,"")&amp;IF((AN201)=113,$BO$113,"")&amp;IF((AN201)=114,$BO$114,"")&amp;IF((AN201)=115,$BO$115,"")&amp;IF((AN201)=116,$BO$116,"")&amp;IF((AN201)=117,$BO$117,"")&amp;IF((AN201)=118,$BO$118,"")&amp;IF((AN201)=119,$BO$119,"")&amp;IF((AN201)=120,$BO$120,"")&amp;IF((AN201)=121,$BO$121,"")&amp;IF((AN201)=122,$BO$122,"")&amp;IF((AN201)=123,$BO$123,"")&amp;IF((AN201)=124,$BO$124,"")&amp;IF((AN201)=125,$BO$125,"")&amp;IF((AN201)=126,$BO$126,"")&amp;IF((AN201)=127,$BO$127,"")&amp;IF((AN201)=128,$BO$128,"")</f>
        <v/>
      </c>
      <c r="AM22" s="80"/>
      <c r="AN22" s="79" t="str">
        <f t="shared" ref="AN22:AN37" si="20">IF((AN201)=1,$BP$1,"")&amp;IF((AN201)=2,$BP$2,"")&amp;IF((AN201)=3,$BP$3,"")&amp;IF((AN201)=4,$BP$4,"")&amp;IF((AN201)=5,$BP$5,"")&amp;IF((AN201)=6,$BP$6,"")&amp;IF((AN201)=7,$BP$7,"")&amp;IF((AN201)=8,$BP$8,"")&amp;IF((AN201)=9,$BP$9,"")&amp;IF((AN201)=10,$BP$10,"")&amp;IF((AN201)=11,$BP$11,"")&amp;IF((AN201)=12,$BP$12,"")&amp;IF((AN201)=13,$BP$13,"")&amp;IF((AN201)=14,$BP$14,"")&amp;IF((AN201)=15,$BP$15,"")&amp;IF((AN201)=16,$BP$16,"")&amp;IF((AN201)=17,$BP$17,"")&amp;IF((AN201)=18,$BP$18,"")&amp;IF((AN201)=19,$BP$19,"")&amp;IF((AN201)=20,$BP$20,"")&amp;IF((AN201)=21,$BP$21,"")&amp;IF((AN201)=22,$BP$22,"")&amp;IF((AN201)=23,$BP$23,"")&amp;IF((AN201)=24,$BP$24,"")&amp;IF((AN201)=25,$BP$25,"")&amp;IF((AN201)=26,$BP$26,"")&amp;IF((AN201)=27,$BP$27,"")&amp;IF((AN201)=28,$BP$28,"")&amp;IF((AN201)=29,$BP$29,"")&amp;IF((AN201)=30,$BP$30,"")&amp;IF((AN201)=31,$BP$31,"")&amp;IF((AN201)=32,$BP$32,"")&amp;IF((AN201)=33,$BP$33,"")&amp;IF((AN201)=34,$BP$34,"")&amp;IF((AN201)=35,$BP$35,"")&amp;IF((AN201)=36,$BP$36,"")&amp;IF((AN201)=37,$BP$37,"")&amp;IF((AN201)=38,$BP$38,"")&amp;IF((AN201)=39,$BP$39,"")&amp;IF((AN201)=40,$BP$40,"")&amp;IF((AN201)=41,$BP$41,"")&amp;IF((AN201)=42,$BP$42,"")&amp;IF((AN201)=43,$BP$43,"")&amp;IF((AN201)=44,$BP$44,"")&amp;IF((AN201)=45,$BP$45,"")&amp;IF((AN201)=46,$BP$46,"")&amp;IF((AN201)=47,$BP$47,"")&amp;IF((AN201)=48,$BP$48,"")&amp;IF((AN201)=49,$BP$49,"")&amp;IF((AN201)=50,$BP$50,"")&amp;IF((AN201)=51,$BP$51,"")&amp;IF((AN201)=52,$BP$52,"")&amp;IF((AN201)=53,$BP$53,"")&amp;IF((AN201)=54,$BP$54,"")&amp;IF((AN201)=55,$BP$55,"")&amp;IF((AN201)=56,$BP$56,"")&amp;IF((AN201)=57,$BP$57,"")&amp;IF((AN201)=58,$BP$58,"")&amp;IF((AN201)=59,$BP$59,"")&amp;IF((AN201)=60,$BP$60,"")&amp;IF((AN201)=61,$BP$61,"")&amp;IF((AN201)=62,$BP$62,"")&amp;IF((AN201)=63,$BP$63,"")&amp;IF((AN201)=64,$BP$64,"")&amp;IF((AN201)=65,$BP$65,"")&amp;IF((AN201)=66,$BP$66,"")&amp;IF((AN201)=67,$BP$67,"")&amp;IF((AN201)=68,$BP$68,"")&amp;IF((AN201)=69,$BP$69,"")&amp;IF((AN201)=70,$BP$70,"")&amp;IF((AN201)=71,$BP$71,"")&amp;IF((AN201)=72,$BP$72,"")&amp;IF((AN201)=73,$BP$73,"")&amp;IF((AN201)=74,$BP$74,"")&amp;IF((AN201)=75,$BP$75,"")&amp;IF((AN201)=76,$BP$76,"")&amp;IF((AN201)=77,$BP$77,"")&amp;IF((AN201)=78,$BP$78,"")&amp;IF((AN201)=79,$BP$79,"")&amp;IF((AN201)=80,$BP$80,"")&amp;IF((AN201)=81,$BP$81,"")&amp;IF((AN201)=82,$BP$82,"")&amp;IF((AN201)=83,$BP$83,"")&amp;IF((AN201)=84,$BP$84,"")&amp;IF((AN201)=85,$BP$85,"")&amp;IF((AN201)=86,$BP$86,"")&amp;IF((AN201)=87,$BP$87,"")&amp;IF((AN201)=88,$BP$88,"")&amp;IF((AN201)=89,$BP$89,"")&amp;IF((AN201)=90,$BP$90,"")&amp;IF((AN201)=91,$BP$91,"")&amp;IF((AN201)=92,$BP$92,"")&amp;IF((AN201)=93,$BP$93,"")&amp;IF((AN201)=94,$BP$94,"")&amp;IF((AN201)=95,$BP$95,"")&amp;IF((AN201)=96,$BP$96,"")&amp;IF((AN201)=97,$BP$97,"")&amp;IF((AN201)=98,$BP$98,"")&amp;IF((AN201)=99,$BP$99,"")&amp;IF((AN201)=100,$BP$100,"")&amp;IF((AN201)=101,$BP$101,"")&amp;IF((AN201)=102,$BP$102,"")&amp;IF((AN201)=103,$BP$103,"")&amp;IF((AN201)=104,$BP$104,"")&amp;IF((AN201)=105,$BP$105,"")&amp;IF((AN201)=106,$BP$106,"")&amp;IF((AN201)=107,$BP$107,"")&amp;IF((AN201)=108,$BP$108,"")&amp;IF((AN201)=109,$BP$109,"")&amp;IF((AN201)=110,$BP$110,"")&amp;IF((AN201)=111,$BP$111,"")&amp;IF((AN201)=112,$BP$112,"")&amp;IF((AN201)=113,$BP$113,"")&amp;IF((AN201)=114,$BP$114,"")&amp;IF((AN201)=115,$BP$115,"")&amp;IF((AN201)=116,$BP$116,"")&amp;IF((AN201)=117,$BP$117,"")&amp;IF((AN201)=118,$BP$118,"")&amp;IF((AN201)=119,$BP$119,"")&amp;IF((AN201)=120,$BP$120,"")&amp;IF((AN201)=121,$BP$121,"")&amp;IF((AN201)=122,$BP$122,"")&amp;IF((AN201)=123,$BP$123,"")&amp;IF((AN201)=124,$BP$124,"")&amp;IF((AN201)=125,$BP$125,"")&amp;IF((AN201)=126,$BP$126,"")&amp;IF((AN201)=127,$BP$127,"")&amp;IF((AN201)=128,$BP$128,"")</f>
        <v/>
      </c>
      <c r="AO22" s="112"/>
      <c r="AP22" s="112"/>
      <c r="AQ22" s="69"/>
      <c r="AR22" s="70">
        <f t="shared" si="4"/>
        <v>0</v>
      </c>
      <c r="AS22" s="71"/>
      <c r="AT22" s="72" t="str">
        <f t="shared" si="5"/>
        <v/>
      </c>
      <c r="AU22" s="72"/>
      <c r="AV22" s="73">
        <f t="shared" si="6"/>
        <v>0</v>
      </c>
      <c r="AW22" s="74"/>
      <c r="AX22" s="72" t="str">
        <f t="shared" si="7"/>
        <v/>
      </c>
      <c r="AY22" s="75"/>
      <c r="AZ22" s="75"/>
      <c r="BA22" s="76"/>
      <c r="BB22" s="77">
        <f t="shared" si="8"/>
        <v>0</v>
      </c>
      <c r="BC22" s="78"/>
      <c r="BD22" s="79" t="str">
        <f t="shared" si="9"/>
        <v/>
      </c>
      <c r="BE22" s="79"/>
      <c r="BF22" s="77">
        <f t="shared" si="10"/>
        <v>0</v>
      </c>
      <c r="BG22" s="80"/>
      <c r="BH22" s="79" t="str">
        <f t="shared" si="11"/>
        <v/>
      </c>
      <c r="BI22" s="81"/>
      <c r="BJ22" s="81"/>
      <c r="BK22" s="9"/>
      <c r="BM22" s="12">
        <v>22</v>
      </c>
      <c r="BO22" s="13"/>
      <c r="BP22" s="13"/>
      <c r="BQ22" s="88" t="s">
        <v>24</v>
      </c>
      <c r="BR22" s="89">
        <f>B21</f>
        <v>16</v>
      </c>
      <c r="BS22" s="90">
        <f>D21</f>
        <v>21</v>
      </c>
      <c r="BT22" s="91" t="str">
        <f>F21</f>
        <v>THIERRY DOMINIQUE</v>
      </c>
      <c r="BU22" s="92">
        <f>H21</f>
        <v>15</v>
      </c>
      <c r="BV22" s="93" t="str">
        <f>J21</f>
        <v>MARYVONNE JACQUES</v>
      </c>
      <c r="BW22" s="94"/>
      <c r="BX22" s="94"/>
      <c r="CA22" s="113">
        <v>44</v>
      </c>
      <c r="CB22" s="114">
        <v>34</v>
      </c>
      <c r="CC22" s="1">
        <v>22</v>
      </c>
      <c r="CD22" s="1" t="s">
        <v>41</v>
      </c>
      <c r="CI22" s="1" t="s">
        <v>33</v>
      </c>
      <c r="CL22" s="28">
        <v>22</v>
      </c>
      <c r="CN22" s="100"/>
      <c r="CO22" s="101"/>
      <c r="CP22" s="102"/>
      <c r="CQ22" s="103"/>
      <c r="CR22" s="104"/>
      <c r="CS22" s="101"/>
      <c r="CT22" s="102"/>
      <c r="CU22" s="106"/>
      <c r="CV22" s="107"/>
      <c r="CW22" s="107"/>
      <c r="CZ22" s="99" t="s">
        <v>42</v>
      </c>
      <c r="DA22" s="99"/>
      <c r="DB22" s="99"/>
      <c r="DC22" s="99"/>
      <c r="DD22" s="99"/>
      <c r="DE22" s="99"/>
      <c r="DF22" s="99"/>
      <c r="DG22" s="99"/>
      <c r="DH22" s="99"/>
      <c r="DI22" s="99"/>
    </row>
    <row r="23" spans="2:113" ht="20.25">
      <c r="B23" s="37">
        <v>18</v>
      </c>
      <c r="C23" s="38" t="s">
        <v>15</v>
      </c>
      <c r="D23" s="87">
        <v>22</v>
      </c>
      <c r="E23" s="40"/>
      <c r="F23" s="98" t="s">
        <v>41</v>
      </c>
      <c r="G23" s="42" t="s">
        <v>15</v>
      </c>
      <c r="H23" s="43">
        <v>40</v>
      </c>
      <c r="I23" s="44"/>
      <c r="J23" s="45" t="s">
        <v>53</v>
      </c>
      <c r="K23" s="46">
        <v>13</v>
      </c>
      <c r="L23" s="46">
        <v>7</v>
      </c>
      <c r="M23" s="76" t="s">
        <v>15</v>
      </c>
      <c r="N23" s="111">
        <v>32</v>
      </c>
      <c r="O23" s="78"/>
      <c r="P23" s="115" t="s">
        <v>54</v>
      </c>
      <c r="Q23" s="116" t="s">
        <v>15</v>
      </c>
      <c r="R23" s="111">
        <v>42</v>
      </c>
      <c r="S23" s="80"/>
      <c r="T23" s="79" t="s">
        <v>55</v>
      </c>
      <c r="U23" s="54">
        <v>2</v>
      </c>
      <c r="V23" s="54">
        <v>13</v>
      </c>
      <c r="W23" s="100" t="s">
        <v>15</v>
      </c>
      <c r="X23" s="101">
        <v>38</v>
      </c>
      <c r="Y23" s="102"/>
      <c r="Z23" s="103" t="s">
        <v>56</v>
      </c>
      <c r="AA23" s="104" t="s">
        <v>15</v>
      </c>
      <c r="AB23" s="101">
        <v>15</v>
      </c>
      <c r="AC23" s="105"/>
      <c r="AD23" s="106" t="s">
        <v>4</v>
      </c>
      <c r="AE23" s="107"/>
      <c r="AF23" s="107"/>
      <c r="AG23" s="76"/>
      <c r="AH23" s="111" t="str">
        <f t="shared" si="17"/>
        <v/>
      </c>
      <c r="AI23" s="78"/>
      <c r="AJ23" s="79" t="str">
        <f t="shared" si="18"/>
        <v/>
      </c>
      <c r="AK23" s="79"/>
      <c r="AL23" s="111" t="str">
        <f t="shared" si="19"/>
        <v/>
      </c>
      <c r="AM23" s="80"/>
      <c r="AN23" s="79" t="str">
        <f t="shared" si="20"/>
        <v/>
      </c>
      <c r="AO23" s="112"/>
      <c r="AP23" s="112"/>
      <c r="AQ23" s="69"/>
      <c r="AR23" s="70">
        <f t="shared" si="4"/>
        <v>0</v>
      </c>
      <c r="AS23" s="71"/>
      <c r="AT23" s="72" t="str">
        <f t="shared" si="5"/>
        <v/>
      </c>
      <c r="AU23" s="72"/>
      <c r="AV23" s="73">
        <f t="shared" si="6"/>
        <v>0</v>
      </c>
      <c r="AW23" s="74"/>
      <c r="AX23" s="72" t="str">
        <f t="shared" si="7"/>
        <v/>
      </c>
      <c r="AY23" s="75"/>
      <c r="AZ23" s="75"/>
      <c r="BA23" s="76"/>
      <c r="BB23" s="77">
        <f t="shared" si="8"/>
        <v>0</v>
      </c>
      <c r="BC23" s="78"/>
      <c r="BD23" s="79" t="str">
        <f t="shared" si="9"/>
        <v/>
      </c>
      <c r="BE23" s="79"/>
      <c r="BF23" s="77">
        <f t="shared" si="10"/>
        <v>0</v>
      </c>
      <c r="BG23" s="80"/>
      <c r="BH23" s="79" t="str">
        <f t="shared" si="11"/>
        <v/>
      </c>
      <c r="BI23" s="81"/>
      <c r="BJ23" s="81"/>
      <c r="BK23" s="9"/>
      <c r="BM23" s="12">
        <v>23</v>
      </c>
      <c r="BO23" s="13"/>
      <c r="BP23" s="13"/>
      <c r="BQ23" s="88" t="s">
        <v>24</v>
      </c>
      <c r="BR23" s="89">
        <f t="shared" si="12"/>
        <v>17</v>
      </c>
      <c r="BS23" s="90">
        <f t="shared" si="13"/>
        <v>12</v>
      </c>
      <c r="BT23" s="91" t="str">
        <f t="shared" si="14"/>
        <v>MICHEL DEDE</v>
      </c>
      <c r="BU23" s="92">
        <f t="shared" si="15"/>
        <v>29</v>
      </c>
      <c r="BV23" s="93" t="str">
        <f t="shared" si="16"/>
        <v>PATRICK PIERRE</v>
      </c>
      <c r="BW23" s="94"/>
      <c r="BX23" s="94"/>
      <c r="CA23" s="95"/>
      <c r="CB23" s="97"/>
      <c r="CC23" s="1">
        <v>23</v>
      </c>
      <c r="CD23" s="1" t="s">
        <v>31</v>
      </c>
      <c r="CI23" s="1" t="s">
        <v>17</v>
      </c>
      <c r="CL23" s="28">
        <v>23</v>
      </c>
      <c r="CN23" s="100"/>
      <c r="CO23" s="101"/>
      <c r="CP23" s="102"/>
      <c r="CQ23" s="103"/>
      <c r="CR23" s="104"/>
      <c r="CS23" s="101"/>
      <c r="CT23" s="105"/>
      <c r="CU23" s="106"/>
      <c r="CV23" s="107"/>
      <c r="CW23" s="107"/>
      <c r="CZ23" s="100"/>
      <c r="DA23" s="101"/>
      <c r="DB23" s="102"/>
      <c r="DC23" s="103"/>
      <c r="DD23" s="104"/>
      <c r="DE23" s="101"/>
      <c r="DF23" s="105"/>
      <c r="DG23" s="106"/>
      <c r="DH23" s="107"/>
      <c r="DI23" s="107"/>
    </row>
    <row r="24" spans="2:113" ht="20.25">
      <c r="B24" s="37">
        <v>19</v>
      </c>
      <c r="C24" s="38" t="s">
        <v>15</v>
      </c>
      <c r="D24" s="87">
        <v>30</v>
      </c>
      <c r="E24" s="40"/>
      <c r="F24" s="98" t="s">
        <v>57</v>
      </c>
      <c r="G24" s="42" t="s">
        <v>15</v>
      </c>
      <c r="H24" s="43">
        <v>18</v>
      </c>
      <c r="I24" s="44"/>
      <c r="J24" s="45" t="s">
        <v>46</v>
      </c>
      <c r="K24" s="46">
        <v>13</v>
      </c>
      <c r="L24" s="46">
        <v>7</v>
      </c>
      <c r="M24" s="76" t="s">
        <v>15</v>
      </c>
      <c r="N24" s="111">
        <v>36</v>
      </c>
      <c r="O24" s="78"/>
      <c r="P24" s="115" t="s">
        <v>45</v>
      </c>
      <c r="Q24" s="116" t="s">
        <v>15</v>
      </c>
      <c r="R24" s="111">
        <v>37</v>
      </c>
      <c r="S24" s="80"/>
      <c r="T24" s="79" t="s">
        <v>40</v>
      </c>
      <c r="U24" s="54">
        <v>12</v>
      </c>
      <c r="V24" s="54">
        <v>13</v>
      </c>
      <c r="W24" s="100" t="s">
        <v>15</v>
      </c>
      <c r="X24" s="101">
        <v>36</v>
      </c>
      <c r="Y24" s="102"/>
      <c r="Z24" s="103" t="s">
        <v>45</v>
      </c>
      <c r="AA24" s="104" t="s">
        <v>15</v>
      </c>
      <c r="AB24" s="101">
        <v>30</v>
      </c>
      <c r="AC24" s="105"/>
      <c r="AD24" s="106" t="s">
        <v>57</v>
      </c>
      <c r="AE24" s="107"/>
      <c r="AF24" s="107"/>
      <c r="AG24" s="76"/>
      <c r="AH24" s="111" t="str">
        <f t="shared" si="17"/>
        <v/>
      </c>
      <c r="AI24" s="78"/>
      <c r="AJ24" s="79" t="str">
        <f t="shared" si="18"/>
        <v/>
      </c>
      <c r="AK24" s="79"/>
      <c r="AL24" s="111" t="str">
        <f t="shared" si="19"/>
        <v/>
      </c>
      <c r="AM24" s="80"/>
      <c r="AN24" s="79" t="str">
        <f t="shared" si="20"/>
        <v/>
      </c>
      <c r="AO24" s="112"/>
      <c r="AP24" s="112"/>
      <c r="AQ24" s="69"/>
      <c r="AR24" s="70">
        <f t="shared" si="4"/>
        <v>0</v>
      </c>
      <c r="AS24" s="71"/>
      <c r="AT24" s="72" t="str">
        <f t="shared" si="5"/>
        <v/>
      </c>
      <c r="AU24" s="72"/>
      <c r="AV24" s="73">
        <f t="shared" si="6"/>
        <v>0</v>
      </c>
      <c r="AW24" s="74"/>
      <c r="AX24" s="72" t="str">
        <f t="shared" si="7"/>
        <v/>
      </c>
      <c r="AY24" s="75"/>
      <c r="AZ24" s="75"/>
      <c r="BA24" s="76"/>
      <c r="BB24" s="77">
        <f t="shared" si="8"/>
        <v>0</v>
      </c>
      <c r="BC24" s="78"/>
      <c r="BD24" s="79" t="str">
        <f t="shared" si="9"/>
        <v/>
      </c>
      <c r="BE24" s="79"/>
      <c r="BF24" s="77">
        <f t="shared" si="10"/>
        <v>0</v>
      </c>
      <c r="BG24" s="80"/>
      <c r="BH24" s="79" t="str">
        <f t="shared" si="11"/>
        <v/>
      </c>
      <c r="BI24" s="81"/>
      <c r="BJ24" s="81"/>
      <c r="BK24" s="9"/>
      <c r="BM24" s="12">
        <v>24</v>
      </c>
      <c r="BN24" s="13">
        <v>13</v>
      </c>
      <c r="BO24" s="13"/>
      <c r="BP24" s="13"/>
      <c r="BQ24" s="88" t="s">
        <v>24</v>
      </c>
      <c r="BR24" s="89">
        <f t="shared" si="12"/>
        <v>18</v>
      </c>
      <c r="BS24" s="90">
        <f t="shared" si="13"/>
        <v>22</v>
      </c>
      <c r="BT24" s="91" t="str">
        <f t="shared" si="14"/>
        <v>OSCAR JACKY</v>
      </c>
      <c r="BU24" s="92">
        <f t="shared" si="15"/>
        <v>40</v>
      </c>
      <c r="BV24" s="93" t="str">
        <f t="shared" si="16"/>
        <v>CHRISTIAN DANIELLE</v>
      </c>
      <c r="BW24" s="94"/>
      <c r="BX24" s="94"/>
      <c r="CA24" s="95"/>
      <c r="CB24" s="97"/>
      <c r="CC24" s="1">
        <v>24</v>
      </c>
      <c r="CD24" s="1" t="s">
        <v>43</v>
      </c>
      <c r="CI24" s="1" t="s">
        <v>4</v>
      </c>
      <c r="CL24" s="28">
        <v>24</v>
      </c>
      <c r="CN24" s="100"/>
      <c r="CO24" s="101"/>
      <c r="CP24" s="102"/>
      <c r="CQ24" s="103"/>
      <c r="CR24" s="104"/>
      <c r="CS24" s="101"/>
      <c r="CT24" s="105"/>
      <c r="CU24" s="106"/>
      <c r="CV24" s="107"/>
      <c r="CW24" s="107"/>
      <c r="CZ24" s="100"/>
      <c r="DA24" s="101"/>
      <c r="DB24" s="102"/>
      <c r="DC24" s="103"/>
      <c r="DD24" s="104"/>
      <c r="DE24" s="101"/>
      <c r="DF24" s="105"/>
      <c r="DG24" s="106"/>
      <c r="DH24" s="107"/>
      <c r="DI24" s="107"/>
    </row>
    <row r="25" spans="2:113" ht="20.25">
      <c r="B25" s="37">
        <v>20</v>
      </c>
      <c r="C25" s="38" t="s">
        <v>15</v>
      </c>
      <c r="D25" s="87">
        <v>26</v>
      </c>
      <c r="E25" s="40"/>
      <c r="F25" s="98" t="s">
        <v>27</v>
      </c>
      <c r="G25" s="42" t="s">
        <v>15</v>
      </c>
      <c r="H25" s="43">
        <v>52</v>
      </c>
      <c r="I25" s="44"/>
      <c r="J25" s="45" t="s">
        <v>58</v>
      </c>
      <c r="K25" s="46">
        <v>13</v>
      </c>
      <c r="L25" s="46">
        <v>7</v>
      </c>
      <c r="M25" s="76" t="s">
        <v>15</v>
      </c>
      <c r="N25" s="111">
        <v>48</v>
      </c>
      <c r="O25" s="78"/>
      <c r="P25" s="115" t="s">
        <v>59</v>
      </c>
      <c r="Q25" s="116" t="s">
        <v>15</v>
      </c>
      <c r="R25" s="111">
        <v>41</v>
      </c>
      <c r="S25" s="80"/>
      <c r="T25" s="79" t="s">
        <v>35</v>
      </c>
      <c r="U25" s="54">
        <v>5</v>
      </c>
      <c r="V25" s="54">
        <v>13</v>
      </c>
      <c r="W25" s="100" t="s">
        <v>15</v>
      </c>
      <c r="X25" s="101">
        <v>21</v>
      </c>
      <c r="Y25" s="102"/>
      <c r="Z25" s="103" t="s">
        <v>13</v>
      </c>
      <c r="AA25" s="104" t="s">
        <v>15</v>
      </c>
      <c r="AB25" s="101">
        <v>29</v>
      </c>
      <c r="AC25" s="105"/>
      <c r="AD25" s="106" t="s">
        <v>51</v>
      </c>
      <c r="AE25" s="107"/>
      <c r="AF25" s="107"/>
      <c r="AG25" s="76"/>
      <c r="AH25" s="111" t="str">
        <f t="shared" si="17"/>
        <v/>
      </c>
      <c r="AI25" s="78"/>
      <c r="AJ25" s="79" t="str">
        <f t="shared" si="18"/>
        <v/>
      </c>
      <c r="AK25" s="79"/>
      <c r="AL25" s="111" t="str">
        <f t="shared" si="19"/>
        <v/>
      </c>
      <c r="AM25" s="80"/>
      <c r="AN25" s="79" t="str">
        <f t="shared" si="20"/>
        <v/>
      </c>
      <c r="AO25" s="112"/>
      <c r="AP25" s="112"/>
      <c r="AQ25" s="69"/>
      <c r="AR25" s="70">
        <f t="shared" si="4"/>
        <v>0</v>
      </c>
      <c r="AS25" s="71"/>
      <c r="AT25" s="72" t="str">
        <f t="shared" si="5"/>
        <v/>
      </c>
      <c r="AU25" s="72"/>
      <c r="AV25" s="73">
        <f t="shared" si="6"/>
        <v>0</v>
      </c>
      <c r="AW25" s="74"/>
      <c r="AX25" s="72" t="str">
        <f t="shared" si="7"/>
        <v/>
      </c>
      <c r="AY25" s="75"/>
      <c r="AZ25" s="75"/>
      <c r="BA25" s="76"/>
      <c r="BB25" s="77">
        <f t="shared" si="8"/>
        <v>0</v>
      </c>
      <c r="BC25" s="78"/>
      <c r="BD25" s="79" t="str">
        <f t="shared" si="9"/>
        <v/>
      </c>
      <c r="BE25" s="79"/>
      <c r="BF25" s="77">
        <f t="shared" si="10"/>
        <v>0</v>
      </c>
      <c r="BG25" s="80"/>
      <c r="BH25" s="79" t="str">
        <f t="shared" si="11"/>
        <v/>
      </c>
      <c r="BI25" s="81"/>
      <c r="BJ25" s="81"/>
      <c r="BK25" s="9"/>
      <c r="BM25" s="12">
        <v>25</v>
      </c>
      <c r="BO25" s="13"/>
      <c r="BP25" s="13"/>
      <c r="BQ25" s="88" t="s">
        <v>24</v>
      </c>
      <c r="BR25" s="89">
        <f t="shared" si="12"/>
        <v>19</v>
      </c>
      <c r="BS25" s="90">
        <f t="shared" si="13"/>
        <v>30</v>
      </c>
      <c r="BT25" s="91" t="str">
        <f t="shared" si="14"/>
        <v>JEAN LUC POLO</v>
      </c>
      <c r="BU25" s="92">
        <f t="shared" si="15"/>
        <v>18</v>
      </c>
      <c r="BV25" s="93" t="str">
        <f t="shared" si="16"/>
        <v>HUARD BOUSSERON</v>
      </c>
      <c r="BW25" s="94"/>
      <c r="BX25" s="94"/>
      <c r="CA25" s="95"/>
      <c r="CB25" s="97"/>
      <c r="CC25" s="1">
        <v>25</v>
      </c>
      <c r="CD25" s="1" t="s">
        <v>30</v>
      </c>
      <c r="CI25" s="1" t="s">
        <v>19</v>
      </c>
      <c r="CL25" s="28">
        <v>25</v>
      </c>
      <c r="CN25" s="100"/>
      <c r="CO25" s="101"/>
      <c r="CP25" s="102"/>
      <c r="CQ25" s="103"/>
      <c r="CR25" s="104"/>
      <c r="CS25" s="101"/>
      <c r="CT25" s="105"/>
      <c r="CU25" s="106"/>
      <c r="CV25" s="107"/>
      <c r="CW25" s="107"/>
      <c r="CZ25" s="100"/>
      <c r="DA25" s="101"/>
      <c r="DB25" s="102"/>
      <c r="DC25" s="103"/>
      <c r="DD25" s="104"/>
      <c r="DE25" s="101"/>
      <c r="DF25" s="105"/>
      <c r="DG25" s="106"/>
      <c r="DH25" s="107"/>
      <c r="DI25" s="107"/>
    </row>
    <row r="26" spans="2:113" ht="20.25">
      <c r="B26" s="37">
        <v>21</v>
      </c>
      <c r="C26" s="38" t="s">
        <v>15</v>
      </c>
      <c r="D26" s="87">
        <v>19</v>
      </c>
      <c r="E26" s="40"/>
      <c r="F26" s="98" t="s">
        <v>22</v>
      </c>
      <c r="G26" s="42" t="s">
        <v>15</v>
      </c>
      <c r="H26" s="43">
        <v>32</v>
      </c>
      <c r="I26" s="44"/>
      <c r="J26" s="45" t="s">
        <v>54</v>
      </c>
      <c r="K26" s="46">
        <v>13</v>
      </c>
      <c r="L26" s="46">
        <v>7</v>
      </c>
      <c r="M26" s="76" t="s">
        <v>15</v>
      </c>
      <c r="N26" s="111">
        <v>31</v>
      </c>
      <c r="O26" s="78"/>
      <c r="P26" s="115" t="s">
        <v>39</v>
      </c>
      <c r="Q26" s="116" t="s">
        <v>15</v>
      </c>
      <c r="R26" s="111">
        <v>29</v>
      </c>
      <c r="S26" s="80"/>
      <c r="T26" s="79" t="s">
        <v>51</v>
      </c>
      <c r="U26" s="54">
        <v>13</v>
      </c>
      <c r="V26" s="54">
        <v>9</v>
      </c>
      <c r="W26" s="100" t="s">
        <v>15</v>
      </c>
      <c r="X26" s="101">
        <v>19</v>
      </c>
      <c r="Y26" s="102"/>
      <c r="Z26" s="103" t="s">
        <v>22</v>
      </c>
      <c r="AA26" s="104" t="s">
        <v>15</v>
      </c>
      <c r="AB26" s="101">
        <v>25</v>
      </c>
      <c r="AC26" s="105"/>
      <c r="AD26" s="106" t="s">
        <v>30</v>
      </c>
      <c r="AE26" s="107"/>
      <c r="AF26" s="107"/>
      <c r="AG26" s="76"/>
      <c r="AH26" s="111" t="str">
        <f t="shared" si="17"/>
        <v/>
      </c>
      <c r="AI26" s="78"/>
      <c r="AJ26" s="79" t="str">
        <f t="shared" si="18"/>
        <v/>
      </c>
      <c r="AK26" s="79"/>
      <c r="AL26" s="111" t="str">
        <f t="shared" si="19"/>
        <v/>
      </c>
      <c r="AM26" s="80"/>
      <c r="AN26" s="79" t="str">
        <f t="shared" si="20"/>
        <v/>
      </c>
      <c r="AO26" s="112"/>
      <c r="AP26" s="112"/>
      <c r="AQ26" s="69"/>
      <c r="AR26" s="70">
        <f t="shared" si="4"/>
        <v>0</v>
      </c>
      <c r="AS26" s="71"/>
      <c r="AT26" s="72" t="str">
        <f t="shared" si="5"/>
        <v/>
      </c>
      <c r="AU26" s="72"/>
      <c r="AV26" s="73">
        <f t="shared" si="6"/>
        <v>0</v>
      </c>
      <c r="AW26" s="74"/>
      <c r="AX26" s="72" t="str">
        <f t="shared" si="7"/>
        <v/>
      </c>
      <c r="AY26" s="75"/>
      <c r="AZ26" s="75"/>
      <c r="BA26" s="76"/>
      <c r="BB26" s="77">
        <f t="shared" si="8"/>
        <v>0</v>
      </c>
      <c r="BC26" s="78"/>
      <c r="BD26" s="79" t="str">
        <f t="shared" si="9"/>
        <v/>
      </c>
      <c r="BE26" s="79"/>
      <c r="BF26" s="77">
        <f t="shared" si="10"/>
        <v>0</v>
      </c>
      <c r="BG26" s="80"/>
      <c r="BH26" s="79" t="str">
        <f t="shared" si="11"/>
        <v/>
      </c>
      <c r="BI26" s="81"/>
      <c r="BJ26" s="81"/>
      <c r="BK26" s="9"/>
      <c r="BM26" s="12">
        <v>26</v>
      </c>
      <c r="BO26" s="13"/>
      <c r="BP26" s="13"/>
      <c r="BQ26" s="88" t="s">
        <v>24</v>
      </c>
      <c r="BR26" s="89">
        <f t="shared" si="12"/>
        <v>20</v>
      </c>
      <c r="BS26" s="90">
        <f t="shared" si="13"/>
        <v>26</v>
      </c>
      <c r="BT26" s="91" t="str">
        <f t="shared" si="14"/>
        <v>FRANCOIS DOMINIQUE</v>
      </c>
      <c r="BU26" s="92">
        <f t="shared" si="15"/>
        <v>52</v>
      </c>
      <c r="BV26" s="93" t="str">
        <f t="shared" si="16"/>
        <v>ABEL</v>
      </c>
      <c r="BW26" s="94"/>
      <c r="BX26" s="94"/>
      <c r="CA26" s="95"/>
      <c r="CB26" s="97"/>
      <c r="CC26" s="1">
        <v>26</v>
      </c>
      <c r="CD26" s="1" t="s">
        <v>27</v>
      </c>
      <c r="CI26" s="1" t="s">
        <v>36</v>
      </c>
      <c r="CL26" s="28">
        <v>26</v>
      </c>
      <c r="CN26" s="100"/>
      <c r="CO26" s="101"/>
      <c r="CP26" s="102"/>
      <c r="CQ26" s="103"/>
      <c r="CR26" s="104"/>
      <c r="CS26" s="101"/>
      <c r="CT26" s="105"/>
      <c r="CU26" s="106"/>
      <c r="CV26" s="107"/>
      <c r="CW26" s="107"/>
      <c r="CZ26" s="100"/>
      <c r="DA26" s="101"/>
      <c r="DB26" s="102"/>
      <c r="DC26" s="103"/>
      <c r="DD26" s="104"/>
      <c r="DE26" s="101"/>
      <c r="DF26" s="105"/>
      <c r="DG26" s="106"/>
      <c r="DH26" s="107"/>
      <c r="DI26" s="107"/>
    </row>
    <row r="27" spans="2:113" ht="20.25">
      <c r="B27" s="37">
        <v>22</v>
      </c>
      <c r="C27" s="38" t="s">
        <v>15</v>
      </c>
      <c r="D27" s="87">
        <v>47</v>
      </c>
      <c r="E27" s="40"/>
      <c r="F27" s="98" t="s">
        <v>60</v>
      </c>
      <c r="G27" s="42" t="s">
        <v>15</v>
      </c>
      <c r="H27" s="43">
        <v>27</v>
      </c>
      <c r="I27" s="44"/>
      <c r="J27" s="45" t="s">
        <v>61</v>
      </c>
      <c r="K27" s="46">
        <v>13</v>
      </c>
      <c r="L27" s="46">
        <v>7</v>
      </c>
      <c r="M27" s="76" t="s">
        <v>15</v>
      </c>
      <c r="N27" s="111">
        <v>50</v>
      </c>
      <c r="O27" s="78"/>
      <c r="P27" s="115" t="s">
        <v>62</v>
      </c>
      <c r="Q27" s="116" t="s">
        <v>15</v>
      </c>
      <c r="R27" s="111">
        <v>34</v>
      </c>
      <c r="S27" s="80"/>
      <c r="T27" s="79" t="s">
        <v>34</v>
      </c>
      <c r="U27" s="54">
        <v>13</v>
      </c>
      <c r="V27" s="54">
        <v>9</v>
      </c>
      <c r="W27" s="100" t="s">
        <v>15</v>
      </c>
      <c r="X27" s="101">
        <v>35</v>
      </c>
      <c r="Y27" s="102"/>
      <c r="Z27" s="103" t="s">
        <v>29</v>
      </c>
      <c r="AA27" s="104" t="s">
        <v>15</v>
      </c>
      <c r="AB27" s="101">
        <v>31</v>
      </c>
      <c r="AC27" s="105"/>
      <c r="AD27" s="106" t="s">
        <v>39</v>
      </c>
      <c r="AE27" s="107"/>
      <c r="AF27" s="107"/>
      <c r="AG27" s="76"/>
      <c r="AH27" s="111" t="str">
        <f t="shared" si="17"/>
        <v/>
      </c>
      <c r="AI27" s="78"/>
      <c r="AJ27" s="79" t="str">
        <f t="shared" si="18"/>
        <v/>
      </c>
      <c r="AK27" s="79"/>
      <c r="AL27" s="111" t="str">
        <f t="shared" si="19"/>
        <v/>
      </c>
      <c r="AM27" s="80"/>
      <c r="AN27" s="79" t="str">
        <f t="shared" si="20"/>
        <v/>
      </c>
      <c r="AO27" s="112"/>
      <c r="AP27" s="112"/>
      <c r="AQ27" s="69"/>
      <c r="AR27" s="70">
        <f t="shared" si="4"/>
        <v>0</v>
      </c>
      <c r="AS27" s="71"/>
      <c r="AT27" s="72" t="str">
        <f t="shared" si="5"/>
        <v/>
      </c>
      <c r="AU27" s="72"/>
      <c r="AV27" s="73">
        <f t="shared" si="6"/>
        <v>0</v>
      </c>
      <c r="AW27" s="74"/>
      <c r="AX27" s="72" t="str">
        <f t="shared" si="7"/>
        <v/>
      </c>
      <c r="AY27" s="75"/>
      <c r="AZ27" s="75"/>
      <c r="BA27" s="76"/>
      <c r="BB27" s="77">
        <f t="shared" si="8"/>
        <v>0</v>
      </c>
      <c r="BC27" s="78"/>
      <c r="BD27" s="79" t="str">
        <f t="shared" si="9"/>
        <v/>
      </c>
      <c r="BE27" s="79"/>
      <c r="BF27" s="77">
        <f t="shared" si="10"/>
        <v>0</v>
      </c>
      <c r="BG27" s="80"/>
      <c r="BH27" s="79" t="str">
        <f t="shared" si="11"/>
        <v/>
      </c>
      <c r="BI27" s="81"/>
      <c r="BJ27" s="81"/>
      <c r="BK27" s="9"/>
      <c r="BM27" s="12">
        <v>27</v>
      </c>
      <c r="BN27" s="13">
        <v>13</v>
      </c>
      <c r="BO27" s="13"/>
      <c r="BP27" s="13"/>
      <c r="BQ27" s="88" t="s">
        <v>24</v>
      </c>
      <c r="BR27" s="89">
        <f t="shared" si="12"/>
        <v>21</v>
      </c>
      <c r="BS27" s="90">
        <f t="shared" si="13"/>
        <v>19</v>
      </c>
      <c r="BT27" s="91" t="str">
        <f t="shared" si="14"/>
        <v>PIERRICK LILI</v>
      </c>
      <c r="BU27" s="92">
        <f t="shared" si="15"/>
        <v>32</v>
      </c>
      <c r="BV27" s="93" t="str">
        <f t="shared" si="16"/>
        <v>ANNIE BABETH</v>
      </c>
      <c r="BW27" s="94"/>
      <c r="BX27" s="94"/>
      <c r="CA27" s="95"/>
      <c r="CB27" s="97"/>
      <c r="CC27" s="1">
        <v>27</v>
      </c>
      <c r="CD27" s="1" t="s">
        <v>61</v>
      </c>
      <c r="CI27" s="1" t="s">
        <v>46</v>
      </c>
      <c r="CL27" s="28">
        <v>27</v>
      </c>
      <c r="CN27" s="100"/>
      <c r="CO27" s="101"/>
      <c r="CP27" s="102"/>
      <c r="CQ27" s="103"/>
      <c r="CR27" s="104"/>
      <c r="CS27" s="101"/>
      <c r="CT27" s="105"/>
      <c r="CU27" s="106"/>
      <c r="CV27" s="107"/>
      <c r="CW27" s="107"/>
      <c r="CZ27" s="100"/>
      <c r="DA27" s="101"/>
      <c r="DB27" s="102"/>
      <c r="DC27" s="103"/>
      <c r="DD27" s="104"/>
      <c r="DE27" s="101"/>
      <c r="DF27" s="105"/>
      <c r="DG27" s="106"/>
      <c r="DH27" s="107"/>
      <c r="DI27" s="107"/>
    </row>
    <row r="28" spans="2:113" ht="20.25">
      <c r="B28" s="37">
        <v>23</v>
      </c>
      <c r="C28" s="38" t="s">
        <v>15</v>
      </c>
      <c r="D28" s="87">
        <v>6</v>
      </c>
      <c r="E28" s="117"/>
      <c r="F28" s="98" t="s">
        <v>19</v>
      </c>
      <c r="G28" s="42" t="s">
        <v>15</v>
      </c>
      <c r="H28" s="43">
        <v>42</v>
      </c>
      <c r="I28" s="44"/>
      <c r="J28" s="45" t="s">
        <v>55</v>
      </c>
      <c r="K28" s="46">
        <v>13</v>
      </c>
      <c r="L28" s="46">
        <v>7</v>
      </c>
      <c r="M28" s="76" t="s">
        <v>15</v>
      </c>
      <c r="N28" s="111">
        <v>33</v>
      </c>
      <c r="O28" s="78"/>
      <c r="P28" s="115" t="s">
        <v>26</v>
      </c>
      <c r="Q28" s="116" t="s">
        <v>15</v>
      </c>
      <c r="R28" s="111">
        <v>52</v>
      </c>
      <c r="S28" s="80"/>
      <c r="T28" s="79" t="s">
        <v>58</v>
      </c>
      <c r="U28" s="54">
        <v>13</v>
      </c>
      <c r="V28" s="54">
        <v>9</v>
      </c>
      <c r="W28" s="100" t="s">
        <v>15</v>
      </c>
      <c r="X28" s="101">
        <v>26</v>
      </c>
      <c r="Y28" s="102"/>
      <c r="Z28" s="103" t="s">
        <v>27</v>
      </c>
      <c r="AA28" s="104" t="s">
        <v>15</v>
      </c>
      <c r="AB28" s="101">
        <v>18</v>
      </c>
      <c r="AC28" s="105"/>
      <c r="AD28" s="106" t="s">
        <v>46</v>
      </c>
      <c r="AE28" s="107"/>
      <c r="AF28" s="107"/>
      <c r="AG28" s="76"/>
      <c r="AH28" s="111" t="str">
        <f t="shared" si="17"/>
        <v/>
      </c>
      <c r="AI28" s="78"/>
      <c r="AJ28" s="79" t="str">
        <f t="shared" si="18"/>
        <v/>
      </c>
      <c r="AK28" s="79"/>
      <c r="AL28" s="111" t="str">
        <f t="shared" si="19"/>
        <v/>
      </c>
      <c r="AM28" s="80"/>
      <c r="AN28" s="79" t="str">
        <f t="shared" si="20"/>
        <v/>
      </c>
      <c r="AO28" s="112"/>
      <c r="AP28" s="112"/>
      <c r="AQ28" s="69"/>
      <c r="AR28" s="70">
        <f t="shared" si="4"/>
        <v>0</v>
      </c>
      <c r="AS28" s="71"/>
      <c r="AT28" s="72" t="str">
        <f t="shared" si="5"/>
        <v/>
      </c>
      <c r="AU28" s="72"/>
      <c r="AV28" s="73">
        <f t="shared" si="6"/>
        <v>0</v>
      </c>
      <c r="AW28" s="74"/>
      <c r="AX28" s="72" t="str">
        <f t="shared" si="7"/>
        <v/>
      </c>
      <c r="AY28" s="75"/>
      <c r="AZ28" s="75"/>
      <c r="BA28" s="76"/>
      <c r="BB28" s="77">
        <f t="shared" si="8"/>
        <v>0</v>
      </c>
      <c r="BC28" s="78"/>
      <c r="BD28" s="79" t="str">
        <f t="shared" si="9"/>
        <v/>
      </c>
      <c r="BE28" s="79"/>
      <c r="BF28" s="77">
        <f t="shared" si="10"/>
        <v>0</v>
      </c>
      <c r="BG28" s="80"/>
      <c r="BH28" s="79" t="str">
        <f t="shared" si="11"/>
        <v/>
      </c>
      <c r="BI28" s="81"/>
      <c r="BJ28" s="81"/>
      <c r="BK28" s="9"/>
      <c r="BM28" s="12">
        <v>28</v>
      </c>
      <c r="BN28" s="13">
        <v>13</v>
      </c>
      <c r="BO28" s="13"/>
      <c r="BP28" s="13"/>
      <c r="BQ28" s="88" t="s">
        <v>24</v>
      </c>
      <c r="BR28" s="89">
        <f t="shared" si="12"/>
        <v>22</v>
      </c>
      <c r="BS28" s="90">
        <f t="shared" si="13"/>
        <v>47</v>
      </c>
      <c r="BT28" s="91" t="str">
        <f t="shared" si="14"/>
        <v>HERMAN</v>
      </c>
      <c r="BU28" s="92">
        <f t="shared" si="15"/>
        <v>27</v>
      </c>
      <c r="BV28" s="93" t="str">
        <f t="shared" si="16"/>
        <v>MICHEL CHARLES</v>
      </c>
      <c r="BW28" s="94"/>
      <c r="BX28" s="94"/>
      <c r="CA28" s="95"/>
      <c r="CB28" s="97"/>
      <c r="CC28" s="1">
        <v>28</v>
      </c>
      <c r="CD28" s="1" t="s">
        <v>32</v>
      </c>
      <c r="CI28" s="1" t="s">
        <v>46</v>
      </c>
      <c r="CL28" s="118">
        <v>28</v>
      </c>
      <c r="CN28" s="100"/>
      <c r="CO28" s="101"/>
      <c r="CP28" s="102"/>
      <c r="CQ28" s="103"/>
      <c r="CR28" s="104"/>
      <c r="CS28" s="101"/>
      <c r="CT28" s="105"/>
      <c r="CU28" s="106"/>
      <c r="CV28" s="107"/>
      <c r="CW28" s="107"/>
      <c r="CZ28" s="100"/>
      <c r="DA28" s="101"/>
      <c r="DB28" s="102"/>
      <c r="DC28" s="103"/>
      <c r="DD28" s="104"/>
      <c r="DE28" s="101"/>
      <c r="DF28" s="105"/>
      <c r="DG28" s="106"/>
      <c r="DH28" s="107"/>
      <c r="DI28" s="107"/>
    </row>
    <row r="29" spans="2:113" ht="20.25">
      <c r="B29" s="37">
        <v>24</v>
      </c>
      <c r="C29" s="38" t="s">
        <v>15</v>
      </c>
      <c r="D29" s="87">
        <v>3</v>
      </c>
      <c r="E29" s="117"/>
      <c r="F29" s="98" t="s">
        <v>3</v>
      </c>
      <c r="G29" s="42" t="s">
        <v>15</v>
      </c>
      <c r="H29" s="43">
        <v>50</v>
      </c>
      <c r="I29" s="44"/>
      <c r="J29" s="45" t="s">
        <v>62</v>
      </c>
      <c r="K29" s="46">
        <v>13</v>
      </c>
      <c r="L29" s="46">
        <v>7</v>
      </c>
      <c r="M29" s="76" t="s">
        <v>15</v>
      </c>
      <c r="N29" s="111">
        <v>40</v>
      </c>
      <c r="O29" s="78"/>
      <c r="P29" s="115" t="s">
        <v>53</v>
      </c>
      <c r="Q29" s="116" t="s">
        <v>15</v>
      </c>
      <c r="R29" s="111">
        <v>45</v>
      </c>
      <c r="S29" s="80"/>
      <c r="T29" s="79" t="s">
        <v>38</v>
      </c>
      <c r="U29" s="54">
        <v>13</v>
      </c>
      <c r="V29" s="54">
        <v>9</v>
      </c>
      <c r="W29" s="100" t="s">
        <v>15</v>
      </c>
      <c r="X29" s="101">
        <v>40</v>
      </c>
      <c r="Y29" s="102"/>
      <c r="Z29" s="103" t="s">
        <v>53</v>
      </c>
      <c r="AA29" s="104" t="s">
        <v>15</v>
      </c>
      <c r="AB29" s="101">
        <v>33</v>
      </c>
      <c r="AC29" s="105"/>
      <c r="AD29" s="106" t="s">
        <v>26</v>
      </c>
      <c r="AE29" s="107"/>
      <c r="AF29" s="107"/>
      <c r="AG29" s="76"/>
      <c r="AH29" s="111" t="str">
        <f t="shared" si="17"/>
        <v/>
      </c>
      <c r="AI29" s="78"/>
      <c r="AJ29" s="79" t="str">
        <f t="shared" si="18"/>
        <v/>
      </c>
      <c r="AK29" s="79"/>
      <c r="AL29" s="111" t="str">
        <f t="shared" si="19"/>
        <v/>
      </c>
      <c r="AM29" s="80"/>
      <c r="AN29" s="79" t="str">
        <f t="shared" si="20"/>
        <v/>
      </c>
      <c r="AO29" s="112"/>
      <c r="AP29" s="112"/>
      <c r="AQ29" s="69"/>
      <c r="AR29" s="70">
        <f t="shared" si="4"/>
        <v>0</v>
      </c>
      <c r="AS29" s="71"/>
      <c r="AT29" s="72" t="str">
        <f t="shared" si="5"/>
        <v/>
      </c>
      <c r="AU29" s="72"/>
      <c r="AV29" s="73">
        <f t="shared" si="6"/>
        <v>0</v>
      </c>
      <c r="AW29" s="74"/>
      <c r="AX29" s="72" t="str">
        <f t="shared" si="7"/>
        <v/>
      </c>
      <c r="AY29" s="75"/>
      <c r="AZ29" s="75"/>
      <c r="BA29" s="76"/>
      <c r="BB29" s="77">
        <f t="shared" si="8"/>
        <v>0</v>
      </c>
      <c r="BC29" s="78"/>
      <c r="BD29" s="79" t="str">
        <f t="shared" si="9"/>
        <v/>
      </c>
      <c r="BE29" s="79"/>
      <c r="BF29" s="77">
        <f t="shared" si="10"/>
        <v>0</v>
      </c>
      <c r="BG29" s="80"/>
      <c r="BH29" s="79" t="str">
        <f t="shared" si="11"/>
        <v/>
      </c>
      <c r="BI29" s="81"/>
      <c r="BJ29" s="81"/>
      <c r="BK29" s="9"/>
      <c r="BM29" s="12">
        <v>29</v>
      </c>
      <c r="BO29" s="13"/>
      <c r="BP29" s="13"/>
      <c r="BQ29" s="88" t="s">
        <v>24</v>
      </c>
      <c r="BR29" s="89">
        <f t="shared" si="12"/>
        <v>23</v>
      </c>
      <c r="BS29" s="90">
        <f t="shared" si="13"/>
        <v>6</v>
      </c>
      <c r="BT29" s="91" t="str">
        <f t="shared" si="14"/>
        <v>DRAPEAU SERGE</v>
      </c>
      <c r="BU29" s="92">
        <f t="shared" si="15"/>
        <v>42</v>
      </c>
      <c r="BV29" s="93" t="str">
        <f t="shared" si="16"/>
        <v>PATRICK FLORENCE</v>
      </c>
      <c r="BW29" s="94"/>
      <c r="BX29" s="94"/>
      <c r="CA29" s="95"/>
      <c r="CB29" s="97"/>
      <c r="CC29" s="1">
        <v>29</v>
      </c>
      <c r="CD29" s="1" t="s">
        <v>51</v>
      </c>
      <c r="CI29" s="1" t="s">
        <v>18</v>
      </c>
      <c r="CL29" s="118">
        <v>29</v>
      </c>
      <c r="CN29" s="100"/>
      <c r="CO29" s="101"/>
      <c r="CP29" s="102"/>
      <c r="CQ29" s="103"/>
      <c r="CR29" s="104"/>
      <c r="CS29" s="101"/>
      <c r="CT29" s="105"/>
      <c r="CU29" s="106"/>
      <c r="CV29" s="107"/>
      <c r="CW29" s="107"/>
      <c r="CZ29" s="100"/>
      <c r="DA29" s="101" t="str">
        <f t="shared" ref="DA29:DA39" si="21">IF((DC208)=1,$BO$1,"")&amp;IF((DC208)=2,$BO$2,"")&amp;IF((DC208)=3,$BO$3,"")&amp;IF((DC208)=4,$BO$4,"")&amp;IF((DC208)=5,$BO$5,"")&amp;IF((DC208)=6,$BO$6,"")&amp;IF((DC208)=7,$BO$7,"")&amp;IF((DC208)=8,$BO$8,"")&amp;IF((DC208)=9,$BO$9,"")&amp;IF((DC208)=10,$BO$10,"")&amp;IF((DC208)=11,$BO$11,"")&amp;IF((DC208)=12,$BO$12,"")&amp;IF((DC208)=13,$BO$13,"")&amp;IF((DC208)=14,$BO$14,"")&amp;IF((DC208)=15,$BO$15,"")&amp;IF((DC208)=16,$BO$16,"")&amp;IF((DC208)=17,$BO$17,"")&amp;IF((DC208)=18,$BO$18,"")&amp;IF((DC208)=19,$BO$19,"")&amp;IF((DC208)=20,$BO$20,"")&amp;IF((DC208)=21,$BO$21,"")&amp;IF((DC208)=22,$BO$22,"")&amp;IF((DC208)=23,$BO$23,"")&amp;IF((DC208)=24,$BO$24,"")&amp;IF((DC208)=25,$BO$25,"")&amp;IF((DC208)=26,$BO$26,"")&amp;IF((DC208)=27,$BO$27,"")&amp;IF((DC208)=28,$BO$28,"")&amp;IF((DC208)=29,$BO$29,"")&amp;IF((DC208)=30,$BO$30,"")&amp;IF((DC208)=31,$BO$31,"")&amp;IF((DC208)=32,$BO$32,"")&amp;IF((DC208)=33,$BO$33,"")&amp;IF((DC208)=34,$BO$34,"")&amp;IF((DC208)=35,$BO$35,"")&amp;IF((DC208)=36,$BO$36,"")&amp;IF((DC208)=37,$BO$37,"")&amp;IF((DC208)=38,$BO$38,"")&amp;IF((DC208)=39,$BO$39,"")&amp;IF((DC208)=40,$BO$40,"")&amp;IF((DC208)=41,$BO$41,"")&amp;IF((DC208)=42,$BO$42,"")&amp;IF((DC208)=43,$BO$43,"")&amp;IF((DC208)=44,$BO$44,"")&amp;IF((DC208)=45,$BO$45,"")&amp;IF((DC208)=46,$BO$46,"")&amp;IF((DC208)=47,$BO$47,"")&amp;IF((DC208)=48,$BO$48,"")&amp;IF((DC208)=49,$BO$49,"")&amp;IF((DC208)=50,$BO$50,"")&amp;IF((DC208)=51,$BO$51,"")&amp;IF((DC208)=52,$BO$52,"")&amp;IF((DC208)=53,$BO$53,"")&amp;IF((DC208)=54,$BO$54,"")&amp;IF((DC208)=55,$BO$55,"")&amp;IF((DC208)=56,$BO$56,"")&amp;IF((DC208)=57,$BO$57,"")&amp;IF((DC208)=58,$BO$58,"")&amp;IF((DC208)=59,$BO$59,"")&amp;IF((DC208)=60,$BO$60,"")&amp;IF((DC208)=61,$BO$61,"")&amp;IF((DC208)=62,$BO$62,"")&amp;IF((DC208)=63,$BO$63,"")&amp;IF((DC208)=64,$BO$64,"")&amp;IF((DC208)=65,$BO$65,"")&amp;IF((DC208)=66,$BO$66,"")&amp;IF((DC208)=67,$BO$67,"")&amp;IF((DC208)=68,$BO$68,"")&amp;IF((DC208)=69,$BO$69,"")&amp;IF((DC208)=70,$BO$70,"")&amp;IF((DC208)=71,$BO$71,"")&amp;IF((DC208)=72,$BO$72,"")&amp;IF((DC208)=73,$BO$73,"")&amp;IF((DC208)=74,$BO$74,"")&amp;IF((DC208)=75,$BO$75,"")&amp;IF((DC208)=76,$BO$76,"")&amp;IF((DC208)=77,$BO$77,"")&amp;IF((DC208)=78,$BO$78,"")&amp;IF((DC208)=79,$BO$79,"")&amp;IF((DC208)=80,$BO$80,"")&amp;IF((DC208)=81,$BO$81,"")&amp;IF((DC208)=82,$BO$82,"")&amp;IF((DC208)=83,$BO$83,"")&amp;IF((DC208)=84,$BO$84,"")&amp;IF((DC208)=85,$BO$85,"")&amp;IF((DC208)=86,$BO$86,"")&amp;IF((DC208)=87,$BO$87,"")&amp;IF((DC208)=88,$BO$88,"")&amp;IF((DC208)=89,$BO$89,"")&amp;IF((DC208)=90,$BO$90,"")&amp;IF((DC208)=91,$BO$91,"")&amp;IF((DC208)=92,$BO$92,"")&amp;IF((DC208)=93,$BO$93,"")&amp;IF((DC208)=94,$BO$94,"")&amp;IF((DC208)=95,$BO$95,"")&amp;IF((DC208)=96,$BO$96,"")&amp;IF((DC208)=97,$BO$97,"")&amp;IF((DC208)=98,$BO$98,"")&amp;IF((DC208)=99,$BO$99,"")&amp;IF((DC208)=100,$BO$100,"")&amp;IF((DC208)=101,$BO$101,"")&amp;IF((DC208)=102,$BO$102,"")&amp;IF((DC208)=103,$BO$103,"")&amp;IF((DC208)=104,$BO$104,"")&amp;IF((DC208)=105,$BO$105,"")&amp;IF((DC208)=106,$BO$106,"")&amp;IF((DC208)=107,$BO$107,"")&amp;IF((DC208)=108,$BO$108,"")&amp;IF((DC208)=109,$BO$109,"")&amp;IF((DC208)=110,$BO$110,"")&amp;IF((DC208)=111,$BO$111,"")&amp;IF((DC208)=112,$BO$112,"")&amp;IF((DC208)=113,$BO$113,"")&amp;IF((DC208)=114,$BO$114,"")&amp;IF((DC208)=115,$BO$115,"")&amp;IF((DC208)=116,$BO$116,"")&amp;IF((DC208)=117,$BO$117,"")&amp;IF((DC208)=118,$BO$118,"")&amp;IF((DC208)=119,$BO$119,"")&amp;IF((DC208)=120,$BO$120,"")&amp;IF((DC208)=121,$BO$121,"")&amp;IF((DC208)=122,$BO$122,"")&amp;IF((DC208)=123,$BO$123,"")&amp;IF((DC208)=124,$BO$124,"")&amp;IF((DC208)=125,$BO$125,"")&amp;IF((DC208)=126,$BO$126,"")&amp;IF((DC208)=127,$BO$127,"")&amp;IF((DC208)=128,$BO$128,"")</f>
        <v/>
      </c>
      <c r="DB29" s="102"/>
      <c r="DC29" s="103" t="str">
        <f t="shared" ref="DC29:DC39" si="22">IF((DC208)=1,$BP$1,"")&amp;IF((DC208)=2,$BP$2,"")&amp;IF((DC208)=3,$BP$3,"")&amp;IF((DC208)=4,$BP$4,"")&amp;IF((DC208)=5,$BP$5,"")&amp;IF((DC208)=6,$BP$6,"")&amp;IF((DC208)=7,$BP$7,"")&amp;IF((DC208)=8,$BP$8,"")&amp;IF((DC208)=9,$BP$9,"")&amp;IF((DC208)=10,$BP$10,"")&amp;IF((DC208)=11,$BP$11,"")&amp;IF((DC208)=12,$BP$12,"")&amp;IF((DC208)=13,$BP$13,"")&amp;IF((DC208)=14,$BP$14,"")&amp;IF((DC208)=15,$BP$15,"")&amp;IF((DC208)=16,$BP$16,"")&amp;IF((DC208)=17,$BP$17,"")&amp;IF((DC208)=18,$BP$18,"")&amp;IF((DC208)=19,$BP$19,"")&amp;IF((DC208)=20,$BP$20,"")&amp;IF((DC208)=21,$BP$21,"")&amp;IF((DC208)=22,$BP$22,"")&amp;IF((DC208)=23,$BP$23,"")&amp;IF((DC208)=24,$BP$24,"")&amp;IF((DC208)=25,$BP$25,"")&amp;IF((DC208)=26,$BP$26,"")&amp;IF((DC208)=27,$BP$27,"")&amp;IF((DC208)=28,$BP$28,"")&amp;IF((DC208)=29,$BP$29,"")&amp;IF((DC208)=30,$BP$30,"")&amp;IF((DC208)=31,$BP$31,"")&amp;IF((DC208)=32,$BP$32,"")&amp;IF((DC208)=33,$BP$33,"")&amp;IF((DC208)=34,$BP$34,"")&amp;IF((DC208)=35,$BP$35,"")&amp;IF((DC208)=36,$BP$36,"")&amp;IF((DC208)=37,$BP$37,"")&amp;IF((DC208)=38,$BP$38,"")&amp;IF((DC208)=39,$BP$39,"")&amp;IF((DC208)=40,$BP$40,"")&amp;IF((DC208)=41,$BP$41,"")&amp;IF((DC208)=42,$BP$42,"")&amp;IF((DC208)=43,$BP$43,"")&amp;IF((DC208)=44,$BP$44,"")&amp;IF((DC208)=45,$BP$45,"")&amp;IF((DC208)=46,$BP$46,"")&amp;IF((DC208)=47,$BP$47,"")&amp;IF((DC208)=48,$BP$48,"")&amp;IF((DC208)=49,$BP$49,"")&amp;IF((DC208)=50,$BP$50,"")&amp;IF((DC208)=51,$BP$51,"")&amp;IF((DC208)=52,$BP$52,"")&amp;IF((DC208)=53,$BP$53,"")&amp;IF((DC208)=54,$BP$54,"")&amp;IF((DC208)=55,$BP$55,"")&amp;IF((DC208)=56,$BP$56,"")&amp;IF((DC208)=57,$BP$57,"")&amp;IF((DC208)=58,$BP$58,"")&amp;IF((DC208)=59,$BP$59,"")&amp;IF((DC208)=60,$BP$60,"")&amp;IF((DC208)=61,$BP$61,"")&amp;IF((DC208)=62,$BP$62,"")&amp;IF((DC208)=63,$BP$63,"")&amp;IF((DC208)=64,$BP$64,"")&amp;IF((DC208)=65,$BP$65,"")&amp;IF((DC208)=66,$BP$66,"")&amp;IF((DC208)=67,$BP$67,"")&amp;IF((DC208)=68,$BP$68,"")&amp;IF((DC208)=69,$BP$69,"")&amp;IF((DC208)=70,$BP$70,"")&amp;IF((DC208)=71,$BP$71,"")&amp;IF((DC208)=72,$BP$72,"")&amp;IF((DC208)=73,$BP$73,"")&amp;IF((DC208)=74,$BP$74,"")&amp;IF((DC208)=75,$BP$75,"")&amp;IF((DC208)=76,$BP$76,"")&amp;IF((DC208)=77,$BP$77,"")&amp;IF((DC208)=78,$BP$78,"")&amp;IF((DC208)=79,$BP$79,"")&amp;IF((DC208)=80,$BP$80,"")&amp;IF((DC208)=81,$BP$81,"")&amp;IF((DC208)=82,$BP$82,"")&amp;IF((DC208)=83,$BP$83,"")&amp;IF((DC208)=84,$BP$84,"")&amp;IF((DC208)=85,$BP$85,"")&amp;IF((DC208)=86,$BP$86,"")&amp;IF((DC208)=87,$BP$87,"")&amp;IF((DC208)=88,$BP$88,"")&amp;IF((DC208)=89,$BP$89,"")&amp;IF((DC208)=90,$BP$90,"")&amp;IF((DC208)=91,$BP$91,"")&amp;IF((DC208)=92,$BP$92,"")&amp;IF((DC208)=93,$BP$93,"")&amp;IF((DC208)=94,$BP$94,"")&amp;IF((DC208)=95,$BP$95,"")&amp;IF((DC208)=96,$BP$96,"")&amp;IF((DC208)=97,$BP$97,"")&amp;IF((DC208)=98,$BP$98,"")&amp;IF((DC208)=99,$BP$99,"")&amp;IF((DC208)=100,$BP$100,"")&amp;IF((DC208)=101,$BP$101,"")&amp;IF((DC208)=102,$BP$102,"")&amp;IF((DC208)=103,$BP$103,"")&amp;IF((DC208)=104,$BP$104,"")&amp;IF((DC208)=105,$BP$105,"")&amp;IF((DC208)=106,$BP$106,"")&amp;IF((DC208)=107,$BP$107,"")&amp;IF((DC208)=108,$BP$108,"")&amp;IF((DC208)=109,$BP$109,"")&amp;IF((DC208)=110,$BP$110,"")&amp;IF((DC208)=111,$BP$111,"")&amp;IF((DC208)=112,$BP$112,"")&amp;IF((DC208)=113,$BP$113,"")&amp;IF((DC208)=114,$BP$114,"")&amp;IF((DC208)=115,$BP$115,"")&amp;IF((DC208)=116,$BP$116,"")&amp;IF((DC208)=117,$BP$117,"")&amp;IF((DC208)=118,$BP$118,"")&amp;IF((DC208)=119,$BP$119,"")&amp;IF((DC208)=120,$BP$120,"")&amp;IF((DC208)=121,$BP$121,"")&amp;IF((DC208)=122,$BP$122,"")&amp;IF((DC208)=123,$BP$123,"")&amp;IF((DC208)=124,$BP$124,"")&amp;IF((DC208)=125,$BP$125,"")&amp;IF((DC208)=126,$BP$126,"")&amp;IF((DC208)=127,$BP$127,"")&amp;IF((DC208)=128,$BP$128,"")</f>
        <v/>
      </c>
      <c r="DD29" s="104"/>
      <c r="DE29" s="101" t="str">
        <f t="shared" ref="DE29:DE39" si="23">IF((DG208)=1,$BO$1,"")&amp;IF((DG208)=2,$BO$2,"")&amp;IF((DG208)=3,$BO$3,"")&amp;IF((DG208)=4,$BO$4,"")&amp;IF((DG208)=5,$BO$5,"")&amp;IF((DG208)=6,$BO$6,"")&amp;IF((DG208)=7,$BO$7,"")&amp;IF((DG208)=8,$BO$8,"")&amp;IF((DG208)=9,$BO$9,"")&amp;IF((DG208)=10,$BO$10,"")&amp;IF((DG208)=11,$BO$11,"")&amp;IF((DG208)=12,$BO$12,"")&amp;IF((DG208)=13,$BO$13,"")&amp;IF((DG208)=14,$BO$14,"")&amp;IF((DG208)=15,$BO$15,"")&amp;IF((DG208)=16,$BO$16,"")&amp;IF((DG208)=17,$BO$17,"")&amp;IF((DG208)=18,$BO$18,"")&amp;IF((DG208)=19,$BO$19,"")&amp;IF((DG208)=20,$BO$20,"")&amp;IF((DG208)=21,$BO$21,"")&amp;IF((DG208)=22,$BO$22,"")&amp;IF((DG208)=23,$BO$23,"")&amp;IF((DG208)=24,$BO$24,"")&amp;IF((DG208)=25,$BO$25,"")&amp;IF((DG208)=26,$BO$26,"")&amp;IF((DG208)=27,$BO$27,"")&amp;IF((DG208)=28,$BO$28,"")&amp;IF((DG208)=29,$BO$29,"")&amp;IF((DG208)=30,$BO$30,"")&amp;IF((DG208)=31,$BO$31,"")&amp;IF((DG208)=32,$BO$32,"")&amp;IF((DG208)=33,$BO$33,"")&amp;IF((DG208)=34,$BO$34,"")&amp;IF((DG208)=35,$BO$35,"")&amp;IF((DG208)=36,$BO$36,"")&amp;IF((DG208)=37,$BO$37,"")&amp;IF((DG208)=38,$BO$38,"")&amp;IF((DG208)=39,$BO$39,"")&amp;IF((DG208)=40,$BO$40,"")&amp;IF((DG208)=41,$BO$41,"")&amp;IF((DG208)=42,$BO$42,"")&amp;IF((DG208)=43,$BO$43,"")&amp;IF((DG208)=44,$BO$44,"")&amp;IF((DG208)=45,$BO$45,"")&amp;IF((DG208)=46,$BO$46,"")&amp;IF((DG208)=47,$BO$47,"")&amp;IF((DG208)=48,$BO$48,"")&amp;IF((DG208)=49,$BO$49,"")&amp;IF((DG208)=50,$BO$50,"")&amp;IF((DG208)=51,$BO$51,"")&amp;IF((DG208)=52,$BO$52,"")&amp;IF((DG208)=53,$BO$53,"")&amp;IF((DG208)=54,$BO$54,"")&amp;IF((DG208)=55,$BO$55,"")&amp;IF((DG208)=56,$BO$56,"")&amp;IF((DG208)=57,$BO$57,"")&amp;IF((DG208)=58,$BO$58,"")&amp;IF((DG208)=59,$BO$59,"")&amp;IF((DG208)=60,$BO$60,"")&amp;IF((DG208)=61,$BO$61,"")&amp;IF((DG208)=62,$BO$62,"")&amp;IF((DG208)=63,$BO$63,"")&amp;IF((DG208)=64,$BO$64,"")&amp;IF((DG208)=65,$BO$65,"")&amp;IF((DG208)=66,$BO$66,"")&amp;IF((DG208)=67,$BO$67,"")&amp;IF((DG208)=68,$BO$68,"")&amp;IF((DG208)=69,$BO$69,"")&amp;IF((DG208)=70,$BO$70,"")&amp;IF((DG208)=71,$BO$71,"")&amp;IF((DG208)=72,$BO$72,"")&amp;IF((DG208)=73,$BO$73,"")&amp;IF((DG208)=74,$BO$74,"")&amp;IF((DG208)=75,$BO$75,"")&amp;IF((DG208)=76,$BO$76,"")&amp;IF((DG208)=77,$BO$77,"")&amp;IF((DG208)=78,$BO$78,"")&amp;IF((DG208)=79,$BO$79,"")&amp;IF((DG208)=80,$BO$80,"")&amp;IF((DG208)=81,$BO$81,"")&amp;IF((DG208)=82,$BO$82,"")&amp;IF((DG208)=83,$BO$83,"")&amp;IF((DG208)=84,$BO$84,"")&amp;IF((DG208)=85,$BO$85,"")&amp;IF((DG208)=86,$BO$86,"")&amp;IF((DG208)=87,$BO$87,"")&amp;IF((DG208)=88,$BO$88,"")&amp;IF((DG208)=89,$BO$89,"")&amp;IF((DG208)=90,$BO$90,"")&amp;IF((DG208)=91,$BO$91,"")&amp;IF((DG208)=92,$BO$92,"")&amp;IF((DG208)=93,$BO$93,"")&amp;IF((DG208)=94,$BO$94,"")&amp;IF((DG208)=95,$BO$95,"")&amp;IF((DG208)=96,$BO$96,"")&amp;IF((DG208)=97,$BO$97,"")&amp;IF((DG208)=98,$BO$98,"")&amp;IF((DG208)=99,$BO$99,"")&amp;IF((DG208)=100,$BO$100,"")&amp;IF((DG208)=101,$BO$101,"")&amp;IF((DG208)=102,$BO$102,"")&amp;IF((DG208)=103,$BO$103,"")&amp;IF((DG208)=104,$BO$104,"")&amp;IF((DG208)=105,$BO$105,"")&amp;IF((DG208)=106,$BO$106,"")&amp;IF((DG208)=107,$BO$107,"")&amp;IF((DG208)=108,$BO$108,"")&amp;IF((DG208)=109,$BO$109,"")&amp;IF((DG208)=110,$BO$110,"")&amp;IF((DG208)=111,$BO$111,"")&amp;IF((DG208)=112,$BO$112,"")&amp;IF((DG208)=113,$BO$113,"")&amp;IF((DG208)=114,$BO$114,"")&amp;IF((DG208)=115,$BO$115,"")&amp;IF((DG208)=116,$BO$116,"")&amp;IF((DG208)=117,$BO$117,"")&amp;IF((DG208)=118,$BO$118,"")&amp;IF((DG208)=119,$BO$119,"")&amp;IF((DG208)=120,$BO$120,"")&amp;IF((DG208)=121,$BO$121,"")&amp;IF((DG208)=122,$BO$122,"")&amp;IF((DG208)=123,$BO$123,"")&amp;IF((DG208)=124,$BO$124,"")&amp;IF((DG208)=125,$BO$125,"")&amp;IF((DG208)=126,$BO$126,"")&amp;IF((DG208)=127,$BO$127,"")&amp;IF((DG208)=128,$BO$128,"")</f>
        <v/>
      </c>
      <c r="DF29" s="105"/>
      <c r="DG29" s="106" t="str">
        <f t="shared" ref="DG29:DG39" si="24">IF((DG208)=1,$BP$1,"")&amp;IF((DG208)=2,$BP$2,"")&amp;IF((DG208)=3,$BP$3,"")&amp;IF((DG208)=4,$BP$4,"")&amp;IF((DG208)=5,$BP$5,"")&amp;IF((DG208)=6,$BP$6,"")&amp;IF((DG208)=7,$BP$7,"")&amp;IF((DG208)=8,$BP$8,"")&amp;IF((DG208)=9,$BP$9,"")&amp;IF((DG208)=10,$BP$10,"")&amp;IF((DG208)=11,$BP$11,"")&amp;IF((DG208)=12,$BP$12,"")&amp;IF((DG208)=13,$BP$13,"")&amp;IF((DG208)=14,$BP$14,"")&amp;IF((DG208)=15,$BP$15,"")&amp;IF((DG208)=16,$BP$16,"")&amp;IF((DG208)=17,$BP$17,"")&amp;IF((DG208)=18,$BP$18,"")&amp;IF((DG208)=19,$BP$19,"")&amp;IF((DG208)=20,$BP$20,"")&amp;IF((DG208)=21,$BP$21,"")&amp;IF((DG208)=22,$BP$22,"")&amp;IF((DG208)=23,$BP$23,"")&amp;IF((DG208)=24,$BP$24,"")&amp;IF((DG208)=25,$BP$25,"")&amp;IF((DG208)=26,$BP$26,"")&amp;IF((DG208)=27,$BP$27,"")&amp;IF((DG208)=28,$BP$28,"")&amp;IF((DG208)=29,$BP$29,"")&amp;IF((DG208)=30,$BP$30,"")&amp;IF((DG208)=31,$BP$31,"")&amp;IF((DG208)=32,$BP$32,"")&amp;IF((DG208)=33,$BP$33,"")&amp;IF((DG208)=34,$BP$34,"")&amp;IF((DG208)=35,$BP$35,"")&amp;IF((DG208)=36,$BP$36,"")&amp;IF((DG208)=37,$BP$37,"")&amp;IF((DG208)=38,$BP$38,"")&amp;IF((DG208)=39,$BP$39,"")&amp;IF((DG208)=40,$BP$40,"")&amp;IF((DG208)=41,$BP$41,"")&amp;IF((DG208)=42,$BP$42,"")&amp;IF((DG208)=43,$BP$43,"")&amp;IF((DG208)=44,$BP$44,"")&amp;IF((DG208)=45,$BP$45,"")&amp;IF((DG208)=46,$BP$46,"")&amp;IF((DG208)=47,$BP$47,"")&amp;IF((DG208)=48,$BP$48,"")&amp;IF((DG208)=49,$BP$49,"")&amp;IF((DG208)=50,$BP$50,"")&amp;IF((DG208)=51,$BP$51,"")&amp;IF((DG208)=52,$BP$52,"")&amp;IF((DG208)=53,$BP$53,"")&amp;IF((DG208)=54,$BP$54,"")&amp;IF((DG208)=55,$BP$55,"")&amp;IF((DG208)=56,$BP$56,"")&amp;IF((DG208)=57,$BP$57,"")&amp;IF((DG208)=58,$BP$58,"")&amp;IF((DG208)=59,$BP$59,"")&amp;IF((DG208)=60,$BP$60,"")&amp;IF((DG208)=61,$BP$61,"")&amp;IF((DG208)=62,$BP$62,"")&amp;IF((DG208)=63,$BP$63,"")&amp;IF((DG208)=64,$BP$64,"")&amp;IF((DG208)=65,$BP$65,"")&amp;IF((DG208)=66,$BP$66,"")&amp;IF((DG208)=67,$BP$67,"")&amp;IF((DG208)=68,$BP$68,"")&amp;IF((DG208)=69,$BP$69,"")&amp;IF((DG208)=70,$BP$70,"")&amp;IF((DG208)=71,$BP$71,"")&amp;IF((DG208)=72,$BP$72,"")&amp;IF((DG208)=73,$BP$73,"")&amp;IF((DG208)=74,$BP$74,"")&amp;IF((DG208)=75,$BP$75,"")&amp;IF((DG208)=76,$BP$76,"")&amp;IF((DG208)=77,$BP$77,"")&amp;IF((DG208)=78,$BP$78,"")&amp;IF((DG208)=79,$BP$79,"")&amp;IF((DG208)=80,$BP$80,"")&amp;IF((DG208)=81,$BP$81,"")&amp;IF((DG208)=82,$BP$82,"")&amp;IF((DG208)=83,$BP$83,"")&amp;IF((DG208)=84,$BP$84,"")&amp;IF((DG208)=85,$BP$85,"")&amp;IF((DG208)=86,$BP$86,"")&amp;IF((DG208)=87,$BP$87,"")&amp;IF((DG208)=88,$BP$88,"")&amp;IF((DG208)=89,$BP$89,"")&amp;IF((DG208)=90,$BP$90,"")&amp;IF((DG208)=91,$BP$91,"")&amp;IF((DG208)=92,$BP$92,"")&amp;IF((DG208)=93,$BP$93,"")&amp;IF((DG208)=94,$BP$94,"")&amp;IF((DG208)=95,$BP$95,"")&amp;IF((DG208)=96,$BP$96,"")&amp;IF((DG208)=97,$BP$97,"")&amp;IF((DG208)=98,$BP$98,"")&amp;IF((DG208)=99,$BP$99,"")&amp;IF((DG208)=100,$BP$100,"")&amp;IF((DG208)=101,$BP$101,"")&amp;IF((DG208)=102,$BP$102,"")&amp;IF((DG208)=103,$BP$103,"")&amp;IF((DG208)=104,$BP$104,"")&amp;IF((DG208)=105,$BP$105,"")&amp;IF((DG208)=106,$BP$106,"")&amp;IF((DG208)=107,$BP$107,"")&amp;IF((DG208)=108,$BP$108,"")&amp;IF((DG208)=109,$BP$109,"")&amp;IF((DG208)=110,$BP$110,"")&amp;IF((DG208)=111,$BP$111,"")&amp;IF((DG208)=112,$BP$112,"")&amp;IF((DG208)=113,$BP$113,"")&amp;IF((DG208)=114,$BP$114,"")&amp;IF((DG208)=115,$BP$115,"")&amp;IF((DG208)=116,$BP$116,"")&amp;IF((DG208)=117,$BP$117,"")&amp;IF((DG208)=118,$BP$118,"")&amp;IF((DG208)=119,$BP$119,"")&amp;IF((DG208)=120,$BP$120,"")&amp;IF((DG208)=121,$BP$121,"")&amp;IF((DG208)=122,$BP$122,"")&amp;IF((DG208)=123,$BP$123,"")&amp;IF((DG208)=124,$BP$124,"")&amp;IF((DG208)=125,$BP$125,"")&amp;IF((DG208)=126,$BP$126,"")&amp;IF((DG208)=127,$BP$127,"")&amp;IF((DG208)=128,$BP$128,"")</f>
        <v/>
      </c>
      <c r="DH29" s="107"/>
      <c r="DI29" s="107"/>
    </row>
    <row r="30" spans="2:113" ht="21" thickBot="1">
      <c r="B30" s="37">
        <v>25</v>
      </c>
      <c r="C30" s="38" t="s">
        <v>15</v>
      </c>
      <c r="D30" s="87">
        <v>38</v>
      </c>
      <c r="E30" s="119"/>
      <c r="F30" s="98" t="s">
        <v>56</v>
      </c>
      <c r="G30" s="42" t="s">
        <v>15</v>
      </c>
      <c r="H30" s="43">
        <v>20</v>
      </c>
      <c r="I30" s="44"/>
      <c r="J30" s="45" t="s">
        <v>18</v>
      </c>
      <c r="K30" s="46">
        <v>13</v>
      </c>
      <c r="L30" s="46">
        <v>7</v>
      </c>
      <c r="M30" s="76" t="s">
        <v>15</v>
      </c>
      <c r="N30" s="111">
        <v>28</v>
      </c>
      <c r="O30" s="78"/>
      <c r="P30" s="115" t="s">
        <v>32</v>
      </c>
      <c r="Q30" s="116" t="s">
        <v>15</v>
      </c>
      <c r="R30" s="111">
        <v>38</v>
      </c>
      <c r="S30" s="80"/>
      <c r="T30" s="79" t="s">
        <v>56</v>
      </c>
      <c r="U30" s="54">
        <v>13</v>
      </c>
      <c r="V30" s="54">
        <v>9</v>
      </c>
      <c r="W30" s="100" t="s">
        <v>15</v>
      </c>
      <c r="X30" s="101">
        <v>16</v>
      </c>
      <c r="Y30" s="102"/>
      <c r="Z30" s="103" t="s">
        <v>36</v>
      </c>
      <c r="AA30" s="104" t="s">
        <v>15</v>
      </c>
      <c r="AB30" s="101">
        <v>34</v>
      </c>
      <c r="AC30" s="105"/>
      <c r="AD30" s="106" t="s">
        <v>34</v>
      </c>
      <c r="AE30" s="107"/>
      <c r="AF30" s="107"/>
      <c r="AG30" s="76"/>
      <c r="AH30" s="111" t="str">
        <f t="shared" si="17"/>
        <v/>
      </c>
      <c r="AI30" s="78"/>
      <c r="AJ30" s="79" t="str">
        <f t="shared" si="18"/>
        <v/>
      </c>
      <c r="AK30" s="79"/>
      <c r="AL30" s="111" t="str">
        <f t="shared" si="19"/>
        <v/>
      </c>
      <c r="AM30" s="80"/>
      <c r="AN30" s="79" t="str">
        <f t="shared" si="20"/>
        <v/>
      </c>
      <c r="AO30" s="112"/>
      <c r="AP30" s="112"/>
      <c r="AQ30" s="69"/>
      <c r="AR30" s="70">
        <f t="shared" si="4"/>
        <v>0</v>
      </c>
      <c r="AS30" s="71"/>
      <c r="AT30" s="72" t="str">
        <f t="shared" si="5"/>
        <v/>
      </c>
      <c r="AU30" s="72"/>
      <c r="AV30" s="73">
        <f t="shared" si="6"/>
        <v>0</v>
      </c>
      <c r="AW30" s="74"/>
      <c r="AX30" s="72" t="str">
        <f t="shared" si="7"/>
        <v/>
      </c>
      <c r="AY30" s="75"/>
      <c r="AZ30" s="75"/>
      <c r="BA30" s="76"/>
      <c r="BB30" s="77">
        <f t="shared" si="8"/>
        <v>0</v>
      </c>
      <c r="BC30" s="78"/>
      <c r="BD30" s="79" t="str">
        <f t="shared" si="9"/>
        <v/>
      </c>
      <c r="BE30" s="79"/>
      <c r="BF30" s="77">
        <f t="shared" si="10"/>
        <v>0</v>
      </c>
      <c r="BG30" s="80"/>
      <c r="BH30" s="79" t="str">
        <f t="shared" si="11"/>
        <v/>
      </c>
      <c r="BI30" s="81"/>
      <c r="BJ30" s="81"/>
      <c r="BK30" s="9"/>
      <c r="BM30" s="12">
        <v>30</v>
      </c>
      <c r="BO30" s="13"/>
      <c r="BP30" s="13"/>
      <c r="BQ30" s="88" t="s">
        <v>24</v>
      </c>
      <c r="BR30" s="89">
        <f t="shared" si="12"/>
        <v>24</v>
      </c>
      <c r="BS30" s="90">
        <f t="shared" si="13"/>
        <v>3</v>
      </c>
      <c r="BT30" s="91" t="str">
        <f t="shared" si="14"/>
        <v xml:space="preserve">THIERRY </v>
      </c>
      <c r="BU30" s="92">
        <f t="shared" si="15"/>
        <v>50</v>
      </c>
      <c r="BV30" s="93" t="str">
        <f t="shared" si="16"/>
        <v>FLORENTIN</v>
      </c>
      <c r="BW30" s="94"/>
      <c r="BX30" s="94"/>
      <c r="CA30" s="113"/>
      <c r="CB30" s="114"/>
      <c r="CC30" s="1">
        <v>30</v>
      </c>
      <c r="CD30" s="1" t="s">
        <v>57</v>
      </c>
      <c r="CI30" s="1" t="s">
        <v>16</v>
      </c>
      <c r="CL30" s="118">
        <v>30</v>
      </c>
      <c r="CN30" s="100"/>
      <c r="CO30" s="101"/>
      <c r="CP30" s="102"/>
      <c r="CQ30" s="103"/>
      <c r="CR30" s="104"/>
      <c r="CS30" s="101"/>
      <c r="CT30" s="105"/>
      <c r="CU30" s="106"/>
      <c r="CV30" s="107"/>
      <c r="CW30" s="107"/>
      <c r="CZ30" s="100"/>
      <c r="DA30" s="101" t="str">
        <f t="shared" si="21"/>
        <v/>
      </c>
      <c r="DB30" s="102"/>
      <c r="DC30" s="103" t="str">
        <f t="shared" si="22"/>
        <v/>
      </c>
      <c r="DD30" s="104"/>
      <c r="DE30" s="101" t="str">
        <f t="shared" si="23"/>
        <v/>
      </c>
      <c r="DF30" s="105"/>
      <c r="DG30" s="106" t="str">
        <f t="shared" si="24"/>
        <v/>
      </c>
      <c r="DH30" s="107"/>
      <c r="DI30" s="107"/>
    </row>
    <row r="31" spans="2:113" ht="33.75">
      <c r="B31" s="37">
        <v>26</v>
      </c>
      <c r="C31" s="38" t="s">
        <v>15</v>
      </c>
      <c r="D31" s="87">
        <v>10</v>
      </c>
      <c r="E31" s="117"/>
      <c r="F31" s="98" t="s">
        <v>33</v>
      </c>
      <c r="G31" s="42" t="s">
        <v>15</v>
      </c>
      <c r="H31" s="43">
        <v>48</v>
      </c>
      <c r="I31" s="44"/>
      <c r="J31" s="45" t="s">
        <v>59</v>
      </c>
      <c r="K31" s="46">
        <v>13</v>
      </c>
      <c r="L31" s="46">
        <v>7</v>
      </c>
      <c r="M31" s="76" t="s">
        <v>15</v>
      </c>
      <c r="N31" s="111">
        <v>43</v>
      </c>
      <c r="O31" s="78"/>
      <c r="P31" s="115" t="s">
        <v>44</v>
      </c>
      <c r="Q31" s="116" t="s">
        <v>15</v>
      </c>
      <c r="R31" s="111">
        <v>47</v>
      </c>
      <c r="S31" s="80"/>
      <c r="T31" s="79" t="s">
        <v>60</v>
      </c>
      <c r="U31" s="54">
        <v>13</v>
      </c>
      <c r="V31" s="54">
        <v>9</v>
      </c>
      <c r="W31" s="100" t="s">
        <v>15</v>
      </c>
      <c r="X31" s="101">
        <v>23</v>
      </c>
      <c r="Y31" s="102"/>
      <c r="Z31" s="103" t="s">
        <v>31</v>
      </c>
      <c r="AA31" s="104" t="s">
        <v>15</v>
      </c>
      <c r="AB31" s="101">
        <v>28</v>
      </c>
      <c r="AC31" s="105"/>
      <c r="AD31" s="106" t="s">
        <v>32</v>
      </c>
      <c r="AE31" s="107"/>
      <c r="AF31" s="107"/>
      <c r="AG31" s="76"/>
      <c r="AH31" s="111" t="str">
        <f t="shared" si="17"/>
        <v/>
      </c>
      <c r="AI31" s="78"/>
      <c r="AJ31" s="79" t="str">
        <f t="shared" si="18"/>
        <v/>
      </c>
      <c r="AK31" s="79"/>
      <c r="AL31" s="111" t="str">
        <f t="shared" si="19"/>
        <v/>
      </c>
      <c r="AM31" s="80"/>
      <c r="AN31" s="79" t="str">
        <f t="shared" si="20"/>
        <v/>
      </c>
      <c r="AO31" s="112"/>
      <c r="AP31" s="112"/>
      <c r="AQ31" s="69"/>
      <c r="AR31" s="70">
        <f t="shared" si="4"/>
        <v>0</v>
      </c>
      <c r="AS31" s="71"/>
      <c r="AT31" s="72" t="str">
        <f t="shared" si="5"/>
        <v/>
      </c>
      <c r="AU31" s="72"/>
      <c r="AV31" s="73">
        <f t="shared" si="6"/>
        <v>0</v>
      </c>
      <c r="AW31" s="74"/>
      <c r="AX31" s="72" t="str">
        <f t="shared" si="7"/>
        <v/>
      </c>
      <c r="AY31" s="75"/>
      <c r="AZ31" s="75"/>
      <c r="BA31" s="76"/>
      <c r="BB31" s="77">
        <f t="shared" si="8"/>
        <v>0</v>
      </c>
      <c r="BC31" s="78"/>
      <c r="BD31" s="79" t="str">
        <f t="shared" si="9"/>
        <v/>
      </c>
      <c r="BE31" s="79"/>
      <c r="BF31" s="77">
        <f t="shared" si="10"/>
        <v>0</v>
      </c>
      <c r="BG31" s="80"/>
      <c r="BH31" s="79" t="str">
        <f t="shared" si="11"/>
        <v/>
      </c>
      <c r="BI31" s="81"/>
      <c r="BJ31" s="81"/>
      <c r="BK31" s="9"/>
      <c r="BM31" s="12">
        <v>31</v>
      </c>
      <c r="BO31" s="13"/>
      <c r="BP31" s="13"/>
      <c r="BQ31" s="88" t="s">
        <v>24</v>
      </c>
      <c r="BR31" s="89">
        <f t="shared" si="12"/>
        <v>25</v>
      </c>
      <c r="BS31" s="90">
        <f t="shared" si="13"/>
        <v>38</v>
      </c>
      <c r="BT31" s="91" t="str">
        <f t="shared" si="14"/>
        <v>CHRISTIAN JEAN PIERRE</v>
      </c>
      <c r="BU31" s="92">
        <f t="shared" si="15"/>
        <v>20</v>
      </c>
      <c r="BV31" s="93" t="str">
        <f t="shared" si="16"/>
        <v>TITI</v>
      </c>
      <c r="BW31" s="94"/>
      <c r="BX31" s="94"/>
      <c r="CC31" s="1">
        <v>31</v>
      </c>
      <c r="CD31" s="1" t="s">
        <v>39</v>
      </c>
      <c r="CI31" s="1" t="s">
        <v>18</v>
      </c>
      <c r="CL31" s="118">
        <v>31</v>
      </c>
      <c r="CN31" s="99" t="s">
        <v>63</v>
      </c>
      <c r="CO31" s="99"/>
      <c r="CP31" s="99"/>
      <c r="CQ31" s="99"/>
      <c r="CR31" s="99"/>
      <c r="CS31" s="99"/>
      <c r="CT31" s="99"/>
      <c r="CU31" s="99"/>
      <c r="CV31" s="99"/>
      <c r="CW31" s="99"/>
      <c r="CZ31" s="100"/>
      <c r="DA31" s="101" t="str">
        <f t="shared" si="21"/>
        <v/>
      </c>
      <c r="DB31" s="102"/>
      <c r="DC31" s="103" t="str">
        <f t="shared" si="22"/>
        <v/>
      </c>
      <c r="DD31" s="104"/>
      <c r="DE31" s="101" t="str">
        <f t="shared" si="23"/>
        <v/>
      </c>
      <c r="DF31" s="105"/>
      <c r="DG31" s="106" t="str">
        <f t="shared" si="24"/>
        <v/>
      </c>
      <c r="DH31" s="107"/>
      <c r="DI31" s="107"/>
    </row>
    <row r="32" spans="2:113" ht="20.25">
      <c r="B32" s="37">
        <v>27</v>
      </c>
      <c r="C32" s="120"/>
      <c r="D32" s="87"/>
      <c r="E32" s="119"/>
      <c r="F32" s="121"/>
      <c r="G32" s="42"/>
      <c r="H32" s="43">
        <f t="shared" ref="H32:H39" si="25">J127</f>
        <v>0</v>
      </c>
      <c r="I32" s="44"/>
      <c r="J32" s="45" t="str">
        <f t="shared" ref="J32:J39" si="26">IF((J127)=1,$BN$1,"")&amp;IF((J127)=2,$BN$2,"")&amp;IF((J127)=3,$BN$3,"")&amp;IF((J127)=4,$BN$4,"")&amp;IF((J127)=5,$BN$5,"")&amp;IF((J127)=6,$BN$6,"")&amp;IF((J127)=7,$BN$7,"")&amp;IF((J127)=8,$BN$8,"")&amp;IF((J127)=9,$BN$9,"")&amp;IF((J127)=10,$BN$10,"")&amp;IF((J127)=11,$BN$11,"")&amp;IF((J127)=12,$BN$12,"")&amp;IF((J127)=13,$BN$13,"")&amp;IF((J127)=14,$BN$14,"")&amp;IF((J127)=15,$BN$15,"")&amp;IF((J127)=16,$BN$16,"")&amp;IF((J127)=17,$BN$17,"")&amp;IF((J127)=18,$BN$18,"")&amp;IF((J127)=19,$BN$19,"")&amp;IF((J127)=20,$BN$20,"")&amp;IF((J127)=21,$BN$21,"")&amp;IF((J127)=22,$BN$22,"")&amp;IF((J127)=23,$BN$23,"")&amp;IF((J127)=24,$BN$24,"")&amp;IF((J127)=25,$BN$25,"")&amp;IF((J127)=26,$BN$26,"")&amp;IF((J127)=27,$BN$27,"")&amp;IF((J127)=28,$BN$28,"")&amp;IF((J127)=29,$BN$29,"")&amp;IF((J127)=30,$BN$30,"")&amp;IF((J127)=31,$BN$31,"")&amp;IF((J127)=32,$BN$32,"")&amp;IF((J127)=33,$BN$33,"")&amp;IF((J127)=34,$BN$34,"")&amp;IF((J127)=35,$BN$35,"")&amp;IF((J127)=36,$BN$36,"")&amp;IF((J127)=37,$BN$37,"")&amp;IF((J127)=38,$BN$38,"")&amp;IF((J127)=39,$BN$39,"")&amp;IF((J127)=40,$BN$40,"")&amp;IF((J127)=41,$BN$41,"")&amp;IF((J127)=42,$BN$42,"")&amp;IF((J127)=43,$BN$43,"")&amp;IF((J127)=44,$BN$44,"")&amp;IF((J127)=45,$BN$45,"")&amp;IF((J127)=46,$BN$46,"")&amp;IF((J127)=47,$BN$47,"")&amp;IF((J127)=48,$BN$48,"")&amp;IF((J127)=49,$BN$49,"")&amp;IF((J127)=50,$BN$50,"")&amp;IF((J127)=51,$BN$51,"")&amp;IF((J127)=52,$BN$52,"")&amp;IF((J127)=53,$BN$53,"")&amp;IF((J127)=54,$BN$54,"")&amp;IF((J127)=55,$BN$55,"")&amp;IF((J127)=56,$BN$56,"")&amp;IF((J127)=57,$BN$57,"")&amp;IF((J127)=58,$BN$58,"")&amp;IF((J127)=59,$BN$59,"")&amp;IF((J127)=60,$BN$60,"")&amp;IF((J127)=61,$BN$61,"")&amp;IF((J127)=62,$BN$62,"")&amp;IF((J127)=63,$BN$63,"")&amp;IF((J127)=64,$BN$64,"")&amp;IF((J127)=65,$BN$65,"")&amp;IF((J127)=66,$BN$66,"")&amp;IF((J127)=67,$BN$67,"")&amp;IF((J127)=68,$BN$68,"")&amp;IF((J127)=69,$BN$69,"")&amp;IF((J127)=70,$BN$70,"")&amp;IF((J127)=71,$BN$71,"")&amp;IF((J127)=72,$BN$72,"")&amp;IF((J127)=73,$BN$73,"")&amp;IF((J127)=74,$BN$74,"")&amp;IF((J127)=75,$BN$75,"")&amp;IF((J127)=76,$BN$76,"")&amp;IF((J127)=77,$BN$77,"")&amp;IF((J127)=78,$BN$78,"")&amp;IF((J127)=79,$BN$79,"")&amp;IF((J127)=80,$BN$80,"")&amp;IF((J127)=81,$BN$81,"")&amp;IF((J127)=82,$BN$82,"")&amp;IF((J127)=83,$BN$83,"")&amp;IF((J127)=84,$BN$84,"")&amp;IF((J127)=85,$BN$85,"")&amp;IF((J127)=86,$BN$86,"")&amp;IF((J127)=87,$BN$87,"")&amp;IF((J127)=88,$BN$88,"")&amp;IF((J127)=89,$BN$89,"")&amp;IF((J127)=90,$BN$90,"")&amp;IF((J127)=91,$BN$91,"")&amp;IF((J127)=92,$BN$92,"")&amp;IF((J127)=93,$BN$93,"")&amp;IF((J127)=94,$BN$94,"")&amp;IF((J127)=95,$BN$95,"")&amp;IF((J127)=96,$BN$96,"")&amp;IF((J127)=97,$BN$97,"")&amp;IF((J127)=98,$BN$98,"")&amp;IF((J127)=99,$BN$99,"")&amp;IF((J127)=100,$BN$100,"")&amp;IF((J127)=101,$BN$101,"")&amp;IF((J127)=102,$BN$102,"")&amp;IF((J127)=103,$BN$103,"")&amp;IF((J127)=104,$BN$104,"")&amp;IF((J127)=105,$BN$105,"")&amp;IF((J127)=106,$BN$106,"")&amp;IF((J127)=107,$BN$107,"")&amp;IF((J127)=108,$BN$108,"")&amp;IF((J127)=109,$BN$109,"")&amp;IF((J127)=110,$BN$110,"")&amp;IF((J127)=111,$BN$111,"")&amp;IF((J127)=112,$BN$112,"")&amp;IF((J127)=113,$BN$113,"")&amp;IF((J127)=114,$BN$114,"")&amp;IF((J127)=115,$BN$115,"")&amp;IF((J127)=116,$BN$116,"")&amp;IF((J127)=117,$BN$117,"")&amp;IF((J127)=118,$BN$118,"")&amp;IF((J127)=119,$BN$119,"")&amp;IF((J127)=120,$BN$120,"")&amp;IF((J127)=121,$BN$121,"")&amp;IF((J127)=122,$BN$122,"")&amp;IF((J127)=123,$BN$123,"")&amp;IF((J127)=124,$BN$124,"")&amp;IF((J127)=125,$BN$125,"")&amp;IF((J127)=126,$BN$126,"")&amp;IF((J127)=127,$BN$127,"")&amp;IF((J127)=128,$BN$128,"")</f>
        <v/>
      </c>
      <c r="K32" s="46"/>
      <c r="L32" s="46"/>
      <c r="M32" s="76" t="s">
        <v>15</v>
      </c>
      <c r="N32" s="111">
        <v>30</v>
      </c>
      <c r="O32" s="78"/>
      <c r="P32" s="115" t="s">
        <v>57</v>
      </c>
      <c r="Q32" s="116" t="s">
        <v>15</v>
      </c>
      <c r="R32" s="111">
        <v>44</v>
      </c>
      <c r="S32" s="80"/>
      <c r="T32" s="79" t="s">
        <v>47</v>
      </c>
      <c r="U32" s="54">
        <v>13</v>
      </c>
      <c r="V32" s="54">
        <v>9</v>
      </c>
      <c r="W32" s="100" t="s">
        <v>15</v>
      </c>
      <c r="X32" s="101">
        <v>44</v>
      </c>
      <c r="Y32" s="102"/>
      <c r="Z32" s="103" t="s">
        <v>47</v>
      </c>
      <c r="AA32" s="104" t="s">
        <v>15</v>
      </c>
      <c r="AB32" s="101">
        <v>46</v>
      </c>
      <c r="AC32" s="105"/>
      <c r="AD32" s="106" t="s">
        <v>48</v>
      </c>
      <c r="AE32" s="107"/>
      <c r="AF32" s="107"/>
      <c r="AG32" s="76"/>
      <c r="AH32" s="111" t="str">
        <f t="shared" si="17"/>
        <v/>
      </c>
      <c r="AI32" s="78"/>
      <c r="AJ32" s="79" t="str">
        <f t="shared" si="18"/>
        <v/>
      </c>
      <c r="AK32" s="79"/>
      <c r="AL32" s="111" t="str">
        <f t="shared" si="19"/>
        <v/>
      </c>
      <c r="AM32" s="80"/>
      <c r="AN32" s="79" t="str">
        <f t="shared" si="20"/>
        <v/>
      </c>
      <c r="AO32" s="112"/>
      <c r="AP32" s="112"/>
      <c r="AQ32" s="69"/>
      <c r="AR32" s="70">
        <f t="shared" si="4"/>
        <v>0</v>
      </c>
      <c r="AS32" s="71"/>
      <c r="AT32" s="72" t="str">
        <f t="shared" si="5"/>
        <v/>
      </c>
      <c r="AU32" s="72"/>
      <c r="AV32" s="73">
        <f t="shared" si="6"/>
        <v>0</v>
      </c>
      <c r="AW32" s="74"/>
      <c r="AX32" s="72" t="str">
        <f t="shared" si="7"/>
        <v/>
      </c>
      <c r="AY32" s="75"/>
      <c r="AZ32" s="75"/>
      <c r="BA32" s="76"/>
      <c r="BB32" s="77">
        <f t="shared" si="8"/>
        <v>0</v>
      </c>
      <c r="BC32" s="78"/>
      <c r="BD32" s="79" t="str">
        <f t="shared" si="9"/>
        <v/>
      </c>
      <c r="BE32" s="79"/>
      <c r="BF32" s="77">
        <f t="shared" si="10"/>
        <v>0</v>
      </c>
      <c r="BG32" s="80"/>
      <c r="BH32" s="79" t="str">
        <f t="shared" si="11"/>
        <v/>
      </c>
      <c r="BI32" s="81"/>
      <c r="BJ32" s="81"/>
      <c r="BK32" s="9"/>
      <c r="BM32" s="12">
        <v>32</v>
      </c>
      <c r="BN32" s="13">
        <v>13</v>
      </c>
      <c r="BO32" s="13"/>
      <c r="BP32" s="13"/>
      <c r="BQ32" s="88" t="s">
        <v>24</v>
      </c>
      <c r="BR32" s="89">
        <f t="shared" si="12"/>
        <v>26</v>
      </c>
      <c r="BS32" s="90">
        <f t="shared" si="13"/>
        <v>10</v>
      </c>
      <c r="BT32" s="91" t="str">
        <f t="shared" si="14"/>
        <v>DIDIER ALAIN</v>
      </c>
      <c r="BU32" s="92">
        <f t="shared" si="15"/>
        <v>48</v>
      </c>
      <c r="BV32" s="93" t="str">
        <f t="shared" si="16"/>
        <v>LUC</v>
      </c>
      <c r="BW32" s="94"/>
      <c r="BX32" s="94"/>
      <c r="CC32" s="1">
        <v>32</v>
      </c>
      <c r="CD32" s="1" t="s">
        <v>54</v>
      </c>
      <c r="CI32" s="1" t="s">
        <v>3</v>
      </c>
      <c r="CL32" s="118">
        <v>32</v>
      </c>
      <c r="CN32" s="122"/>
      <c r="CO32" s="123"/>
      <c r="CP32" s="124"/>
      <c r="CQ32" s="125"/>
      <c r="CR32" s="126"/>
      <c r="CS32" s="123"/>
      <c r="CT32" s="127"/>
      <c r="CU32" s="128"/>
      <c r="CV32" s="129"/>
      <c r="CW32" s="129"/>
      <c r="CZ32" s="100"/>
      <c r="DA32" s="101" t="str">
        <f t="shared" si="21"/>
        <v/>
      </c>
      <c r="DB32" s="102"/>
      <c r="DC32" s="103" t="str">
        <f t="shared" si="22"/>
        <v/>
      </c>
      <c r="DD32" s="104"/>
      <c r="DE32" s="101" t="str">
        <f t="shared" si="23"/>
        <v/>
      </c>
      <c r="DF32" s="105"/>
      <c r="DG32" s="106" t="str">
        <f t="shared" si="24"/>
        <v/>
      </c>
      <c r="DH32" s="107"/>
      <c r="DI32" s="107"/>
    </row>
    <row r="33" spans="2:113" ht="20.25">
      <c r="B33" s="37">
        <v>28</v>
      </c>
      <c r="C33" s="63"/>
      <c r="D33" s="87"/>
      <c r="E33" s="117"/>
      <c r="F33" s="121"/>
      <c r="G33" s="130"/>
      <c r="H33" s="131">
        <f t="shared" si="25"/>
        <v>0</v>
      </c>
      <c r="I33" s="132"/>
      <c r="J33" s="133" t="str">
        <f t="shared" si="26"/>
        <v/>
      </c>
      <c r="K33" s="68"/>
      <c r="L33" s="68"/>
      <c r="M33" s="76" t="s">
        <v>15</v>
      </c>
      <c r="N33" s="111">
        <v>51</v>
      </c>
      <c r="O33" s="78"/>
      <c r="P33" s="115" t="s">
        <v>37</v>
      </c>
      <c r="Q33" s="116" t="s">
        <v>15</v>
      </c>
      <c r="R33" s="111">
        <v>49</v>
      </c>
      <c r="S33" s="80"/>
      <c r="T33" s="79" t="s">
        <v>49</v>
      </c>
      <c r="U33" s="54">
        <v>7</v>
      </c>
      <c r="V33" s="54">
        <v>13</v>
      </c>
      <c r="W33" s="100" t="s">
        <v>15</v>
      </c>
      <c r="X33" s="101">
        <v>42</v>
      </c>
      <c r="Y33" s="102"/>
      <c r="Z33" s="103" t="s">
        <v>55</v>
      </c>
      <c r="AA33" s="104" t="s">
        <v>15</v>
      </c>
      <c r="AB33" s="101">
        <v>41</v>
      </c>
      <c r="AC33" s="105"/>
      <c r="AD33" s="106" t="s">
        <v>35</v>
      </c>
      <c r="AE33" s="107"/>
      <c r="AF33" s="107"/>
      <c r="AG33" s="76"/>
      <c r="AH33" s="111" t="str">
        <f t="shared" si="17"/>
        <v/>
      </c>
      <c r="AI33" s="78"/>
      <c r="AJ33" s="79" t="str">
        <f t="shared" si="18"/>
        <v/>
      </c>
      <c r="AK33" s="79"/>
      <c r="AL33" s="111" t="str">
        <f t="shared" si="19"/>
        <v/>
      </c>
      <c r="AM33" s="80"/>
      <c r="AN33" s="79" t="str">
        <f t="shared" si="20"/>
        <v/>
      </c>
      <c r="AO33" s="112"/>
      <c r="AP33" s="112"/>
      <c r="AQ33" s="69"/>
      <c r="AR33" s="70">
        <f t="shared" si="4"/>
        <v>0</v>
      </c>
      <c r="AS33" s="71"/>
      <c r="AT33" s="72" t="str">
        <f t="shared" si="5"/>
        <v/>
      </c>
      <c r="AU33" s="72"/>
      <c r="AV33" s="73">
        <f t="shared" si="6"/>
        <v>0</v>
      </c>
      <c r="AW33" s="74"/>
      <c r="AX33" s="72" t="str">
        <f t="shared" si="7"/>
        <v/>
      </c>
      <c r="AY33" s="75"/>
      <c r="AZ33" s="75"/>
      <c r="BA33" s="76"/>
      <c r="BB33" s="77">
        <f t="shared" si="8"/>
        <v>0</v>
      </c>
      <c r="BC33" s="78"/>
      <c r="BD33" s="79" t="str">
        <f t="shared" si="9"/>
        <v/>
      </c>
      <c r="BE33" s="79"/>
      <c r="BF33" s="77">
        <f t="shared" si="10"/>
        <v>0</v>
      </c>
      <c r="BG33" s="80"/>
      <c r="BH33" s="79" t="str">
        <f t="shared" si="11"/>
        <v/>
      </c>
      <c r="BI33" s="81"/>
      <c r="BJ33" s="81"/>
      <c r="BK33" s="9"/>
      <c r="BM33" s="12">
        <v>33</v>
      </c>
      <c r="BN33" s="13">
        <v>13</v>
      </c>
      <c r="BQ33" s="88" t="s">
        <v>24</v>
      </c>
      <c r="BR33" s="89">
        <f t="shared" si="12"/>
        <v>27</v>
      </c>
      <c r="BS33" s="90">
        <f t="shared" si="13"/>
        <v>0</v>
      </c>
      <c r="BT33" s="91">
        <f t="shared" si="14"/>
        <v>0</v>
      </c>
      <c r="BU33" s="92">
        <f t="shared" si="15"/>
        <v>0</v>
      </c>
      <c r="BV33" s="93" t="str">
        <f t="shared" si="16"/>
        <v/>
      </c>
      <c r="BW33" s="94"/>
      <c r="BX33" s="94"/>
      <c r="CC33" s="1">
        <v>33</v>
      </c>
      <c r="CD33" s="1" t="s">
        <v>26</v>
      </c>
      <c r="CI33" s="1" t="s">
        <v>12</v>
      </c>
      <c r="CL33" s="118">
        <v>33</v>
      </c>
      <c r="CN33" s="122"/>
      <c r="CO33" s="123"/>
      <c r="CP33" s="124"/>
      <c r="CQ33" s="125"/>
      <c r="CR33" s="126"/>
      <c r="CS33" s="123"/>
      <c r="CT33" s="127"/>
      <c r="CU33" s="128"/>
      <c r="CV33" s="129"/>
      <c r="CW33" s="129"/>
      <c r="CZ33" s="100"/>
      <c r="DA33" s="101" t="str">
        <f t="shared" si="21"/>
        <v/>
      </c>
      <c r="DB33" s="102"/>
      <c r="DC33" s="103" t="str">
        <f t="shared" si="22"/>
        <v/>
      </c>
      <c r="DD33" s="104"/>
      <c r="DE33" s="101" t="str">
        <f t="shared" si="23"/>
        <v/>
      </c>
      <c r="DF33" s="105"/>
      <c r="DG33" s="106" t="str">
        <f t="shared" si="24"/>
        <v/>
      </c>
      <c r="DH33" s="107"/>
      <c r="DI33" s="107"/>
    </row>
    <row r="34" spans="2:113" ht="20.25">
      <c r="B34" s="37">
        <v>29</v>
      </c>
      <c r="C34" s="63"/>
      <c r="D34" s="87"/>
      <c r="E34" s="117"/>
      <c r="F34" s="121"/>
      <c r="G34" s="130"/>
      <c r="H34" s="131">
        <f t="shared" si="25"/>
        <v>0</v>
      </c>
      <c r="I34" s="132"/>
      <c r="J34" s="133" t="str">
        <f t="shared" si="26"/>
        <v/>
      </c>
      <c r="K34" s="68"/>
      <c r="L34" s="68"/>
      <c r="M34" s="76" t="s">
        <v>15</v>
      </c>
      <c r="N34" s="111">
        <v>46</v>
      </c>
      <c r="O34" s="78"/>
      <c r="P34" s="115" t="s">
        <v>48</v>
      </c>
      <c r="Q34" s="116" t="s">
        <v>15</v>
      </c>
      <c r="R34" s="111">
        <v>35</v>
      </c>
      <c r="S34" s="80"/>
      <c r="T34" s="79" t="s">
        <v>29</v>
      </c>
      <c r="U34" s="54">
        <v>7</v>
      </c>
      <c r="V34" s="54">
        <v>13</v>
      </c>
      <c r="W34" s="100" t="s">
        <v>15</v>
      </c>
      <c r="X34" s="101">
        <v>49</v>
      </c>
      <c r="Y34" s="102"/>
      <c r="Z34" s="103" t="s">
        <v>49</v>
      </c>
      <c r="AA34" s="104" t="s">
        <v>15</v>
      </c>
      <c r="AB34" s="101">
        <v>43</v>
      </c>
      <c r="AC34" s="105"/>
      <c r="AD34" s="106" t="s">
        <v>44</v>
      </c>
      <c r="AE34" s="107"/>
      <c r="AF34" s="107"/>
      <c r="AG34" s="76"/>
      <c r="AH34" s="111" t="str">
        <f t="shared" si="17"/>
        <v/>
      </c>
      <c r="AI34" s="78"/>
      <c r="AJ34" s="79" t="str">
        <f t="shared" si="18"/>
        <v/>
      </c>
      <c r="AK34" s="79"/>
      <c r="AL34" s="111" t="str">
        <f t="shared" si="19"/>
        <v/>
      </c>
      <c r="AM34" s="80"/>
      <c r="AN34" s="79" t="str">
        <f t="shared" si="20"/>
        <v/>
      </c>
      <c r="AO34" s="112"/>
      <c r="AP34" s="112"/>
      <c r="AQ34" s="69"/>
      <c r="AR34" s="70">
        <f t="shared" si="4"/>
        <v>0</v>
      </c>
      <c r="AS34" s="71"/>
      <c r="AT34" s="72" t="str">
        <f t="shared" si="5"/>
        <v/>
      </c>
      <c r="AU34" s="72"/>
      <c r="AV34" s="73">
        <f t="shared" si="6"/>
        <v>0</v>
      </c>
      <c r="AW34" s="74"/>
      <c r="AX34" s="72" t="str">
        <f t="shared" si="7"/>
        <v/>
      </c>
      <c r="AY34" s="75"/>
      <c r="AZ34" s="75"/>
      <c r="BA34" s="76"/>
      <c r="BB34" s="77">
        <f t="shared" si="8"/>
        <v>0</v>
      </c>
      <c r="BC34" s="78"/>
      <c r="BD34" s="79" t="str">
        <f t="shared" si="9"/>
        <v/>
      </c>
      <c r="BE34" s="79"/>
      <c r="BF34" s="77">
        <f t="shared" si="10"/>
        <v>0</v>
      </c>
      <c r="BG34" s="80"/>
      <c r="BH34" s="79" t="str">
        <f t="shared" si="11"/>
        <v/>
      </c>
      <c r="BI34" s="81"/>
      <c r="BJ34" s="81"/>
      <c r="BK34" s="9"/>
      <c r="BM34" s="12">
        <v>34</v>
      </c>
      <c r="BN34" s="13">
        <v>13</v>
      </c>
      <c r="BQ34" s="88" t="s">
        <v>24</v>
      </c>
      <c r="BR34" s="89">
        <f t="shared" si="12"/>
        <v>28</v>
      </c>
      <c r="BS34" s="90">
        <f t="shared" si="13"/>
        <v>0</v>
      </c>
      <c r="BT34" s="91">
        <f t="shared" si="14"/>
        <v>0</v>
      </c>
      <c r="BU34" s="92">
        <f t="shared" si="15"/>
        <v>0</v>
      </c>
      <c r="BV34" s="93" t="str">
        <f t="shared" si="16"/>
        <v/>
      </c>
      <c r="BW34" s="94"/>
      <c r="BX34" s="94"/>
      <c r="CC34" s="1">
        <v>34</v>
      </c>
      <c r="CD34" s="1" t="s">
        <v>34</v>
      </c>
      <c r="CI34" s="1" t="s">
        <v>41</v>
      </c>
      <c r="CL34" s="118">
        <v>34</v>
      </c>
      <c r="CN34" s="122"/>
      <c r="CO34" s="123"/>
      <c r="CP34" s="124"/>
      <c r="CQ34" s="125"/>
      <c r="CR34" s="126"/>
      <c r="CS34" s="123"/>
      <c r="CT34" s="127"/>
      <c r="CU34" s="128"/>
      <c r="CV34" s="129"/>
      <c r="CW34" s="129"/>
      <c r="CZ34" s="100"/>
      <c r="DA34" s="101" t="str">
        <f t="shared" si="21"/>
        <v/>
      </c>
      <c r="DB34" s="102"/>
      <c r="DC34" s="103" t="str">
        <f t="shared" si="22"/>
        <v/>
      </c>
      <c r="DD34" s="104"/>
      <c r="DE34" s="101" t="str">
        <f t="shared" si="23"/>
        <v/>
      </c>
      <c r="DF34" s="105"/>
      <c r="DG34" s="106" t="str">
        <f t="shared" si="24"/>
        <v/>
      </c>
      <c r="DH34" s="107"/>
      <c r="DI34" s="107"/>
    </row>
    <row r="35" spans="2:113" ht="20.25">
      <c r="B35" s="37">
        <v>30</v>
      </c>
      <c r="C35" s="63"/>
      <c r="D35" s="87"/>
      <c r="E35" s="119"/>
      <c r="F35" s="121"/>
      <c r="G35" s="130"/>
      <c r="H35" s="131">
        <f t="shared" si="25"/>
        <v>0</v>
      </c>
      <c r="I35" s="132"/>
      <c r="J35" s="133" t="str">
        <f t="shared" si="26"/>
        <v/>
      </c>
      <c r="K35" s="68"/>
      <c r="L35" s="68"/>
      <c r="M35" s="76" t="s">
        <v>15</v>
      </c>
      <c r="N35" s="111">
        <v>39</v>
      </c>
      <c r="O35" s="78"/>
      <c r="P35" s="115" t="s">
        <v>50</v>
      </c>
      <c r="Q35" s="116" t="s">
        <v>15</v>
      </c>
      <c r="R35" s="111">
        <v>27</v>
      </c>
      <c r="S35" s="80"/>
      <c r="T35" s="79" t="s">
        <v>61</v>
      </c>
      <c r="U35" s="54">
        <v>7</v>
      </c>
      <c r="V35" s="54">
        <v>13</v>
      </c>
      <c r="W35" s="100" t="s">
        <v>15</v>
      </c>
      <c r="X35" s="101">
        <v>47</v>
      </c>
      <c r="Y35" s="102"/>
      <c r="Z35" s="103" t="s">
        <v>60</v>
      </c>
      <c r="AA35" s="104" t="s">
        <v>15</v>
      </c>
      <c r="AB35" s="101">
        <v>48</v>
      </c>
      <c r="AC35" s="105"/>
      <c r="AD35" s="106" t="s">
        <v>59</v>
      </c>
      <c r="AE35" s="107"/>
      <c r="AF35" s="107"/>
      <c r="AG35" s="76"/>
      <c r="AH35" s="111" t="str">
        <f t="shared" si="17"/>
        <v/>
      </c>
      <c r="AI35" s="78"/>
      <c r="AJ35" s="79" t="str">
        <f t="shared" si="18"/>
        <v/>
      </c>
      <c r="AK35" s="79"/>
      <c r="AL35" s="111" t="str">
        <f t="shared" si="19"/>
        <v/>
      </c>
      <c r="AM35" s="80"/>
      <c r="AN35" s="79" t="str">
        <f t="shared" si="20"/>
        <v/>
      </c>
      <c r="AO35" s="112"/>
      <c r="AP35" s="112"/>
      <c r="AQ35" s="69"/>
      <c r="AR35" s="70">
        <f t="shared" si="4"/>
        <v>0</v>
      </c>
      <c r="AS35" s="71"/>
      <c r="AT35" s="72" t="str">
        <f t="shared" si="5"/>
        <v/>
      </c>
      <c r="AU35" s="72"/>
      <c r="AV35" s="73">
        <f t="shared" si="6"/>
        <v>0</v>
      </c>
      <c r="AW35" s="74"/>
      <c r="AX35" s="72" t="str">
        <f t="shared" si="7"/>
        <v/>
      </c>
      <c r="AY35" s="75"/>
      <c r="AZ35" s="75"/>
      <c r="BA35" s="76"/>
      <c r="BB35" s="77">
        <f t="shared" si="8"/>
        <v>0</v>
      </c>
      <c r="BC35" s="78"/>
      <c r="BD35" s="79" t="str">
        <f t="shared" si="9"/>
        <v/>
      </c>
      <c r="BE35" s="79"/>
      <c r="BF35" s="77">
        <f t="shared" si="10"/>
        <v>0</v>
      </c>
      <c r="BG35" s="80"/>
      <c r="BH35" s="79" t="str">
        <f t="shared" si="11"/>
        <v/>
      </c>
      <c r="BI35" s="81"/>
      <c r="BJ35" s="81"/>
      <c r="BK35" s="9"/>
      <c r="BM35" s="12">
        <v>35</v>
      </c>
      <c r="BQ35" s="88" t="s">
        <v>24</v>
      </c>
      <c r="BR35" s="89">
        <f t="shared" si="12"/>
        <v>29</v>
      </c>
      <c r="BS35" s="90">
        <f t="shared" si="13"/>
        <v>0</v>
      </c>
      <c r="BT35" s="91">
        <f t="shared" si="14"/>
        <v>0</v>
      </c>
      <c r="BU35" s="92">
        <f t="shared" si="15"/>
        <v>0</v>
      </c>
      <c r="BV35" s="93" t="str">
        <f t="shared" si="16"/>
        <v/>
      </c>
      <c r="BW35" s="94"/>
      <c r="BX35" s="94"/>
      <c r="CC35" s="1">
        <v>35</v>
      </c>
      <c r="CD35" s="1" t="s">
        <v>29</v>
      </c>
      <c r="CI35" s="1" t="s">
        <v>23</v>
      </c>
      <c r="CL35" s="118">
        <v>35</v>
      </c>
      <c r="CN35" s="122"/>
      <c r="CO35" s="123"/>
      <c r="CP35" s="124"/>
      <c r="CQ35" s="125"/>
      <c r="CR35" s="126"/>
      <c r="CS35" s="123"/>
      <c r="CT35" s="127"/>
      <c r="CU35" s="128"/>
      <c r="CV35" s="129"/>
      <c r="CW35" s="129"/>
      <c r="CZ35" s="100"/>
      <c r="DA35" s="101" t="str">
        <f t="shared" si="21"/>
        <v/>
      </c>
      <c r="DB35" s="102"/>
      <c r="DC35" s="103" t="str">
        <f t="shared" si="22"/>
        <v/>
      </c>
      <c r="DD35" s="104"/>
      <c r="DE35" s="101" t="str">
        <f t="shared" si="23"/>
        <v/>
      </c>
      <c r="DF35" s="105"/>
      <c r="DG35" s="106" t="str">
        <f t="shared" si="24"/>
        <v/>
      </c>
      <c r="DH35" s="107"/>
      <c r="DI35" s="107"/>
    </row>
    <row r="36" spans="2:113" ht="20.25">
      <c r="B36" s="37">
        <v>31</v>
      </c>
      <c r="C36" s="63"/>
      <c r="D36" s="87" t="str">
        <f t="shared" ref="D36:D39" si="27">IF((F131)=1,$BM$1,"")&amp;IF((F131)=2,$BM$2,"")&amp;IF((F131)=3,$BM$3,"")&amp;IF((F131)=4,$BM$4,"")&amp;IF((F131)=5,$BM$5,"")&amp;IF((F131)=6,$BM$6,"")&amp;IF((F131)=7,$BM$7,"")&amp;IF((F131)=8,$BM$8,"")&amp;IF((F131)=9,$BM$9,"")&amp;IF((F131)=10,$BM$10,"")&amp;IF((F131)=11,$BM$11,"")&amp;IF((F131)=12,$BM$12,"")&amp;IF((F131)=13,$BM$13,"")&amp;IF((F131)=14,$BM$14,"")&amp;IF((F131)=15,$BM$15,"")&amp;IF((F131)=16,$BM$16,"")&amp;IF((F131)=17,$BM$17,"")&amp;IF((F131)=18,$BM$18,"")&amp;IF((F131)=19,$BM$19,"")&amp;IF((F131)=20,$BM$20,"")&amp;IF((F131)=21,$BM$21,"")&amp;IF((F131)=22,$BM$22,"")&amp;IF((F131)=23,$BM$23,"")&amp;IF((F131)=24,$BM$24,"")&amp;IF((F131)=25,$BM$25,"")&amp;IF((F131)=26,$BM$26,"")&amp;IF((F131)=27,$BM$27,"")&amp;IF((F131)=28,$BM$28,"")&amp;IF((F131)=29,$BM$29,"")&amp;IF((F131)=30,$BM$30,"")&amp;IF((F131)=31,$BM$31,"")&amp;IF((F131)=32,$BM$32,"")&amp;IF((F131)=33,$BM$33,"")&amp;IF((F131)=34,$BM$34,"")&amp;IF((F131)=35,$BM$35,"")&amp;IF((F131)=36,$BM$36,"")&amp;IF((F131)=37,$BM$37,"")&amp;IF((F131)=38,$BM$38,"")&amp;IF((F131)=39,$BM$39,"")&amp;IF((F131)=40,$BM$40,"")&amp;IF((F131)=41,$BM$41,"")&amp;IF((F131)=42,$BM$42,"")&amp;IF((F131)=43,$BM$43,"")&amp;IF((F131)=44,$BM$44,"")&amp;IF((F131)=45,$BM$45,"")&amp;IF((F131)=46,$BM$46,"")&amp;IF((F131)=47,$BM$47,"")&amp;IF((F131)=48,$BM$48,"")&amp;IF((F131)=49,$BM$49,"")&amp;IF((F131)=50,$BM$50,"")&amp;IF((F131)=51,$BM$51,"")&amp;IF((F131)=52,$BM$52,"")&amp;IF((F131)=53,$BM$53,"")&amp;IF((F131)=54,$BM$54,"")&amp;IF((F131)=55,$BM$55,"")&amp;IF((F131)=56,$BM$56,"")&amp;IF((F131)=57,$BM$57,"")&amp;IF((F131)=58,$BM$58,"")&amp;IF((F131)=59,$BM$59,"")&amp;IF((F131)=60,$BM$60,"")&amp;IF((F131)=61,$BM$61,"")&amp;IF((F131)=62,$BM$62,"")&amp;IF((F131)=63,$BM$63,"")&amp;IF((F131)=64,$BM$64,"")&amp;IF((F131)=65,$BM$65,"")&amp;IF((F131)=66,$BM$66,"")&amp;IF((F131)=67,$BM$67,"")&amp;IF((F131)=68,$BM$68,"")&amp;IF((F131)=69,$BM$69,"")&amp;IF((F131)=70,$BM$70,"")&amp;IF((F131)=71,$BM$71,"")&amp;IF((F131)=72,$BM$72,"")&amp;IF((F131)=73,$BM$73,"")&amp;IF((F131)=74,$BM$74,"")&amp;IF((F131)=75,$BM$75,"")&amp;IF((F131)=76,$BM$76,"")&amp;IF((F131)=77,$BM$77,"")&amp;IF((F131)=78,$BM$78,"")&amp;IF((F131)=79,$BM$79,"")&amp;IF((F131)=80,$BM$80,"")&amp;IF((F131)=81,$BM$81,"")&amp;IF((F131)=82,$BM$82,"")&amp;IF((F131)=83,$BM$83,"")&amp;IF((F131)=84,$BM$84,"")&amp;IF((F131)=85,$BM$85,"")&amp;IF((F131)=86,$BM$86,"")&amp;IF((F131)=87,$BM$87,"")&amp;IF((F131)=88,$BM$88,"")&amp;IF((F131)=89,$BM$89,"")&amp;IF((F131)=90,$BM$90,"")&amp;IF((F131)=91,$BM$91,"")&amp;IF((F131)=92,$BM$92,"")&amp;IF((F131)=93,$BM$93,"")&amp;IF((F131)=94,$BM$94,"")&amp;IF((F131)=95,$BM$95,"")&amp;IF((F131)=96,$BM$96,"")&amp;IF((F131)=97,$BM$97,"")&amp;IF((F131)=98,$BM$98,"")&amp;IF((F131)=99,$BM$99,"")&amp;IF((F131)=100,$BM$100,"")&amp;IF((F131)=101,$BM$101,"")&amp;IF((F131)=102,$BM$102,"")&amp;IF((F131)=103,$BM$103,"")&amp;IF((F131)=104,$BM$104,"")&amp;IF((F131)=105,$BM$105,"")&amp;IF((F131)=106,$BM$106,"")&amp;IF((F131)=107,$BM$107,"")&amp;IF((F131)=108,$BM$108,"")&amp;IF((F131)=109,$BM$109,"")&amp;IF((F131)=110,$BM$110,"")&amp;IF((F131)=111,$BM$111,"")&amp;IF((F131)=112,$BM$112,"")&amp;IF((F131)=113,$BM$113,"")&amp;IF((F131)=114,$BM$114,"")&amp;IF((F131)=115,$BM$115,"")&amp;IF((F131)=116,$BM$116,"")&amp;IF((F131)=117,$BM$117,"")&amp;IF((F131)=118,$BM$118,"")&amp;IF((F131)=119,$BM$119,"")&amp;IF((F131)=120,$BM$120,"")&amp;IF((F131)=121,$BM$121,"")&amp;IF((F131)=122,$BM$122,"")&amp;IF((F131)=123,$BM$123,"")&amp;IF((F131)=124,$BM$124,"")&amp;IF((F131)=125,$BM$125,"")&amp;IF((F131)=126,$BM$126,"")&amp;IF((F131)=127,$BM$127,"")&amp;IF((F131)=128,$BM$128,"")</f>
        <v/>
      </c>
      <c r="E36" s="117"/>
      <c r="F36" s="121" t="str">
        <f t="shared" ref="F36:F39" si="28">IF((F131)=1,$BN$1,"")&amp;IF((F131)=2,$BN$2,"")&amp;IF((F131)=3,$BN$3,"")&amp;IF((F131)=4,$BN$4,"")&amp;IF((F131)=5,$BN$5,"")&amp;IF((F131)=6,$BN$6,"")&amp;IF((F131)=7,$BN$7,"")&amp;IF((F131)=8,$BN$8,"")&amp;IF((F131)=9,$BN$9,"")&amp;IF((F131)=10,$BN$10,"")&amp;IF((F131)=11,$BN$11,"")&amp;IF((F131)=12,$BN$12,"")&amp;IF((F131)=13,$BN$13,"")&amp;IF((F131)=14,$BN$14,"")&amp;IF((F131)=15,$BN$15,"")&amp;IF((F131)=16,$BN$16,"")&amp;IF((F131)=17,$BN$17,"")&amp;IF((F131)=18,$BN$18,"")&amp;IF((F131)=19,$BN$19,"")&amp;IF((F131)=20,$BN$20,"")&amp;IF((F131)=21,$BN$21,"")&amp;IF((F131)=22,$BN$22,"")&amp;IF((F131)=23,$BN$23,"")&amp;IF((F131)=24,$BN$24,"")&amp;IF((F131)=25,$BN$25,"")&amp;IF((F131)=26,$BN$26,"")&amp;IF((F131)=27,$BN$27,"")&amp;IF((F131)=28,$BN$28,"")&amp;IF((F131)=29,$BN$29,"")&amp;IF((F131)=30,$BN$30,"")&amp;IF((F131)=31,$BN$31,"")&amp;IF((F131)=32,$BN$32,"")&amp;IF((F131)=33,$BN$33,"")&amp;IF((F131)=34,$BN$34,"")&amp;IF((F131)=35,$BN$35,"")&amp;IF((F131)=36,$BN$36,"")&amp;IF((F131)=37,$BN$37,"")&amp;IF((F131)=38,$BN$38,"")&amp;IF((F131)=39,$BN$39,"")&amp;IF((F131)=40,$BN$40,"")&amp;IF((F131)=41,$BN$41,"")&amp;IF((F131)=42,$BN$42,"")&amp;IF((F131)=43,$BN$43,"")&amp;IF((F131)=44,$BN$44,"")&amp;IF((F131)=45,$BN$45,"")&amp;IF((F131)=46,$BN$46,"")&amp;IF((F131)=47,$BN$47,"")&amp;IF((F131)=48,$BN$48,"")&amp;IF((F131)=49,$BN$49,"")&amp;IF((F131)=50,$BN$50,"")&amp;IF((F131)=51,$BN$51,"")&amp;IF((F131)=52,$BN$52,"")&amp;IF((F131)=53,$BN$53,"")&amp;IF((F131)=54,$BN$54,"")&amp;IF((F131)=55,$BN$55,"")&amp;IF((F131)=56,$BN$56,"")&amp;IF((F131)=57,$BN$57,"")&amp;IF((F131)=58,$BN$58,"")&amp;IF((F131)=59,$BN$59,"")&amp;IF((F131)=60,$BN$60,"")&amp;IF((F131)=61,$BN$61,"")&amp;IF((F131)=62,$BN$62,"")&amp;IF((F131)=63,$BN$63,"")&amp;IF((F131)=64,$BN$64,"")&amp;IF((F131)=65,$BN$65,"")&amp;IF((F131)=66,$BN$66,"")&amp;IF((F131)=67,$BN$67,"")&amp;IF((F131)=68,$BN$68,"")&amp;IF((F131)=69,$BN$69,"")&amp;IF((F131)=70,$BN$70,"")&amp;IF((F131)=71,$BN$71,"")&amp;IF((F131)=72,$BN$72,"")&amp;IF((F131)=73,$BN$73,"")&amp;IF((F131)=74,$BN$74,"")&amp;IF((F131)=75,$BN$75,"")&amp;IF((F131)=76,$BN$76,"")&amp;IF((F131)=77,$BN$77,"")&amp;IF((F131)=78,$BN$78,"")&amp;IF((F131)=79,$BN$79,"")&amp;IF((F131)=80,$BN$80,"")&amp;IF((F131)=81,$BN$81,"")&amp;IF((F131)=82,$BN$82,"")&amp;IF((F131)=83,$BN$83,"")&amp;IF((F131)=84,$BN$84,"")&amp;IF((F131)=85,$BN$85,"")&amp;IF((F131)=86,$BN$86,"")&amp;IF((F131)=87,$BN$87,"")&amp;IF((F131)=88,$BN$88,"")&amp;IF((F131)=89,$BN$89,"")&amp;IF((F131)=90,$BN$90,"")&amp;IF((F131)=91,$BN$91,"")&amp;IF((F131)=92,$BN$92,"")&amp;IF((F131)=93,$BN$93,"")&amp;IF((F131)=94,$BN$94,"")&amp;IF((F131)=95,$BN$95,"")&amp;IF((F131)=96,$BN$96,"")&amp;IF((F131)=97,$BN$97,"")&amp;IF((F131)=98,$BN$98,"")&amp;IF((F131)=99,$BN$99,"")&amp;IF((F131)=100,$BN$100,"")&amp;IF((F131)=101,$BN$101,"")&amp;IF((F131)=102,$BN$102,"")&amp;IF((F131)=103,$BN$103,"")&amp;IF((F131)=104,$BN$104,"")&amp;IF((F131)=105,$BN$105,"")&amp;IF((F131)=106,$BN$106,"")&amp;IF((F131)=107,$BN$107,"")&amp;IF((F131)=108,$BN$108,"")&amp;IF((F131)=109,$BN$109,"")&amp;IF((F131)=110,$BN$110,"")&amp;IF((F131)=111,$BN$111,"")&amp;IF((F131)=112,$BN$112,"")&amp;IF((F131)=113,$BN$113,"")&amp;IF((F131)=114,$BN$114,"")&amp;IF((F131)=115,$BN$115,"")&amp;IF((F131)=116,$BN$116,"")&amp;IF((F131)=117,$BN$117,"")&amp;IF((F131)=118,$BN$118,"")&amp;IF((F131)=119,$BN$119,"")&amp;IF((F131)=120,$BN$120,"")&amp;IF((F131)=121,$BN$121,"")&amp;IF((F131)=122,$BN$122,"")&amp;IF((F131)=123,$BN$123,"")&amp;IF((F131)=124,$BN$124,"")&amp;IF((F131)=125,$BN$125,"")&amp;IF((F131)=126,$BN$126,"")&amp;IF((F131)=127,$BN$127,"")&amp;IF((F131)=128,$BN$128,"")</f>
        <v/>
      </c>
      <c r="G36" s="130"/>
      <c r="H36" s="131">
        <f t="shared" si="25"/>
        <v>0</v>
      </c>
      <c r="I36" s="132"/>
      <c r="J36" s="133" t="str">
        <f t="shared" si="26"/>
        <v/>
      </c>
      <c r="K36" s="68"/>
      <c r="L36" s="68"/>
      <c r="M36" s="76"/>
      <c r="N36" s="111"/>
      <c r="O36" s="78"/>
      <c r="P36" s="115"/>
      <c r="Q36" s="116"/>
      <c r="R36" s="111"/>
      <c r="S36" s="80"/>
      <c r="T36" s="79"/>
      <c r="U36" s="112"/>
      <c r="V36" s="112"/>
      <c r="W36" s="100" t="s">
        <v>15</v>
      </c>
      <c r="X36" s="101">
        <v>45</v>
      </c>
      <c r="Y36" s="102"/>
      <c r="Z36" s="103" t="s">
        <v>38</v>
      </c>
      <c r="AA36" s="104" t="s">
        <v>15</v>
      </c>
      <c r="AB36" s="101">
        <v>51</v>
      </c>
      <c r="AC36" s="105"/>
      <c r="AD36" s="106" t="s">
        <v>37</v>
      </c>
      <c r="AE36" s="107"/>
      <c r="AF36" s="107"/>
      <c r="AG36" s="76"/>
      <c r="AH36" s="111" t="str">
        <f t="shared" si="17"/>
        <v/>
      </c>
      <c r="AI36" s="78"/>
      <c r="AJ36" s="79" t="str">
        <f t="shared" si="18"/>
        <v/>
      </c>
      <c r="AK36" s="79"/>
      <c r="AL36" s="111" t="str">
        <f t="shared" si="19"/>
        <v/>
      </c>
      <c r="AM36" s="80"/>
      <c r="AN36" s="79" t="str">
        <f t="shared" si="20"/>
        <v/>
      </c>
      <c r="AO36" s="112"/>
      <c r="AP36" s="112"/>
      <c r="AQ36" s="69"/>
      <c r="AR36" s="70">
        <f t="shared" si="4"/>
        <v>0</v>
      </c>
      <c r="AS36" s="71"/>
      <c r="AT36" s="72" t="str">
        <f t="shared" si="5"/>
        <v/>
      </c>
      <c r="AU36" s="72"/>
      <c r="AV36" s="73">
        <f t="shared" si="6"/>
        <v>0</v>
      </c>
      <c r="AW36" s="74"/>
      <c r="AX36" s="72" t="str">
        <f t="shared" si="7"/>
        <v/>
      </c>
      <c r="AY36" s="75"/>
      <c r="AZ36" s="75"/>
      <c r="BA36" s="76"/>
      <c r="BB36" s="77">
        <f t="shared" si="8"/>
        <v>0</v>
      </c>
      <c r="BC36" s="78"/>
      <c r="BD36" s="79" t="str">
        <f t="shared" si="9"/>
        <v/>
      </c>
      <c r="BE36" s="79"/>
      <c r="BF36" s="77">
        <f t="shared" si="10"/>
        <v>0</v>
      </c>
      <c r="BG36" s="80"/>
      <c r="BH36" s="79" t="str">
        <f t="shared" si="11"/>
        <v/>
      </c>
      <c r="BI36" s="81"/>
      <c r="BJ36" s="81"/>
      <c r="BK36" s="9"/>
      <c r="BM36" s="12">
        <v>36</v>
      </c>
      <c r="BN36" s="13">
        <v>13</v>
      </c>
      <c r="BQ36" s="88" t="s">
        <v>24</v>
      </c>
      <c r="BR36" s="89">
        <f t="shared" si="12"/>
        <v>30</v>
      </c>
      <c r="BS36" s="90">
        <f t="shared" si="13"/>
        <v>0</v>
      </c>
      <c r="BT36" s="91">
        <f t="shared" si="14"/>
        <v>0</v>
      </c>
      <c r="BU36" s="92">
        <f t="shared" si="15"/>
        <v>0</v>
      </c>
      <c r="BV36" s="93" t="str">
        <f t="shared" si="16"/>
        <v/>
      </c>
      <c r="BW36" s="94"/>
      <c r="BX36" s="94"/>
      <c r="CC36" s="1">
        <v>36</v>
      </c>
      <c r="CD36" s="1" t="s">
        <v>45</v>
      </c>
      <c r="CI36" s="1" t="s">
        <v>23</v>
      </c>
      <c r="CL36" s="118">
        <v>36</v>
      </c>
      <c r="CN36" s="122"/>
      <c r="CO36" s="123"/>
      <c r="CP36" s="124"/>
      <c r="CQ36" s="125"/>
      <c r="CR36" s="126"/>
      <c r="CS36" s="123"/>
      <c r="CT36" s="127"/>
      <c r="CU36" s="128"/>
      <c r="CV36" s="129"/>
      <c r="CW36" s="129"/>
      <c r="CZ36" s="100"/>
      <c r="DA36" s="101" t="str">
        <f t="shared" si="21"/>
        <v/>
      </c>
      <c r="DB36" s="102"/>
      <c r="DC36" s="103" t="str">
        <f t="shared" si="22"/>
        <v/>
      </c>
      <c r="DD36" s="104"/>
      <c r="DE36" s="101" t="str">
        <f t="shared" si="23"/>
        <v/>
      </c>
      <c r="DF36" s="105"/>
      <c r="DG36" s="106" t="str">
        <f t="shared" si="24"/>
        <v/>
      </c>
      <c r="DH36" s="107"/>
      <c r="DI36" s="107"/>
    </row>
    <row r="37" spans="2:113" ht="20.25">
      <c r="B37" s="37">
        <v>32</v>
      </c>
      <c r="C37" s="63"/>
      <c r="D37" s="87" t="str">
        <f t="shared" si="27"/>
        <v/>
      </c>
      <c r="E37" s="117"/>
      <c r="F37" s="121" t="str">
        <f t="shared" si="28"/>
        <v/>
      </c>
      <c r="G37" s="130"/>
      <c r="H37" s="131">
        <f t="shared" si="25"/>
        <v>0</v>
      </c>
      <c r="I37" s="132"/>
      <c r="J37" s="133" t="str">
        <f t="shared" si="26"/>
        <v/>
      </c>
      <c r="K37" s="68"/>
      <c r="L37" s="68"/>
      <c r="M37" s="76"/>
      <c r="N37" s="111"/>
      <c r="O37" s="78"/>
      <c r="P37" s="115"/>
      <c r="Q37" s="116"/>
      <c r="R37" s="111"/>
      <c r="S37" s="80"/>
      <c r="T37" s="79"/>
      <c r="U37" s="112"/>
      <c r="V37" s="112"/>
      <c r="W37" s="100" t="s">
        <v>15</v>
      </c>
      <c r="X37" s="101">
        <v>52</v>
      </c>
      <c r="Y37" s="102"/>
      <c r="Z37" s="103" t="s">
        <v>58</v>
      </c>
      <c r="AA37" s="104" t="s">
        <v>15</v>
      </c>
      <c r="AB37" s="101">
        <v>50</v>
      </c>
      <c r="AC37" s="105"/>
      <c r="AD37" s="106" t="s">
        <v>62</v>
      </c>
      <c r="AE37" s="107"/>
      <c r="AF37" s="107"/>
      <c r="AG37" s="76"/>
      <c r="AH37" s="111" t="str">
        <f t="shared" si="17"/>
        <v/>
      </c>
      <c r="AI37" s="78"/>
      <c r="AJ37" s="79" t="str">
        <f t="shared" si="18"/>
        <v/>
      </c>
      <c r="AK37" s="79"/>
      <c r="AL37" s="111" t="str">
        <f t="shared" si="19"/>
        <v/>
      </c>
      <c r="AM37" s="80"/>
      <c r="AN37" s="79" t="str">
        <f t="shared" si="20"/>
        <v/>
      </c>
      <c r="AO37" s="112"/>
      <c r="AP37" s="112"/>
      <c r="AQ37" s="69"/>
      <c r="AR37" s="70">
        <f t="shared" si="4"/>
        <v>0</v>
      </c>
      <c r="AS37" s="71"/>
      <c r="AT37" s="72" t="str">
        <f t="shared" si="5"/>
        <v/>
      </c>
      <c r="AU37" s="72"/>
      <c r="AV37" s="73">
        <f t="shared" si="6"/>
        <v>0</v>
      </c>
      <c r="AW37" s="74"/>
      <c r="AX37" s="72" t="str">
        <f t="shared" si="7"/>
        <v/>
      </c>
      <c r="AY37" s="75"/>
      <c r="AZ37" s="75"/>
      <c r="BA37" s="76"/>
      <c r="BB37" s="77">
        <f t="shared" si="8"/>
        <v>0</v>
      </c>
      <c r="BC37" s="78"/>
      <c r="BD37" s="79" t="str">
        <f t="shared" si="9"/>
        <v/>
      </c>
      <c r="BE37" s="79"/>
      <c r="BF37" s="77">
        <f t="shared" si="10"/>
        <v>0</v>
      </c>
      <c r="BG37" s="80"/>
      <c r="BH37" s="79" t="str">
        <f t="shared" si="11"/>
        <v/>
      </c>
      <c r="BI37" s="81"/>
      <c r="BJ37" s="81"/>
      <c r="BK37" s="9"/>
      <c r="BM37" s="12">
        <v>37</v>
      </c>
      <c r="BN37" s="13">
        <v>13</v>
      </c>
      <c r="BQ37" s="88" t="s">
        <v>24</v>
      </c>
      <c r="BR37" s="89">
        <f t="shared" si="12"/>
        <v>31</v>
      </c>
      <c r="BS37" s="90" t="str">
        <f t="shared" si="13"/>
        <v/>
      </c>
      <c r="BT37" s="91" t="str">
        <f t="shared" si="14"/>
        <v/>
      </c>
      <c r="BU37" s="92">
        <f t="shared" si="15"/>
        <v>0</v>
      </c>
      <c r="BV37" s="93" t="str">
        <f t="shared" si="16"/>
        <v/>
      </c>
      <c r="BW37" s="94"/>
      <c r="BX37" s="94"/>
      <c r="CC37" s="1">
        <v>37</v>
      </c>
      <c r="CD37" s="1" t="s">
        <v>40</v>
      </c>
      <c r="CI37" s="1" t="s">
        <v>0</v>
      </c>
      <c r="CL37" s="118">
        <v>37</v>
      </c>
      <c r="CN37" s="122"/>
      <c r="CO37" s="123"/>
      <c r="CP37" s="124"/>
      <c r="CQ37" s="125"/>
      <c r="CR37" s="126"/>
      <c r="CS37" s="123"/>
      <c r="CT37" s="127"/>
      <c r="CU37" s="128"/>
      <c r="CV37" s="129"/>
      <c r="CW37" s="129"/>
      <c r="CZ37" s="100"/>
      <c r="DA37" s="101" t="str">
        <f t="shared" si="21"/>
        <v/>
      </c>
      <c r="DB37" s="102"/>
      <c r="DC37" s="103" t="str">
        <f t="shared" si="22"/>
        <v/>
      </c>
      <c r="DD37" s="104"/>
      <c r="DE37" s="101" t="str">
        <f t="shared" si="23"/>
        <v/>
      </c>
      <c r="DF37" s="105"/>
      <c r="DG37" s="106" t="str">
        <f t="shared" si="24"/>
        <v/>
      </c>
      <c r="DH37" s="107"/>
      <c r="DI37" s="107"/>
    </row>
    <row r="38" spans="2:113" ht="19.5" thickBot="1">
      <c r="B38" s="37">
        <v>33</v>
      </c>
      <c r="C38" s="63"/>
      <c r="D38" s="87" t="str">
        <f t="shared" si="27"/>
        <v/>
      </c>
      <c r="E38" s="117"/>
      <c r="F38" s="121" t="str">
        <f t="shared" si="28"/>
        <v/>
      </c>
      <c r="G38" s="130"/>
      <c r="H38" s="131">
        <f t="shared" si="25"/>
        <v>0</v>
      </c>
      <c r="I38" s="132"/>
      <c r="J38" s="133" t="str">
        <f t="shared" si="26"/>
        <v/>
      </c>
      <c r="K38" s="68"/>
      <c r="L38" s="68"/>
      <c r="M38" s="76"/>
      <c r="N38" s="111"/>
      <c r="O38" s="78"/>
      <c r="P38" s="115"/>
      <c r="Q38" s="116"/>
      <c r="R38" s="111"/>
      <c r="S38" s="80"/>
      <c r="T38" s="79"/>
      <c r="U38" s="112"/>
      <c r="V38" s="112"/>
      <c r="W38" s="100"/>
      <c r="X38" s="101" t="str">
        <f t="shared" ref="X38:X48" si="29">IF((Z217)=1,$BO$1,"")&amp;IF((Z217)=2,$BO$2,"")&amp;IF((Z217)=3,$BO$3,"")&amp;IF((Z217)=4,$BO$4,"")&amp;IF((Z217)=5,$BO$5,"")&amp;IF((Z217)=6,$BO$6,"")&amp;IF((Z217)=7,$BO$7,"")&amp;IF((Z217)=8,$BO$8,"")&amp;IF((Z217)=9,$BO$9,"")&amp;IF((Z217)=10,$BO$10,"")&amp;IF((Z217)=11,$BO$11,"")&amp;IF((Z217)=12,$BO$12,"")&amp;IF((Z217)=13,$BO$13,"")&amp;IF((Z217)=14,$BO$14,"")&amp;IF((Z217)=15,$BO$15,"")&amp;IF((Z217)=16,$BO$16,"")&amp;IF((Z217)=17,$BO$17,"")&amp;IF((Z217)=18,$BO$18,"")&amp;IF((Z217)=19,$BO$19,"")&amp;IF((Z217)=20,$BO$20,"")&amp;IF((Z217)=21,$BO$21,"")&amp;IF((Z217)=22,$BO$22,"")&amp;IF((Z217)=23,$BO$23,"")&amp;IF((Z217)=24,$BO$24,"")&amp;IF((Z217)=25,$BO$25,"")&amp;IF((Z217)=26,$BO$26,"")&amp;IF((Z217)=27,$BO$27,"")&amp;IF((Z217)=28,$BO$28,"")&amp;IF((Z217)=29,$BO$29,"")&amp;IF((Z217)=30,$BO$30,"")&amp;IF((Z217)=31,$BO$31,"")&amp;IF((Z217)=32,$BO$32,"")&amp;IF((Z217)=33,$BO$33,"")&amp;IF((Z217)=34,$BO$34,"")&amp;IF((Z217)=35,$BO$35,"")&amp;IF((Z217)=36,$BO$36,"")&amp;IF((Z217)=37,$BO$37,"")&amp;IF((Z217)=38,$BO$38,"")&amp;IF((Z217)=39,$BO$39,"")&amp;IF((Z217)=40,$BO$40,"")&amp;IF((Z217)=41,$BO$41,"")&amp;IF((Z217)=42,$BO$42,"")&amp;IF((Z217)=43,$BO$43,"")&amp;IF((Z217)=44,$BO$44,"")&amp;IF((Z217)=45,$BO$45,"")&amp;IF((Z217)=46,$BO$46,"")&amp;IF((Z217)=47,$BO$47,"")&amp;IF((Z217)=48,$BO$48,"")&amp;IF((Z217)=49,$BO$49,"")&amp;IF((Z217)=50,$BO$50,"")&amp;IF((Z217)=51,$BO$51,"")&amp;IF((Z217)=52,$BO$52,"")&amp;IF((Z217)=53,$BO$53,"")&amp;IF((Z217)=54,$BO$54,"")&amp;IF((Z217)=55,$BO$55,"")&amp;IF((Z217)=56,$BO$56,"")&amp;IF((Z217)=57,$BO$57,"")&amp;IF((Z217)=58,$BO$58,"")&amp;IF((Z217)=59,$BO$59,"")&amp;IF((Z217)=60,$BO$60,"")&amp;IF((Z217)=61,$BO$61,"")&amp;IF((Z217)=62,$BO$62,"")&amp;IF((Z217)=63,$BO$63,"")&amp;IF((Z217)=64,$BO$64,"")&amp;IF((Z217)=65,$BO$65,"")&amp;IF((Z217)=66,$BO$66,"")&amp;IF((Z217)=67,$BO$67,"")&amp;IF((Z217)=68,$BO$68,"")&amp;IF((Z217)=69,$BO$69,"")&amp;IF((Z217)=70,$BO$70,"")&amp;IF((Z217)=71,$BO$71,"")&amp;IF((Z217)=72,$BO$72,"")&amp;IF((Z217)=73,$BO$73,"")&amp;IF((Z217)=74,$BO$74,"")&amp;IF((Z217)=75,$BO$75,"")&amp;IF((Z217)=76,$BO$76,"")&amp;IF((Z217)=77,$BO$77,"")&amp;IF((Z217)=78,$BO$78,"")&amp;IF((Z217)=79,$BO$79,"")&amp;IF((Z217)=80,$BO$80,"")&amp;IF((Z217)=81,$BO$81,"")&amp;IF((Z217)=82,$BO$82,"")&amp;IF((Z217)=83,$BO$83,"")&amp;IF((Z217)=84,$BO$84,"")&amp;IF((Z217)=85,$BO$85,"")&amp;IF((Z217)=86,$BO$86,"")&amp;IF((Z217)=87,$BO$87,"")&amp;IF((Z217)=88,$BO$88,"")&amp;IF((Z217)=89,$BO$89,"")&amp;IF((Z217)=90,$BO$90,"")&amp;IF((Z217)=91,$BO$91,"")&amp;IF((Z217)=92,$BO$92,"")&amp;IF((Z217)=93,$BO$93,"")&amp;IF((Z217)=94,$BO$94,"")&amp;IF((Z217)=95,$BO$95,"")&amp;IF((Z217)=96,$BO$96,"")&amp;IF((Z217)=97,$BO$97,"")&amp;IF((Z217)=98,$BO$98,"")&amp;IF((Z217)=99,$BO$99,"")&amp;IF((Z217)=100,$BO$100,"")&amp;IF((Z217)=101,$BO$101,"")&amp;IF((Z217)=102,$BO$102,"")&amp;IF((Z217)=103,$BO$103,"")&amp;IF((Z217)=104,$BO$104,"")&amp;IF((Z217)=105,$BO$105,"")&amp;IF((Z217)=106,$BO$106,"")&amp;IF((Z217)=107,$BO$107,"")&amp;IF((Z217)=108,$BO$108,"")&amp;IF((Z217)=109,$BO$109,"")&amp;IF((Z217)=110,$BO$110,"")&amp;IF((Z217)=111,$BO$111,"")&amp;IF((Z217)=112,$BO$112,"")&amp;IF((Z217)=113,$BO$113,"")&amp;IF((Z217)=114,$BO$114,"")&amp;IF((Z217)=115,$BO$115,"")&amp;IF((Z217)=116,$BO$116,"")&amp;IF((Z217)=117,$BO$117,"")&amp;IF((Z217)=118,$BO$118,"")&amp;IF((Z217)=119,$BO$119,"")&amp;IF((Z217)=120,$BO$120,"")&amp;IF((Z217)=121,$BO$121,"")&amp;IF((Z217)=122,$BO$122,"")&amp;IF((Z217)=123,$BO$123,"")&amp;IF((Z217)=124,$BO$124,"")&amp;IF((Z217)=125,$BO$125,"")&amp;IF((Z217)=126,$BO$126,"")&amp;IF((Z217)=127,$BO$127,"")&amp;IF((Z217)=128,$BO$128,"")</f>
        <v/>
      </c>
      <c r="Y38" s="102"/>
      <c r="Z38" s="103" t="str">
        <f t="shared" ref="Z38:Z39" si="30">IF((Z217)=1,$BP$1,"")&amp;IF((Z217)=2,$BP$2,"")&amp;IF((Z217)=3,$BP$3,"")&amp;IF((Z217)=4,$BP$4,"")&amp;IF((Z217)=5,$BP$5,"")&amp;IF((Z217)=6,$BP$6,"")&amp;IF((Z217)=7,$BP$7,"")&amp;IF((Z217)=8,$BP$8,"")&amp;IF((Z217)=9,$BP$9,"")&amp;IF((Z217)=10,$BP$10,"")&amp;IF((Z217)=11,$BP$11,"")&amp;IF((Z217)=12,$BP$12,"")&amp;IF((Z217)=13,$BP$13,"")&amp;IF((Z217)=14,$BP$14,"")&amp;IF((Z217)=15,$BP$15,"")&amp;IF((Z217)=16,$BP$16,"")&amp;IF((Z217)=17,$BP$17,"")&amp;IF((Z217)=18,$BP$18,"")&amp;IF((Z217)=19,$BP$19,"")&amp;IF((Z217)=20,$BP$20,"")&amp;IF((Z217)=21,$BP$21,"")&amp;IF((Z217)=22,$BP$22,"")&amp;IF((Z217)=23,$BP$23,"")&amp;IF((Z217)=24,$BP$24,"")&amp;IF((Z217)=25,$BP$25,"")&amp;IF((Z217)=26,$BP$26,"")&amp;IF((Z217)=27,$BP$27,"")&amp;IF((Z217)=28,$BP$28,"")&amp;IF((Z217)=29,$BP$29,"")&amp;IF((Z217)=30,$BP$30,"")&amp;IF((Z217)=31,$BP$31,"")&amp;IF((Z217)=32,$BP$32,"")&amp;IF((Z217)=33,$BP$33,"")&amp;IF((Z217)=34,$BP$34,"")&amp;IF((Z217)=35,$BP$35,"")&amp;IF((Z217)=36,$BP$36,"")&amp;IF((Z217)=37,$BP$37,"")&amp;IF((Z217)=38,$BP$38,"")&amp;IF((Z217)=39,$BP$39,"")&amp;IF((Z217)=40,$BP$40,"")&amp;IF((Z217)=41,$BP$41,"")&amp;IF((Z217)=42,$BP$42,"")&amp;IF((Z217)=43,$BP$43,"")&amp;IF((Z217)=44,$BP$44,"")&amp;IF((Z217)=45,$BP$45,"")&amp;IF((Z217)=46,$BP$46,"")&amp;IF((Z217)=47,$BP$47,"")&amp;IF((Z217)=48,$BP$48,"")&amp;IF((Z217)=49,$BP$49,"")&amp;IF((Z217)=50,$BP$50,"")&amp;IF((Z217)=51,$BP$51,"")&amp;IF((Z217)=52,$BP$52,"")&amp;IF((Z217)=53,$BP$53,"")&amp;IF((Z217)=54,$BP$54,"")&amp;IF((Z217)=55,$BP$55,"")&amp;IF((Z217)=56,$BP$56,"")&amp;IF((Z217)=57,$BP$57,"")&amp;IF((Z217)=58,$BP$58,"")&amp;IF((Z217)=59,$BP$59,"")&amp;IF((Z217)=60,$BP$60,"")&amp;IF((Z217)=61,$BP$61,"")&amp;IF((Z217)=62,$BP$62,"")&amp;IF((Z217)=63,$BP$63,"")&amp;IF((Z217)=64,$BP$64,"")&amp;IF((Z217)=65,$BP$65,"")&amp;IF((Z217)=66,$BP$66,"")&amp;IF((Z217)=67,$BP$67,"")&amp;IF((Z217)=68,$BP$68,"")&amp;IF((Z217)=69,$BP$69,"")&amp;IF((Z217)=70,$BP$70,"")&amp;IF((Z217)=71,$BP$71,"")&amp;IF((Z217)=72,$BP$72,"")&amp;IF((Z217)=73,$BP$73,"")&amp;IF((Z217)=74,$BP$74,"")&amp;IF((Z217)=75,$BP$75,"")&amp;IF((Z217)=76,$BP$76,"")&amp;IF((Z217)=77,$BP$77,"")&amp;IF((Z217)=78,$BP$78,"")&amp;IF((Z217)=79,$BP$79,"")&amp;IF((Z217)=80,$BP$80,"")&amp;IF((Z217)=81,$BP$81,"")&amp;IF((Z217)=82,$BP$82,"")&amp;IF((Z217)=83,$BP$83,"")&amp;IF((Z217)=84,$BP$84,"")&amp;IF((Z217)=85,$BP$85,"")&amp;IF((Z217)=86,$BP$86,"")&amp;IF((Z217)=87,$BP$87,"")&amp;IF((Z217)=88,$BP$88,"")&amp;IF((Z217)=89,$BP$89,"")&amp;IF((Z217)=90,$BP$90,"")&amp;IF((Z217)=91,$BP$91,"")&amp;IF((Z217)=92,$BP$92,"")&amp;IF((Z217)=93,$BP$93,"")&amp;IF((Z217)=94,$BP$94,"")&amp;IF((Z217)=95,$BP$95,"")&amp;IF((Z217)=96,$BP$96,"")&amp;IF((Z217)=97,$BP$97,"")&amp;IF((Z217)=98,$BP$98,"")&amp;IF((Z217)=99,$BP$99,"")&amp;IF((Z217)=100,$BP$100,"")&amp;IF((Z217)=101,$BP$101,"")&amp;IF((Z217)=102,$BP$102,"")&amp;IF((Z217)=103,$BP$103,"")&amp;IF((Z217)=104,$BP$104,"")&amp;IF((Z217)=105,$BP$105,"")&amp;IF((Z217)=106,$BP$106,"")&amp;IF((Z217)=107,$BP$107,"")&amp;IF((Z217)=108,$BP$108,"")&amp;IF((Z217)=109,$BP$109,"")&amp;IF((Z217)=110,$BP$110,"")&amp;IF((Z217)=111,$BP$111,"")&amp;IF((Z217)=112,$BP$112,"")&amp;IF((Z217)=113,$BP$113,"")&amp;IF((Z217)=114,$BP$114,"")&amp;IF((Z217)=115,$BP$115,"")&amp;IF((Z217)=116,$BP$116,"")&amp;IF((Z217)=117,$BP$117,"")&amp;IF((Z217)=118,$BP$118,"")&amp;IF((Z217)=119,$BP$119,"")&amp;IF((Z217)=120,$BP$120,"")&amp;IF((Z217)=121,$BP$121,"")&amp;IF((Z217)=122,$BP$122,"")&amp;IF((Z217)=123,$BP$123,"")&amp;IF((Z217)=124,$BP$124,"")&amp;IF((Z217)=125,$BP$125,"")&amp;IF((Z217)=126,$BP$126,"")&amp;IF((Z217)=127,$BP$127,"")&amp;IF((Z217)=128,$BP$128,"")</f>
        <v/>
      </c>
      <c r="AA38" s="104"/>
      <c r="AB38" s="101" t="str">
        <f t="shared" ref="AB38:AB48" si="31">IF((AD217)=1,$BO$1,"")&amp;IF((AD217)=2,$BO$2,"")&amp;IF((AD217)=3,$BO$3,"")&amp;IF((AD217)=4,$BO$4,"")&amp;IF((AD217)=5,$BO$5,"")&amp;IF((AD217)=6,$BO$6,"")&amp;IF((AD217)=7,$BO$7,"")&amp;IF((AD217)=8,$BO$8,"")&amp;IF((AD217)=9,$BO$9,"")&amp;IF((AD217)=10,$BO$10,"")&amp;IF((AD217)=11,$BO$11,"")&amp;IF((AD217)=12,$BO$12,"")&amp;IF((AD217)=13,$BO$13,"")&amp;IF((AD217)=14,$BO$14,"")&amp;IF((AD217)=15,$BO$15,"")&amp;IF((AD217)=16,$BO$16,"")&amp;IF((AD217)=17,$BO$17,"")&amp;IF((AD217)=18,$BO$18,"")&amp;IF((AD217)=19,$BO$19,"")&amp;IF((AD217)=20,$BO$20,"")&amp;IF((AD217)=21,$BO$21,"")&amp;IF((AD217)=22,$BO$22,"")&amp;IF((AD217)=23,$BO$23,"")&amp;IF((AD217)=24,$BO$24,"")&amp;IF((AD217)=25,$BO$25,"")&amp;IF((AD217)=26,$BO$26,"")&amp;IF((AD217)=27,$BO$27,"")&amp;IF((AD217)=28,$BO$28,"")&amp;IF((AD217)=29,$BO$29,"")&amp;IF((AD217)=30,$BO$30,"")&amp;IF((AD217)=31,$BO$31,"")&amp;IF((AD217)=32,$BO$32,"")&amp;IF((AD217)=33,$BO$33,"")&amp;IF((AD217)=34,$BO$34,"")&amp;IF((AD217)=35,$BO$35,"")&amp;IF((AD217)=36,$BO$36,"")&amp;IF((AD217)=37,$BO$37,"")&amp;IF((AD217)=38,$BO$38,"")&amp;IF((AD217)=39,$BO$39,"")&amp;IF((AD217)=40,$BO$40,"")&amp;IF((AD217)=41,$BO$41,"")&amp;IF((AD217)=42,$BO$42,"")&amp;IF((AD217)=43,$BO$43,"")&amp;IF((AD217)=44,$BO$44,"")&amp;IF((AD217)=45,$BO$45,"")&amp;IF((AD217)=46,$BO$46,"")&amp;IF((AD217)=47,$BO$47,"")&amp;IF((AD217)=48,$BO$48,"")&amp;IF((AD217)=49,$BO$49,"")&amp;IF((AD217)=50,$BO$50,"")&amp;IF((AD217)=51,$BO$51,"")&amp;IF((AD217)=52,$BO$52,"")&amp;IF((AD217)=53,$BO$53,"")&amp;IF((AD217)=54,$BO$54,"")&amp;IF((AD217)=55,$BO$55,"")&amp;IF((AD217)=56,$BO$56,"")&amp;IF((AD217)=57,$BO$57,"")&amp;IF((AD217)=58,$BO$58,"")&amp;IF((AD217)=59,$BO$59,"")&amp;IF((AD217)=60,$BO$60,"")&amp;IF((AD217)=61,$BO$61,"")&amp;IF((AD217)=62,$BO$62,"")&amp;IF((AD217)=63,$BO$63,"")&amp;IF((AD217)=64,$BO$64,"")&amp;IF((AD217)=65,$BO$65,"")&amp;IF((AD217)=66,$BO$66,"")&amp;IF((AD217)=67,$BO$67,"")&amp;IF((AD217)=68,$BO$68,"")&amp;IF((AD217)=69,$BO$69,"")&amp;IF((AD217)=70,$BO$70,"")&amp;IF((AD217)=71,$BO$71,"")&amp;IF((AD217)=72,$BO$72,"")&amp;IF((AD217)=73,$BO$73,"")&amp;IF((AD217)=74,$BO$74,"")&amp;IF((AD217)=75,$BO$75,"")&amp;IF((AD217)=76,$BO$76,"")&amp;IF((AD217)=77,$BO$77,"")&amp;IF((AD217)=78,$BO$78,"")&amp;IF((AD217)=79,$BO$79,"")&amp;IF((AD217)=80,$BO$80,"")&amp;IF((AD217)=81,$BO$81,"")&amp;IF((AD217)=82,$BO$82,"")&amp;IF((AD217)=83,$BO$83,"")&amp;IF((AD217)=84,$BO$84,"")&amp;IF((AD217)=85,$BO$85,"")&amp;IF((AD217)=86,$BO$86,"")&amp;IF((AD217)=87,$BO$87,"")&amp;IF((AD217)=88,$BO$88,"")&amp;IF((AD217)=89,$BO$89,"")&amp;IF((AD217)=90,$BO$90,"")&amp;IF((AD217)=91,$BO$91,"")&amp;IF((AD217)=92,$BO$92,"")&amp;IF((AD217)=93,$BO$93,"")&amp;IF((AD217)=94,$BO$94,"")&amp;IF((AD217)=95,$BO$95,"")&amp;IF((AD217)=96,$BO$96,"")&amp;IF((AD217)=97,$BO$97,"")&amp;IF((AD217)=98,$BO$98,"")&amp;IF((AD217)=99,$BO$99,"")&amp;IF((AD217)=100,$BO$100,"")&amp;IF((AD217)=101,$BO$101,"")&amp;IF((AD217)=102,$BO$102,"")&amp;IF((AD217)=103,$BO$103,"")&amp;IF((AD217)=104,$BO$104,"")&amp;IF((AD217)=105,$BO$105,"")&amp;IF((AD217)=106,$BO$106,"")&amp;IF((AD217)=107,$BO$107,"")&amp;IF((AD217)=108,$BO$108,"")&amp;IF((AD217)=109,$BO$109,"")&amp;IF((AD217)=110,$BO$110,"")&amp;IF((AD217)=111,$BO$111,"")&amp;IF((AD217)=112,$BO$112,"")&amp;IF((AD217)=113,$BO$113,"")&amp;IF((AD217)=114,$BO$114,"")&amp;IF((AD217)=115,$BO$115,"")&amp;IF((AD217)=116,$BO$116,"")&amp;IF((AD217)=117,$BO$117,"")&amp;IF((AD217)=118,$BO$118,"")&amp;IF((AD217)=119,$BO$119,"")&amp;IF((AD217)=120,$BO$120,"")&amp;IF((AD217)=121,$BO$121,"")&amp;IF((AD217)=122,$BO$122,"")&amp;IF((AD217)=123,$BO$123,"")&amp;IF((AD217)=124,$BO$124,"")&amp;IF((AD217)=125,$BO$125,"")&amp;IF((AD217)=126,$BO$126,"")&amp;IF((AD217)=127,$BO$127,"")&amp;IF((AD217)=128,$BO$128,"")</f>
        <v/>
      </c>
      <c r="AC38" s="105"/>
      <c r="AD38" s="106" t="str">
        <f t="shared" ref="AD38:AD39" si="32">IF((AD217)=1,$BP$1,"")&amp;IF((AD217)=2,$BP$2,"")&amp;IF((AD217)=3,$BP$3,"")&amp;IF((AD217)=4,$BP$4,"")&amp;IF((AD217)=5,$BP$5,"")&amp;IF((AD217)=6,$BP$6,"")&amp;IF((AD217)=7,$BP$7,"")&amp;IF((AD217)=8,$BP$8,"")&amp;IF((AD217)=9,$BP$9,"")&amp;IF((AD217)=10,$BP$10,"")&amp;IF((AD217)=11,$BP$11,"")&amp;IF((AD217)=12,$BP$12,"")&amp;IF((AD217)=13,$BP$13,"")&amp;IF((AD217)=14,$BP$14,"")&amp;IF((AD217)=15,$BP$15,"")&amp;IF((AD217)=16,$BP$16,"")&amp;IF((AD217)=17,$BP$17,"")&amp;IF((AD217)=18,$BP$18,"")&amp;IF((AD217)=19,$BP$19,"")&amp;IF((AD217)=20,$BP$20,"")&amp;IF((AD217)=21,$BP$21,"")&amp;IF((AD217)=22,$BP$22,"")&amp;IF((AD217)=23,$BP$23,"")&amp;IF((AD217)=24,$BP$24,"")&amp;IF((AD217)=25,$BP$25,"")&amp;IF((AD217)=26,$BP$26,"")&amp;IF((AD217)=27,$BP$27,"")&amp;IF((AD217)=28,$BP$28,"")&amp;IF((AD217)=29,$BP$29,"")&amp;IF((AD217)=30,$BP$30,"")&amp;IF((AD217)=31,$BP$31,"")&amp;IF((AD217)=32,$BP$32,"")&amp;IF((AD217)=33,$BP$33,"")&amp;IF((AD217)=34,$BP$34,"")&amp;IF((AD217)=35,$BP$35,"")&amp;IF((AD217)=36,$BP$36,"")&amp;IF((AD217)=37,$BP$37,"")&amp;IF((AD217)=38,$BP$38,"")&amp;IF((AD217)=39,$BP$39,"")&amp;IF((AD217)=40,$BP$40,"")&amp;IF((AD217)=41,$BP$41,"")&amp;IF((AD217)=42,$BP$42,"")&amp;IF((AD217)=43,$BP$43,"")&amp;IF((AD217)=44,$BP$44,"")&amp;IF((AD217)=45,$BP$45,"")&amp;IF((AD217)=46,$BP$46,"")&amp;IF((AD217)=47,$BP$47,"")&amp;IF((AD217)=48,$BP$48,"")&amp;IF((AD217)=49,$BP$49,"")&amp;IF((AD217)=50,$BP$50,"")&amp;IF((AD217)=51,$BP$51,"")&amp;IF((AD217)=52,$BP$52,"")&amp;IF((AD217)=53,$BP$53,"")&amp;IF((AD217)=54,$BP$54,"")&amp;IF((AD217)=55,$BP$55,"")&amp;IF((AD217)=56,$BP$56,"")&amp;IF((AD217)=57,$BP$57,"")&amp;IF((AD217)=58,$BP$58,"")&amp;IF((AD217)=59,$BP$59,"")&amp;IF((AD217)=60,$BP$60,"")&amp;IF((AD217)=61,$BP$61,"")&amp;IF((AD217)=62,$BP$62,"")&amp;IF((AD217)=63,$BP$63,"")&amp;IF((AD217)=64,$BP$64,"")&amp;IF((AD217)=65,$BP$65,"")&amp;IF((AD217)=66,$BP$66,"")&amp;IF((AD217)=67,$BP$67,"")&amp;IF((AD217)=68,$BP$68,"")&amp;IF((AD217)=69,$BP$69,"")&amp;IF((AD217)=70,$BP$70,"")&amp;IF((AD217)=71,$BP$71,"")&amp;IF((AD217)=72,$BP$72,"")&amp;IF((AD217)=73,$BP$73,"")&amp;IF((AD217)=74,$BP$74,"")&amp;IF((AD217)=75,$BP$75,"")&amp;IF((AD217)=76,$BP$76,"")&amp;IF((AD217)=77,$BP$77,"")&amp;IF((AD217)=78,$BP$78,"")&amp;IF((AD217)=79,$BP$79,"")&amp;IF((AD217)=80,$BP$80,"")&amp;IF((AD217)=81,$BP$81,"")&amp;IF((AD217)=82,$BP$82,"")&amp;IF((AD217)=83,$BP$83,"")&amp;IF((AD217)=84,$BP$84,"")&amp;IF((AD217)=85,$BP$85,"")&amp;IF((AD217)=86,$BP$86,"")&amp;IF((AD217)=87,$BP$87,"")&amp;IF((AD217)=88,$BP$88,"")&amp;IF((AD217)=89,$BP$89,"")&amp;IF((AD217)=90,$BP$90,"")&amp;IF((AD217)=91,$BP$91,"")&amp;IF((AD217)=92,$BP$92,"")&amp;IF((AD217)=93,$BP$93,"")&amp;IF((AD217)=94,$BP$94,"")&amp;IF((AD217)=95,$BP$95,"")&amp;IF((AD217)=96,$BP$96,"")&amp;IF((AD217)=97,$BP$97,"")&amp;IF((AD217)=98,$BP$98,"")&amp;IF((AD217)=99,$BP$99,"")&amp;IF((AD217)=100,$BP$100,"")&amp;IF((AD217)=101,$BP$101,"")&amp;IF((AD217)=102,$BP$102,"")&amp;IF((AD217)=103,$BP$103,"")&amp;IF((AD217)=104,$BP$104,"")&amp;IF((AD217)=105,$BP$105,"")&amp;IF((AD217)=106,$BP$106,"")&amp;IF((AD217)=107,$BP$107,"")&amp;IF((AD217)=108,$BP$108,"")&amp;IF((AD217)=109,$BP$109,"")&amp;IF((AD217)=110,$BP$110,"")&amp;IF((AD217)=111,$BP$111,"")&amp;IF((AD217)=112,$BP$112,"")&amp;IF((AD217)=113,$BP$113,"")&amp;IF((AD217)=114,$BP$114,"")&amp;IF((AD217)=115,$BP$115,"")&amp;IF((AD217)=116,$BP$116,"")&amp;IF((AD217)=117,$BP$117,"")&amp;IF((AD217)=118,$BP$118,"")&amp;IF((AD217)=119,$BP$119,"")&amp;IF((AD217)=120,$BP$120,"")&amp;IF((AD217)=121,$BP$121,"")&amp;IF((AD217)=122,$BP$122,"")&amp;IF((AD217)=123,$BP$123,"")&amp;IF((AD217)=124,$BP$124,"")&amp;IF((AD217)=125,$BP$125,"")&amp;IF((AD217)=126,$BP$126,"")&amp;IF((AD217)=127,$BP$127,"")&amp;IF((AD217)=128,$BP$128,"")</f>
        <v/>
      </c>
      <c r="AE38" s="107"/>
      <c r="AF38" s="107"/>
      <c r="AG38" s="135"/>
      <c r="AH38" s="135"/>
      <c r="AI38" s="135"/>
      <c r="AJ38" s="135"/>
      <c r="AK38" s="135"/>
      <c r="AL38" s="135"/>
      <c r="AM38" s="135"/>
      <c r="AN38" s="135"/>
      <c r="AO38" s="136"/>
      <c r="AP38" s="136"/>
      <c r="AQ38" s="137"/>
      <c r="AS38" s="8"/>
      <c r="AT38" s="8"/>
      <c r="AU38" s="8"/>
      <c r="BK38" s="9"/>
      <c r="BM38" s="12">
        <v>38</v>
      </c>
      <c r="BQ38" s="138" t="s">
        <v>24</v>
      </c>
      <c r="BR38" s="139">
        <f t="shared" si="12"/>
        <v>32</v>
      </c>
      <c r="BS38" s="140" t="str">
        <f t="shared" si="13"/>
        <v/>
      </c>
      <c r="BT38" s="141" t="str">
        <f t="shared" si="14"/>
        <v/>
      </c>
      <c r="BU38" s="142">
        <f t="shared" si="15"/>
        <v>0</v>
      </c>
      <c r="BV38" s="143" t="str">
        <f t="shared" si="16"/>
        <v/>
      </c>
      <c r="BW38" s="144"/>
      <c r="BX38" s="144"/>
      <c r="CC38" s="1">
        <v>38</v>
      </c>
      <c r="CD38" s="1" t="s">
        <v>56</v>
      </c>
      <c r="CI38" s="1" t="s">
        <v>20</v>
      </c>
      <c r="CL38" s="118">
        <v>38</v>
      </c>
      <c r="CN38" s="122"/>
      <c r="CO38" s="123"/>
      <c r="CP38" s="124"/>
      <c r="CQ38" s="125"/>
      <c r="CR38" s="126"/>
      <c r="CS38" s="123"/>
      <c r="CT38" s="127"/>
      <c r="CU38" s="128"/>
      <c r="CV38" s="129"/>
      <c r="CW38" s="129"/>
      <c r="CZ38" s="100"/>
      <c r="DA38" s="101" t="str">
        <f t="shared" si="21"/>
        <v/>
      </c>
      <c r="DB38" s="102"/>
      <c r="DC38" s="103" t="str">
        <f t="shared" si="22"/>
        <v/>
      </c>
      <c r="DD38" s="104"/>
      <c r="DE38" s="101" t="str">
        <f t="shared" si="23"/>
        <v/>
      </c>
      <c r="DF38" s="105"/>
      <c r="DG38" s="106" t="str">
        <f t="shared" si="24"/>
        <v/>
      </c>
      <c r="DH38" s="107"/>
      <c r="DI38" s="107"/>
    </row>
    <row r="39" spans="2:113" s="146" customFormat="1" ht="20.25">
      <c r="B39" s="37">
        <v>34</v>
      </c>
      <c r="C39" s="63"/>
      <c r="D39" s="87" t="str">
        <f t="shared" si="27"/>
        <v/>
      </c>
      <c r="E39" s="117"/>
      <c r="F39" s="121" t="str">
        <f t="shared" si="28"/>
        <v/>
      </c>
      <c r="G39" s="130"/>
      <c r="H39" s="131">
        <f t="shared" si="25"/>
        <v>0</v>
      </c>
      <c r="I39" s="132"/>
      <c r="J39" s="133" t="str">
        <f t="shared" si="26"/>
        <v/>
      </c>
      <c r="K39" s="68"/>
      <c r="L39" s="68"/>
      <c r="M39" s="76"/>
      <c r="N39" s="111"/>
      <c r="O39" s="78"/>
      <c r="P39" s="115"/>
      <c r="Q39" s="116"/>
      <c r="R39" s="111"/>
      <c r="S39" s="80"/>
      <c r="T39" s="79"/>
      <c r="U39" s="112"/>
      <c r="V39" s="112"/>
      <c r="W39" s="100"/>
      <c r="X39" s="101" t="str">
        <f t="shared" si="29"/>
        <v/>
      </c>
      <c r="Y39" s="102"/>
      <c r="Z39" s="103" t="str">
        <f t="shared" si="30"/>
        <v/>
      </c>
      <c r="AA39" s="104"/>
      <c r="AB39" s="101" t="str">
        <f t="shared" si="31"/>
        <v/>
      </c>
      <c r="AC39" s="105"/>
      <c r="AD39" s="106" t="str">
        <f t="shared" si="32"/>
        <v/>
      </c>
      <c r="AE39" s="107"/>
      <c r="AF39" s="107"/>
      <c r="AG39" s="145" t="s">
        <v>64</v>
      </c>
      <c r="AH39" s="145"/>
      <c r="AI39" s="145"/>
      <c r="AJ39" s="145"/>
      <c r="AK39" s="145"/>
      <c r="AL39" s="145"/>
      <c r="AM39" s="145"/>
      <c r="AN39" s="145"/>
      <c r="AO39" s="7"/>
      <c r="AP39" s="7"/>
      <c r="AQ39" s="145" t="s">
        <v>64</v>
      </c>
      <c r="AR39" s="145"/>
      <c r="AS39" s="145"/>
      <c r="AT39" s="145"/>
      <c r="AU39" s="145"/>
      <c r="AV39" s="145"/>
      <c r="AW39" s="145"/>
      <c r="AX39" s="145"/>
      <c r="AY39" s="7"/>
      <c r="AZ39" s="7"/>
      <c r="BA39" s="145" t="s">
        <v>64</v>
      </c>
      <c r="BB39" s="145"/>
      <c r="BC39" s="145"/>
      <c r="BD39" s="145"/>
      <c r="BE39" s="145"/>
      <c r="BF39" s="145"/>
      <c r="BG39" s="145"/>
      <c r="BH39" s="145"/>
      <c r="BI39" s="7"/>
      <c r="BJ39" s="7"/>
      <c r="BK39" s="9"/>
      <c r="BM39" s="12">
        <v>39</v>
      </c>
      <c r="BN39" s="13">
        <v>13</v>
      </c>
      <c r="BO39" s="147"/>
      <c r="BP39" s="147"/>
      <c r="BQ39" s="148"/>
      <c r="BR39" s="149"/>
      <c r="BS39" s="150"/>
      <c r="BT39" s="151"/>
      <c r="BU39" s="150"/>
      <c r="BV39" s="151"/>
      <c r="BW39" s="150"/>
      <c r="BX39" s="150"/>
      <c r="CC39" s="146">
        <v>39</v>
      </c>
      <c r="CD39" s="146" t="s">
        <v>50</v>
      </c>
      <c r="CI39" s="1" t="s">
        <v>22</v>
      </c>
      <c r="CJ39" s="1"/>
      <c r="CL39" s="118">
        <v>39</v>
      </c>
      <c r="CN39" s="122"/>
      <c r="CO39" s="123" t="str">
        <f t="shared" ref="CO39" si="33">IF((CQ218)=1,$BO$1,"")&amp;IF((CQ218)=2,$BO$2,"")&amp;IF((CQ218)=3,$BO$3,"")&amp;IF((CQ218)=4,$BO$4,"")&amp;IF((CQ218)=5,$BO$5,"")&amp;IF((CQ218)=6,$BO$6,"")&amp;IF((CQ218)=7,$BO$7,"")&amp;IF((CQ218)=8,$BO$8,"")&amp;IF((CQ218)=9,$BO$9,"")&amp;IF((CQ218)=10,$BO$10,"")&amp;IF((CQ218)=11,$BO$11,"")&amp;IF((CQ218)=12,$BO$12,"")&amp;IF((CQ218)=13,$BO$13,"")&amp;IF((CQ218)=14,$BO$14,"")&amp;IF((CQ218)=15,$BO$15,"")&amp;IF((CQ218)=16,$BO$16,"")&amp;IF((CQ218)=17,$BO$17,"")&amp;IF((CQ218)=18,$BO$18,"")&amp;IF((CQ218)=19,$BO$19,"")&amp;IF((CQ218)=20,$BO$20,"")&amp;IF((CQ218)=21,$BO$21,"")&amp;IF((CQ218)=22,$BO$22,"")&amp;IF((CQ218)=23,$BO$23,"")&amp;IF((CQ218)=24,$BO$24,"")&amp;IF((CQ218)=25,$BO$25,"")&amp;IF((CQ218)=26,$BO$26,"")&amp;IF((CQ218)=27,$BO$27,"")&amp;IF((CQ218)=28,$BO$28,"")&amp;IF((CQ218)=29,$BO$29,"")&amp;IF((CQ218)=30,$BO$30,"")&amp;IF((CQ218)=31,$BO$31,"")&amp;IF((CQ218)=32,$BO$32,"")&amp;IF((CQ218)=33,$BO$33,"")&amp;IF((CQ218)=34,$BO$34,"")&amp;IF((CQ218)=35,$BO$35,"")&amp;IF((CQ218)=36,$BO$36,"")&amp;IF((CQ218)=37,$BO$37,"")&amp;IF((CQ218)=38,$BO$38,"")&amp;IF((CQ218)=39,$BO$39,"")&amp;IF((CQ218)=40,$BO$40,"")&amp;IF((CQ218)=41,$BO$41,"")&amp;IF((CQ218)=42,$BO$42,"")&amp;IF((CQ218)=43,$BO$43,"")&amp;IF((CQ218)=44,$BO$44,"")&amp;IF((CQ218)=45,$BO$45,"")&amp;IF((CQ218)=46,$BO$46,"")&amp;IF((CQ218)=47,$BO$47,"")&amp;IF((CQ218)=48,$BO$48,"")&amp;IF((CQ218)=49,$BO$49,"")&amp;IF((CQ218)=50,$BO$50,"")&amp;IF((CQ218)=51,$BO$51,"")&amp;IF((CQ218)=52,$BO$52,"")&amp;IF((CQ218)=53,$BO$53,"")&amp;IF((CQ218)=54,$BO$54,"")&amp;IF((CQ218)=55,$BO$55,"")&amp;IF((CQ218)=56,$BO$56,"")&amp;IF((CQ218)=57,$BO$57,"")&amp;IF((CQ218)=58,$BO$58,"")&amp;IF((CQ218)=59,$BO$59,"")&amp;IF((CQ218)=60,$BO$60,"")&amp;IF((CQ218)=61,$BO$61,"")&amp;IF((CQ218)=62,$BO$62,"")&amp;IF((CQ218)=63,$BO$63,"")&amp;IF((CQ218)=64,$BO$64,"")&amp;IF((CQ218)=65,$BO$65,"")&amp;IF((CQ218)=66,$BO$66,"")&amp;IF((CQ218)=67,$BO$67,"")&amp;IF((CQ218)=68,$BO$68,"")&amp;IF((CQ218)=69,$BO$69,"")&amp;IF((CQ218)=70,$BO$70,"")&amp;IF((CQ218)=71,$BO$71,"")&amp;IF((CQ218)=72,$BO$72,"")&amp;IF((CQ218)=73,$BO$73,"")&amp;IF((CQ218)=74,$BO$74,"")&amp;IF((CQ218)=75,$BO$75,"")&amp;IF((CQ218)=76,$BO$76,"")&amp;IF((CQ218)=77,$BO$77,"")&amp;IF((CQ218)=78,$BO$78,"")&amp;IF((CQ218)=79,$BO$79,"")&amp;IF((CQ218)=80,$BO$80,"")&amp;IF((CQ218)=81,$BO$81,"")&amp;IF((CQ218)=82,$BO$82,"")&amp;IF((CQ218)=83,$BO$83,"")&amp;IF((CQ218)=84,$BO$84,"")&amp;IF((CQ218)=85,$BO$85,"")&amp;IF((CQ218)=86,$BO$86,"")&amp;IF((CQ218)=87,$BO$87,"")&amp;IF((CQ218)=88,$BO$88,"")&amp;IF((CQ218)=89,$BO$89,"")&amp;IF((CQ218)=90,$BO$90,"")&amp;IF((CQ218)=91,$BO$91,"")&amp;IF((CQ218)=92,$BO$92,"")&amp;IF((CQ218)=93,$BO$93,"")&amp;IF((CQ218)=94,$BO$94,"")&amp;IF((CQ218)=95,$BO$95,"")&amp;IF((CQ218)=96,$BO$96,"")&amp;IF((CQ218)=97,$BO$97,"")&amp;IF((CQ218)=98,$BO$98,"")&amp;IF((CQ218)=99,$BO$99,"")&amp;IF((CQ218)=100,$BO$100,"")&amp;IF((CQ218)=101,$BO$101,"")&amp;IF((CQ218)=102,$BO$102,"")&amp;IF((CQ218)=103,$BO$103,"")&amp;IF((CQ218)=104,$BO$104,"")&amp;IF((CQ218)=105,$BO$105,"")&amp;IF((CQ218)=106,$BO$106,"")&amp;IF((CQ218)=107,$BO$107,"")&amp;IF((CQ218)=108,$BO$108,"")&amp;IF((CQ218)=109,$BO$109,"")&amp;IF((CQ218)=110,$BO$110,"")&amp;IF((CQ218)=111,$BO$111,"")&amp;IF((CQ218)=112,$BO$112,"")&amp;IF((CQ218)=113,$BO$113,"")&amp;IF((CQ218)=114,$BO$114,"")&amp;IF((CQ218)=115,$BO$115,"")&amp;IF((CQ218)=116,$BO$116,"")&amp;IF((CQ218)=117,$BO$117,"")&amp;IF((CQ218)=118,$BO$118,"")&amp;IF((CQ218)=119,$BO$119,"")&amp;IF((CQ218)=120,$BO$120,"")&amp;IF((CQ218)=121,$BO$121,"")&amp;IF((CQ218)=122,$BO$122,"")&amp;IF((CQ218)=123,$BO$123,"")&amp;IF((CQ218)=124,$BO$124,"")&amp;IF((CQ218)=125,$BO$125,"")&amp;IF((CQ218)=126,$BO$126,"")&amp;IF((CQ218)=127,$BO$127,"")&amp;IF((CQ218)=128,$BO$128,"")</f>
        <v/>
      </c>
      <c r="CP39" s="124"/>
      <c r="CQ39" s="125"/>
      <c r="CR39" s="126"/>
      <c r="CS39" s="123"/>
      <c r="CT39" s="127"/>
      <c r="CU39" s="128"/>
      <c r="CV39" s="129"/>
      <c r="CW39" s="129"/>
      <c r="CZ39" s="100"/>
      <c r="DA39" s="101" t="str">
        <f t="shared" si="21"/>
        <v/>
      </c>
      <c r="DB39" s="102"/>
      <c r="DC39" s="103" t="str">
        <f t="shared" si="22"/>
        <v/>
      </c>
      <c r="DD39" s="104"/>
      <c r="DE39" s="101" t="str">
        <f t="shared" si="23"/>
        <v/>
      </c>
      <c r="DF39" s="105"/>
      <c r="DG39" s="106" t="str">
        <f t="shared" si="24"/>
        <v/>
      </c>
      <c r="DH39" s="107"/>
      <c r="DI39" s="107"/>
    </row>
    <row r="40" spans="2:113" s="159" customFormat="1">
      <c r="B40" s="4"/>
      <c r="C40" s="152"/>
      <c r="D40" s="153"/>
      <c r="E40" s="154"/>
      <c r="F40" s="155"/>
      <c r="G40" s="156"/>
      <c r="H40" s="153"/>
      <c r="I40" s="157"/>
      <c r="J40" s="155"/>
      <c r="K40" s="158"/>
      <c r="L40" s="158"/>
      <c r="M40" s="152"/>
      <c r="N40" s="153"/>
      <c r="O40" s="154"/>
      <c r="P40" s="155"/>
      <c r="Q40" s="156"/>
      <c r="R40" s="153"/>
      <c r="S40" s="157"/>
      <c r="T40" s="155"/>
      <c r="U40" s="8"/>
      <c r="V40" s="8"/>
      <c r="W40" s="152"/>
      <c r="X40" s="153"/>
      <c r="Y40" s="154"/>
      <c r="Z40" s="155"/>
      <c r="AA40" s="156"/>
      <c r="AB40" s="153"/>
      <c r="AC40" s="157"/>
      <c r="AD40" s="155"/>
      <c r="AE40" s="7"/>
      <c r="AF40" s="7"/>
      <c r="AG40" s="152"/>
      <c r="AH40" s="153"/>
      <c r="AI40" s="154"/>
      <c r="AJ40" s="155"/>
      <c r="AK40" s="155"/>
      <c r="AL40" s="153"/>
      <c r="AM40" s="157"/>
      <c r="AN40" s="155"/>
      <c r="AO40" s="7"/>
      <c r="AP40" s="7"/>
      <c r="AQ40" s="152"/>
      <c r="AR40" s="153"/>
      <c r="AS40" s="154"/>
      <c r="AT40" s="155"/>
      <c r="AU40" s="155"/>
      <c r="AV40" s="153"/>
      <c r="AW40" s="157"/>
      <c r="AX40" s="155"/>
      <c r="AY40" s="7"/>
      <c r="AZ40" s="7"/>
      <c r="BA40" s="152"/>
      <c r="BB40" s="153"/>
      <c r="BC40" s="154"/>
      <c r="BD40" s="155"/>
      <c r="BE40" s="155"/>
      <c r="BF40" s="153"/>
      <c r="BG40" s="157"/>
      <c r="BH40" s="155"/>
      <c r="BI40" s="7"/>
      <c r="BJ40" s="7"/>
      <c r="BK40" s="9"/>
      <c r="BM40" s="12">
        <v>40</v>
      </c>
      <c r="BN40" s="13"/>
      <c r="BO40" s="160"/>
      <c r="BP40" s="160"/>
      <c r="BQ40" s="148"/>
      <c r="BR40" s="149"/>
      <c r="BS40" s="150"/>
      <c r="BT40" s="151"/>
      <c r="BU40" s="150"/>
      <c r="BV40" s="151"/>
      <c r="BW40" s="150"/>
      <c r="BX40" s="150"/>
      <c r="CC40" s="159">
        <v>40</v>
      </c>
      <c r="CD40" s="159" t="s">
        <v>53</v>
      </c>
      <c r="CI40" s="1" t="s">
        <v>16</v>
      </c>
      <c r="CL40" s="118">
        <v>40</v>
      </c>
    </row>
    <row r="41" spans="2:113" ht="20.25">
      <c r="C41" s="145" t="s">
        <v>64</v>
      </c>
      <c r="D41" s="145"/>
      <c r="E41" s="145"/>
      <c r="F41" s="161"/>
      <c r="G41" s="145"/>
      <c r="H41" s="145"/>
      <c r="I41" s="145"/>
      <c r="J41" s="145"/>
      <c r="K41" s="158"/>
      <c r="L41" s="158"/>
      <c r="M41" s="145" t="s">
        <v>64</v>
      </c>
      <c r="N41" s="145"/>
      <c r="O41" s="145"/>
      <c r="P41" s="161"/>
      <c r="Q41" s="145"/>
      <c r="R41" s="145"/>
      <c r="S41" s="145"/>
      <c r="T41" s="145"/>
      <c r="U41" s="8"/>
      <c r="V41" s="8"/>
      <c r="W41" s="145" t="s">
        <v>64</v>
      </c>
      <c r="X41" s="145"/>
      <c r="Y41" s="145"/>
      <c r="Z41" s="145"/>
      <c r="AA41" s="145"/>
      <c r="AB41" s="145"/>
      <c r="AC41" s="145"/>
      <c r="AD41" s="145"/>
      <c r="AG41" s="152"/>
      <c r="AH41" s="153"/>
      <c r="AI41" s="154"/>
      <c r="AJ41" s="155"/>
      <c r="AK41" s="155"/>
      <c r="AL41" s="153"/>
      <c r="AM41" s="157"/>
      <c r="AN41" s="155"/>
      <c r="AQ41" s="152"/>
      <c r="AR41" s="153"/>
      <c r="AS41" s="154"/>
      <c r="AT41" s="155"/>
      <c r="AU41" s="155"/>
      <c r="AV41" s="153"/>
      <c r="AW41" s="157"/>
      <c r="AX41" s="155"/>
      <c r="BA41" s="152"/>
      <c r="BB41" s="153"/>
      <c r="BC41" s="154"/>
      <c r="BD41" s="155"/>
      <c r="BE41" s="155"/>
      <c r="BF41" s="153"/>
      <c r="BG41" s="157"/>
      <c r="BH41" s="155"/>
      <c r="BK41" s="9"/>
      <c r="BM41" s="12">
        <v>41</v>
      </c>
      <c r="BN41" s="13">
        <v>13</v>
      </c>
      <c r="BQ41" s="148"/>
      <c r="BR41" s="149"/>
      <c r="BS41" s="150"/>
      <c r="BT41" s="151"/>
      <c r="BU41" s="150"/>
      <c r="BV41" s="151"/>
      <c r="BW41" s="150"/>
      <c r="BX41" s="150"/>
      <c r="CC41" s="1">
        <v>41</v>
      </c>
      <c r="CD41" s="1" t="s">
        <v>35</v>
      </c>
      <c r="CI41" s="1" t="s">
        <v>25</v>
      </c>
      <c r="CL41" s="118">
        <v>41</v>
      </c>
    </row>
    <row r="42" spans="2:113">
      <c r="C42" s="152"/>
      <c r="D42" s="153"/>
      <c r="E42" s="154"/>
      <c r="F42" s="155"/>
      <c r="G42" s="156"/>
      <c r="H42" s="153"/>
      <c r="I42" s="157"/>
      <c r="J42" s="155"/>
      <c r="K42" s="162"/>
      <c r="L42" s="162"/>
      <c r="M42" s="152"/>
      <c r="N42" s="153"/>
      <c r="O42" s="154"/>
      <c r="P42" s="155"/>
      <c r="Q42" s="156"/>
      <c r="R42" s="153"/>
      <c r="S42" s="157"/>
      <c r="T42" s="155"/>
      <c r="U42" s="162"/>
      <c r="V42" s="162"/>
      <c r="W42" s="152"/>
      <c r="X42" s="153"/>
      <c r="Y42" s="154"/>
      <c r="Z42" s="155"/>
      <c r="AA42" s="156"/>
      <c r="AB42" s="153"/>
      <c r="AC42" s="157"/>
      <c r="AD42" s="155"/>
      <c r="AE42" s="162"/>
      <c r="AF42" s="162"/>
      <c r="AG42" s="152"/>
      <c r="AH42" s="153"/>
      <c r="AI42" s="154"/>
      <c r="AJ42" s="155"/>
      <c r="AK42" s="155"/>
      <c r="AL42" s="153"/>
      <c r="AM42" s="157"/>
      <c r="AN42" s="155"/>
      <c r="AO42" s="162"/>
      <c r="AP42" s="162"/>
      <c r="AQ42" s="152"/>
      <c r="AR42" s="153"/>
      <c r="AS42" s="154"/>
      <c r="AT42" s="155"/>
      <c r="AU42" s="155"/>
      <c r="AV42" s="153"/>
      <c r="AW42" s="157"/>
      <c r="AX42" s="155"/>
      <c r="AY42" s="162"/>
      <c r="AZ42" s="162"/>
      <c r="BA42" s="152"/>
      <c r="BB42" s="153"/>
      <c r="BC42" s="154"/>
      <c r="BD42" s="155"/>
      <c r="BE42" s="155"/>
      <c r="BF42" s="153"/>
      <c r="BG42" s="157"/>
      <c r="BH42" s="155"/>
      <c r="BI42" s="162"/>
      <c r="BJ42" s="162"/>
      <c r="BK42" s="9"/>
      <c r="BM42" s="12">
        <v>42</v>
      </c>
      <c r="BQ42" s="148"/>
      <c r="BR42" s="149"/>
      <c r="BS42" s="150"/>
      <c r="BT42" s="151"/>
      <c r="BU42" s="150"/>
      <c r="BV42" s="151"/>
      <c r="BW42" s="150"/>
      <c r="BX42" s="150"/>
      <c r="CC42" s="1">
        <v>42</v>
      </c>
      <c r="CD42" s="1" t="s">
        <v>55</v>
      </c>
      <c r="CI42" s="1" t="s">
        <v>33</v>
      </c>
      <c r="CL42" s="118">
        <v>42</v>
      </c>
    </row>
    <row r="43" spans="2:113">
      <c r="C43" s="152"/>
      <c r="D43" s="153"/>
      <c r="E43" s="29"/>
      <c r="F43" s="155"/>
      <c r="G43" s="156"/>
      <c r="H43" s="153"/>
      <c r="I43" s="157"/>
      <c r="J43" s="155"/>
      <c r="K43" s="162"/>
      <c r="L43" s="162"/>
      <c r="M43" s="152"/>
      <c r="N43" s="153"/>
      <c r="O43" s="154"/>
      <c r="P43" s="155"/>
      <c r="Q43" s="156"/>
      <c r="R43" s="153"/>
      <c r="S43" s="157"/>
      <c r="T43" s="155"/>
      <c r="U43" s="162"/>
      <c r="V43" s="162"/>
      <c r="W43" s="152"/>
      <c r="X43" s="153"/>
      <c r="Y43" s="154"/>
      <c r="Z43" s="155"/>
      <c r="AA43" s="156"/>
      <c r="AB43" s="153"/>
      <c r="AC43" s="157"/>
      <c r="AD43" s="155"/>
      <c r="AE43" s="162"/>
      <c r="AF43" s="162"/>
      <c r="AG43" s="152"/>
      <c r="AH43" s="153"/>
      <c r="AI43" s="154"/>
      <c r="AJ43" s="155"/>
      <c r="AK43" s="155"/>
      <c r="AL43" s="153"/>
      <c r="AM43" s="157"/>
      <c r="AN43" s="155"/>
      <c r="AO43" s="162"/>
      <c r="AP43" s="162"/>
      <c r="AQ43" s="152"/>
      <c r="AR43" s="153"/>
      <c r="AS43" s="154"/>
      <c r="AT43" s="155"/>
      <c r="AU43" s="155"/>
      <c r="AV43" s="153"/>
      <c r="AW43" s="157"/>
      <c r="AX43" s="155"/>
      <c r="AY43" s="162"/>
      <c r="AZ43" s="162"/>
      <c r="BA43" s="152"/>
      <c r="BB43" s="153"/>
      <c r="BC43" s="154"/>
      <c r="BD43" s="155"/>
      <c r="BE43" s="155"/>
      <c r="BF43" s="153"/>
      <c r="BG43" s="157"/>
      <c r="BH43" s="155"/>
      <c r="BI43" s="162"/>
      <c r="BJ43" s="162"/>
      <c r="BK43" s="9"/>
      <c r="BM43" s="12">
        <v>43</v>
      </c>
      <c r="BN43" s="13">
        <v>13</v>
      </c>
      <c r="BQ43" s="148"/>
      <c r="BR43" s="149"/>
      <c r="BS43" s="150"/>
      <c r="BT43" s="151"/>
      <c r="BU43" s="150"/>
      <c r="BV43" s="151"/>
      <c r="BW43" s="150"/>
      <c r="BX43" s="150"/>
      <c r="CC43" s="1">
        <v>43</v>
      </c>
      <c r="CD43" s="1" t="s">
        <v>44</v>
      </c>
      <c r="CI43" s="1" t="s">
        <v>25</v>
      </c>
      <c r="CL43" s="118">
        <v>43</v>
      </c>
    </row>
    <row r="44" spans="2:113">
      <c r="C44" s="152"/>
      <c r="D44" s="153"/>
      <c r="E44" s="154"/>
      <c r="F44" s="155"/>
      <c r="G44" s="156"/>
      <c r="H44" s="153"/>
      <c r="I44" s="157"/>
      <c r="J44" s="155"/>
      <c r="K44" s="162"/>
      <c r="L44" s="162"/>
      <c r="M44" s="152"/>
      <c r="N44" s="153"/>
      <c r="O44" s="154"/>
      <c r="P44" s="155"/>
      <c r="Q44" s="156"/>
      <c r="R44" s="153"/>
      <c r="S44" s="157"/>
      <c r="T44" s="155"/>
      <c r="U44" s="162"/>
      <c r="V44" s="162"/>
      <c r="W44" s="152"/>
      <c r="X44" s="153"/>
      <c r="Y44" s="154"/>
      <c r="Z44" s="155"/>
      <c r="AA44" s="156"/>
      <c r="AB44" s="153"/>
      <c r="AC44" s="157"/>
      <c r="AD44" s="155"/>
      <c r="AE44" s="162"/>
      <c r="AF44" s="162"/>
      <c r="AG44" s="152"/>
      <c r="AH44" s="153"/>
      <c r="AI44" s="154"/>
      <c r="AJ44" s="155"/>
      <c r="AK44" s="155"/>
      <c r="AL44" s="153"/>
      <c r="AM44" s="157"/>
      <c r="AN44" s="155"/>
      <c r="AO44" s="162"/>
      <c r="AP44" s="162"/>
      <c r="AQ44" s="152"/>
      <c r="AR44" s="153"/>
      <c r="AS44" s="154"/>
      <c r="AT44" s="155"/>
      <c r="AU44" s="155"/>
      <c r="AV44" s="153"/>
      <c r="AW44" s="157"/>
      <c r="AX44" s="155"/>
      <c r="AY44" s="162"/>
      <c r="AZ44" s="162"/>
      <c r="BA44" s="152"/>
      <c r="BB44" s="153"/>
      <c r="BC44" s="154"/>
      <c r="BD44" s="155"/>
      <c r="BE44" s="155"/>
      <c r="BF44" s="153"/>
      <c r="BG44" s="157"/>
      <c r="BH44" s="155"/>
      <c r="BI44" s="162"/>
      <c r="BJ44" s="162"/>
      <c r="BK44" s="9"/>
      <c r="BM44" s="12">
        <v>44</v>
      </c>
      <c r="BN44" s="13">
        <v>13</v>
      </c>
      <c r="BQ44" s="148"/>
      <c r="BR44" s="149"/>
      <c r="BS44" s="150"/>
      <c r="BT44" s="151"/>
      <c r="BU44" s="150"/>
      <c r="BV44" s="151"/>
      <c r="BW44" s="150"/>
      <c r="BX44" s="150"/>
      <c r="CC44" s="1">
        <v>44</v>
      </c>
      <c r="CD44" s="1" t="s">
        <v>47</v>
      </c>
      <c r="CI44" s="1" t="s">
        <v>41</v>
      </c>
      <c r="CL44" s="118">
        <v>44</v>
      </c>
    </row>
    <row r="45" spans="2:113">
      <c r="B45" s="163"/>
      <c r="C45" s="152"/>
      <c r="D45" s="153"/>
      <c r="E45" s="154"/>
      <c r="F45" s="155"/>
      <c r="G45" s="156"/>
      <c r="H45" s="153"/>
      <c r="I45" s="157"/>
      <c r="J45" s="155"/>
      <c r="K45" s="162"/>
      <c r="L45" s="162"/>
      <c r="M45" s="152"/>
      <c r="N45" s="153"/>
      <c r="O45" s="154"/>
      <c r="P45" s="155"/>
      <c r="Q45" s="156"/>
      <c r="R45" s="153"/>
      <c r="S45" s="157"/>
      <c r="T45" s="155"/>
      <c r="U45" s="162"/>
      <c r="V45" s="162"/>
      <c r="W45" s="152"/>
      <c r="X45" s="153"/>
      <c r="Y45" s="154"/>
      <c r="Z45" s="155"/>
      <c r="AA45" s="156"/>
      <c r="AB45" s="153"/>
      <c r="AC45" s="157"/>
      <c r="AD45" s="155"/>
      <c r="AE45" s="162"/>
      <c r="AF45" s="162"/>
      <c r="AG45" s="152"/>
      <c r="AH45" s="153"/>
      <c r="AI45" s="154"/>
      <c r="AJ45" s="155"/>
      <c r="AK45" s="155"/>
      <c r="AL45" s="153"/>
      <c r="AM45" s="157"/>
      <c r="AN45" s="155"/>
      <c r="AO45" s="162"/>
      <c r="AP45" s="162"/>
      <c r="AQ45" s="152"/>
      <c r="AR45" s="153"/>
      <c r="AS45" s="154"/>
      <c r="AT45" s="155"/>
      <c r="AU45" s="155"/>
      <c r="AV45" s="153"/>
      <c r="AW45" s="157"/>
      <c r="AX45" s="155"/>
      <c r="AY45" s="162"/>
      <c r="AZ45" s="162"/>
      <c r="BA45" s="152"/>
      <c r="BB45" s="153"/>
      <c r="BC45" s="154"/>
      <c r="BD45" s="155"/>
      <c r="BE45" s="155"/>
      <c r="BF45" s="153"/>
      <c r="BG45" s="157"/>
      <c r="BH45" s="155"/>
      <c r="BI45" s="162"/>
      <c r="BJ45" s="162"/>
      <c r="BK45" s="9"/>
      <c r="BM45" s="12">
        <v>45</v>
      </c>
      <c r="BQ45" s="148"/>
      <c r="BR45" s="149"/>
      <c r="BS45" s="150"/>
      <c r="BT45" s="151"/>
      <c r="BU45" s="150"/>
      <c r="BV45" s="151"/>
      <c r="BW45" s="150"/>
      <c r="BX45" s="150"/>
      <c r="CL45" s="118">
        <v>45</v>
      </c>
    </row>
    <row r="46" spans="2:113">
      <c r="B46" s="164">
        <f>[1]tirage_2p!G4</f>
        <v>12</v>
      </c>
      <c r="C46" s="152"/>
      <c r="D46" s="153"/>
      <c r="E46" s="154"/>
      <c r="F46" s="155"/>
      <c r="G46" s="156"/>
      <c r="H46" s="153"/>
      <c r="I46" s="157"/>
      <c r="J46" s="155"/>
      <c r="K46" s="162"/>
      <c r="L46" s="162"/>
      <c r="M46" s="152"/>
      <c r="N46" s="153"/>
      <c r="O46" s="154"/>
      <c r="P46" s="155"/>
      <c r="Q46" s="156"/>
      <c r="R46" s="153"/>
      <c r="S46" s="157"/>
      <c r="T46" s="155"/>
      <c r="U46" s="162"/>
      <c r="V46" s="162"/>
      <c r="W46" s="152"/>
      <c r="X46" s="153"/>
      <c r="Y46" s="154"/>
      <c r="Z46" s="155"/>
      <c r="AA46" s="156"/>
      <c r="AB46" s="153"/>
      <c r="AC46" s="157"/>
      <c r="AD46" s="155"/>
      <c r="AE46" s="162"/>
      <c r="AF46" s="162"/>
      <c r="AG46" s="152"/>
      <c r="AH46" s="153"/>
      <c r="AI46" s="154"/>
      <c r="AJ46" s="155"/>
      <c r="AK46" s="155"/>
      <c r="AL46" s="153"/>
      <c r="AM46" s="157"/>
      <c r="AN46" s="155"/>
      <c r="AO46" s="162"/>
      <c r="AP46" s="162"/>
      <c r="AQ46" s="152"/>
      <c r="AR46" s="153"/>
      <c r="AS46" s="154"/>
      <c r="AT46" s="155"/>
      <c r="AU46" s="155"/>
      <c r="AV46" s="153"/>
      <c r="AW46" s="157"/>
      <c r="AX46" s="155"/>
      <c r="AY46" s="162"/>
      <c r="AZ46" s="162"/>
      <c r="BA46" s="152"/>
      <c r="BB46" s="153"/>
      <c r="BC46" s="154"/>
      <c r="BD46" s="155"/>
      <c r="BE46" s="155"/>
      <c r="BF46" s="153"/>
      <c r="BG46" s="157"/>
      <c r="BH46" s="155"/>
      <c r="BI46" s="162"/>
      <c r="BJ46" s="162"/>
      <c r="BK46" s="9"/>
      <c r="BM46" s="12">
        <v>46</v>
      </c>
      <c r="BN46" s="13">
        <v>13</v>
      </c>
      <c r="BQ46" s="148"/>
      <c r="BR46" s="149"/>
      <c r="BS46" s="150"/>
      <c r="BT46" s="151"/>
      <c r="BU46" s="150"/>
      <c r="BV46" s="151"/>
      <c r="BW46" s="150"/>
      <c r="BX46" s="150"/>
      <c r="CL46" s="118">
        <v>46</v>
      </c>
    </row>
    <row r="47" spans="2:113">
      <c r="B47" s="164">
        <f>[1]resultat!AI2</f>
        <v>52</v>
      </c>
      <c r="C47" s="152"/>
      <c r="D47" s="153"/>
      <c r="E47" s="154"/>
      <c r="F47" s="155"/>
      <c r="G47" s="156"/>
      <c r="H47" s="153"/>
      <c r="I47" s="157"/>
      <c r="J47" s="155"/>
      <c r="K47" s="162"/>
      <c r="L47" s="162"/>
      <c r="M47" s="152"/>
      <c r="N47" s="153"/>
      <c r="O47" s="154"/>
      <c r="P47" s="155"/>
      <c r="Q47" s="156"/>
      <c r="R47" s="153"/>
      <c r="S47" s="157"/>
      <c r="T47" s="155"/>
      <c r="U47" s="162"/>
      <c r="V47" s="162"/>
      <c r="W47" s="152"/>
      <c r="X47" s="153"/>
      <c r="Y47" s="154"/>
      <c r="Z47" s="155"/>
      <c r="AA47" s="156"/>
      <c r="AB47" s="153"/>
      <c r="AC47" s="157"/>
      <c r="AD47" s="155"/>
      <c r="AE47" s="162"/>
      <c r="AF47" s="162"/>
      <c r="AG47" s="152"/>
      <c r="AH47" s="153"/>
      <c r="AI47" s="154"/>
      <c r="AJ47" s="155"/>
      <c r="AK47" s="155"/>
      <c r="AL47" s="153"/>
      <c r="AM47" s="157"/>
      <c r="AN47" s="155"/>
      <c r="AO47" s="162"/>
      <c r="AP47" s="162"/>
      <c r="AQ47" s="152"/>
      <c r="AR47" s="153"/>
      <c r="AS47" s="154"/>
      <c r="AT47" s="155"/>
      <c r="AU47" s="155"/>
      <c r="AV47" s="153"/>
      <c r="AW47" s="157"/>
      <c r="AX47" s="155"/>
      <c r="AY47" s="162"/>
      <c r="AZ47" s="162"/>
      <c r="BA47" s="152"/>
      <c r="BB47" s="153"/>
      <c r="BC47" s="154"/>
      <c r="BD47" s="155"/>
      <c r="BE47" s="155"/>
      <c r="BF47" s="153"/>
      <c r="BG47" s="157"/>
      <c r="BH47" s="155"/>
      <c r="BI47" s="162"/>
      <c r="BJ47" s="162"/>
      <c r="BK47" s="9"/>
      <c r="BM47" s="12">
        <v>47</v>
      </c>
      <c r="BN47" s="13">
        <v>13</v>
      </c>
      <c r="BQ47" s="148"/>
      <c r="BR47" s="149"/>
      <c r="BS47" s="150"/>
      <c r="BT47" s="151"/>
      <c r="BU47" s="150"/>
      <c r="BV47" s="151"/>
      <c r="BW47" s="150"/>
      <c r="BX47" s="150"/>
      <c r="CL47" s="118">
        <v>47</v>
      </c>
    </row>
    <row r="48" spans="2:113">
      <c r="B48" s="164">
        <f>[1]resultat!AI4</f>
        <v>0</v>
      </c>
      <c r="C48" s="152"/>
      <c r="D48" s="153"/>
      <c r="E48" s="154"/>
      <c r="F48" s="155"/>
      <c r="G48" s="156"/>
      <c r="H48" s="153"/>
      <c r="I48" s="157"/>
      <c r="J48" s="155"/>
      <c r="K48" s="162"/>
      <c r="L48" s="162"/>
      <c r="M48" s="152"/>
      <c r="N48" s="153"/>
      <c r="O48" s="154"/>
      <c r="P48" s="155"/>
      <c r="Q48" s="156"/>
      <c r="R48" s="153"/>
      <c r="S48" s="157"/>
      <c r="T48" s="155"/>
      <c r="U48" s="162"/>
      <c r="V48" s="162"/>
      <c r="W48" s="152"/>
      <c r="X48" s="153"/>
      <c r="Y48" s="154"/>
      <c r="Z48" s="155"/>
      <c r="AA48" s="156"/>
      <c r="AB48" s="153"/>
      <c r="AC48" s="157"/>
      <c r="AD48" s="155"/>
      <c r="AE48" s="162"/>
      <c r="AF48" s="162"/>
      <c r="AG48" s="152"/>
      <c r="AH48" s="153"/>
      <c r="AI48" s="154"/>
      <c r="AJ48" s="155"/>
      <c r="AK48" s="155"/>
      <c r="AL48" s="153"/>
      <c r="AM48" s="157"/>
      <c r="AN48" s="155"/>
      <c r="AO48" s="162"/>
      <c r="AP48" s="162"/>
      <c r="AQ48" s="152"/>
      <c r="AR48" s="153"/>
      <c r="AS48" s="154"/>
      <c r="AT48" s="155"/>
      <c r="AU48" s="155"/>
      <c r="AV48" s="153"/>
      <c r="AW48" s="157"/>
      <c r="AX48" s="155"/>
      <c r="AY48" s="162"/>
      <c r="AZ48" s="162"/>
      <c r="BA48" s="152"/>
      <c r="BB48" s="153"/>
      <c r="BC48" s="154"/>
      <c r="BD48" s="155"/>
      <c r="BE48" s="155"/>
      <c r="BF48" s="153"/>
      <c r="BG48" s="157"/>
      <c r="BH48" s="155"/>
      <c r="BI48" s="162"/>
      <c r="BJ48" s="162"/>
      <c r="BK48" s="9"/>
      <c r="BM48" s="12">
        <v>48</v>
      </c>
      <c r="BQ48" s="148"/>
      <c r="BR48" s="149"/>
      <c r="BS48" s="150"/>
      <c r="BT48" s="151"/>
      <c r="BU48" s="150"/>
      <c r="BV48" s="151"/>
      <c r="BW48" s="150"/>
      <c r="BX48" s="150"/>
      <c r="CL48" s="118">
        <v>48</v>
      </c>
    </row>
    <row r="49" spans="2:90">
      <c r="B49" s="164"/>
      <c r="C49" s="152"/>
      <c r="D49" s="153"/>
      <c r="E49" s="154"/>
      <c r="F49" s="155"/>
      <c r="G49" s="156"/>
      <c r="H49" s="153"/>
      <c r="I49" s="157"/>
      <c r="J49" s="155"/>
      <c r="K49" s="162"/>
      <c r="L49" s="162"/>
      <c r="M49" s="152"/>
      <c r="N49" s="153"/>
      <c r="O49" s="154"/>
      <c r="P49" s="155"/>
      <c r="Q49" s="156"/>
      <c r="R49" s="153"/>
      <c r="S49" s="157"/>
      <c r="T49" s="155"/>
      <c r="U49" s="162"/>
      <c r="V49" s="162"/>
      <c r="W49" s="152"/>
      <c r="X49" s="153"/>
      <c r="Y49" s="154"/>
      <c r="Z49" s="155"/>
      <c r="AA49" s="156"/>
      <c r="AB49" s="153"/>
      <c r="AC49" s="157"/>
      <c r="AD49" s="155"/>
      <c r="AE49" s="162"/>
      <c r="AF49" s="162"/>
      <c r="AG49" s="152"/>
      <c r="AH49" s="153"/>
      <c r="AI49" s="154"/>
      <c r="AJ49" s="155"/>
      <c r="AK49" s="155"/>
      <c r="AL49" s="153"/>
      <c r="AM49" s="157"/>
      <c r="AN49" s="155"/>
      <c r="AO49" s="162"/>
      <c r="AP49" s="162"/>
      <c r="AQ49" s="152"/>
      <c r="AR49" s="153"/>
      <c r="AS49" s="154"/>
      <c r="AT49" s="155"/>
      <c r="AU49" s="155"/>
      <c r="AV49" s="153"/>
      <c r="AW49" s="157"/>
      <c r="AX49" s="155"/>
      <c r="AY49" s="162"/>
      <c r="AZ49" s="162"/>
      <c r="BA49" s="152"/>
      <c r="BB49" s="153"/>
      <c r="BC49" s="154"/>
      <c r="BD49" s="155"/>
      <c r="BE49" s="155"/>
      <c r="BF49" s="153"/>
      <c r="BG49" s="157"/>
      <c r="BH49" s="155"/>
      <c r="BI49" s="162"/>
      <c r="BJ49" s="162"/>
      <c r="BK49" s="9"/>
      <c r="BM49" s="12">
        <v>49</v>
      </c>
      <c r="BQ49" s="148"/>
      <c r="BR49" s="149"/>
      <c r="BS49" s="150"/>
      <c r="BT49" s="151"/>
      <c r="BU49" s="150"/>
      <c r="BV49" s="151"/>
      <c r="BW49" s="150"/>
      <c r="BX49" s="150"/>
      <c r="CL49" s="118">
        <v>49</v>
      </c>
    </row>
    <row r="50" spans="2:90">
      <c r="B50" s="163"/>
      <c r="C50" s="152"/>
      <c r="D50" s="153"/>
      <c r="E50" s="154"/>
      <c r="F50" s="155"/>
      <c r="G50" s="156"/>
      <c r="H50" s="153"/>
      <c r="I50" s="157"/>
      <c r="J50" s="155"/>
      <c r="K50" s="162"/>
      <c r="L50" s="162"/>
      <c r="M50" s="152"/>
      <c r="N50" s="153"/>
      <c r="O50" s="154"/>
      <c r="P50" s="155"/>
      <c r="Q50" s="156"/>
      <c r="R50" s="153"/>
      <c r="S50" s="157"/>
      <c r="T50" s="155"/>
      <c r="U50" s="162"/>
      <c r="V50" s="162"/>
      <c r="W50" s="152"/>
      <c r="X50" s="153"/>
      <c r="Y50" s="154"/>
      <c r="Z50" s="155"/>
      <c r="AA50" s="156"/>
      <c r="AB50" s="153"/>
      <c r="AC50" s="157"/>
      <c r="AD50" s="155"/>
      <c r="AE50" s="162"/>
      <c r="AF50" s="162"/>
      <c r="AG50" s="152"/>
      <c r="AH50" s="153"/>
      <c r="AI50" s="154"/>
      <c r="AJ50" s="155"/>
      <c r="AK50" s="155"/>
      <c r="AL50" s="153"/>
      <c r="AM50" s="157"/>
      <c r="AN50" s="155"/>
      <c r="AO50" s="162"/>
      <c r="AP50" s="162"/>
      <c r="AQ50" s="152"/>
      <c r="AR50" s="153"/>
      <c r="AS50" s="154"/>
      <c r="AT50" s="155"/>
      <c r="AU50" s="155"/>
      <c r="AV50" s="153"/>
      <c r="AW50" s="157"/>
      <c r="AX50" s="155"/>
      <c r="AY50" s="162"/>
      <c r="AZ50" s="162"/>
      <c r="BA50" s="152"/>
      <c r="BB50" s="153"/>
      <c r="BC50" s="154"/>
      <c r="BD50" s="155"/>
      <c r="BE50" s="155"/>
      <c r="BF50" s="153"/>
      <c r="BG50" s="157"/>
      <c r="BH50" s="155"/>
      <c r="BI50" s="162"/>
      <c r="BJ50" s="162"/>
      <c r="BK50" s="9"/>
      <c r="BM50" s="12">
        <v>50</v>
      </c>
      <c r="BN50" s="13">
        <v>13</v>
      </c>
      <c r="BQ50" s="148"/>
      <c r="BR50" s="149"/>
      <c r="BS50" s="150"/>
      <c r="BT50" s="151"/>
      <c r="BU50" s="150"/>
      <c r="BV50" s="151"/>
      <c r="BW50" s="150"/>
      <c r="BX50" s="150"/>
      <c r="CL50" s="118">
        <v>50</v>
      </c>
    </row>
    <row r="51" spans="2:90">
      <c r="B51" s="163"/>
      <c r="C51" s="165" t="s">
        <v>15</v>
      </c>
      <c r="D51" s="165">
        <v>32</v>
      </c>
      <c r="E51" s="154"/>
      <c r="F51" s="166"/>
      <c r="G51" s="167"/>
      <c r="H51" s="29"/>
      <c r="I51" s="29"/>
      <c r="J51" s="29"/>
      <c r="M51" s="1"/>
      <c r="N51" s="1"/>
      <c r="O51" s="1"/>
      <c r="P51" s="1"/>
      <c r="Q51" s="5"/>
      <c r="R51" s="1"/>
      <c r="S51" s="1"/>
      <c r="T51" s="1"/>
      <c r="U51" s="1"/>
      <c r="V51" s="1"/>
      <c r="W51" s="1"/>
      <c r="X51" s="1"/>
      <c r="Y51" s="1"/>
      <c r="Z51" s="1"/>
      <c r="AA51" s="5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9"/>
      <c r="BM51" s="12">
        <v>51</v>
      </c>
      <c r="BN51" s="13">
        <v>13</v>
      </c>
      <c r="BQ51" s="148"/>
      <c r="BR51" s="149"/>
      <c r="BS51" s="150"/>
      <c r="BT51" s="151"/>
      <c r="BU51" s="150"/>
      <c r="BV51" s="151"/>
      <c r="BW51" s="150"/>
      <c r="BX51" s="150"/>
      <c r="CL51" s="118">
        <v>51</v>
      </c>
    </row>
    <row r="52" spans="2:90">
      <c r="C52" s="165" t="s">
        <v>15</v>
      </c>
      <c r="D52" s="165">
        <v>14</v>
      </c>
      <c r="E52" s="168"/>
      <c r="F52" s="166"/>
      <c r="G52" s="156"/>
      <c r="H52" s="153"/>
      <c r="I52" s="169"/>
      <c r="J52" s="155"/>
      <c r="K52" s="162"/>
      <c r="L52" s="162"/>
      <c r="M52" s="152"/>
      <c r="N52" s="153"/>
      <c r="O52" s="154"/>
      <c r="P52" s="155"/>
      <c r="Q52" s="156"/>
      <c r="R52" s="153"/>
      <c r="S52" s="157"/>
      <c r="T52" s="155"/>
      <c r="U52" s="162"/>
      <c r="V52" s="162"/>
      <c r="W52" s="152"/>
      <c r="X52" s="153"/>
      <c r="Y52" s="154"/>
      <c r="Z52" s="155"/>
      <c r="AA52" s="156"/>
      <c r="AB52" s="153"/>
      <c r="AC52" s="157"/>
      <c r="AD52" s="155"/>
      <c r="AE52" s="162"/>
      <c r="AF52" s="162"/>
      <c r="AG52" s="152"/>
      <c r="AH52" s="153"/>
      <c r="AI52" s="154"/>
      <c r="AJ52" s="155"/>
      <c r="AK52" s="155"/>
      <c r="AL52" s="153"/>
      <c r="AM52" s="157"/>
      <c r="AN52" s="155"/>
      <c r="AO52" s="162"/>
      <c r="AP52" s="162"/>
      <c r="AQ52" s="152"/>
      <c r="AR52" s="153"/>
      <c r="AS52" s="154"/>
      <c r="AT52" s="155"/>
      <c r="AU52" s="155"/>
      <c r="AV52" s="153"/>
      <c r="AW52" s="157"/>
      <c r="AX52" s="155"/>
      <c r="AY52" s="162"/>
      <c r="AZ52" s="162"/>
      <c r="BA52" s="152"/>
      <c r="BB52" s="153"/>
      <c r="BC52" s="154"/>
      <c r="BD52" s="155"/>
      <c r="BE52" s="155"/>
      <c r="BF52" s="153"/>
      <c r="BG52" s="157"/>
      <c r="BH52" s="155"/>
      <c r="BI52" s="162"/>
      <c r="BJ52" s="162"/>
      <c r="BK52" s="9"/>
      <c r="BM52" s="12">
        <v>52</v>
      </c>
      <c r="BQ52" s="148"/>
      <c r="BR52" s="149"/>
      <c r="BS52" s="150"/>
      <c r="BT52" s="151"/>
      <c r="BU52" s="150"/>
      <c r="BV52" s="151"/>
      <c r="BW52" s="150"/>
      <c r="BX52" s="150"/>
      <c r="CL52" s="118">
        <v>52</v>
      </c>
    </row>
    <row r="53" spans="2:90">
      <c r="C53" s="170" t="s">
        <v>15</v>
      </c>
      <c r="D53" s="170">
        <v>51</v>
      </c>
      <c r="E53" s="168"/>
      <c r="F53" s="171"/>
      <c r="G53" s="156"/>
      <c r="H53" s="153"/>
      <c r="I53" s="169"/>
      <c r="J53" s="155"/>
      <c r="K53" s="162"/>
      <c r="L53" s="162"/>
      <c r="M53" s="152"/>
      <c r="N53" s="153"/>
      <c r="O53" s="154"/>
      <c r="P53" s="155"/>
      <c r="Q53" s="156"/>
      <c r="R53" s="153"/>
      <c r="S53" s="157"/>
      <c r="T53" s="155"/>
      <c r="U53" s="162"/>
      <c r="V53" s="162"/>
      <c r="W53" s="152"/>
      <c r="X53" s="153"/>
      <c r="Y53" s="154"/>
      <c r="Z53" s="155"/>
      <c r="AA53" s="156"/>
      <c r="AB53" s="153"/>
      <c r="AC53" s="157"/>
      <c r="AD53" s="155"/>
      <c r="AE53" s="162"/>
      <c r="AF53" s="162"/>
      <c r="AG53" s="152"/>
      <c r="AH53" s="153"/>
      <c r="AI53" s="154"/>
      <c r="AJ53" s="155"/>
      <c r="AK53" s="155"/>
      <c r="AL53" s="153"/>
      <c r="AM53" s="157"/>
      <c r="AN53" s="155"/>
      <c r="AO53" s="162"/>
      <c r="AP53" s="162"/>
      <c r="AQ53" s="152"/>
      <c r="AR53" s="153"/>
      <c r="AS53" s="154"/>
      <c r="AT53" s="155"/>
      <c r="AU53" s="155"/>
      <c r="AV53" s="153"/>
      <c r="AW53" s="157"/>
      <c r="AX53" s="155"/>
      <c r="AY53" s="162"/>
      <c r="AZ53" s="162"/>
      <c r="BA53" s="152"/>
      <c r="BB53" s="153"/>
      <c r="BC53" s="154"/>
      <c r="BD53" s="155"/>
      <c r="BE53" s="155"/>
      <c r="BF53" s="153"/>
      <c r="BG53" s="157"/>
      <c r="BH53" s="155"/>
      <c r="BI53" s="162"/>
      <c r="BJ53" s="162"/>
      <c r="BK53" s="9"/>
      <c r="BM53" s="12">
        <v>53</v>
      </c>
      <c r="BQ53" s="148"/>
      <c r="BR53" s="149"/>
      <c r="BS53" s="150"/>
      <c r="BT53" s="151"/>
      <c r="BU53" s="150"/>
      <c r="BV53" s="151"/>
      <c r="BW53" s="150"/>
      <c r="BX53" s="150"/>
      <c r="CL53" s="118">
        <v>53</v>
      </c>
    </row>
    <row r="54" spans="2:90" ht="18.75">
      <c r="B54" s="172"/>
      <c r="C54" s="165" t="s">
        <v>15</v>
      </c>
      <c r="D54" s="165">
        <v>36</v>
      </c>
      <c r="E54" s="168"/>
      <c r="F54" s="166"/>
      <c r="G54" s="156"/>
      <c r="H54" s="153"/>
      <c r="I54" s="169"/>
      <c r="J54" s="155"/>
      <c r="K54" s="162"/>
      <c r="L54" s="162"/>
      <c r="M54" s="152"/>
      <c r="N54" s="153"/>
      <c r="O54" s="154"/>
      <c r="P54" s="155"/>
      <c r="Q54" s="156"/>
      <c r="R54" s="153"/>
      <c r="S54" s="157"/>
      <c r="T54" s="155"/>
      <c r="U54" s="162"/>
      <c r="V54" s="162"/>
      <c r="W54" s="152"/>
      <c r="X54" s="153"/>
      <c r="Y54" s="154"/>
      <c r="Z54" s="155"/>
      <c r="AA54" s="156"/>
      <c r="AB54" s="153"/>
      <c r="AC54" s="157"/>
      <c r="AD54" s="155"/>
      <c r="AE54" s="162"/>
      <c r="AF54" s="162"/>
      <c r="AG54" s="152"/>
      <c r="AH54" s="153"/>
      <c r="AI54" s="154"/>
      <c r="AJ54" s="155"/>
      <c r="AK54" s="155"/>
      <c r="AL54" s="153"/>
      <c r="AM54" s="157"/>
      <c r="AN54" s="155"/>
      <c r="AO54" s="162"/>
      <c r="AP54" s="162"/>
      <c r="AQ54" s="152"/>
      <c r="AR54" s="153"/>
      <c r="AS54" s="154"/>
      <c r="AT54" s="155"/>
      <c r="AU54" s="155"/>
      <c r="AV54" s="153"/>
      <c r="AW54" s="157"/>
      <c r="AX54" s="155"/>
      <c r="AY54" s="162"/>
      <c r="AZ54" s="162"/>
      <c r="BA54" s="152"/>
      <c r="BB54" s="153"/>
      <c r="BC54" s="154"/>
      <c r="BD54" s="155"/>
      <c r="BE54" s="155"/>
      <c r="BF54" s="153"/>
      <c r="BG54" s="157"/>
      <c r="BH54" s="155"/>
      <c r="BI54" s="162"/>
      <c r="BJ54" s="162"/>
      <c r="BK54" s="9"/>
      <c r="BM54" s="12">
        <v>54</v>
      </c>
      <c r="BQ54" s="148"/>
      <c r="BR54" s="149"/>
      <c r="BS54" s="150"/>
      <c r="BT54" s="151"/>
      <c r="BU54" s="150"/>
      <c r="BV54" s="151"/>
      <c r="BW54" s="150"/>
      <c r="BX54" s="150"/>
      <c r="CL54" s="118">
        <v>54</v>
      </c>
    </row>
    <row r="55" spans="2:90" ht="18.75">
      <c r="B55" s="172"/>
      <c r="C55" s="165" t="s">
        <v>15</v>
      </c>
      <c r="D55" s="165">
        <v>28</v>
      </c>
      <c r="E55" s="168"/>
      <c r="F55" s="166"/>
      <c r="G55" s="156"/>
      <c r="H55" s="153"/>
      <c r="I55" s="169"/>
      <c r="J55" s="155"/>
      <c r="K55" s="162"/>
      <c r="L55" s="162"/>
      <c r="M55" s="152"/>
      <c r="N55" s="153"/>
      <c r="O55" s="154"/>
      <c r="P55" s="155"/>
      <c r="Q55" s="156"/>
      <c r="R55" s="153"/>
      <c r="S55" s="157"/>
      <c r="T55" s="155"/>
      <c r="U55" s="162"/>
      <c r="V55" s="162"/>
      <c r="W55" s="152"/>
      <c r="X55" s="153"/>
      <c r="Y55" s="154"/>
      <c r="Z55" s="155"/>
      <c r="AA55" s="156"/>
      <c r="AB55" s="153"/>
      <c r="AC55" s="157"/>
      <c r="AD55" s="155"/>
      <c r="AE55" s="162"/>
      <c r="AF55" s="162"/>
      <c r="AG55" s="152"/>
      <c r="AH55" s="153"/>
      <c r="AI55" s="154"/>
      <c r="AJ55" s="155"/>
      <c r="AK55" s="155"/>
      <c r="AL55" s="153"/>
      <c r="AM55" s="157"/>
      <c r="AN55" s="155"/>
      <c r="AO55" s="162"/>
      <c r="AP55" s="162"/>
      <c r="AQ55" s="152"/>
      <c r="AR55" s="153"/>
      <c r="AS55" s="154"/>
      <c r="AT55" s="155"/>
      <c r="AU55" s="155"/>
      <c r="AV55" s="153"/>
      <c r="AW55" s="157"/>
      <c r="AX55" s="155"/>
      <c r="AY55" s="162"/>
      <c r="AZ55" s="162"/>
      <c r="BA55" s="152"/>
      <c r="BB55" s="153"/>
      <c r="BC55" s="154"/>
      <c r="BD55" s="155"/>
      <c r="BE55" s="155"/>
      <c r="BF55" s="153"/>
      <c r="BG55" s="157"/>
      <c r="BH55" s="155"/>
      <c r="BI55" s="162"/>
      <c r="BJ55" s="162"/>
      <c r="BK55" s="9"/>
      <c r="BM55" s="12">
        <v>55</v>
      </c>
      <c r="BQ55" s="148"/>
      <c r="BR55" s="149"/>
      <c r="BS55" s="150"/>
      <c r="BT55" s="151"/>
      <c r="BU55" s="150"/>
      <c r="BV55" s="151"/>
      <c r="BW55" s="150"/>
      <c r="BX55" s="150"/>
      <c r="CL55" s="118">
        <v>55</v>
      </c>
    </row>
    <row r="56" spans="2:90" ht="18.75">
      <c r="B56" s="172"/>
      <c r="C56" s="165" t="s">
        <v>15</v>
      </c>
      <c r="D56" s="165">
        <v>8</v>
      </c>
      <c r="E56" s="168"/>
      <c r="F56" s="166"/>
      <c r="G56" s="156"/>
      <c r="H56" s="153"/>
      <c r="I56" s="169"/>
      <c r="J56" s="155"/>
      <c r="K56" s="162"/>
      <c r="L56" s="162"/>
      <c r="M56" s="152"/>
      <c r="N56" s="153"/>
      <c r="O56" s="154"/>
      <c r="P56" s="155"/>
      <c r="Q56" s="156"/>
      <c r="R56" s="153"/>
      <c r="S56" s="157"/>
      <c r="T56" s="155"/>
      <c r="U56" s="162"/>
      <c r="V56" s="162"/>
      <c r="W56" s="152"/>
      <c r="X56" s="153"/>
      <c r="Y56" s="154"/>
      <c r="Z56" s="155"/>
      <c r="AA56" s="156"/>
      <c r="AB56" s="153"/>
      <c r="AC56" s="157"/>
      <c r="AD56" s="155"/>
      <c r="AE56" s="162"/>
      <c r="AF56" s="162"/>
      <c r="AG56" s="152"/>
      <c r="AH56" s="153"/>
      <c r="AI56" s="154"/>
      <c r="AJ56" s="155"/>
      <c r="AK56" s="155"/>
      <c r="AL56" s="153"/>
      <c r="AM56" s="157"/>
      <c r="AN56" s="155"/>
      <c r="AO56" s="162"/>
      <c r="AP56" s="162"/>
      <c r="AQ56" s="152"/>
      <c r="AR56" s="153"/>
      <c r="AS56" s="154"/>
      <c r="AT56" s="155"/>
      <c r="AU56" s="155"/>
      <c r="AV56" s="153"/>
      <c r="AW56" s="157"/>
      <c r="AX56" s="155"/>
      <c r="AY56" s="162"/>
      <c r="AZ56" s="162"/>
      <c r="BA56" s="152"/>
      <c r="BB56" s="153"/>
      <c r="BC56" s="154"/>
      <c r="BD56" s="155"/>
      <c r="BE56" s="155"/>
      <c r="BF56" s="153"/>
      <c r="BG56" s="157"/>
      <c r="BH56" s="155"/>
      <c r="BI56" s="162"/>
      <c r="BJ56" s="162"/>
      <c r="BK56" s="9"/>
      <c r="BM56" s="12">
        <v>56</v>
      </c>
      <c r="BQ56" s="148"/>
      <c r="BR56" s="149"/>
      <c r="BS56" s="150"/>
      <c r="BT56" s="151"/>
      <c r="BU56" s="150"/>
      <c r="BV56" s="151"/>
      <c r="BW56" s="150"/>
      <c r="BX56" s="150"/>
      <c r="CL56" s="118">
        <v>56</v>
      </c>
    </row>
    <row r="57" spans="2:90" ht="18.75">
      <c r="B57" s="172"/>
      <c r="C57" s="165" t="s">
        <v>15</v>
      </c>
      <c r="D57" s="165">
        <v>37</v>
      </c>
      <c r="E57" s="168"/>
      <c r="F57" s="166"/>
      <c r="G57" s="156"/>
      <c r="H57" s="153"/>
      <c r="I57" s="169"/>
      <c r="J57" s="155"/>
      <c r="K57" s="162"/>
      <c r="L57" s="162"/>
      <c r="M57" s="152"/>
      <c r="N57" s="153"/>
      <c r="O57" s="154"/>
      <c r="P57" s="155"/>
      <c r="Q57" s="156"/>
      <c r="R57" s="153"/>
      <c r="S57" s="157"/>
      <c r="T57" s="155"/>
      <c r="U57" s="162"/>
      <c r="V57" s="162"/>
      <c r="W57" s="152"/>
      <c r="X57" s="153"/>
      <c r="Y57" s="154"/>
      <c r="Z57" s="155"/>
      <c r="AA57" s="156"/>
      <c r="AB57" s="153"/>
      <c r="AC57" s="157"/>
      <c r="AD57" s="155"/>
      <c r="AE57" s="162"/>
      <c r="AF57" s="162"/>
      <c r="AG57" s="152"/>
      <c r="AH57" s="153"/>
      <c r="AI57" s="154"/>
      <c r="AJ57" s="155"/>
      <c r="AK57" s="155"/>
      <c r="AL57" s="153"/>
      <c r="AM57" s="157"/>
      <c r="AN57" s="155"/>
      <c r="AO57" s="162"/>
      <c r="AP57" s="162"/>
      <c r="AQ57" s="152"/>
      <c r="AR57" s="153"/>
      <c r="AS57" s="154"/>
      <c r="AT57" s="155"/>
      <c r="AU57" s="155"/>
      <c r="AV57" s="153"/>
      <c r="AW57" s="157"/>
      <c r="AX57" s="155"/>
      <c r="AY57" s="162"/>
      <c r="AZ57" s="162"/>
      <c r="BA57" s="152"/>
      <c r="BB57" s="153"/>
      <c r="BC57" s="154"/>
      <c r="BD57" s="155"/>
      <c r="BE57" s="155"/>
      <c r="BF57" s="153"/>
      <c r="BG57" s="157"/>
      <c r="BH57" s="155"/>
      <c r="BI57" s="162"/>
      <c r="BJ57" s="162"/>
      <c r="BK57" s="9"/>
      <c r="BM57" s="12">
        <v>57</v>
      </c>
      <c r="BQ57" s="148"/>
      <c r="BR57" s="149"/>
      <c r="BS57" s="150"/>
      <c r="BT57" s="151"/>
      <c r="BU57" s="150"/>
      <c r="BV57" s="151"/>
      <c r="BW57" s="150"/>
      <c r="BX57" s="150"/>
      <c r="CL57" s="118">
        <v>57</v>
      </c>
    </row>
    <row r="58" spans="2:90" ht="18.75">
      <c r="B58" s="172"/>
      <c r="C58" s="170" t="s">
        <v>15</v>
      </c>
      <c r="D58" s="170">
        <v>43</v>
      </c>
      <c r="E58" s="168"/>
      <c r="F58" s="171"/>
      <c r="G58" s="156"/>
      <c r="H58" s="153"/>
      <c r="I58" s="169"/>
      <c r="J58" s="155"/>
      <c r="K58" s="162"/>
      <c r="L58" s="162"/>
      <c r="M58" s="152"/>
      <c r="N58" s="153"/>
      <c r="O58" s="154"/>
      <c r="P58" s="155"/>
      <c r="Q58" s="156"/>
      <c r="R58" s="153"/>
      <c r="S58" s="157"/>
      <c r="T58" s="155"/>
      <c r="U58" s="162"/>
      <c r="V58" s="162"/>
      <c r="W58" s="152"/>
      <c r="X58" s="153"/>
      <c r="Y58" s="154"/>
      <c r="Z58" s="155"/>
      <c r="AA58" s="156"/>
      <c r="AB58" s="153"/>
      <c r="AC58" s="157"/>
      <c r="AD58" s="155"/>
      <c r="AE58" s="162"/>
      <c r="AF58" s="162"/>
      <c r="AG58" s="152"/>
      <c r="AH58" s="153"/>
      <c r="AI58" s="154"/>
      <c r="AJ58" s="155"/>
      <c r="AK58" s="155"/>
      <c r="AL58" s="153"/>
      <c r="AM58" s="157"/>
      <c r="AN58" s="155"/>
      <c r="AO58" s="162"/>
      <c r="AP58" s="162"/>
      <c r="AQ58" s="152"/>
      <c r="AR58" s="153"/>
      <c r="AS58" s="154"/>
      <c r="AT58" s="155"/>
      <c r="AU58" s="155"/>
      <c r="AV58" s="153"/>
      <c r="AW58" s="157"/>
      <c r="AX58" s="155"/>
      <c r="AY58" s="162"/>
      <c r="AZ58" s="162"/>
      <c r="BA58" s="152"/>
      <c r="BB58" s="153"/>
      <c r="BC58" s="154"/>
      <c r="BD58" s="155"/>
      <c r="BE58" s="155"/>
      <c r="BF58" s="153"/>
      <c r="BG58" s="157"/>
      <c r="BH58" s="155"/>
      <c r="BI58" s="162"/>
      <c r="BJ58" s="162"/>
      <c r="BK58" s="9"/>
      <c r="BM58" s="12">
        <v>58</v>
      </c>
      <c r="BQ58" s="148"/>
      <c r="BR58" s="149"/>
      <c r="BS58" s="150"/>
      <c r="BT58" s="151"/>
      <c r="BU58" s="150"/>
      <c r="BV58" s="151"/>
      <c r="BW58" s="150"/>
      <c r="BX58" s="150"/>
      <c r="CL58" s="118">
        <v>58</v>
      </c>
    </row>
    <row r="59" spans="2:90" ht="18.75">
      <c r="B59" s="172"/>
      <c r="C59" s="165" t="s">
        <v>15</v>
      </c>
      <c r="D59" s="165">
        <v>27</v>
      </c>
      <c r="E59" s="168"/>
      <c r="F59" s="166"/>
      <c r="G59" s="156"/>
      <c r="H59" s="153"/>
      <c r="I59" s="169"/>
      <c r="J59" s="155"/>
      <c r="K59" s="162"/>
      <c r="L59" s="162"/>
      <c r="M59" s="152"/>
      <c r="N59" s="153"/>
      <c r="O59" s="154"/>
      <c r="P59" s="155"/>
      <c r="Q59" s="156"/>
      <c r="R59" s="153"/>
      <c r="S59" s="157"/>
      <c r="T59" s="155"/>
      <c r="U59" s="162"/>
      <c r="V59" s="162"/>
      <c r="W59" s="152"/>
      <c r="X59" s="153"/>
      <c r="Y59" s="154"/>
      <c r="Z59" s="155"/>
      <c r="AA59" s="156"/>
      <c r="AB59" s="153"/>
      <c r="AC59" s="157"/>
      <c r="AD59" s="155"/>
      <c r="AE59" s="162"/>
      <c r="AF59" s="162"/>
      <c r="AG59" s="152"/>
      <c r="AH59" s="153"/>
      <c r="AI59" s="154"/>
      <c r="AJ59" s="155"/>
      <c r="AK59" s="155"/>
      <c r="AL59" s="153"/>
      <c r="AM59" s="157"/>
      <c r="AN59" s="155"/>
      <c r="AO59" s="162"/>
      <c r="AP59" s="162"/>
      <c r="AQ59" s="152"/>
      <c r="AR59" s="153"/>
      <c r="AS59" s="154"/>
      <c r="AT59" s="155"/>
      <c r="AU59" s="155"/>
      <c r="AV59" s="153"/>
      <c r="AW59" s="157"/>
      <c r="AX59" s="155"/>
      <c r="AY59" s="162"/>
      <c r="AZ59" s="162"/>
      <c r="BA59" s="152"/>
      <c r="BB59" s="153"/>
      <c r="BC59" s="154"/>
      <c r="BD59" s="155"/>
      <c r="BE59" s="155"/>
      <c r="BF59" s="153"/>
      <c r="BG59" s="157"/>
      <c r="BH59" s="155"/>
      <c r="BI59" s="162"/>
      <c r="BJ59" s="162"/>
      <c r="BK59" s="9"/>
      <c r="BM59" s="12">
        <v>59</v>
      </c>
      <c r="BQ59" s="148"/>
      <c r="BR59" s="149"/>
      <c r="BS59" s="150"/>
      <c r="BT59" s="151"/>
      <c r="BU59" s="150"/>
      <c r="BV59" s="151"/>
      <c r="BW59" s="150"/>
      <c r="BX59" s="150"/>
      <c r="CL59" s="118">
        <v>59</v>
      </c>
    </row>
    <row r="60" spans="2:90" ht="18.75">
      <c r="B60" s="172"/>
      <c r="C60" s="165" t="s">
        <v>15</v>
      </c>
      <c r="D60" s="165">
        <v>19</v>
      </c>
      <c r="E60" s="168"/>
      <c r="F60" s="166"/>
      <c r="G60" s="156"/>
      <c r="H60" s="153"/>
      <c r="I60" s="169"/>
      <c r="J60" s="155"/>
      <c r="K60" s="162"/>
      <c r="L60" s="162"/>
      <c r="M60" s="152"/>
      <c r="N60" s="153"/>
      <c r="O60" s="154"/>
      <c r="P60" s="155"/>
      <c r="Q60" s="156"/>
      <c r="R60" s="153"/>
      <c r="S60" s="157"/>
      <c r="T60" s="155"/>
      <c r="U60" s="162"/>
      <c r="V60" s="162"/>
      <c r="W60" s="152"/>
      <c r="X60" s="153"/>
      <c r="Y60" s="154"/>
      <c r="Z60" s="155"/>
      <c r="AA60" s="156"/>
      <c r="AB60" s="153"/>
      <c r="AC60" s="157"/>
      <c r="AD60" s="155"/>
      <c r="AE60" s="162"/>
      <c r="AF60" s="162"/>
      <c r="AG60" s="152"/>
      <c r="AH60" s="153"/>
      <c r="AI60" s="154"/>
      <c r="AJ60" s="155"/>
      <c r="AK60" s="155"/>
      <c r="AL60" s="153"/>
      <c r="AM60" s="157"/>
      <c r="AN60" s="155"/>
      <c r="AO60" s="162"/>
      <c r="AP60" s="162"/>
      <c r="AQ60" s="152"/>
      <c r="AR60" s="153"/>
      <c r="AS60" s="154"/>
      <c r="AT60" s="155"/>
      <c r="AU60" s="155"/>
      <c r="AV60" s="153"/>
      <c r="AW60" s="157"/>
      <c r="AX60" s="155"/>
      <c r="AY60" s="162"/>
      <c r="AZ60" s="162"/>
      <c r="BA60" s="152"/>
      <c r="BB60" s="153"/>
      <c r="BC60" s="154"/>
      <c r="BD60" s="155"/>
      <c r="BE60" s="155"/>
      <c r="BF60" s="153"/>
      <c r="BG60" s="157"/>
      <c r="BH60" s="155"/>
      <c r="BI60" s="162"/>
      <c r="BJ60" s="162"/>
      <c r="BK60" s="9"/>
      <c r="BM60" s="12">
        <v>60</v>
      </c>
      <c r="BQ60" s="148"/>
      <c r="BR60" s="149"/>
      <c r="BS60" s="150"/>
      <c r="BT60" s="151"/>
      <c r="BU60" s="150"/>
      <c r="BV60" s="151"/>
      <c r="BW60" s="150"/>
      <c r="BX60" s="150"/>
      <c r="CL60" s="118">
        <v>60</v>
      </c>
    </row>
    <row r="61" spans="2:90" ht="18.75">
      <c r="B61" s="172"/>
      <c r="C61" s="165" t="s">
        <v>15</v>
      </c>
      <c r="D61" s="165">
        <v>12</v>
      </c>
      <c r="E61" s="168"/>
      <c r="F61" s="166"/>
      <c r="G61" s="156"/>
      <c r="H61" s="153"/>
      <c r="I61" s="169"/>
      <c r="J61" s="155"/>
      <c r="K61" s="162"/>
      <c r="L61" s="162"/>
      <c r="M61" s="152"/>
      <c r="N61" s="153"/>
      <c r="O61" s="154"/>
      <c r="P61" s="155"/>
      <c r="Q61" s="156"/>
      <c r="R61" s="153"/>
      <c r="S61" s="157"/>
      <c r="T61" s="155"/>
      <c r="U61" s="162"/>
      <c r="V61" s="162"/>
      <c r="W61" s="152"/>
      <c r="X61" s="153"/>
      <c r="Y61" s="154"/>
      <c r="Z61" s="155"/>
      <c r="AA61" s="156"/>
      <c r="AB61" s="153"/>
      <c r="AC61" s="157"/>
      <c r="AD61" s="155"/>
      <c r="AE61" s="162"/>
      <c r="AF61" s="162"/>
      <c r="AG61" s="152"/>
      <c r="AH61" s="153"/>
      <c r="AI61" s="154"/>
      <c r="AJ61" s="155"/>
      <c r="AK61" s="155"/>
      <c r="AL61" s="153"/>
      <c r="AM61" s="157"/>
      <c r="AN61" s="155"/>
      <c r="AO61" s="162"/>
      <c r="AP61" s="162"/>
      <c r="AQ61" s="152"/>
      <c r="AR61" s="153"/>
      <c r="AS61" s="154"/>
      <c r="AT61" s="155"/>
      <c r="AU61" s="155"/>
      <c r="AV61" s="153"/>
      <c r="AW61" s="157"/>
      <c r="AX61" s="155"/>
      <c r="AY61" s="162"/>
      <c r="AZ61" s="162"/>
      <c r="BA61" s="152"/>
      <c r="BB61" s="153"/>
      <c r="BC61" s="154"/>
      <c r="BD61" s="155"/>
      <c r="BE61" s="155"/>
      <c r="BF61" s="153"/>
      <c r="BG61" s="157"/>
      <c r="BH61" s="155"/>
      <c r="BI61" s="162"/>
      <c r="BJ61" s="162"/>
      <c r="BK61" s="9"/>
      <c r="BM61" s="12">
        <v>61</v>
      </c>
      <c r="BQ61" s="148"/>
      <c r="BR61" s="149"/>
      <c r="BS61" s="150"/>
      <c r="BT61" s="151"/>
      <c r="BU61" s="150"/>
      <c r="BV61" s="151"/>
      <c r="BW61" s="150"/>
      <c r="BX61" s="150"/>
      <c r="CL61" s="118">
        <v>61</v>
      </c>
    </row>
    <row r="62" spans="2:90" ht="18.75">
      <c r="B62" s="172"/>
      <c r="C62" s="165" t="s">
        <v>15</v>
      </c>
      <c r="D62" s="165">
        <v>2</v>
      </c>
      <c r="E62" s="168"/>
      <c r="F62" s="166"/>
      <c r="G62" s="156"/>
      <c r="H62" s="153"/>
      <c r="I62" s="169"/>
      <c r="J62" s="155"/>
      <c r="K62" s="162"/>
      <c r="L62" s="162"/>
      <c r="M62" s="152"/>
      <c r="N62" s="153"/>
      <c r="O62" s="154"/>
      <c r="P62" s="155"/>
      <c r="Q62" s="156"/>
      <c r="R62" s="153"/>
      <c r="S62" s="157"/>
      <c r="T62" s="155"/>
      <c r="U62" s="162"/>
      <c r="V62" s="162"/>
      <c r="W62" s="152"/>
      <c r="X62" s="153"/>
      <c r="Y62" s="154"/>
      <c r="Z62" s="155"/>
      <c r="AA62" s="156"/>
      <c r="AB62" s="153"/>
      <c r="AC62" s="157"/>
      <c r="AD62" s="155"/>
      <c r="AE62" s="162"/>
      <c r="AF62" s="162"/>
      <c r="AG62" s="152"/>
      <c r="AH62" s="153"/>
      <c r="AI62" s="154"/>
      <c r="AJ62" s="155"/>
      <c r="AK62" s="155"/>
      <c r="AL62" s="153"/>
      <c r="AM62" s="157"/>
      <c r="AN62" s="155"/>
      <c r="AO62" s="162"/>
      <c r="AP62" s="162"/>
      <c r="AQ62" s="152"/>
      <c r="AR62" s="153"/>
      <c r="AS62" s="154"/>
      <c r="AT62" s="155"/>
      <c r="AU62" s="155"/>
      <c r="AV62" s="153"/>
      <c r="AW62" s="157"/>
      <c r="AX62" s="155"/>
      <c r="AY62" s="162"/>
      <c r="AZ62" s="162"/>
      <c r="BA62" s="152"/>
      <c r="BB62" s="153"/>
      <c r="BC62" s="154"/>
      <c r="BD62" s="155"/>
      <c r="BE62" s="155"/>
      <c r="BF62" s="153"/>
      <c r="BG62" s="157"/>
      <c r="BH62" s="155"/>
      <c r="BI62" s="162"/>
      <c r="BJ62" s="162"/>
      <c r="BK62" s="9"/>
      <c r="BM62" s="12">
        <v>62</v>
      </c>
      <c r="BQ62" s="148"/>
      <c r="BR62" s="149"/>
      <c r="BS62" s="150"/>
      <c r="BT62" s="151"/>
      <c r="BU62" s="150"/>
      <c r="BV62" s="151"/>
      <c r="BW62" s="150"/>
      <c r="BX62" s="150"/>
      <c r="CC62" s="1">
        <v>0</v>
      </c>
      <c r="CD62" s="1">
        <v>0</v>
      </c>
      <c r="CL62" s="118">
        <v>62</v>
      </c>
    </row>
    <row r="63" spans="2:90" ht="18.75">
      <c r="B63" s="172"/>
      <c r="C63" s="170" t="s">
        <v>15</v>
      </c>
      <c r="D63" s="170">
        <v>44</v>
      </c>
      <c r="E63" s="168"/>
      <c r="F63" s="171"/>
      <c r="G63" s="156"/>
      <c r="H63" s="153"/>
      <c r="I63" s="169"/>
      <c r="J63" s="155"/>
      <c r="K63" s="162"/>
      <c r="L63" s="162"/>
      <c r="M63" s="152"/>
      <c r="N63" s="153"/>
      <c r="O63" s="154"/>
      <c r="P63" s="155"/>
      <c r="Q63" s="156"/>
      <c r="R63" s="153"/>
      <c r="S63" s="157"/>
      <c r="T63" s="155"/>
      <c r="U63" s="162"/>
      <c r="V63" s="162"/>
      <c r="W63" s="152"/>
      <c r="X63" s="153"/>
      <c r="Y63" s="154"/>
      <c r="Z63" s="155"/>
      <c r="AA63" s="156"/>
      <c r="AB63" s="153"/>
      <c r="AC63" s="157"/>
      <c r="AD63" s="155"/>
      <c r="AE63" s="162"/>
      <c r="AF63" s="162"/>
      <c r="AG63" s="152"/>
      <c r="AH63" s="153"/>
      <c r="AI63" s="154"/>
      <c r="AJ63" s="155"/>
      <c r="AK63" s="155"/>
      <c r="AL63" s="153"/>
      <c r="AM63" s="157"/>
      <c r="AN63" s="155"/>
      <c r="AO63" s="162"/>
      <c r="AP63" s="162"/>
      <c r="AQ63" s="152"/>
      <c r="AR63" s="153"/>
      <c r="AS63" s="154"/>
      <c r="AT63" s="155"/>
      <c r="AU63" s="155"/>
      <c r="AV63" s="153"/>
      <c r="AW63" s="157"/>
      <c r="AX63" s="155"/>
      <c r="AY63" s="162"/>
      <c r="AZ63" s="162"/>
      <c r="BA63" s="152"/>
      <c r="BB63" s="153"/>
      <c r="BC63" s="154"/>
      <c r="BD63" s="155"/>
      <c r="BE63" s="155"/>
      <c r="BF63" s="153"/>
      <c r="BG63" s="157"/>
      <c r="BH63" s="155"/>
      <c r="BI63" s="162"/>
      <c r="BJ63" s="162"/>
      <c r="BK63" s="9"/>
      <c r="BM63" s="12">
        <v>63</v>
      </c>
      <c r="BQ63" s="148"/>
      <c r="BR63" s="149"/>
      <c r="BS63" s="150"/>
      <c r="BT63" s="151"/>
      <c r="BU63" s="150"/>
      <c r="BV63" s="151"/>
      <c r="BW63" s="150"/>
      <c r="BX63" s="150"/>
      <c r="CC63" s="1">
        <v>0</v>
      </c>
      <c r="CD63" s="1">
        <v>0</v>
      </c>
      <c r="CL63" s="118">
        <v>63</v>
      </c>
    </row>
    <row r="64" spans="2:90" ht="18.75">
      <c r="B64" s="172"/>
      <c r="C64" s="170" t="s">
        <v>15</v>
      </c>
      <c r="D64" s="170">
        <v>46</v>
      </c>
      <c r="E64" s="168"/>
      <c r="F64" s="171"/>
      <c r="G64" s="156"/>
      <c r="H64" s="153"/>
      <c r="I64" s="169"/>
      <c r="J64" s="155"/>
      <c r="K64" s="162"/>
      <c r="L64" s="162"/>
      <c r="M64" s="152"/>
      <c r="N64" s="153"/>
      <c r="O64" s="154"/>
      <c r="P64" s="155"/>
      <c r="Q64" s="156"/>
      <c r="R64" s="153"/>
      <c r="S64" s="157"/>
      <c r="T64" s="155"/>
      <c r="U64" s="162"/>
      <c r="V64" s="162"/>
      <c r="W64" s="152"/>
      <c r="X64" s="153"/>
      <c r="Y64" s="154"/>
      <c r="Z64" s="155"/>
      <c r="AA64" s="156"/>
      <c r="AB64" s="153"/>
      <c r="AC64" s="157"/>
      <c r="AD64" s="155"/>
      <c r="AE64" s="162"/>
      <c r="AF64" s="162"/>
      <c r="AG64" s="152"/>
      <c r="AH64" s="153"/>
      <c r="AI64" s="154"/>
      <c r="AJ64" s="155"/>
      <c r="AK64" s="155"/>
      <c r="AL64" s="153"/>
      <c r="AM64" s="157"/>
      <c r="AN64" s="155"/>
      <c r="AO64" s="162"/>
      <c r="AP64" s="162"/>
      <c r="AQ64" s="152"/>
      <c r="AR64" s="153"/>
      <c r="AS64" s="154"/>
      <c r="AT64" s="155"/>
      <c r="AU64" s="155"/>
      <c r="AV64" s="153"/>
      <c r="AW64" s="157"/>
      <c r="AX64" s="155"/>
      <c r="AY64" s="162"/>
      <c r="AZ64" s="162"/>
      <c r="BA64" s="152"/>
      <c r="BB64" s="153"/>
      <c r="BC64" s="154"/>
      <c r="BD64" s="155"/>
      <c r="BE64" s="155"/>
      <c r="BF64" s="153"/>
      <c r="BG64" s="157"/>
      <c r="BH64" s="155"/>
      <c r="BI64" s="162"/>
      <c r="BJ64" s="162"/>
      <c r="BK64" s="9"/>
      <c r="BM64" s="12">
        <v>64</v>
      </c>
      <c r="BQ64" s="148"/>
      <c r="BR64" s="149"/>
      <c r="BS64" s="150"/>
      <c r="BT64" s="151"/>
      <c r="BU64" s="150"/>
      <c r="BV64" s="151"/>
      <c r="BW64" s="150"/>
      <c r="BX64" s="150"/>
      <c r="CC64" s="1">
        <v>0</v>
      </c>
      <c r="CD64" s="1">
        <v>0</v>
      </c>
      <c r="CL64" s="118">
        <v>64</v>
      </c>
    </row>
    <row r="65" spans="2:90" ht="18.75">
      <c r="B65" s="172"/>
      <c r="C65" s="170" t="s">
        <v>15</v>
      </c>
      <c r="D65" s="170">
        <v>39</v>
      </c>
      <c r="E65" s="168"/>
      <c r="F65" s="171"/>
      <c r="G65" s="156"/>
      <c r="H65" s="153"/>
      <c r="I65" s="169"/>
      <c r="J65" s="155"/>
      <c r="K65" s="162"/>
      <c r="L65" s="162"/>
      <c r="M65" s="152"/>
      <c r="N65" s="153"/>
      <c r="O65" s="154"/>
      <c r="P65" s="155"/>
      <c r="Q65" s="156"/>
      <c r="R65" s="153"/>
      <c r="S65" s="157"/>
      <c r="T65" s="155"/>
      <c r="U65" s="162"/>
      <c r="V65" s="162"/>
      <c r="W65" s="152"/>
      <c r="X65" s="153"/>
      <c r="Y65" s="154"/>
      <c r="Z65" s="155"/>
      <c r="AA65" s="156"/>
      <c r="AB65" s="153"/>
      <c r="AC65" s="157"/>
      <c r="AD65" s="155"/>
      <c r="AE65" s="162"/>
      <c r="AF65" s="162"/>
      <c r="AG65" s="152"/>
      <c r="AH65" s="153"/>
      <c r="AI65" s="154"/>
      <c r="AJ65" s="155"/>
      <c r="AK65" s="155"/>
      <c r="AL65" s="153"/>
      <c r="AM65" s="157"/>
      <c r="AN65" s="155"/>
      <c r="AO65" s="162"/>
      <c r="AP65" s="162"/>
      <c r="AQ65" s="152"/>
      <c r="AR65" s="153"/>
      <c r="AS65" s="154"/>
      <c r="AT65" s="155"/>
      <c r="AU65" s="155"/>
      <c r="AV65" s="153"/>
      <c r="AW65" s="157"/>
      <c r="AX65" s="155"/>
      <c r="AY65" s="162"/>
      <c r="AZ65" s="162"/>
      <c r="BA65" s="152"/>
      <c r="BB65" s="153"/>
      <c r="BC65" s="154"/>
      <c r="BD65" s="155"/>
      <c r="BE65" s="155"/>
      <c r="BF65" s="153"/>
      <c r="BG65" s="157"/>
      <c r="BH65" s="155"/>
      <c r="BI65" s="162"/>
      <c r="BJ65" s="162"/>
      <c r="BK65" s="9"/>
      <c r="BM65" s="12">
        <v>65</v>
      </c>
      <c r="BQ65" s="148"/>
      <c r="BR65" s="149"/>
      <c r="BS65" s="150"/>
      <c r="BT65" s="151"/>
      <c r="BU65" s="150"/>
      <c r="BV65" s="151"/>
      <c r="BW65" s="150"/>
      <c r="BX65" s="150"/>
      <c r="CC65" s="1">
        <v>0</v>
      </c>
      <c r="CD65" s="1">
        <v>0</v>
      </c>
      <c r="CL65" s="118">
        <v>65</v>
      </c>
    </row>
    <row r="66" spans="2:90" ht="18.75">
      <c r="B66" s="172"/>
      <c r="C66" s="170" t="s">
        <v>15</v>
      </c>
      <c r="D66" s="170">
        <v>47</v>
      </c>
      <c r="E66" s="168"/>
      <c r="F66" s="171"/>
      <c r="G66" s="156"/>
      <c r="H66" s="153"/>
      <c r="I66" s="169"/>
      <c r="J66" s="155"/>
      <c r="K66" s="162"/>
      <c r="L66" s="162"/>
      <c r="M66" s="152"/>
      <c r="N66" s="153"/>
      <c r="O66" s="154"/>
      <c r="P66" s="155"/>
      <c r="Q66" s="156"/>
      <c r="R66" s="153"/>
      <c r="S66" s="157"/>
      <c r="T66" s="155"/>
      <c r="U66" s="162"/>
      <c r="V66" s="162"/>
      <c r="W66" s="152"/>
      <c r="X66" s="153"/>
      <c r="Y66" s="154"/>
      <c r="Z66" s="155"/>
      <c r="AA66" s="156"/>
      <c r="AB66" s="153"/>
      <c r="AC66" s="157"/>
      <c r="AD66" s="155"/>
      <c r="AE66" s="162"/>
      <c r="AF66" s="162"/>
      <c r="AG66" s="152"/>
      <c r="AH66" s="153"/>
      <c r="AI66" s="154"/>
      <c r="AJ66" s="155"/>
      <c r="AK66" s="155"/>
      <c r="AL66" s="153"/>
      <c r="AM66" s="157"/>
      <c r="AN66" s="155"/>
      <c r="AO66" s="162"/>
      <c r="AP66" s="162"/>
      <c r="AQ66" s="152"/>
      <c r="AR66" s="153"/>
      <c r="AS66" s="154"/>
      <c r="AT66" s="155"/>
      <c r="AU66" s="155"/>
      <c r="AV66" s="153"/>
      <c r="AW66" s="157"/>
      <c r="AX66" s="155"/>
      <c r="AY66" s="162"/>
      <c r="AZ66" s="162"/>
      <c r="BA66" s="152"/>
      <c r="BB66" s="153"/>
      <c r="BC66" s="154"/>
      <c r="BD66" s="155"/>
      <c r="BE66" s="155"/>
      <c r="BF66" s="153"/>
      <c r="BG66" s="157"/>
      <c r="BH66" s="155"/>
      <c r="BI66" s="162"/>
      <c r="BJ66" s="162"/>
      <c r="BK66" s="9"/>
      <c r="BM66" s="12">
        <v>66</v>
      </c>
      <c r="BQ66" s="148"/>
      <c r="BR66" s="149"/>
      <c r="BS66" s="150"/>
      <c r="BT66" s="151"/>
      <c r="BU66" s="150"/>
      <c r="BV66" s="151"/>
      <c r="BW66" s="150"/>
      <c r="BX66" s="150"/>
      <c r="CC66" s="1">
        <v>0</v>
      </c>
      <c r="CD66" s="1">
        <v>0</v>
      </c>
      <c r="CL66" s="118">
        <v>66</v>
      </c>
    </row>
    <row r="67" spans="2:90" ht="18.75">
      <c r="B67" s="172"/>
      <c r="C67" s="165" t="s">
        <v>15</v>
      </c>
      <c r="D67" s="165">
        <v>3</v>
      </c>
      <c r="E67" s="168"/>
      <c r="F67" s="166"/>
      <c r="G67" s="156"/>
      <c r="H67" s="153"/>
      <c r="I67" s="169"/>
      <c r="J67" s="155"/>
      <c r="K67" s="162"/>
      <c r="L67" s="162"/>
      <c r="M67" s="152"/>
      <c r="N67" s="153"/>
      <c r="O67" s="154"/>
      <c r="P67" s="155"/>
      <c r="Q67" s="156"/>
      <c r="R67" s="153"/>
      <c r="S67" s="157"/>
      <c r="T67" s="155"/>
      <c r="U67" s="162"/>
      <c r="V67" s="162"/>
      <c r="W67" s="152"/>
      <c r="X67" s="153"/>
      <c r="Y67" s="154"/>
      <c r="Z67" s="155"/>
      <c r="AA67" s="156"/>
      <c r="AB67" s="153"/>
      <c r="AC67" s="157"/>
      <c r="AD67" s="155"/>
      <c r="AE67" s="162"/>
      <c r="AF67" s="162"/>
      <c r="AG67" s="152"/>
      <c r="AH67" s="153"/>
      <c r="AI67" s="154"/>
      <c r="AJ67" s="155"/>
      <c r="AK67" s="155"/>
      <c r="AL67" s="153"/>
      <c r="AM67" s="157"/>
      <c r="AN67" s="155"/>
      <c r="AO67" s="162"/>
      <c r="AP67" s="162"/>
      <c r="AQ67" s="152"/>
      <c r="AR67" s="153"/>
      <c r="AS67" s="154"/>
      <c r="AT67" s="155"/>
      <c r="AU67" s="155"/>
      <c r="AV67" s="153"/>
      <c r="AW67" s="157"/>
      <c r="AX67" s="155"/>
      <c r="AY67" s="162"/>
      <c r="AZ67" s="162"/>
      <c r="BA67" s="152"/>
      <c r="BB67" s="153"/>
      <c r="BC67" s="154"/>
      <c r="BD67" s="155"/>
      <c r="BE67" s="155"/>
      <c r="BF67" s="153"/>
      <c r="BG67" s="157"/>
      <c r="BH67" s="155"/>
      <c r="BI67" s="162"/>
      <c r="BJ67" s="162"/>
      <c r="BK67" s="9"/>
      <c r="BM67" s="12">
        <v>67</v>
      </c>
      <c r="BQ67" s="148"/>
      <c r="BR67" s="149"/>
      <c r="BS67" s="150"/>
      <c r="BT67" s="151"/>
      <c r="BU67" s="150"/>
      <c r="BV67" s="151"/>
      <c r="BW67" s="150"/>
      <c r="BX67" s="150"/>
      <c r="CC67" s="1">
        <v>0</v>
      </c>
      <c r="CD67" s="1">
        <v>0</v>
      </c>
      <c r="CL67" s="118">
        <v>67</v>
      </c>
    </row>
    <row r="68" spans="2:90" ht="18.75">
      <c r="B68" s="172"/>
      <c r="C68" s="165" t="s">
        <v>15</v>
      </c>
      <c r="D68" s="165">
        <v>24</v>
      </c>
      <c r="E68" s="168"/>
      <c r="F68" s="166"/>
      <c r="G68" s="156"/>
      <c r="H68" s="153"/>
      <c r="I68" s="169"/>
      <c r="J68" s="155"/>
      <c r="K68" s="162"/>
      <c r="L68" s="162"/>
      <c r="M68" s="152"/>
      <c r="N68" s="153"/>
      <c r="O68" s="154"/>
      <c r="P68" s="155"/>
      <c r="Q68" s="156"/>
      <c r="R68" s="153"/>
      <c r="S68" s="157"/>
      <c r="T68" s="155"/>
      <c r="U68" s="162"/>
      <c r="V68" s="162"/>
      <c r="W68" s="152"/>
      <c r="X68" s="153"/>
      <c r="Y68" s="154"/>
      <c r="Z68" s="155"/>
      <c r="AA68" s="156"/>
      <c r="AB68" s="153"/>
      <c r="AC68" s="157"/>
      <c r="AD68" s="155"/>
      <c r="AE68" s="162"/>
      <c r="AF68" s="162"/>
      <c r="AG68" s="152"/>
      <c r="AH68" s="153"/>
      <c r="AI68" s="154"/>
      <c r="AJ68" s="155"/>
      <c r="AK68" s="155"/>
      <c r="AL68" s="153"/>
      <c r="AM68" s="157"/>
      <c r="AN68" s="155"/>
      <c r="AO68" s="162"/>
      <c r="AP68" s="162"/>
      <c r="AQ68" s="152"/>
      <c r="AR68" s="153"/>
      <c r="AS68" s="154"/>
      <c r="AT68" s="155"/>
      <c r="AU68" s="155"/>
      <c r="AV68" s="153"/>
      <c r="AW68" s="157"/>
      <c r="AX68" s="155"/>
      <c r="AY68" s="162"/>
      <c r="AZ68" s="162"/>
      <c r="BA68" s="152"/>
      <c r="BB68" s="153"/>
      <c r="BC68" s="154"/>
      <c r="BD68" s="155"/>
      <c r="BE68" s="155"/>
      <c r="BF68" s="153"/>
      <c r="BG68" s="157"/>
      <c r="BH68" s="155"/>
      <c r="BI68" s="162"/>
      <c r="BJ68" s="162"/>
      <c r="BK68" s="9"/>
      <c r="BM68" s="12">
        <v>68</v>
      </c>
      <c r="BQ68" s="148"/>
      <c r="BR68" s="149"/>
      <c r="BS68" s="150"/>
      <c r="BT68" s="151"/>
      <c r="BU68" s="150"/>
      <c r="BV68" s="151"/>
      <c r="BW68" s="150"/>
      <c r="BX68" s="150"/>
      <c r="CC68" s="1">
        <v>0</v>
      </c>
      <c r="CD68" s="1">
        <v>0</v>
      </c>
      <c r="CL68" s="118">
        <v>68</v>
      </c>
    </row>
    <row r="69" spans="2:90" ht="18.75">
      <c r="B69" s="172"/>
      <c r="C69" s="165" t="s">
        <v>15</v>
      </c>
      <c r="D69" s="165">
        <v>33</v>
      </c>
      <c r="E69" s="168"/>
      <c r="F69" s="166"/>
      <c r="G69" s="156"/>
      <c r="H69" s="153"/>
      <c r="I69" s="169"/>
      <c r="J69" s="155"/>
      <c r="K69" s="162"/>
      <c r="L69" s="162"/>
      <c r="M69" s="152"/>
      <c r="N69" s="153"/>
      <c r="O69" s="154"/>
      <c r="P69" s="155"/>
      <c r="Q69" s="156"/>
      <c r="R69" s="153"/>
      <c r="S69" s="157"/>
      <c r="T69" s="155"/>
      <c r="U69" s="162"/>
      <c r="V69" s="162"/>
      <c r="W69" s="152"/>
      <c r="X69" s="153"/>
      <c r="Y69" s="154"/>
      <c r="Z69" s="155"/>
      <c r="AA69" s="156"/>
      <c r="AB69" s="153"/>
      <c r="AC69" s="157"/>
      <c r="AD69" s="155"/>
      <c r="AE69" s="162"/>
      <c r="AF69" s="162"/>
      <c r="AG69" s="152"/>
      <c r="AH69" s="153"/>
      <c r="AI69" s="154"/>
      <c r="AJ69" s="155"/>
      <c r="AK69" s="155"/>
      <c r="AL69" s="153"/>
      <c r="AM69" s="157"/>
      <c r="AN69" s="155"/>
      <c r="AO69" s="162"/>
      <c r="AP69" s="162"/>
      <c r="AQ69" s="152"/>
      <c r="AR69" s="153"/>
      <c r="AS69" s="154"/>
      <c r="AT69" s="155"/>
      <c r="AU69" s="155"/>
      <c r="AV69" s="153"/>
      <c r="AW69" s="157"/>
      <c r="AX69" s="155"/>
      <c r="AY69" s="162"/>
      <c r="AZ69" s="162"/>
      <c r="BA69" s="152"/>
      <c r="BB69" s="153"/>
      <c r="BC69" s="154"/>
      <c r="BD69" s="155"/>
      <c r="BE69" s="155"/>
      <c r="BF69" s="153"/>
      <c r="BG69" s="157"/>
      <c r="BH69" s="155"/>
      <c r="BI69" s="162"/>
      <c r="BJ69" s="162"/>
      <c r="BK69" s="9"/>
      <c r="BM69" s="12">
        <v>69</v>
      </c>
      <c r="BQ69" s="148"/>
      <c r="BR69" s="149"/>
      <c r="BS69" s="150"/>
      <c r="BT69" s="151"/>
      <c r="BU69" s="150"/>
      <c r="BV69" s="151"/>
      <c r="BW69" s="150"/>
      <c r="BX69" s="150"/>
      <c r="CC69" s="1">
        <v>0</v>
      </c>
      <c r="CD69" s="1">
        <v>0</v>
      </c>
      <c r="CL69" s="118">
        <v>69</v>
      </c>
    </row>
    <row r="70" spans="2:90">
      <c r="C70" s="170" t="s">
        <v>15</v>
      </c>
      <c r="D70" s="170">
        <v>41</v>
      </c>
      <c r="F70" s="171"/>
      <c r="H70" s="1"/>
      <c r="I70" s="3"/>
      <c r="M70" s="1"/>
      <c r="N70" s="1"/>
      <c r="O70" s="1"/>
      <c r="P70" s="1"/>
      <c r="Q70" s="5"/>
      <c r="R70" s="1"/>
      <c r="S70" s="1"/>
      <c r="T70" s="1"/>
      <c r="U70" s="1"/>
      <c r="V70" s="1"/>
      <c r="W70" s="1"/>
      <c r="X70" s="1"/>
      <c r="Y70" s="1"/>
      <c r="Z70" s="1"/>
      <c r="AA70" s="5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M70" s="12">
        <v>70</v>
      </c>
      <c r="BQ70" s="148"/>
      <c r="BR70" s="149"/>
      <c r="BS70" s="150"/>
      <c r="BT70" s="151"/>
      <c r="BU70" s="150"/>
      <c r="BV70" s="151"/>
      <c r="BW70" s="150"/>
      <c r="BX70" s="150"/>
      <c r="CC70" s="1">
        <v>0</v>
      </c>
      <c r="CD70" s="1">
        <v>0</v>
      </c>
      <c r="CL70" s="173">
        <v>70</v>
      </c>
    </row>
    <row r="71" spans="2:90">
      <c r="C71" s="165" t="s">
        <v>15</v>
      </c>
      <c r="D71" s="165">
        <v>34</v>
      </c>
      <c r="F71" s="166"/>
      <c r="G71" s="167"/>
      <c r="H71" s="167"/>
      <c r="J71" s="167"/>
      <c r="K71" s="174"/>
      <c r="L71" s="174"/>
      <c r="M71" s="8"/>
      <c r="N71" s="8"/>
      <c r="O71" s="9"/>
      <c r="P71" s="9"/>
      <c r="Q71" s="8"/>
      <c r="R71" s="8"/>
      <c r="S71" s="8"/>
      <c r="T71" s="8"/>
      <c r="U71" s="8"/>
      <c r="V71" s="8"/>
      <c r="W71" s="8"/>
      <c r="Y71" s="8"/>
      <c r="Z71" s="8"/>
      <c r="AC71" s="8"/>
      <c r="AD71" s="8"/>
      <c r="AG71" s="8"/>
      <c r="AI71" s="8"/>
      <c r="AJ71" s="8"/>
      <c r="AK71" s="8"/>
      <c r="AM71" s="8"/>
      <c r="AN71" s="8"/>
      <c r="AQ71" s="8"/>
      <c r="AS71" s="8"/>
      <c r="AT71" s="8"/>
      <c r="AU71" s="8"/>
      <c r="BM71" s="12">
        <v>71</v>
      </c>
      <c r="CC71" s="1">
        <v>0</v>
      </c>
      <c r="CD71" s="1">
        <v>0</v>
      </c>
      <c r="CL71" s="173">
        <v>71</v>
      </c>
    </row>
    <row r="72" spans="2:90" ht="18.75" thickBot="1">
      <c r="C72" s="165" t="s">
        <v>15</v>
      </c>
      <c r="D72" s="165">
        <v>16</v>
      </c>
      <c r="F72" s="166"/>
      <c r="G72" s="167"/>
      <c r="H72" s="167"/>
      <c r="J72" s="167"/>
      <c r="K72" s="175"/>
      <c r="L72" s="175"/>
      <c r="M72" s="8"/>
      <c r="N72" s="8"/>
      <c r="O72" s="9"/>
      <c r="P72" s="176"/>
      <c r="Q72" s="8"/>
      <c r="R72" s="8"/>
      <c r="S72" s="8"/>
      <c r="T72" s="8"/>
      <c r="U72" s="8"/>
      <c r="V72" s="8"/>
      <c r="W72" s="8"/>
      <c r="Y72" s="8"/>
      <c r="Z72" s="8"/>
      <c r="AC72" s="8"/>
      <c r="AD72" s="8"/>
      <c r="AG72" s="8"/>
      <c r="AI72" s="8"/>
      <c r="AJ72" s="8"/>
      <c r="AK72" s="8"/>
      <c r="AM72" s="8"/>
      <c r="AN72" s="8"/>
      <c r="AQ72" s="8"/>
      <c r="AS72" s="8"/>
      <c r="AT72" s="8"/>
      <c r="AU72" s="8"/>
      <c r="BM72" s="12">
        <v>72</v>
      </c>
      <c r="CC72" s="1">
        <v>0</v>
      </c>
      <c r="CD72" s="1">
        <v>0</v>
      </c>
      <c r="CL72" s="173">
        <v>72</v>
      </c>
    </row>
    <row r="73" spans="2:90" ht="21" thickTop="1">
      <c r="C73" s="165" t="s">
        <v>15</v>
      </c>
      <c r="D73" s="165">
        <v>4</v>
      </c>
      <c r="F73" s="166"/>
      <c r="G73" s="167"/>
      <c r="H73" s="167"/>
      <c r="J73" s="177"/>
      <c r="K73" s="158"/>
      <c r="L73" s="158"/>
      <c r="M73" s="8"/>
      <c r="N73" s="8"/>
      <c r="O73" s="9"/>
      <c r="P73" s="9"/>
      <c r="Q73" s="8"/>
      <c r="R73" s="8"/>
      <c r="S73" s="8"/>
      <c r="T73" s="8"/>
      <c r="U73" s="8"/>
      <c r="V73" s="8"/>
      <c r="W73" s="8"/>
      <c r="Y73" s="8"/>
      <c r="Z73" s="8"/>
      <c r="AC73" s="8"/>
      <c r="AD73" s="8"/>
      <c r="AG73" s="8"/>
      <c r="AI73" s="8"/>
      <c r="AJ73" s="8"/>
      <c r="AK73" s="8"/>
      <c r="AM73" s="8"/>
      <c r="AN73" s="8"/>
      <c r="AQ73" s="8"/>
      <c r="AS73" s="8"/>
      <c r="AT73" s="8"/>
      <c r="AU73" s="8"/>
      <c r="BM73" s="12">
        <v>73</v>
      </c>
      <c r="BS73" s="82" t="str">
        <f>M5</f>
        <v xml:space="preserve">                                   2 è tour                           Poule A                                   résultat</v>
      </c>
      <c r="BT73" s="83"/>
      <c r="BU73" s="83"/>
      <c r="BV73" s="84"/>
      <c r="BW73" s="85"/>
      <c r="BX73" s="86"/>
      <c r="CC73" s="1">
        <v>0</v>
      </c>
      <c r="CD73" s="1">
        <v>0</v>
      </c>
      <c r="CL73" s="173">
        <v>73</v>
      </c>
    </row>
    <row r="74" spans="2:90" ht="18.75">
      <c r="C74" s="165" t="s">
        <v>15</v>
      </c>
      <c r="D74" s="165">
        <v>20</v>
      </c>
      <c r="F74" s="166"/>
      <c r="G74" s="167"/>
      <c r="H74" s="167"/>
      <c r="J74" s="167"/>
      <c r="K74" s="8"/>
      <c r="L74" s="8"/>
      <c r="M74" s="8"/>
      <c r="N74" s="8"/>
      <c r="O74" s="9"/>
      <c r="P74" s="9"/>
      <c r="Q74" s="8"/>
      <c r="R74" s="8"/>
      <c r="S74" s="8"/>
      <c r="T74" s="8"/>
      <c r="U74" s="8"/>
      <c r="V74" s="8"/>
      <c r="W74" s="8"/>
      <c r="Y74" s="8"/>
      <c r="Z74" s="8"/>
      <c r="AC74" s="8"/>
      <c r="AD74" s="8"/>
      <c r="AE74" s="8"/>
      <c r="AF74" s="8"/>
      <c r="AG74" s="8"/>
      <c r="AI74" s="8"/>
      <c r="AJ74" s="8"/>
      <c r="AK74" s="8"/>
      <c r="AM74" s="8"/>
      <c r="AN74" s="8"/>
      <c r="AO74" s="8"/>
      <c r="AP74" s="8"/>
      <c r="AQ74" s="8"/>
      <c r="AS74" s="8"/>
      <c r="AT74" s="8"/>
      <c r="AU74" s="8"/>
      <c r="BM74" s="12">
        <v>74</v>
      </c>
      <c r="BQ74" s="88" t="s">
        <v>65</v>
      </c>
      <c r="BR74" s="89">
        <f t="shared" ref="BR74:BR105" si="34">B6</f>
        <v>1</v>
      </c>
      <c r="BS74" s="90">
        <f t="shared" ref="BS74:BS105" si="35">N6</f>
        <v>11</v>
      </c>
      <c r="BT74" s="91" t="str">
        <f t="shared" ref="BT74:BT105" si="36">P6</f>
        <v>JOSETTE  ROGER</v>
      </c>
      <c r="BU74" s="94">
        <f t="shared" ref="BU74:BU105" si="37">R6</f>
        <v>20</v>
      </c>
      <c r="BV74" s="93" t="str">
        <f t="shared" ref="BV74:BV105" si="38">T6</f>
        <v>TITI</v>
      </c>
      <c r="BW74" s="94"/>
      <c r="BX74" s="94"/>
      <c r="CC74" s="1">
        <v>0</v>
      </c>
      <c r="CD74" s="1">
        <v>0</v>
      </c>
      <c r="CL74" s="118">
        <v>74</v>
      </c>
    </row>
    <row r="75" spans="2:90" ht="18.75">
      <c r="C75" s="170" t="s">
        <v>15</v>
      </c>
      <c r="D75" s="170">
        <v>50</v>
      </c>
      <c r="F75" s="171"/>
      <c r="G75" s="167"/>
      <c r="H75" s="167"/>
      <c r="J75" s="167"/>
      <c r="K75" s="167"/>
      <c r="L75" s="167"/>
      <c r="M75" s="8"/>
      <c r="N75" s="8"/>
      <c r="O75" s="9"/>
      <c r="P75" s="9"/>
      <c r="Q75" s="8"/>
      <c r="R75" s="8"/>
      <c r="S75" s="8"/>
      <c r="T75" s="8"/>
      <c r="U75" s="178" t="s">
        <v>66</v>
      </c>
      <c r="V75" s="8"/>
      <c r="W75" s="8"/>
      <c r="Y75" s="8"/>
      <c r="Z75" s="8"/>
      <c r="AC75" s="8"/>
      <c r="AD75" s="8"/>
      <c r="AE75" s="8"/>
      <c r="AF75" s="8"/>
      <c r="AG75" s="8"/>
      <c r="AI75" s="8"/>
      <c r="AJ75" s="8"/>
      <c r="AK75" s="8"/>
      <c r="AM75" s="8"/>
      <c r="AN75" s="8"/>
      <c r="AO75" s="8"/>
      <c r="AP75" s="8"/>
      <c r="AQ75" s="8"/>
      <c r="AS75" s="8"/>
      <c r="AT75" s="8"/>
      <c r="AU75" s="8"/>
      <c r="BM75" s="12">
        <v>75</v>
      </c>
      <c r="BQ75" s="88" t="s">
        <v>24</v>
      </c>
      <c r="BR75" s="89">
        <f t="shared" si="34"/>
        <v>2</v>
      </c>
      <c r="BS75" s="90">
        <f t="shared" si="35"/>
        <v>21</v>
      </c>
      <c r="BT75" s="91" t="str">
        <f t="shared" si="36"/>
        <v>THIERRY DOMINIQUE</v>
      </c>
      <c r="BU75" s="94">
        <f t="shared" si="37"/>
        <v>19</v>
      </c>
      <c r="BV75" s="93" t="str">
        <f t="shared" si="38"/>
        <v>PIERRICK LILI</v>
      </c>
      <c r="BW75" s="94"/>
      <c r="BX75" s="94"/>
      <c r="CC75" s="1">
        <v>0</v>
      </c>
      <c r="CD75" s="1">
        <v>0</v>
      </c>
      <c r="CL75" s="173">
        <v>75</v>
      </c>
    </row>
    <row r="76" spans="2:90">
      <c r="C76" s="165" t="s">
        <v>15</v>
      </c>
      <c r="D76" s="165">
        <v>21</v>
      </c>
      <c r="F76" s="166"/>
      <c r="G76" s="167"/>
      <c r="H76" s="167"/>
      <c r="J76" s="167"/>
      <c r="K76" s="177"/>
      <c r="L76" s="167"/>
      <c r="M76" s="8"/>
      <c r="N76" s="8"/>
      <c r="O76" s="9"/>
      <c r="P76" s="9"/>
      <c r="Q76" s="8"/>
      <c r="R76" s="8"/>
      <c r="S76" s="8"/>
      <c r="T76" s="8"/>
      <c r="U76" s="8"/>
      <c r="V76" s="8"/>
      <c r="W76" s="8"/>
      <c r="Y76" s="8"/>
      <c r="Z76" s="8"/>
      <c r="AC76" s="8"/>
      <c r="AD76" s="8"/>
      <c r="AE76" s="8"/>
      <c r="AF76" s="8"/>
      <c r="AG76" s="8"/>
      <c r="AI76" s="8"/>
      <c r="AJ76" s="8"/>
      <c r="AK76" s="8"/>
      <c r="AM76" s="8"/>
      <c r="AN76" s="8"/>
      <c r="AO76" s="8"/>
      <c r="AP76" s="8"/>
      <c r="AQ76" s="8"/>
      <c r="AS76" s="8"/>
      <c r="AT76" s="8"/>
      <c r="AU76" s="8"/>
      <c r="BM76" s="12">
        <v>76</v>
      </c>
      <c r="BQ76" s="88" t="s">
        <v>24</v>
      </c>
      <c r="BR76" s="89">
        <f t="shared" si="34"/>
        <v>3</v>
      </c>
      <c r="BS76" s="90">
        <f t="shared" si="35"/>
        <v>17</v>
      </c>
      <c r="BT76" s="91" t="str">
        <f t="shared" si="36"/>
        <v>THIERRY SEBASTIEN</v>
      </c>
      <c r="BU76" s="94">
        <f t="shared" si="37"/>
        <v>26</v>
      </c>
      <c r="BV76" s="93" t="str">
        <f t="shared" si="38"/>
        <v>FRANCOIS DOMINIQUE</v>
      </c>
      <c r="BW76" s="94"/>
      <c r="BX76" s="94"/>
      <c r="CC76" s="1">
        <v>0</v>
      </c>
      <c r="CD76" s="1">
        <v>0</v>
      </c>
      <c r="CL76" s="173">
        <v>76</v>
      </c>
    </row>
    <row r="77" spans="2:90">
      <c r="C77" s="4"/>
      <c r="D77" s="179"/>
      <c r="F77" s="167"/>
      <c r="G77" s="167"/>
      <c r="H77" s="167"/>
      <c r="J77" s="167"/>
      <c r="K77" s="167"/>
      <c r="L77" s="167"/>
      <c r="M77" s="8"/>
      <c r="N77" s="8"/>
      <c r="O77" s="9"/>
      <c r="P77" s="9"/>
      <c r="Q77" s="8"/>
      <c r="R77" s="8"/>
      <c r="S77" s="8"/>
      <c r="T77" s="8"/>
      <c r="U77" s="8"/>
      <c r="V77" s="8"/>
      <c r="W77" s="8"/>
      <c r="Y77" s="8"/>
      <c r="Z77" s="8"/>
      <c r="AC77" s="8"/>
      <c r="AD77" s="8"/>
      <c r="AE77" s="8"/>
      <c r="AF77" s="8"/>
      <c r="AG77" s="8"/>
      <c r="AI77" s="8"/>
      <c r="AJ77" s="8"/>
      <c r="AK77" s="8"/>
      <c r="AM77" s="8"/>
      <c r="AN77" s="8"/>
      <c r="AO77" s="8"/>
      <c r="AP77" s="8"/>
      <c r="AQ77" s="8"/>
      <c r="AS77" s="8"/>
      <c r="AT77" s="8"/>
      <c r="AU77" s="8"/>
      <c r="BM77" s="12">
        <v>77</v>
      </c>
      <c r="BQ77" s="88" t="s">
        <v>24</v>
      </c>
      <c r="BR77" s="89">
        <f t="shared" si="34"/>
        <v>4</v>
      </c>
      <c r="BS77" s="90">
        <f t="shared" si="35"/>
        <v>5</v>
      </c>
      <c r="BT77" s="91" t="str">
        <f t="shared" si="36"/>
        <v>PASCALE VALERIE</v>
      </c>
      <c r="BU77" s="94">
        <f t="shared" si="37"/>
        <v>8</v>
      </c>
      <c r="BV77" s="93" t="str">
        <f t="shared" si="38"/>
        <v>JEAN NOEL - G G</v>
      </c>
      <c r="BW77" s="94"/>
      <c r="BX77" s="94"/>
      <c r="CC77" s="1">
        <v>0</v>
      </c>
      <c r="CD77" s="1">
        <v>0</v>
      </c>
      <c r="CL77" s="118">
        <v>77</v>
      </c>
    </row>
    <row r="78" spans="2:90">
      <c r="C78" s="4"/>
      <c r="D78" s="179"/>
      <c r="F78" s="167"/>
      <c r="G78" s="167"/>
      <c r="H78" s="167"/>
      <c r="J78" s="167"/>
      <c r="K78" s="29"/>
      <c r="L78" s="29"/>
      <c r="M78" s="8"/>
      <c r="N78" s="8"/>
      <c r="O78" s="9"/>
      <c r="P78" s="9"/>
      <c r="Q78" s="8"/>
      <c r="R78" s="8"/>
      <c r="S78" s="7"/>
      <c r="T78" s="7"/>
      <c r="U78" s="8"/>
      <c r="V78" s="8"/>
      <c r="Y78" s="8"/>
      <c r="Z78" s="8"/>
      <c r="AC78" s="8"/>
      <c r="AD78" s="8"/>
      <c r="BM78" s="12">
        <v>78</v>
      </c>
      <c r="BQ78" s="88" t="s">
        <v>24</v>
      </c>
      <c r="BR78" s="89">
        <f t="shared" si="34"/>
        <v>5</v>
      </c>
      <c r="BS78" s="90">
        <f t="shared" si="35"/>
        <v>10</v>
      </c>
      <c r="BT78" s="91" t="str">
        <f t="shared" si="36"/>
        <v>DIDIER ALAIN</v>
      </c>
      <c r="BU78" s="94">
        <f t="shared" si="37"/>
        <v>1</v>
      </c>
      <c r="BV78" s="93" t="str">
        <f t="shared" si="38"/>
        <v>CHRISTIAN LEBARS</v>
      </c>
      <c r="BW78" s="94"/>
      <c r="BX78" s="94"/>
      <c r="CC78" s="1">
        <v>0</v>
      </c>
      <c r="CD78" s="1">
        <v>0</v>
      </c>
      <c r="CL78" s="20">
        <v>78</v>
      </c>
    </row>
    <row r="79" spans="2:90">
      <c r="C79" s="4"/>
      <c r="D79" s="179"/>
      <c r="F79" s="167"/>
      <c r="G79" s="167"/>
      <c r="H79" s="167"/>
      <c r="J79" s="167"/>
      <c r="K79" s="29"/>
      <c r="L79" s="29"/>
      <c r="M79" s="8"/>
      <c r="N79" s="8"/>
      <c r="O79" s="9"/>
      <c r="P79" s="9"/>
      <c r="Q79" s="8"/>
      <c r="R79" s="8"/>
      <c r="S79" s="8"/>
      <c r="T79" s="8"/>
      <c r="U79" s="8"/>
      <c r="V79" s="8"/>
      <c r="W79" s="8"/>
      <c r="Y79" s="8"/>
      <c r="Z79" s="8"/>
      <c r="AC79" s="8"/>
      <c r="AD79" s="8"/>
      <c r="AE79" s="8"/>
      <c r="AF79" s="8"/>
      <c r="AG79" s="8"/>
      <c r="AI79" s="8"/>
      <c r="AJ79" s="8"/>
      <c r="AK79" s="8"/>
      <c r="AM79" s="8"/>
      <c r="AN79" s="8"/>
      <c r="AO79" s="8"/>
      <c r="AP79" s="8"/>
      <c r="AQ79" s="8"/>
      <c r="AS79" s="8"/>
      <c r="AT79" s="8"/>
      <c r="AU79" s="8"/>
      <c r="BM79" s="12">
        <v>79</v>
      </c>
      <c r="BQ79" s="88" t="s">
        <v>24</v>
      </c>
      <c r="BR79" s="89">
        <f t="shared" si="34"/>
        <v>6</v>
      </c>
      <c r="BS79" s="90">
        <f t="shared" si="35"/>
        <v>2</v>
      </c>
      <c r="BT79" s="91" t="str">
        <f t="shared" si="36"/>
        <v>ROBERTE</v>
      </c>
      <c r="BU79" s="94">
        <f t="shared" si="37"/>
        <v>16</v>
      </c>
      <c r="BV79" s="93" t="str">
        <f t="shared" si="38"/>
        <v xml:space="preserve">JACKY JEAN CLAUDE </v>
      </c>
      <c r="BW79" s="94"/>
      <c r="BX79" s="94"/>
      <c r="CC79" s="1">
        <v>0</v>
      </c>
      <c r="CD79" s="1">
        <v>0</v>
      </c>
      <c r="CL79" s="20">
        <v>79</v>
      </c>
    </row>
    <row r="80" spans="2:90">
      <c r="C80" s="4"/>
      <c r="D80" s="179"/>
      <c r="F80" s="167"/>
      <c r="G80" s="167"/>
      <c r="H80" s="167"/>
      <c r="J80" s="167"/>
      <c r="K80" s="29"/>
      <c r="L80" s="29"/>
      <c r="M80" s="8"/>
      <c r="N80" s="8"/>
      <c r="O80" s="9"/>
      <c r="P80" s="9"/>
      <c r="Q80" s="8"/>
      <c r="R80" s="8"/>
      <c r="S80" s="8"/>
      <c r="T80" s="8"/>
      <c r="U80" s="8"/>
      <c r="V80" s="8"/>
      <c r="W80" s="8"/>
      <c r="Y80" s="8"/>
      <c r="Z80" s="8"/>
      <c r="AC80" s="8"/>
      <c r="AD80" s="8"/>
      <c r="AE80" s="8"/>
      <c r="AF80" s="8"/>
      <c r="AG80" s="8"/>
      <c r="AI80" s="8"/>
      <c r="AJ80" s="8"/>
      <c r="AK80" s="8"/>
      <c r="AM80" s="8"/>
      <c r="AN80" s="8"/>
      <c r="AO80" s="8"/>
      <c r="AP80" s="8"/>
      <c r="AQ80" s="8"/>
      <c r="AS80" s="8"/>
      <c r="AT80" s="8"/>
      <c r="AU80" s="8"/>
      <c r="BM80" s="12">
        <v>80</v>
      </c>
      <c r="BQ80" s="88" t="s">
        <v>24</v>
      </c>
      <c r="BR80" s="89">
        <f t="shared" si="34"/>
        <v>7</v>
      </c>
      <c r="BS80" s="90">
        <f t="shared" si="35"/>
        <v>4</v>
      </c>
      <c r="BT80" s="91" t="str">
        <f t="shared" si="36"/>
        <v>COLETTE</v>
      </c>
      <c r="BU80" s="94">
        <f t="shared" si="37"/>
        <v>14</v>
      </c>
      <c r="BV80" s="93" t="str">
        <f t="shared" si="38"/>
        <v>ABDEL ZORRO</v>
      </c>
      <c r="BW80" s="94"/>
      <c r="BX80" s="94"/>
      <c r="CC80" s="1">
        <v>0</v>
      </c>
      <c r="CD80" s="1">
        <v>0</v>
      </c>
      <c r="CL80" s="20">
        <v>80</v>
      </c>
    </row>
    <row r="81" spans="6:90">
      <c r="F81" s="167"/>
      <c r="G81" s="167"/>
      <c r="H81" s="167"/>
      <c r="J81" s="167"/>
      <c r="K81" s="29"/>
      <c r="L81" s="29"/>
      <c r="M81" s="8"/>
      <c r="N81" s="8"/>
      <c r="O81" s="9"/>
      <c r="P81" s="9"/>
      <c r="Q81" s="8"/>
      <c r="R81" s="8"/>
      <c r="S81" s="8"/>
      <c r="T81" s="8"/>
      <c r="U81" s="8"/>
      <c r="V81" s="8"/>
      <c r="W81" s="8"/>
      <c r="Y81" s="8"/>
      <c r="Z81" s="8"/>
      <c r="AC81" s="8"/>
      <c r="AD81" s="8"/>
      <c r="AE81" s="8"/>
      <c r="AF81" s="8"/>
      <c r="AG81" s="8"/>
      <c r="AI81" s="8"/>
      <c r="AJ81" s="8"/>
      <c r="AK81" s="8"/>
      <c r="AM81" s="8"/>
      <c r="AN81" s="8"/>
      <c r="AO81" s="8"/>
      <c r="AP81" s="8"/>
      <c r="AQ81" s="8"/>
      <c r="AS81" s="8"/>
      <c r="AT81" s="8"/>
      <c r="AU81" s="8"/>
      <c r="BM81" s="12">
        <v>81</v>
      </c>
      <c r="BQ81" s="88" t="s">
        <v>24</v>
      </c>
      <c r="BR81" s="89">
        <f t="shared" si="34"/>
        <v>8</v>
      </c>
      <c r="BS81" s="90">
        <f t="shared" si="35"/>
        <v>23</v>
      </c>
      <c r="BT81" s="91" t="str">
        <f t="shared" si="36"/>
        <v>JEAN PIERRE   JACKY</v>
      </c>
      <c r="BU81" s="94">
        <f t="shared" si="37"/>
        <v>9</v>
      </c>
      <c r="BV81" s="93" t="str">
        <f t="shared" si="38"/>
        <v>JEAN CLAUDE BEBEL</v>
      </c>
      <c r="BW81" s="94"/>
      <c r="BX81" s="94"/>
      <c r="CC81" s="1">
        <v>0</v>
      </c>
      <c r="CD81" s="1">
        <v>0</v>
      </c>
      <c r="CL81" s="20">
        <v>81</v>
      </c>
    </row>
    <row r="82" spans="6:90">
      <c r="F82" s="167"/>
      <c r="G82" s="167"/>
      <c r="H82" s="167"/>
      <c r="J82" s="167"/>
      <c r="K82" s="29"/>
      <c r="L82" s="29"/>
      <c r="M82" s="8"/>
      <c r="N82" s="8"/>
      <c r="O82" s="9"/>
      <c r="P82" s="9"/>
      <c r="Q82" s="8"/>
      <c r="R82" s="8"/>
      <c r="S82" s="8"/>
      <c r="T82" s="8"/>
      <c r="U82" s="8"/>
      <c r="V82" s="8"/>
      <c r="W82" s="8"/>
      <c r="Y82" s="8"/>
      <c r="Z82" s="8"/>
      <c r="AC82" s="8"/>
      <c r="AD82" s="8"/>
      <c r="AE82" s="8"/>
      <c r="AF82" s="8"/>
      <c r="AG82" s="8"/>
      <c r="AI82" s="8"/>
      <c r="AJ82" s="8"/>
      <c r="AK82" s="8"/>
      <c r="AM82" s="8"/>
      <c r="AN82" s="8"/>
      <c r="AO82" s="8"/>
      <c r="AP82" s="8"/>
      <c r="AQ82" s="8"/>
      <c r="AS82" s="8"/>
      <c r="AT82" s="8"/>
      <c r="AU82" s="8"/>
      <c r="BM82" s="12">
        <v>82</v>
      </c>
      <c r="BQ82" s="88" t="s">
        <v>24</v>
      </c>
      <c r="BR82" s="89">
        <f t="shared" si="34"/>
        <v>9</v>
      </c>
      <c r="BS82" s="90">
        <f t="shared" si="35"/>
        <v>25</v>
      </c>
      <c r="BT82" s="91" t="str">
        <f t="shared" si="36"/>
        <v>PHILIPPE BABETTE</v>
      </c>
      <c r="BU82" s="94">
        <f t="shared" si="37"/>
        <v>22</v>
      </c>
      <c r="BV82" s="93" t="str">
        <f t="shared" si="38"/>
        <v>OSCAR JACKY</v>
      </c>
      <c r="BW82" s="94"/>
      <c r="BX82" s="94"/>
      <c r="CC82" s="1">
        <v>0</v>
      </c>
      <c r="CD82" s="1">
        <v>0</v>
      </c>
      <c r="CL82" s="20">
        <v>82</v>
      </c>
    </row>
    <row r="83" spans="6:90">
      <c r="M83" s="4"/>
      <c r="N83" s="27"/>
      <c r="O83" s="17"/>
      <c r="P83" s="17"/>
      <c r="Q83" s="8"/>
      <c r="R83" s="8"/>
      <c r="S83" s="8"/>
      <c r="T83" s="8"/>
      <c r="U83" s="7"/>
      <c r="V83" s="7"/>
      <c r="W83" s="8"/>
      <c r="AE83" s="8"/>
      <c r="AF83" s="8"/>
      <c r="AG83" s="8"/>
      <c r="AI83" s="8"/>
      <c r="AJ83" s="8"/>
      <c r="AK83" s="8"/>
      <c r="AM83" s="8"/>
      <c r="AN83" s="8"/>
      <c r="AO83" s="8"/>
      <c r="AP83" s="8"/>
      <c r="AQ83" s="8"/>
      <c r="AS83" s="8"/>
      <c r="AT83" s="8"/>
      <c r="AU83" s="8"/>
      <c r="BM83" s="12">
        <v>83</v>
      </c>
      <c r="BQ83" s="88" t="s">
        <v>24</v>
      </c>
      <c r="BR83" s="89">
        <f t="shared" si="34"/>
        <v>10</v>
      </c>
      <c r="BS83" s="90">
        <f t="shared" si="35"/>
        <v>7</v>
      </c>
      <c r="BT83" s="91" t="str">
        <f t="shared" si="36"/>
        <v>HUBERT DEDE</v>
      </c>
      <c r="BU83" s="94">
        <f t="shared" si="37"/>
        <v>24</v>
      </c>
      <c r="BV83" s="93" t="str">
        <f t="shared" si="38"/>
        <v>PACO FRANCOIS</v>
      </c>
      <c r="BW83" s="94"/>
      <c r="BX83" s="94"/>
      <c r="CC83" s="1">
        <v>0</v>
      </c>
      <c r="CD83" s="1">
        <v>0</v>
      </c>
      <c r="CL83" s="20">
        <v>83</v>
      </c>
    </row>
    <row r="84" spans="6:90">
      <c r="M84" s="4"/>
      <c r="N84" s="27"/>
      <c r="O84" s="17"/>
      <c r="P84" s="17"/>
      <c r="Q84" s="27"/>
      <c r="R84" s="27"/>
      <c r="S84" s="27"/>
      <c r="T84" s="27"/>
      <c r="U84" s="4"/>
      <c r="V84" s="4"/>
      <c r="W84" s="8"/>
      <c r="AE84" s="8"/>
      <c r="AF84" s="8"/>
      <c r="AG84" s="8"/>
      <c r="AI84" s="8"/>
      <c r="AJ84" s="8"/>
      <c r="AK84" s="8"/>
      <c r="AM84" s="8"/>
      <c r="AN84" s="8"/>
      <c r="AO84" s="8"/>
      <c r="AP84" s="8"/>
      <c r="AQ84" s="8"/>
      <c r="AS84" s="8"/>
      <c r="AT84" s="8"/>
      <c r="AU84" s="8"/>
      <c r="BM84" s="12">
        <v>84</v>
      </c>
      <c r="BQ84" s="88" t="s">
        <v>24</v>
      </c>
      <c r="BR84" s="89">
        <f t="shared" si="34"/>
        <v>11</v>
      </c>
      <c r="BS84" s="90">
        <f t="shared" si="35"/>
        <v>3</v>
      </c>
      <c r="BT84" s="91" t="str">
        <f t="shared" si="36"/>
        <v xml:space="preserve">THIERRY </v>
      </c>
      <c r="BU84" s="94">
        <f t="shared" si="37"/>
        <v>18</v>
      </c>
      <c r="BV84" s="93" t="str">
        <f t="shared" si="38"/>
        <v>HUARD BOUSSERON</v>
      </c>
      <c r="BW84" s="94"/>
      <c r="BX84" s="94"/>
      <c r="CC84" s="1">
        <v>0</v>
      </c>
      <c r="CD84" s="1">
        <v>0</v>
      </c>
      <c r="CL84" s="20">
        <v>84</v>
      </c>
    </row>
    <row r="85" spans="6:90">
      <c r="M85" s="4"/>
      <c r="N85" s="27"/>
      <c r="O85" s="17"/>
      <c r="P85" s="17"/>
      <c r="Q85" s="27"/>
      <c r="R85" s="27"/>
      <c r="S85" s="27"/>
      <c r="T85" s="27"/>
      <c r="U85" s="27"/>
      <c r="V85" s="27"/>
      <c r="W85" s="8"/>
      <c r="Y85" s="8"/>
      <c r="Z85" s="8"/>
      <c r="AC85" s="8"/>
      <c r="AD85" s="8"/>
      <c r="AE85" s="8"/>
      <c r="AF85" s="8"/>
      <c r="AG85" s="8"/>
      <c r="AI85" s="8"/>
      <c r="AJ85" s="8"/>
      <c r="AK85" s="8"/>
      <c r="AM85" s="8"/>
      <c r="AN85" s="8"/>
      <c r="AO85" s="8"/>
      <c r="AP85" s="8"/>
      <c r="AQ85" s="8"/>
      <c r="AS85" s="8"/>
      <c r="AT85" s="8"/>
      <c r="AU85" s="8"/>
      <c r="BM85" s="12">
        <v>85</v>
      </c>
      <c r="BQ85" s="88" t="s">
        <v>24</v>
      </c>
      <c r="BR85" s="89">
        <f t="shared" si="34"/>
        <v>12</v>
      </c>
      <c r="BS85" s="90">
        <f t="shared" si="35"/>
        <v>13</v>
      </c>
      <c r="BT85" s="91" t="str">
        <f t="shared" si="36"/>
        <v>MONIQUE JESUS</v>
      </c>
      <c r="BU85" s="94">
        <f t="shared" si="37"/>
        <v>15</v>
      </c>
      <c r="BV85" s="93" t="str">
        <f t="shared" si="38"/>
        <v>MARYVONNE JACQUES</v>
      </c>
      <c r="BW85" s="94"/>
      <c r="BX85" s="94"/>
      <c r="CC85" s="1">
        <v>0</v>
      </c>
      <c r="CD85" s="1">
        <v>0</v>
      </c>
      <c r="CL85" s="20">
        <v>85</v>
      </c>
    </row>
    <row r="86" spans="6:90">
      <c r="M86" s="4"/>
      <c r="N86" s="27"/>
      <c r="O86" s="17"/>
      <c r="P86" s="17"/>
      <c r="Q86" s="27"/>
      <c r="R86" s="27"/>
      <c r="S86" s="4"/>
      <c r="T86" s="4"/>
      <c r="U86" s="4"/>
      <c r="V86" s="4"/>
      <c r="BM86" s="12">
        <v>86</v>
      </c>
      <c r="BQ86" s="88" t="s">
        <v>24</v>
      </c>
      <c r="BR86" s="89">
        <f t="shared" si="34"/>
        <v>13</v>
      </c>
      <c r="BS86" s="90">
        <f t="shared" si="35"/>
        <v>12</v>
      </c>
      <c r="BT86" s="91" t="str">
        <f t="shared" si="36"/>
        <v>MICHEL DEDE</v>
      </c>
      <c r="BU86" s="94">
        <f t="shared" si="37"/>
        <v>6</v>
      </c>
      <c r="BV86" s="93" t="str">
        <f t="shared" si="38"/>
        <v>DRAPEAU SERGE</v>
      </c>
      <c r="BW86" s="94"/>
      <c r="BX86" s="94"/>
      <c r="CC86" s="1">
        <v>0</v>
      </c>
      <c r="CD86" s="1">
        <v>0</v>
      </c>
      <c r="CL86" s="20">
        <v>86</v>
      </c>
    </row>
    <row r="87" spans="6:90">
      <c r="M87" s="4"/>
      <c r="N87" s="27"/>
      <c r="O87" s="17"/>
      <c r="P87" s="17"/>
      <c r="Q87" s="27"/>
      <c r="R87" s="27"/>
      <c r="S87" s="4"/>
      <c r="T87" s="4"/>
      <c r="U87" s="4"/>
      <c r="V87" s="4"/>
      <c r="BM87" s="12">
        <v>87</v>
      </c>
      <c r="BQ87" s="88" t="s">
        <v>24</v>
      </c>
      <c r="BR87" s="89">
        <f t="shared" si="34"/>
        <v>14</v>
      </c>
      <c r="BS87" s="90">
        <f t="shared" si="35"/>
        <v>0</v>
      </c>
      <c r="BT87" s="91">
        <f t="shared" si="36"/>
        <v>0</v>
      </c>
      <c r="BU87" s="94">
        <f t="shared" si="37"/>
        <v>0</v>
      </c>
      <c r="BV87" s="93">
        <f t="shared" si="38"/>
        <v>0</v>
      </c>
      <c r="BW87" s="94"/>
      <c r="BX87" s="94"/>
      <c r="CC87" s="1">
        <v>0</v>
      </c>
      <c r="CD87" s="1">
        <v>0</v>
      </c>
      <c r="CL87" s="20">
        <v>87</v>
      </c>
    </row>
    <row r="88" spans="6:90">
      <c r="M88" s="4"/>
      <c r="N88" s="27"/>
      <c r="O88" s="17"/>
      <c r="P88" s="17"/>
      <c r="Q88" s="27"/>
      <c r="R88" s="27"/>
      <c r="S88" s="4"/>
      <c r="T88" s="4"/>
      <c r="U88" s="4"/>
      <c r="V88" s="4"/>
      <c r="BM88" s="12">
        <v>88</v>
      </c>
      <c r="BQ88" s="88" t="s">
        <v>24</v>
      </c>
      <c r="BR88" s="89">
        <f t="shared" si="34"/>
        <v>15</v>
      </c>
      <c r="BS88" s="90">
        <f t="shared" si="35"/>
        <v>0</v>
      </c>
      <c r="BT88" s="91">
        <f t="shared" si="36"/>
        <v>0</v>
      </c>
      <c r="BU88" s="94">
        <f t="shared" si="37"/>
        <v>0</v>
      </c>
      <c r="BV88" s="93">
        <f t="shared" si="38"/>
        <v>0</v>
      </c>
      <c r="BW88" s="94"/>
      <c r="BX88" s="94"/>
      <c r="CC88" s="1">
        <v>0</v>
      </c>
      <c r="CD88" s="1">
        <v>0</v>
      </c>
      <c r="CL88" s="20">
        <v>88</v>
      </c>
    </row>
    <row r="89" spans="6:90">
      <c r="M89" s="4"/>
      <c r="N89" s="27"/>
      <c r="O89" s="17"/>
      <c r="P89" s="17"/>
      <c r="Q89" s="27"/>
      <c r="R89" s="27"/>
      <c r="S89" s="4"/>
      <c r="T89" s="4"/>
      <c r="U89" s="4"/>
      <c r="V89" s="4"/>
      <c r="BM89" s="12">
        <v>89</v>
      </c>
      <c r="BQ89" s="88" t="s">
        <v>24</v>
      </c>
      <c r="BR89" s="89">
        <f t="shared" si="34"/>
        <v>16</v>
      </c>
      <c r="BS89" s="90">
        <f t="shared" si="35"/>
        <v>0</v>
      </c>
      <c r="BT89" s="91">
        <f t="shared" si="36"/>
        <v>0</v>
      </c>
      <c r="BU89" s="94">
        <f t="shared" si="37"/>
        <v>0</v>
      </c>
      <c r="BV89" s="93">
        <f t="shared" si="38"/>
        <v>0</v>
      </c>
      <c r="BW89" s="94"/>
      <c r="BX89" s="94"/>
      <c r="CC89" s="1">
        <v>0</v>
      </c>
      <c r="CD89" s="1">
        <v>0</v>
      </c>
      <c r="CL89" s="20">
        <v>89</v>
      </c>
    </row>
    <row r="90" spans="6:90" ht="18.75">
      <c r="M90" s="4"/>
      <c r="N90" s="27"/>
      <c r="O90" s="17"/>
      <c r="P90" s="17"/>
      <c r="Q90" s="27"/>
      <c r="R90" s="27"/>
      <c r="S90" s="4"/>
      <c r="T90" s="4"/>
      <c r="U90" s="4"/>
      <c r="V90" s="4"/>
      <c r="BM90" s="12">
        <v>90</v>
      </c>
      <c r="BQ90" s="180" t="s">
        <v>67</v>
      </c>
      <c r="BR90" s="181">
        <f t="shared" si="34"/>
        <v>17</v>
      </c>
      <c r="BS90" s="182">
        <f t="shared" si="35"/>
        <v>0</v>
      </c>
      <c r="BT90" s="183">
        <f t="shared" si="36"/>
        <v>0</v>
      </c>
      <c r="BU90" s="184">
        <f t="shared" si="37"/>
        <v>0</v>
      </c>
      <c r="BV90" s="185">
        <f t="shared" si="38"/>
        <v>0</v>
      </c>
      <c r="BW90" s="186"/>
      <c r="BX90" s="186"/>
      <c r="CC90" s="1">
        <v>0</v>
      </c>
      <c r="CD90" s="1">
        <v>0</v>
      </c>
      <c r="CL90" s="20">
        <v>90</v>
      </c>
    </row>
    <row r="91" spans="6:90">
      <c r="M91" s="4"/>
      <c r="N91" s="27"/>
      <c r="O91" s="17"/>
      <c r="P91" s="17"/>
      <c r="Q91" s="27"/>
      <c r="R91" s="27"/>
      <c r="S91" s="4"/>
      <c r="T91" s="4"/>
      <c r="U91" s="4"/>
      <c r="V91" s="4"/>
      <c r="BM91" s="12">
        <v>91</v>
      </c>
      <c r="BQ91" s="180" t="s">
        <v>24</v>
      </c>
      <c r="BR91" s="181">
        <f t="shared" si="34"/>
        <v>18</v>
      </c>
      <c r="BS91" s="182">
        <f t="shared" si="35"/>
        <v>32</v>
      </c>
      <c r="BT91" s="183" t="str">
        <f t="shared" si="36"/>
        <v>ANNIE BABETH</v>
      </c>
      <c r="BU91" s="184">
        <f t="shared" si="37"/>
        <v>42</v>
      </c>
      <c r="BV91" s="185" t="str">
        <f t="shared" si="38"/>
        <v>PATRICK FLORENCE</v>
      </c>
      <c r="BW91" s="186"/>
      <c r="BX91" s="186"/>
      <c r="CC91" s="1">
        <v>0</v>
      </c>
      <c r="CD91" s="1">
        <v>0</v>
      </c>
      <c r="CL91" s="20">
        <v>91</v>
      </c>
    </row>
    <row r="92" spans="6:90">
      <c r="M92" s="4"/>
      <c r="N92" s="27"/>
      <c r="O92" s="17"/>
      <c r="P92" s="17"/>
      <c r="Q92" s="27"/>
      <c r="R92" s="27"/>
      <c r="S92" s="4"/>
      <c r="T92" s="4"/>
      <c r="U92" s="4"/>
      <c r="V92" s="4"/>
      <c r="BM92" s="12">
        <v>92</v>
      </c>
      <c r="BQ92" s="180" t="s">
        <v>24</v>
      </c>
      <c r="BR92" s="181">
        <f t="shared" si="34"/>
        <v>19</v>
      </c>
      <c r="BS92" s="182">
        <f t="shared" si="35"/>
        <v>36</v>
      </c>
      <c r="BT92" s="183" t="str">
        <f t="shared" si="36"/>
        <v>BOUBOU GEGE</v>
      </c>
      <c r="BU92" s="184">
        <f t="shared" si="37"/>
        <v>37</v>
      </c>
      <c r="BV92" s="185" t="str">
        <f t="shared" si="38"/>
        <v>DOMINIQUE CHRISTIAN</v>
      </c>
      <c r="BW92" s="186"/>
      <c r="BX92" s="186"/>
      <c r="CC92" s="1">
        <v>0</v>
      </c>
      <c r="CD92" s="1">
        <v>0</v>
      </c>
      <c r="CL92" s="20">
        <v>92</v>
      </c>
    </row>
    <row r="93" spans="6:90">
      <c r="M93" s="4"/>
      <c r="N93" s="27"/>
      <c r="O93" s="17"/>
      <c r="P93" s="17"/>
      <c r="Q93" s="27"/>
      <c r="R93" s="27"/>
      <c r="S93" s="4"/>
      <c r="T93" s="4"/>
      <c r="U93" s="4"/>
      <c r="V93" s="4"/>
      <c r="BM93" s="12">
        <v>93</v>
      </c>
      <c r="BQ93" s="180" t="s">
        <v>24</v>
      </c>
      <c r="BR93" s="181">
        <f t="shared" si="34"/>
        <v>20</v>
      </c>
      <c r="BS93" s="182">
        <f t="shared" si="35"/>
        <v>48</v>
      </c>
      <c r="BT93" s="183" t="str">
        <f t="shared" si="36"/>
        <v>LUC</v>
      </c>
      <c r="BU93" s="184">
        <f t="shared" si="37"/>
        <v>41</v>
      </c>
      <c r="BV93" s="185" t="str">
        <f t="shared" si="38"/>
        <v>ALAIN ALCIDE</v>
      </c>
      <c r="BW93" s="186"/>
      <c r="BX93" s="186"/>
      <c r="CC93" s="1">
        <v>0</v>
      </c>
      <c r="CD93" s="1">
        <v>0</v>
      </c>
      <c r="CL93" s="20">
        <v>93</v>
      </c>
    </row>
    <row r="94" spans="6:90">
      <c r="M94" s="4"/>
      <c r="N94" s="27"/>
      <c r="O94" s="17"/>
      <c r="P94" s="17"/>
      <c r="Q94" s="27"/>
      <c r="R94" s="27"/>
      <c r="S94" s="4"/>
      <c r="T94" s="4"/>
      <c r="U94" s="4"/>
      <c r="V94" s="4"/>
      <c r="BM94" s="12">
        <v>94</v>
      </c>
      <c r="BQ94" s="180" t="s">
        <v>24</v>
      </c>
      <c r="BR94" s="181">
        <f t="shared" si="34"/>
        <v>21</v>
      </c>
      <c r="BS94" s="182">
        <f t="shared" si="35"/>
        <v>31</v>
      </c>
      <c r="BT94" s="183" t="str">
        <f t="shared" si="36"/>
        <v>VERO JEAN</v>
      </c>
      <c r="BU94" s="184">
        <f t="shared" si="37"/>
        <v>29</v>
      </c>
      <c r="BV94" s="185" t="str">
        <f t="shared" si="38"/>
        <v>PATRICK PIERRE</v>
      </c>
      <c r="BW94" s="186"/>
      <c r="BX94" s="186"/>
      <c r="CC94" s="1">
        <v>0</v>
      </c>
      <c r="CD94" s="1">
        <v>0</v>
      </c>
      <c r="CL94" s="20">
        <v>94</v>
      </c>
    </row>
    <row r="95" spans="6:90">
      <c r="M95" s="4"/>
      <c r="N95" s="27"/>
      <c r="O95" s="17"/>
      <c r="P95" s="17"/>
      <c r="Q95" s="27"/>
      <c r="R95" s="27"/>
      <c r="S95" s="4"/>
      <c r="T95" s="4"/>
      <c r="U95" s="4"/>
      <c r="V95" s="4"/>
      <c r="BM95" s="12">
        <v>95</v>
      </c>
      <c r="BQ95" s="180" t="s">
        <v>24</v>
      </c>
      <c r="BR95" s="181">
        <f t="shared" si="34"/>
        <v>22</v>
      </c>
      <c r="BS95" s="182">
        <f t="shared" si="35"/>
        <v>50</v>
      </c>
      <c r="BT95" s="183" t="str">
        <f t="shared" si="36"/>
        <v>FLORENTIN</v>
      </c>
      <c r="BU95" s="184">
        <f t="shared" si="37"/>
        <v>34</v>
      </c>
      <c r="BV95" s="185" t="str">
        <f t="shared" si="38"/>
        <v>NONO BRUNO</v>
      </c>
      <c r="BW95" s="186"/>
      <c r="BX95" s="186"/>
      <c r="CC95" s="1">
        <v>0</v>
      </c>
      <c r="CD95" s="1">
        <v>0</v>
      </c>
      <c r="CL95" s="20">
        <v>95</v>
      </c>
    </row>
    <row r="96" spans="6:90">
      <c r="M96" s="4"/>
      <c r="N96" s="27"/>
      <c r="O96" s="17"/>
      <c r="P96" s="17"/>
      <c r="Q96" s="27"/>
      <c r="R96" s="27"/>
      <c r="S96" s="4"/>
      <c r="T96" s="4"/>
      <c r="U96" s="4"/>
      <c r="V96" s="4"/>
      <c r="BM96" s="12">
        <v>96</v>
      </c>
      <c r="BQ96" s="180" t="s">
        <v>24</v>
      </c>
      <c r="BR96" s="181">
        <f t="shared" si="34"/>
        <v>23</v>
      </c>
      <c r="BS96" s="182">
        <f t="shared" si="35"/>
        <v>33</v>
      </c>
      <c r="BT96" s="183" t="str">
        <f t="shared" si="36"/>
        <v>SERGE MARTIAL</v>
      </c>
      <c r="BU96" s="184">
        <f t="shared" si="37"/>
        <v>52</v>
      </c>
      <c r="BV96" s="185" t="str">
        <f t="shared" si="38"/>
        <v>ABEL</v>
      </c>
      <c r="BW96" s="186"/>
      <c r="BX96" s="186"/>
      <c r="CC96" s="1">
        <v>0</v>
      </c>
      <c r="CD96" s="1">
        <v>0</v>
      </c>
      <c r="CL96" s="20">
        <v>96</v>
      </c>
    </row>
    <row r="97" spans="2:90">
      <c r="M97" s="4"/>
      <c r="N97" s="27"/>
      <c r="O97" s="17"/>
      <c r="P97" s="17"/>
      <c r="Q97" s="27"/>
      <c r="R97" s="27"/>
      <c r="S97" s="4"/>
      <c r="T97" s="4"/>
      <c r="U97" s="4"/>
      <c r="V97" s="4"/>
      <c r="BM97" s="12">
        <v>97</v>
      </c>
      <c r="BQ97" s="180" t="s">
        <v>24</v>
      </c>
      <c r="BR97" s="181">
        <f t="shared" si="34"/>
        <v>24</v>
      </c>
      <c r="BS97" s="182">
        <f t="shared" si="35"/>
        <v>40</v>
      </c>
      <c r="BT97" s="183" t="str">
        <f t="shared" si="36"/>
        <v>CHRISTIAN DANIELLE</v>
      </c>
      <c r="BU97" s="184">
        <f t="shared" si="37"/>
        <v>45</v>
      </c>
      <c r="BV97" s="185" t="str">
        <f t="shared" si="38"/>
        <v>RENAUD</v>
      </c>
      <c r="BW97" s="186"/>
      <c r="BX97" s="186"/>
      <c r="CC97" s="1">
        <v>0</v>
      </c>
      <c r="CD97" s="1">
        <v>0</v>
      </c>
      <c r="CL97" s="20">
        <v>97</v>
      </c>
    </row>
    <row r="98" spans="2:90">
      <c r="M98" s="4"/>
      <c r="N98" s="27"/>
      <c r="O98" s="17"/>
      <c r="P98" s="17"/>
      <c r="Q98" s="27"/>
      <c r="R98" s="27"/>
      <c r="S98" s="4"/>
      <c r="T98" s="4"/>
      <c r="U98" s="4"/>
      <c r="V98" s="4"/>
      <c r="BM98" s="12">
        <v>98</v>
      </c>
      <c r="BQ98" s="180" t="s">
        <v>24</v>
      </c>
      <c r="BR98" s="181">
        <f t="shared" si="34"/>
        <v>25</v>
      </c>
      <c r="BS98" s="182">
        <f t="shared" si="35"/>
        <v>28</v>
      </c>
      <c r="BT98" s="183" t="str">
        <f t="shared" si="36"/>
        <v>JOSIANE ODILE</v>
      </c>
      <c r="BU98" s="184">
        <f t="shared" si="37"/>
        <v>38</v>
      </c>
      <c r="BV98" s="185" t="str">
        <f t="shared" si="38"/>
        <v>CHRISTIAN JEAN PIERRE</v>
      </c>
      <c r="BW98" s="186"/>
      <c r="BX98" s="186"/>
      <c r="CC98" s="1">
        <v>0</v>
      </c>
      <c r="CD98" s="1">
        <v>0</v>
      </c>
      <c r="CL98" s="20">
        <v>98</v>
      </c>
    </row>
    <row r="99" spans="2:90">
      <c r="M99" s="4"/>
      <c r="N99" s="27"/>
      <c r="O99" s="17"/>
      <c r="P99" s="17"/>
      <c r="Q99" s="27"/>
      <c r="R99" s="27"/>
      <c r="S99" s="4"/>
      <c r="T99" s="4"/>
      <c r="U99" s="4"/>
      <c r="V99" s="4"/>
      <c r="BM99" s="12">
        <v>99</v>
      </c>
      <c r="BQ99" s="180" t="s">
        <v>24</v>
      </c>
      <c r="BR99" s="181">
        <f t="shared" si="34"/>
        <v>26</v>
      </c>
      <c r="BS99" s="182">
        <f t="shared" si="35"/>
        <v>43</v>
      </c>
      <c r="BT99" s="183" t="str">
        <f t="shared" si="36"/>
        <v>DAVID MICHEL</v>
      </c>
      <c r="BU99" s="184">
        <f t="shared" si="37"/>
        <v>47</v>
      </c>
      <c r="BV99" s="185" t="str">
        <f t="shared" si="38"/>
        <v>HERMAN</v>
      </c>
      <c r="BW99" s="186"/>
      <c r="BX99" s="186"/>
      <c r="CC99" s="1">
        <v>0</v>
      </c>
      <c r="CD99" s="1">
        <v>0</v>
      </c>
      <c r="CL99" s="20">
        <v>99</v>
      </c>
    </row>
    <row r="100" spans="2:90">
      <c r="B100" s="1">
        <f>[1]tirage_po!G4</f>
        <v>28</v>
      </c>
      <c r="C100" s="7"/>
      <c r="D100" s="179"/>
      <c r="E100" s="187"/>
      <c r="F100" s="155"/>
      <c r="G100" s="156"/>
      <c r="H100" s="156"/>
      <c r="I100" s="169"/>
      <c r="J100" s="7"/>
      <c r="K100" s="7"/>
      <c r="L100" s="7"/>
      <c r="M100" s="7"/>
      <c r="N100" s="8"/>
      <c r="O100" s="9"/>
      <c r="P100" s="9"/>
      <c r="Q100" s="8"/>
      <c r="R100" s="8"/>
      <c r="S100" s="7"/>
      <c r="T100" s="7"/>
      <c r="U100" s="7"/>
      <c r="V100" s="7"/>
      <c r="Z100" s="152"/>
      <c r="AA100" s="153"/>
      <c r="AB100" s="154"/>
      <c r="AC100" s="155"/>
      <c r="AD100" s="156"/>
      <c r="AE100" s="153"/>
      <c r="AF100" s="157"/>
      <c r="AG100" s="155"/>
      <c r="AH100" s="188"/>
      <c r="AI100" s="188"/>
      <c r="BM100" s="12">
        <v>100</v>
      </c>
      <c r="BQ100" s="180" t="s">
        <v>24</v>
      </c>
      <c r="BR100" s="181">
        <f t="shared" si="34"/>
        <v>27</v>
      </c>
      <c r="BS100" s="182">
        <f t="shared" si="35"/>
        <v>30</v>
      </c>
      <c r="BT100" s="183" t="str">
        <f t="shared" si="36"/>
        <v>JEAN LUC POLO</v>
      </c>
      <c r="BU100" s="184">
        <f t="shared" si="37"/>
        <v>44</v>
      </c>
      <c r="BV100" s="185" t="str">
        <f t="shared" si="38"/>
        <v>PATRICK ROGER</v>
      </c>
      <c r="BW100" s="186"/>
      <c r="BX100" s="186"/>
      <c r="CC100" s="1">
        <v>0</v>
      </c>
      <c r="CD100" s="1">
        <v>0</v>
      </c>
      <c r="CL100" s="20">
        <v>100</v>
      </c>
    </row>
    <row r="101" spans="2:90">
      <c r="B101" s="1">
        <f>[1]resultat!AJ2</f>
        <v>26</v>
      </c>
      <c r="C101" s="189" t="s">
        <v>15</v>
      </c>
      <c r="D101" s="190"/>
      <c r="E101" s="187"/>
      <c r="F101" s="191"/>
      <c r="G101" s="8"/>
      <c r="H101" s="8"/>
      <c r="I101" s="192"/>
      <c r="J101" s="193"/>
      <c r="K101" s="174"/>
      <c r="L101" s="174"/>
      <c r="M101" s="8"/>
      <c r="N101" s="8"/>
      <c r="O101" s="8"/>
      <c r="P101" s="95"/>
      <c r="Q101" s="8"/>
      <c r="R101" s="8"/>
      <c r="S101" s="8"/>
      <c r="T101" s="97"/>
      <c r="U101" s="8"/>
      <c r="V101" s="8"/>
      <c r="W101" s="8"/>
      <c r="Y101" s="8"/>
      <c r="Z101" s="152"/>
      <c r="AA101" s="153"/>
      <c r="AB101" s="154"/>
      <c r="AC101" s="155"/>
      <c r="AD101" s="156"/>
      <c r="AE101" s="153"/>
      <c r="AF101" s="157"/>
      <c r="AG101" s="155"/>
      <c r="AH101" s="188"/>
      <c r="AI101" s="188"/>
      <c r="AJ101" s="194"/>
      <c r="AN101" s="97"/>
      <c r="AT101" s="95"/>
      <c r="AX101" s="97"/>
      <c r="BD101" s="95"/>
      <c r="BH101" s="195"/>
      <c r="BM101" s="12">
        <v>101</v>
      </c>
      <c r="BQ101" s="180" t="s">
        <v>24</v>
      </c>
      <c r="BR101" s="181">
        <f t="shared" si="34"/>
        <v>28</v>
      </c>
      <c r="BS101" s="182">
        <f t="shared" si="35"/>
        <v>51</v>
      </c>
      <c r="BT101" s="183" t="str">
        <f t="shared" si="36"/>
        <v>BEAUDOUIN</v>
      </c>
      <c r="BU101" s="184">
        <f t="shared" si="37"/>
        <v>49</v>
      </c>
      <c r="BV101" s="185" t="str">
        <f t="shared" si="38"/>
        <v>OLIVIER</v>
      </c>
      <c r="BW101" s="186"/>
      <c r="BX101" s="186"/>
      <c r="CC101" s="1">
        <v>0</v>
      </c>
      <c r="CD101" s="1">
        <v>0</v>
      </c>
      <c r="CL101" s="20">
        <v>101</v>
      </c>
    </row>
    <row r="102" spans="2:90">
      <c r="C102" s="189" t="s">
        <v>15</v>
      </c>
      <c r="D102" s="190"/>
      <c r="E102" s="187"/>
      <c r="F102" s="191"/>
      <c r="G102" s="8"/>
      <c r="H102" s="8"/>
      <c r="I102" s="192"/>
      <c r="J102" s="193"/>
      <c r="K102" s="175"/>
      <c r="L102" s="175"/>
      <c r="M102" s="8"/>
      <c r="N102" s="8"/>
      <c r="O102" s="8"/>
      <c r="P102" s="95"/>
      <c r="Q102" s="8"/>
      <c r="R102" s="8"/>
      <c r="S102" s="8"/>
      <c r="T102" s="97"/>
      <c r="U102" s="8"/>
      <c r="V102" s="8"/>
      <c r="W102" s="8"/>
      <c r="Y102" s="8"/>
      <c r="Z102" s="152"/>
      <c r="AA102" s="153"/>
      <c r="AB102" s="154"/>
      <c r="AC102" s="155"/>
      <c r="AD102" s="156"/>
      <c r="AE102" s="153"/>
      <c r="AF102" s="157"/>
      <c r="AG102" s="155"/>
      <c r="AH102" s="188"/>
      <c r="AI102" s="188"/>
      <c r="AJ102" s="194"/>
      <c r="AN102" s="97"/>
      <c r="AT102" s="95"/>
      <c r="AX102" s="97"/>
      <c r="BD102" s="95"/>
      <c r="BH102" s="195"/>
      <c r="BM102" s="12">
        <v>102</v>
      </c>
      <c r="BQ102" s="180" t="s">
        <v>24</v>
      </c>
      <c r="BR102" s="181">
        <f t="shared" si="34"/>
        <v>29</v>
      </c>
      <c r="BS102" s="182">
        <f t="shared" si="35"/>
        <v>46</v>
      </c>
      <c r="BT102" s="183" t="str">
        <f t="shared" si="36"/>
        <v xml:space="preserve">SERGE  </v>
      </c>
      <c r="BU102" s="184">
        <f t="shared" si="37"/>
        <v>35</v>
      </c>
      <c r="BV102" s="185" t="str">
        <f t="shared" si="38"/>
        <v>EASIO CHRISTIAN</v>
      </c>
      <c r="BW102" s="186"/>
      <c r="BX102" s="186"/>
      <c r="CC102" s="1">
        <v>0</v>
      </c>
      <c r="CD102" s="1">
        <v>0</v>
      </c>
      <c r="CL102" s="20">
        <v>102</v>
      </c>
    </row>
    <row r="103" spans="2:90">
      <c r="C103" s="189" t="s">
        <v>15</v>
      </c>
      <c r="D103" s="190"/>
      <c r="E103" s="187"/>
      <c r="F103" s="191"/>
      <c r="G103" s="8"/>
      <c r="H103" s="8"/>
      <c r="I103" s="192"/>
      <c r="J103" s="193"/>
      <c r="K103" s="158"/>
      <c r="L103" s="158"/>
      <c r="M103" s="8"/>
      <c r="N103" s="8"/>
      <c r="O103" s="8"/>
      <c r="P103" s="95"/>
      <c r="Q103" s="8"/>
      <c r="R103" s="8"/>
      <c r="S103" s="8"/>
      <c r="T103" s="97"/>
      <c r="U103" s="8"/>
      <c r="V103" s="8"/>
      <c r="W103" s="8"/>
      <c r="Y103" s="8"/>
      <c r="Z103" s="152"/>
      <c r="AA103" s="153"/>
      <c r="AB103" s="154"/>
      <c r="AC103" s="155"/>
      <c r="AD103" s="156"/>
      <c r="AE103" s="153"/>
      <c r="AF103" s="157"/>
      <c r="AG103" s="155"/>
      <c r="AH103" s="188"/>
      <c r="AI103" s="188"/>
      <c r="AJ103" s="194"/>
      <c r="AN103" s="97"/>
      <c r="AT103" s="95"/>
      <c r="AX103" s="97"/>
      <c r="BD103" s="95"/>
      <c r="BH103" s="195"/>
      <c r="BM103" s="12">
        <v>103</v>
      </c>
      <c r="BQ103" s="180" t="s">
        <v>24</v>
      </c>
      <c r="BR103" s="181">
        <f t="shared" si="34"/>
        <v>30</v>
      </c>
      <c r="BS103" s="182">
        <f t="shared" si="35"/>
        <v>39</v>
      </c>
      <c r="BT103" s="183" t="str">
        <f t="shared" si="36"/>
        <v>LOLO GEGE</v>
      </c>
      <c r="BU103" s="184">
        <f t="shared" si="37"/>
        <v>27</v>
      </c>
      <c r="BV103" s="185" t="str">
        <f t="shared" si="38"/>
        <v>MICHEL CHARLES</v>
      </c>
      <c r="BW103" s="186"/>
      <c r="BX103" s="186"/>
      <c r="CC103" s="1">
        <v>0</v>
      </c>
      <c r="CD103" s="1">
        <v>0</v>
      </c>
      <c r="CL103" s="20">
        <v>103</v>
      </c>
    </row>
    <row r="104" spans="2:90">
      <c r="C104" s="189" t="s">
        <v>15</v>
      </c>
      <c r="D104" s="190"/>
      <c r="E104" s="187"/>
      <c r="F104" s="191"/>
      <c r="G104" s="8"/>
      <c r="H104" s="8"/>
      <c r="I104" s="192"/>
      <c r="J104" s="193"/>
      <c r="K104" s="8"/>
      <c r="L104" s="8"/>
      <c r="M104" s="8"/>
      <c r="N104" s="8"/>
      <c r="O104" s="8"/>
      <c r="P104" s="95"/>
      <c r="Q104" s="8"/>
      <c r="R104" s="8"/>
      <c r="S104" s="8"/>
      <c r="T104" s="97"/>
      <c r="U104" s="8"/>
      <c r="V104" s="8"/>
      <c r="W104" s="8"/>
      <c r="Y104" s="8"/>
      <c r="Z104" s="152"/>
      <c r="AA104" s="153"/>
      <c r="AB104" s="154"/>
      <c r="AC104" s="155"/>
      <c r="AD104" s="156"/>
      <c r="AE104" s="153"/>
      <c r="AF104" s="157"/>
      <c r="AG104" s="155"/>
      <c r="AH104" s="188"/>
      <c r="AI104" s="188"/>
      <c r="AJ104" s="194"/>
      <c r="AN104" s="97"/>
      <c r="AT104" s="95"/>
      <c r="AX104" s="97"/>
      <c r="BD104" s="95"/>
      <c r="BH104" s="195"/>
      <c r="BM104" s="12">
        <v>104</v>
      </c>
      <c r="BQ104" s="180" t="s">
        <v>24</v>
      </c>
      <c r="BR104" s="181">
        <f t="shared" si="34"/>
        <v>31</v>
      </c>
      <c r="BS104" s="182">
        <f t="shared" si="35"/>
        <v>0</v>
      </c>
      <c r="BT104" s="183">
        <f t="shared" si="36"/>
        <v>0</v>
      </c>
      <c r="BU104" s="184">
        <f t="shared" si="37"/>
        <v>0</v>
      </c>
      <c r="BV104" s="185">
        <f t="shared" si="38"/>
        <v>0</v>
      </c>
      <c r="BW104" s="186"/>
      <c r="BX104" s="186"/>
      <c r="CC104" s="1">
        <v>0</v>
      </c>
      <c r="CD104" s="1">
        <v>0</v>
      </c>
      <c r="CL104" s="20">
        <v>104</v>
      </c>
    </row>
    <row r="105" spans="2:90" ht="18.75" thickBot="1">
      <c r="C105" s="189" t="s">
        <v>15</v>
      </c>
      <c r="D105" s="190"/>
      <c r="E105" s="187"/>
      <c r="F105" s="191"/>
      <c r="G105" s="8"/>
      <c r="H105" s="8"/>
      <c r="I105" s="192"/>
      <c r="J105" s="193"/>
      <c r="K105" s="8"/>
      <c r="L105" s="8"/>
      <c r="M105" s="8"/>
      <c r="N105" s="8"/>
      <c r="O105" s="8"/>
      <c r="P105" s="95"/>
      <c r="Q105" s="8"/>
      <c r="R105" s="8"/>
      <c r="S105" s="8"/>
      <c r="T105" s="97"/>
      <c r="U105" s="8"/>
      <c r="V105" s="8"/>
      <c r="W105" s="8"/>
      <c r="Y105" s="8"/>
      <c r="Z105" s="152"/>
      <c r="AA105" s="153"/>
      <c r="AB105" s="154"/>
      <c r="AC105" s="155"/>
      <c r="AD105" s="156"/>
      <c r="AE105" s="153"/>
      <c r="AF105" s="157"/>
      <c r="AG105" s="155"/>
      <c r="AH105" s="188"/>
      <c r="AI105" s="188"/>
      <c r="AJ105" s="194"/>
      <c r="AN105" s="97"/>
      <c r="AT105" s="95"/>
      <c r="AX105" s="97"/>
      <c r="BD105" s="95"/>
      <c r="BH105" s="195"/>
      <c r="BM105" s="12">
        <v>105</v>
      </c>
      <c r="BQ105" s="196" t="s">
        <v>24</v>
      </c>
      <c r="BR105" s="197">
        <f t="shared" si="34"/>
        <v>32</v>
      </c>
      <c r="BS105" s="198">
        <f t="shared" si="35"/>
        <v>0</v>
      </c>
      <c r="BT105" s="199">
        <f t="shared" si="36"/>
        <v>0</v>
      </c>
      <c r="BU105" s="200">
        <f t="shared" si="37"/>
        <v>0</v>
      </c>
      <c r="BV105" s="201">
        <f t="shared" si="38"/>
        <v>0</v>
      </c>
      <c r="BW105" s="202"/>
      <c r="BX105" s="202"/>
      <c r="CC105" s="1">
        <v>0</v>
      </c>
      <c r="CD105" s="1">
        <v>0</v>
      </c>
      <c r="CL105" s="20">
        <v>105</v>
      </c>
    </row>
    <row r="106" spans="2:90" ht="18.75">
      <c r="B106" s="37">
        <v>1</v>
      </c>
      <c r="C106" s="189" t="s">
        <v>15</v>
      </c>
      <c r="D106" s="190"/>
      <c r="E106" s="187"/>
      <c r="F106" s="191"/>
      <c r="G106" s="8"/>
      <c r="H106" s="8"/>
      <c r="I106" s="192"/>
      <c r="J106" s="193"/>
      <c r="K106" s="8"/>
      <c r="L106" s="8"/>
      <c r="M106" s="8"/>
      <c r="N106" s="8"/>
      <c r="O106" s="8"/>
      <c r="P106" s="95"/>
      <c r="Q106" s="8"/>
      <c r="R106" s="8"/>
      <c r="S106" s="8"/>
      <c r="T106" s="97"/>
      <c r="U106" s="8"/>
      <c r="V106" s="8"/>
      <c r="W106" s="8"/>
      <c r="Y106" s="8"/>
      <c r="Z106" s="152"/>
      <c r="AA106" s="153"/>
      <c r="AB106" s="154"/>
      <c r="AC106" s="155"/>
      <c r="AD106" s="156"/>
      <c r="AE106" s="153"/>
      <c r="AF106" s="157"/>
      <c r="AG106" s="155"/>
      <c r="AH106" s="188"/>
      <c r="AI106" s="188"/>
      <c r="AJ106" s="194"/>
      <c r="AN106" s="97"/>
      <c r="AT106" s="95"/>
      <c r="AX106" s="97"/>
      <c r="BD106" s="95"/>
      <c r="BH106" s="195"/>
      <c r="BM106" s="12">
        <v>106</v>
      </c>
      <c r="BQ106" s="148"/>
      <c r="BR106" s="149"/>
      <c r="BS106" s="150"/>
      <c r="BT106" s="151"/>
      <c r="BU106" s="150"/>
      <c r="BV106" s="151"/>
      <c r="BW106" s="150"/>
      <c r="BX106" s="150"/>
      <c r="CC106" s="1">
        <v>0</v>
      </c>
      <c r="CD106" s="1">
        <v>0</v>
      </c>
      <c r="CL106" s="20">
        <v>106</v>
      </c>
    </row>
    <row r="107" spans="2:90" ht="18.75">
      <c r="B107" s="37">
        <v>2</v>
      </c>
      <c r="C107" s="189" t="s">
        <v>15</v>
      </c>
      <c r="D107" s="190"/>
      <c r="E107" s="187"/>
      <c r="F107" s="191"/>
      <c r="G107" s="8"/>
      <c r="H107" s="8"/>
      <c r="I107" s="192"/>
      <c r="J107" s="193"/>
      <c r="K107" s="8"/>
      <c r="L107" s="8"/>
      <c r="M107" s="8"/>
      <c r="N107" s="8"/>
      <c r="O107" s="8"/>
      <c r="P107" s="95"/>
      <c r="Q107" s="8"/>
      <c r="R107" s="8"/>
      <c r="S107" s="8"/>
      <c r="T107" s="97"/>
      <c r="U107" s="8"/>
      <c r="V107" s="8"/>
      <c r="W107" s="8"/>
      <c r="Y107" s="8"/>
      <c r="Z107" s="152"/>
      <c r="AA107" s="153"/>
      <c r="AB107" s="154"/>
      <c r="AC107" s="155"/>
      <c r="AD107" s="156"/>
      <c r="AE107" s="153"/>
      <c r="AF107" s="157"/>
      <c r="AG107" s="155"/>
      <c r="AH107" s="188"/>
      <c r="AI107" s="188"/>
      <c r="AJ107" s="194"/>
      <c r="AN107" s="97"/>
      <c r="AT107" s="95"/>
      <c r="AX107" s="97"/>
      <c r="BD107" s="95"/>
      <c r="BH107" s="195"/>
      <c r="BM107" s="12">
        <v>107</v>
      </c>
      <c r="BQ107" s="148"/>
      <c r="BR107" s="149"/>
      <c r="BS107" s="150"/>
      <c r="BT107" s="151"/>
      <c r="BU107" s="150"/>
      <c r="BV107" s="151"/>
      <c r="BW107" s="150"/>
      <c r="BX107" s="150"/>
      <c r="CC107" s="1">
        <v>0</v>
      </c>
      <c r="CD107" s="1">
        <v>0</v>
      </c>
      <c r="CL107" s="20">
        <v>107</v>
      </c>
    </row>
    <row r="108" spans="2:90" ht="33.75">
      <c r="B108" s="37">
        <v>3</v>
      </c>
      <c r="C108" s="189" t="s">
        <v>15</v>
      </c>
      <c r="D108" s="11"/>
      <c r="E108" s="187"/>
      <c r="F108" s="203"/>
      <c r="G108" s="8"/>
      <c r="H108" s="8"/>
      <c r="I108" s="204"/>
      <c r="J108" s="205"/>
      <c r="K108" s="8"/>
      <c r="L108" s="8"/>
      <c r="M108" s="8"/>
      <c r="N108" s="8"/>
      <c r="O108" s="8"/>
      <c r="P108" s="95"/>
      <c r="Q108" s="8"/>
      <c r="R108" s="8"/>
      <c r="S108" s="8"/>
      <c r="T108" s="97"/>
      <c r="U108" s="8"/>
      <c r="V108" s="8"/>
      <c r="W108" s="8"/>
      <c r="Y108" s="8"/>
      <c r="Z108" s="206"/>
      <c r="AA108" s="206"/>
      <c r="AB108" s="206"/>
      <c r="AC108" s="206"/>
      <c r="AD108" s="206"/>
      <c r="AE108" s="206"/>
      <c r="AF108" s="206"/>
      <c r="AG108" s="206"/>
      <c r="AH108" s="206"/>
      <c r="AI108" s="206"/>
      <c r="AJ108" s="194"/>
      <c r="AN108" s="97"/>
      <c r="AT108" s="95"/>
      <c r="AX108" s="97"/>
      <c r="BD108" s="95"/>
      <c r="BH108" s="195"/>
      <c r="BM108" s="12">
        <v>108</v>
      </c>
      <c r="BQ108" s="148"/>
      <c r="BR108" s="149"/>
      <c r="BS108" s="150"/>
      <c r="BT108" s="151"/>
      <c r="BU108" s="150"/>
      <c r="BV108" s="151"/>
      <c r="BW108" s="150"/>
      <c r="BX108" s="150"/>
      <c r="CC108" s="1">
        <v>0</v>
      </c>
      <c r="CD108" s="1">
        <v>0</v>
      </c>
      <c r="CL108" s="20">
        <v>108</v>
      </c>
    </row>
    <row r="109" spans="2:90" ht="19.5" thickBot="1">
      <c r="B109" s="37">
        <v>4</v>
      </c>
      <c r="C109" s="189" t="s">
        <v>15</v>
      </c>
      <c r="D109" s="8"/>
      <c r="E109" s="187"/>
      <c r="F109" s="203"/>
      <c r="G109" s="8"/>
      <c r="H109" s="8"/>
      <c r="I109" s="204"/>
      <c r="J109" s="207"/>
      <c r="K109" s="8"/>
      <c r="L109" s="8"/>
      <c r="M109" s="8"/>
      <c r="N109" s="8"/>
      <c r="O109" s="8"/>
      <c r="P109" s="113"/>
      <c r="Q109" s="8"/>
      <c r="R109" s="8"/>
      <c r="S109" s="8"/>
      <c r="T109" s="114"/>
      <c r="U109" s="8"/>
      <c r="V109" s="8"/>
      <c r="W109" s="8"/>
      <c r="Y109" s="8"/>
      <c r="Z109" s="152"/>
      <c r="AA109" s="153"/>
      <c r="AB109" s="154"/>
      <c r="AC109" s="155"/>
      <c r="AD109" s="156"/>
      <c r="AE109" s="153"/>
      <c r="AF109" s="157"/>
      <c r="AG109" s="155"/>
      <c r="AH109" s="188"/>
      <c r="AI109" s="188"/>
      <c r="AJ109" s="194"/>
      <c r="AN109" s="114"/>
      <c r="AT109" s="95"/>
      <c r="AX109" s="97"/>
      <c r="BD109" s="95"/>
      <c r="BH109" s="195"/>
      <c r="BM109" s="12">
        <v>109</v>
      </c>
      <c r="BQ109" s="148"/>
      <c r="BR109" s="149"/>
      <c r="BS109" s="150"/>
      <c r="BT109" s="151"/>
      <c r="BU109" s="150"/>
      <c r="BV109" s="151"/>
      <c r="BW109" s="150"/>
      <c r="BX109" s="150"/>
      <c r="CC109" s="1">
        <v>0</v>
      </c>
      <c r="CD109" s="1">
        <v>0</v>
      </c>
      <c r="CL109" s="20">
        <v>109</v>
      </c>
    </row>
    <row r="110" spans="2:90" ht="18.75">
      <c r="B110" s="37">
        <v>5</v>
      </c>
      <c r="C110" s="189" t="s">
        <v>15</v>
      </c>
      <c r="D110" s="8"/>
      <c r="E110" s="187"/>
      <c r="F110" s="203"/>
      <c r="G110" s="8"/>
      <c r="H110" s="8"/>
      <c r="I110" s="204"/>
      <c r="J110" s="207"/>
      <c r="K110" s="8"/>
      <c r="L110" s="8"/>
      <c r="M110" s="8"/>
      <c r="N110" s="8"/>
      <c r="O110" s="8"/>
      <c r="P110" s="95"/>
      <c r="Q110" s="8"/>
      <c r="R110" s="8"/>
      <c r="S110" s="8"/>
      <c r="T110" s="97"/>
      <c r="U110" s="8"/>
      <c r="V110" s="8"/>
      <c r="W110" s="8"/>
      <c r="Y110" s="8"/>
      <c r="Z110" s="152"/>
      <c r="AA110" s="153"/>
      <c r="AB110" s="154"/>
      <c r="AC110" s="155"/>
      <c r="AD110" s="156"/>
      <c r="AE110" s="153"/>
      <c r="AF110" s="157"/>
      <c r="AG110" s="155"/>
      <c r="AH110" s="188"/>
      <c r="AI110" s="188"/>
      <c r="AJ110" s="194"/>
      <c r="AN110" s="97"/>
      <c r="AT110" s="95"/>
      <c r="AX110" s="97"/>
      <c r="BD110" s="95"/>
      <c r="BH110" s="195"/>
      <c r="BM110" s="12">
        <v>110</v>
      </c>
      <c r="BQ110" s="148"/>
      <c r="BR110" s="149"/>
      <c r="BS110" s="150"/>
      <c r="BT110" s="151"/>
      <c r="BU110" s="150"/>
      <c r="BV110" s="151"/>
      <c r="BW110" s="150"/>
      <c r="BX110" s="150"/>
      <c r="CC110" s="1">
        <v>0</v>
      </c>
      <c r="CD110" s="1">
        <v>0</v>
      </c>
      <c r="CL110" s="20">
        <v>110</v>
      </c>
    </row>
    <row r="111" spans="2:90" ht="18.75">
      <c r="B111" s="37">
        <v>6</v>
      </c>
      <c r="C111" s="189" t="s">
        <v>15</v>
      </c>
      <c r="D111" s="8"/>
      <c r="E111" s="187"/>
      <c r="F111" s="203"/>
      <c r="G111" s="8"/>
      <c r="H111" s="8"/>
      <c r="I111" s="204"/>
      <c r="J111" s="207"/>
      <c r="K111" s="8"/>
      <c r="L111" s="8"/>
      <c r="M111" s="8"/>
      <c r="N111" s="8"/>
      <c r="O111" s="8"/>
      <c r="P111" s="95"/>
      <c r="Q111" s="8"/>
      <c r="R111" s="8"/>
      <c r="S111" s="8"/>
      <c r="T111" s="97"/>
      <c r="U111" s="8"/>
      <c r="V111" s="8"/>
      <c r="W111" s="8"/>
      <c r="Y111" s="8"/>
      <c r="Z111" s="152"/>
      <c r="AA111" s="153"/>
      <c r="AB111" s="154"/>
      <c r="AC111" s="155"/>
      <c r="AD111" s="156"/>
      <c r="AE111" s="153"/>
      <c r="AF111" s="157"/>
      <c r="AG111" s="155"/>
      <c r="AH111" s="188"/>
      <c r="AI111" s="188"/>
      <c r="AJ111" s="194"/>
      <c r="AN111" s="97"/>
      <c r="AT111" s="95"/>
      <c r="AX111" s="97"/>
      <c r="BD111" s="95"/>
      <c r="BH111" s="195"/>
      <c r="BM111" s="12">
        <v>111</v>
      </c>
      <c r="BQ111" s="148"/>
      <c r="BR111" s="149"/>
      <c r="BS111" s="150"/>
      <c r="BT111" s="151"/>
      <c r="BU111" s="150"/>
      <c r="BV111" s="151"/>
      <c r="BW111" s="150"/>
      <c r="BX111" s="150"/>
      <c r="CC111" s="1">
        <v>0</v>
      </c>
      <c r="CD111" s="1">
        <v>0</v>
      </c>
      <c r="CL111" s="20">
        <v>111</v>
      </c>
    </row>
    <row r="112" spans="2:90" ht="18.75">
      <c r="B112" s="37">
        <v>7</v>
      </c>
      <c r="C112" s="189" t="s">
        <v>15</v>
      </c>
      <c r="D112" s="8"/>
      <c r="E112" s="187"/>
      <c r="F112" s="203"/>
      <c r="G112" s="8"/>
      <c r="H112" s="8"/>
      <c r="I112" s="204"/>
      <c r="J112" s="207"/>
      <c r="K112" s="8"/>
      <c r="L112" s="8"/>
      <c r="M112" s="8"/>
      <c r="N112" s="8"/>
      <c r="O112" s="8"/>
      <c r="P112" s="95"/>
      <c r="Q112" s="8"/>
      <c r="R112" s="8"/>
      <c r="S112" s="8"/>
      <c r="T112" s="97"/>
      <c r="U112" s="8"/>
      <c r="V112" s="8"/>
      <c r="W112" s="8"/>
      <c r="Y112" s="8"/>
      <c r="Z112" s="152"/>
      <c r="AA112" s="153"/>
      <c r="AB112" s="154"/>
      <c r="AC112" s="155"/>
      <c r="AD112" s="156"/>
      <c r="AE112" s="153"/>
      <c r="AF112" s="157"/>
      <c r="AG112" s="155"/>
      <c r="AH112" s="188"/>
      <c r="AI112" s="188"/>
      <c r="AJ112" s="194"/>
      <c r="AN112" s="97"/>
      <c r="AT112" s="95"/>
      <c r="AX112" s="97"/>
      <c r="BD112" s="95"/>
      <c r="BH112" s="195"/>
      <c r="BM112" s="12">
        <v>112</v>
      </c>
      <c r="BQ112" s="148"/>
      <c r="BR112" s="149"/>
      <c r="BS112" s="150"/>
      <c r="BT112" s="151"/>
      <c r="BU112" s="150"/>
      <c r="BV112" s="151"/>
      <c r="BW112" s="150"/>
      <c r="BX112" s="150"/>
      <c r="CC112" s="1">
        <v>0</v>
      </c>
      <c r="CD112" s="1">
        <v>0</v>
      </c>
      <c r="CL112" s="20">
        <v>112</v>
      </c>
    </row>
    <row r="113" spans="2:90" ht="19.5" thickBot="1">
      <c r="B113" s="37">
        <v>8</v>
      </c>
      <c r="C113" s="189" t="s">
        <v>15</v>
      </c>
      <c r="D113" s="8"/>
      <c r="E113" s="187"/>
      <c r="F113" s="203"/>
      <c r="G113" s="8"/>
      <c r="H113" s="8"/>
      <c r="I113" s="204"/>
      <c r="J113" s="207"/>
      <c r="K113" s="8"/>
      <c r="L113" s="8"/>
      <c r="M113" s="8"/>
      <c r="N113" s="8"/>
      <c r="O113" s="8"/>
      <c r="P113" s="113"/>
      <c r="Q113" s="8"/>
      <c r="R113" s="8"/>
      <c r="S113" s="8"/>
      <c r="T113" s="114"/>
      <c r="U113" s="8"/>
      <c r="V113" s="8"/>
      <c r="W113" s="8"/>
      <c r="Y113" s="8"/>
      <c r="Z113" s="152"/>
      <c r="AA113" s="153"/>
      <c r="AB113" s="154"/>
      <c r="AC113" s="155"/>
      <c r="AD113" s="156"/>
      <c r="AE113" s="153"/>
      <c r="AF113" s="157"/>
      <c r="AG113" s="155"/>
      <c r="AH113" s="188"/>
      <c r="AI113" s="188"/>
      <c r="AJ113" s="194"/>
      <c r="AN113" s="114"/>
      <c r="AT113" s="95"/>
      <c r="AX113" s="97"/>
      <c r="BD113" s="95"/>
      <c r="BH113" s="195"/>
      <c r="BM113" s="12">
        <v>113</v>
      </c>
      <c r="BQ113" s="148"/>
      <c r="BR113" s="149"/>
      <c r="BS113" s="150"/>
      <c r="BT113" s="151"/>
      <c r="BU113" s="150"/>
      <c r="BV113" s="151"/>
      <c r="BW113" s="150"/>
      <c r="BX113" s="150"/>
      <c r="CC113" s="1">
        <v>0</v>
      </c>
      <c r="CD113" s="1">
        <v>0</v>
      </c>
      <c r="CL113" s="20">
        <v>113</v>
      </c>
    </row>
    <row r="114" spans="2:90" ht="18.75">
      <c r="B114" s="37">
        <v>9</v>
      </c>
      <c r="C114" s="189" t="s">
        <v>15</v>
      </c>
      <c r="D114" s="8"/>
      <c r="E114" s="187"/>
      <c r="F114" s="203"/>
      <c r="G114" s="8"/>
      <c r="H114" s="8"/>
      <c r="I114" s="204"/>
      <c r="J114" s="207"/>
      <c r="K114" s="8"/>
      <c r="L114" s="8"/>
      <c r="M114" s="8"/>
      <c r="N114" s="8"/>
      <c r="O114" s="8"/>
      <c r="P114" s="95"/>
      <c r="Q114" s="8"/>
      <c r="R114" s="8"/>
      <c r="S114" s="8"/>
      <c r="T114" s="97"/>
      <c r="U114" s="8"/>
      <c r="V114" s="8"/>
      <c r="W114" s="8"/>
      <c r="Y114" s="8"/>
      <c r="Z114" s="152"/>
      <c r="AA114" s="153"/>
      <c r="AB114" s="154"/>
      <c r="AC114" s="155"/>
      <c r="AD114" s="156"/>
      <c r="AE114" s="153"/>
      <c r="AF114" s="157"/>
      <c r="AG114" s="155"/>
      <c r="AH114" s="188"/>
      <c r="AI114" s="188"/>
      <c r="AJ114" s="194"/>
      <c r="AN114" s="97"/>
      <c r="AT114" s="95"/>
      <c r="AX114" s="97"/>
      <c r="BD114" s="95"/>
      <c r="BH114" s="195"/>
      <c r="BM114" s="12">
        <v>114</v>
      </c>
      <c r="BQ114" s="148"/>
      <c r="BR114" s="149"/>
      <c r="BS114" s="150"/>
      <c r="BT114" s="151"/>
      <c r="BU114" s="150"/>
      <c r="BV114" s="151"/>
      <c r="BW114" s="150"/>
      <c r="BX114" s="150"/>
      <c r="CC114" s="1">
        <v>0</v>
      </c>
      <c r="CD114" s="1">
        <v>0</v>
      </c>
      <c r="CL114" s="20">
        <v>114</v>
      </c>
    </row>
    <row r="115" spans="2:90" ht="19.5" thickBot="1">
      <c r="B115" s="37">
        <v>10</v>
      </c>
      <c r="C115" s="189" t="s">
        <v>15</v>
      </c>
      <c r="D115" s="8"/>
      <c r="E115" s="187"/>
      <c r="F115" s="203"/>
      <c r="G115" s="8"/>
      <c r="H115" s="8"/>
      <c r="I115" s="204"/>
      <c r="J115" s="207"/>
      <c r="K115" s="8"/>
      <c r="L115" s="8"/>
      <c r="M115" s="8"/>
      <c r="N115" s="8"/>
      <c r="O115" s="8"/>
      <c r="P115" s="113"/>
      <c r="Q115" s="8"/>
      <c r="R115" s="8"/>
      <c r="S115" s="8"/>
      <c r="T115" s="114"/>
      <c r="U115" s="8"/>
      <c r="V115" s="8"/>
      <c r="W115" s="8"/>
      <c r="Y115" s="8"/>
      <c r="Z115" s="152"/>
      <c r="AA115" s="153"/>
      <c r="AB115" s="154"/>
      <c r="AC115" s="155"/>
      <c r="AD115" s="156"/>
      <c r="AE115" s="153"/>
      <c r="AF115" s="157"/>
      <c r="AG115" s="155"/>
      <c r="AH115" s="188"/>
      <c r="AI115" s="188"/>
      <c r="AJ115" s="194"/>
      <c r="AN115" s="114"/>
      <c r="AT115" s="95"/>
      <c r="AX115" s="97"/>
      <c r="BD115" s="95"/>
      <c r="BH115" s="195"/>
      <c r="BM115" s="12">
        <v>115</v>
      </c>
      <c r="BQ115" s="148"/>
      <c r="BR115" s="149"/>
      <c r="BS115" s="150"/>
      <c r="BT115" s="151"/>
      <c r="BU115" s="150"/>
      <c r="BV115" s="151"/>
      <c r="BW115" s="150"/>
      <c r="BX115" s="150"/>
      <c r="CC115" s="1">
        <v>0</v>
      </c>
      <c r="CD115" s="1">
        <v>0</v>
      </c>
      <c r="CL115" s="20">
        <v>115</v>
      </c>
    </row>
    <row r="116" spans="2:90" ht="18.75">
      <c r="B116" s="37">
        <v>11</v>
      </c>
      <c r="C116" s="189" t="s">
        <v>15</v>
      </c>
      <c r="D116" s="8"/>
      <c r="E116" s="187"/>
      <c r="F116" s="203"/>
      <c r="G116" s="8"/>
      <c r="H116" s="8"/>
      <c r="I116" s="204"/>
      <c r="J116" s="207"/>
      <c r="K116" s="8"/>
      <c r="L116" s="8"/>
      <c r="M116" s="8"/>
      <c r="N116" s="8"/>
      <c r="O116" s="8"/>
      <c r="P116" s="95"/>
      <c r="Q116" s="8"/>
      <c r="R116" s="8"/>
      <c r="S116" s="8"/>
      <c r="T116" s="97"/>
      <c r="U116" s="8"/>
      <c r="V116" s="8"/>
      <c r="W116" s="8"/>
      <c r="Y116" s="8"/>
      <c r="Z116" s="152"/>
      <c r="AA116" s="153"/>
      <c r="AB116" s="154"/>
      <c r="AC116" s="155"/>
      <c r="AD116" s="156"/>
      <c r="AE116" s="153"/>
      <c r="AF116" s="154"/>
      <c r="AG116" s="155"/>
      <c r="AH116" s="188"/>
      <c r="AI116" s="188"/>
      <c r="AJ116" s="194"/>
      <c r="AN116" s="97"/>
      <c r="AT116" s="95"/>
      <c r="AX116" s="97"/>
      <c r="BD116" s="95"/>
      <c r="BH116" s="195"/>
      <c r="BM116" s="12">
        <v>116</v>
      </c>
      <c r="BQ116" s="148"/>
      <c r="BR116" s="149"/>
      <c r="BS116" s="150"/>
      <c r="BT116" s="151"/>
      <c r="BU116" s="150"/>
      <c r="BV116" s="151"/>
      <c r="BW116" s="150"/>
      <c r="BX116" s="150"/>
      <c r="CC116" s="1">
        <v>0</v>
      </c>
      <c r="CD116" s="1">
        <v>0</v>
      </c>
      <c r="CL116" s="20">
        <v>116</v>
      </c>
    </row>
    <row r="117" spans="2:90" ht="18.75">
      <c r="B117" s="37">
        <v>12</v>
      </c>
      <c r="C117" s="189" t="s">
        <v>15</v>
      </c>
      <c r="D117" s="8"/>
      <c r="E117" s="187"/>
      <c r="F117" s="203"/>
      <c r="G117" s="8"/>
      <c r="H117" s="8"/>
      <c r="I117" s="204"/>
      <c r="J117" s="207"/>
      <c r="K117" s="8"/>
      <c r="L117" s="8"/>
      <c r="M117" s="8"/>
      <c r="N117" s="8"/>
      <c r="O117" s="8"/>
      <c r="P117" s="95"/>
      <c r="Q117" s="8"/>
      <c r="R117" s="8"/>
      <c r="S117" s="8"/>
      <c r="T117" s="97"/>
      <c r="U117" s="8"/>
      <c r="V117" s="8"/>
      <c r="W117" s="8"/>
      <c r="Y117" s="8"/>
      <c r="Z117" s="152"/>
      <c r="AA117" s="153"/>
      <c r="AB117" s="154"/>
      <c r="AC117" s="155"/>
      <c r="AD117" s="156"/>
      <c r="AE117" s="153"/>
      <c r="AF117" s="157"/>
      <c r="AG117" s="155"/>
      <c r="AH117" s="188"/>
      <c r="AI117" s="188"/>
      <c r="AJ117" s="194"/>
      <c r="AN117" s="97"/>
      <c r="AT117" s="95"/>
      <c r="AX117" s="97"/>
      <c r="BD117" s="95"/>
      <c r="BH117" s="195"/>
      <c r="BM117" s="12">
        <v>117</v>
      </c>
      <c r="BQ117" s="148"/>
      <c r="BR117" s="149"/>
      <c r="BS117" s="150"/>
      <c r="BT117" s="151"/>
      <c r="BU117" s="150"/>
      <c r="BV117" s="151"/>
      <c r="BW117" s="150"/>
      <c r="BX117" s="150"/>
      <c r="CC117" s="1">
        <v>0</v>
      </c>
      <c r="CD117" s="1">
        <v>0</v>
      </c>
      <c r="CL117" s="20">
        <v>117</v>
      </c>
    </row>
    <row r="118" spans="2:90" ht="18.75">
      <c r="B118" s="37">
        <v>13</v>
      </c>
      <c r="C118" s="189" t="s">
        <v>15</v>
      </c>
      <c r="D118" s="8"/>
      <c r="E118" s="187"/>
      <c r="F118" s="203"/>
      <c r="G118" s="8"/>
      <c r="H118" s="8"/>
      <c r="I118" s="204"/>
      <c r="J118" s="207"/>
      <c r="K118" s="8"/>
      <c r="L118" s="8"/>
      <c r="M118" s="8"/>
      <c r="N118" s="8"/>
      <c r="O118" s="8"/>
      <c r="P118" s="95"/>
      <c r="Q118" s="8"/>
      <c r="R118" s="8"/>
      <c r="S118" s="8"/>
      <c r="T118" s="97"/>
      <c r="U118" s="8"/>
      <c r="V118" s="8"/>
      <c r="W118" s="8"/>
      <c r="Y118" s="8"/>
      <c r="Z118" s="152"/>
      <c r="AA118" s="153"/>
      <c r="AB118" s="154"/>
      <c r="AC118" s="155"/>
      <c r="AD118" s="156"/>
      <c r="AE118" s="153"/>
      <c r="AF118" s="157"/>
      <c r="AG118" s="155"/>
      <c r="AH118" s="188"/>
      <c r="AI118" s="188"/>
      <c r="AJ118" s="194"/>
      <c r="AN118" s="97"/>
      <c r="AT118" s="95"/>
      <c r="AX118" s="97"/>
      <c r="BD118" s="95"/>
      <c r="BH118" s="195"/>
      <c r="BM118" s="12">
        <v>118</v>
      </c>
      <c r="BQ118" s="148"/>
      <c r="BR118" s="149"/>
      <c r="BS118" s="150"/>
      <c r="BT118" s="151"/>
      <c r="BU118" s="150"/>
      <c r="BV118" s="151"/>
      <c r="BW118" s="150"/>
      <c r="BX118" s="150"/>
      <c r="CC118" s="1">
        <v>0</v>
      </c>
      <c r="CD118" s="1">
        <v>0</v>
      </c>
      <c r="CL118" s="20">
        <v>118</v>
      </c>
    </row>
    <row r="119" spans="2:90" ht="18.75">
      <c r="B119" s="37">
        <v>14</v>
      </c>
      <c r="C119" s="189" t="s">
        <v>15</v>
      </c>
      <c r="D119" s="8"/>
      <c r="E119" s="187"/>
      <c r="F119" s="203"/>
      <c r="G119" s="8"/>
      <c r="H119" s="8"/>
      <c r="I119" s="204"/>
      <c r="J119" s="207"/>
      <c r="K119" s="8"/>
      <c r="L119" s="8"/>
      <c r="M119" s="8"/>
      <c r="N119" s="8"/>
      <c r="O119" s="8"/>
      <c r="P119" s="95"/>
      <c r="Q119" s="8"/>
      <c r="R119" s="8"/>
      <c r="S119" s="8"/>
      <c r="T119" s="97"/>
      <c r="U119" s="8"/>
      <c r="V119" s="8"/>
      <c r="W119" s="8"/>
      <c r="Y119" s="8"/>
      <c r="Z119" s="152"/>
      <c r="AA119" s="153"/>
      <c r="AB119" s="154"/>
      <c r="AC119" s="155"/>
      <c r="AD119" s="156"/>
      <c r="AE119" s="153"/>
      <c r="AF119" s="157"/>
      <c r="AG119" s="155"/>
      <c r="AH119" s="188"/>
      <c r="AI119" s="188"/>
      <c r="AJ119" s="194"/>
      <c r="AN119" s="97"/>
      <c r="AT119" s="95"/>
      <c r="AX119" s="97"/>
      <c r="BD119" s="95"/>
      <c r="BH119" s="195"/>
      <c r="BM119" s="12">
        <v>119</v>
      </c>
      <c r="BQ119" s="148"/>
      <c r="BR119" s="149"/>
      <c r="BS119" s="150"/>
      <c r="BT119" s="151"/>
      <c r="BU119" s="150"/>
      <c r="BV119" s="151"/>
      <c r="BW119" s="150"/>
      <c r="BX119" s="150"/>
      <c r="CC119" s="1">
        <v>0</v>
      </c>
      <c r="CD119" s="1">
        <v>0</v>
      </c>
      <c r="CL119" s="20">
        <v>119</v>
      </c>
    </row>
    <row r="120" spans="2:90" ht="18.75">
      <c r="B120" s="37">
        <v>15</v>
      </c>
      <c r="C120" s="189" t="s">
        <v>15</v>
      </c>
      <c r="D120" s="8"/>
      <c r="E120" s="187"/>
      <c r="F120" s="203"/>
      <c r="G120" s="8"/>
      <c r="H120" s="8"/>
      <c r="I120" s="204"/>
      <c r="J120" s="207"/>
      <c r="K120" s="8"/>
      <c r="L120" s="8"/>
      <c r="M120" s="8"/>
      <c r="N120" s="8"/>
      <c r="O120" s="8"/>
      <c r="P120" s="95"/>
      <c r="Q120" s="8"/>
      <c r="R120" s="8"/>
      <c r="S120" s="8"/>
      <c r="T120" s="97"/>
      <c r="U120" s="8"/>
      <c r="V120" s="8"/>
      <c r="W120" s="8"/>
      <c r="Y120" s="8"/>
      <c r="Z120" s="152"/>
      <c r="AA120" s="153"/>
      <c r="AB120" s="154"/>
      <c r="AC120" s="155"/>
      <c r="AD120" s="156"/>
      <c r="AE120" s="153"/>
      <c r="AF120" s="157"/>
      <c r="AG120" s="155"/>
      <c r="AH120" s="188"/>
      <c r="AI120" s="188"/>
      <c r="AJ120" s="194"/>
      <c r="AN120" s="97"/>
      <c r="AT120" s="95"/>
      <c r="AX120" s="97"/>
      <c r="BD120" s="95"/>
      <c r="BH120" s="195"/>
      <c r="BM120" s="12">
        <v>120</v>
      </c>
      <c r="BQ120" s="148"/>
      <c r="BR120" s="149"/>
      <c r="BS120" s="150"/>
      <c r="BT120" s="151"/>
      <c r="BU120" s="150"/>
      <c r="BV120" s="151"/>
      <c r="BW120" s="150"/>
      <c r="BX120" s="150"/>
      <c r="CC120" s="1">
        <v>0</v>
      </c>
      <c r="CD120" s="1">
        <v>0</v>
      </c>
      <c r="CL120" s="20">
        <v>120</v>
      </c>
    </row>
    <row r="121" spans="2:90" ht="18.75">
      <c r="B121" s="37">
        <v>16</v>
      </c>
      <c r="C121" s="189" t="s">
        <v>15</v>
      </c>
      <c r="D121" s="8"/>
      <c r="E121" s="187"/>
      <c r="F121" s="203"/>
      <c r="G121" s="8"/>
      <c r="H121" s="8"/>
      <c r="I121" s="204"/>
      <c r="J121" s="207"/>
      <c r="K121" s="8"/>
      <c r="L121" s="8"/>
      <c r="M121" s="8"/>
      <c r="N121" s="8"/>
      <c r="O121" s="8"/>
      <c r="P121" s="95"/>
      <c r="Q121" s="8"/>
      <c r="R121" s="8"/>
      <c r="S121" s="8"/>
      <c r="T121" s="97"/>
      <c r="U121" s="8"/>
      <c r="V121" s="8"/>
      <c r="W121" s="8"/>
      <c r="Y121" s="8"/>
      <c r="Z121" s="152"/>
      <c r="AA121" s="153"/>
      <c r="AB121" s="154"/>
      <c r="AC121" s="155"/>
      <c r="AD121" s="156"/>
      <c r="AE121" s="153"/>
      <c r="AF121" s="157"/>
      <c r="AG121" s="155"/>
      <c r="AH121" s="188"/>
      <c r="AI121" s="188"/>
      <c r="AJ121" s="194"/>
      <c r="AN121" s="97"/>
      <c r="AT121" s="95"/>
      <c r="AX121" s="97"/>
      <c r="BD121" s="95"/>
      <c r="BH121" s="195"/>
      <c r="BM121" s="12">
        <v>121</v>
      </c>
      <c r="BQ121" s="148"/>
      <c r="BR121" s="149"/>
      <c r="BS121" s="150"/>
      <c r="BT121" s="151"/>
      <c r="BU121" s="150"/>
      <c r="BV121" s="151"/>
      <c r="BW121" s="150"/>
      <c r="BX121" s="150"/>
      <c r="CC121" s="1">
        <v>0</v>
      </c>
      <c r="CD121" s="1">
        <v>0</v>
      </c>
      <c r="CL121" s="20">
        <v>121</v>
      </c>
    </row>
    <row r="122" spans="2:90" ht="19.5" thickBot="1">
      <c r="B122" s="37">
        <v>17</v>
      </c>
      <c r="C122" s="189" t="s">
        <v>15</v>
      </c>
      <c r="D122" s="8"/>
      <c r="E122" s="187"/>
      <c r="F122" s="208"/>
      <c r="G122" s="8"/>
      <c r="H122" s="8"/>
      <c r="I122" s="204"/>
      <c r="J122" s="209"/>
      <c r="K122" s="8"/>
      <c r="L122" s="8"/>
      <c r="M122" s="8"/>
      <c r="N122" s="8"/>
      <c r="O122" s="8"/>
      <c r="P122" s="95"/>
      <c r="Q122" s="8"/>
      <c r="R122" s="8"/>
      <c r="S122" s="8"/>
      <c r="T122" s="97"/>
      <c r="U122" s="8"/>
      <c r="V122" s="8"/>
      <c r="W122" s="8"/>
      <c r="Y122" s="8"/>
      <c r="Z122" s="152"/>
      <c r="AA122" s="153"/>
      <c r="AB122" s="154"/>
      <c r="AC122" s="155"/>
      <c r="AD122" s="156"/>
      <c r="AE122" s="153"/>
      <c r="AF122" s="157"/>
      <c r="AG122" s="155"/>
      <c r="AH122" s="188"/>
      <c r="AI122" s="188"/>
      <c r="AJ122" s="194"/>
      <c r="AN122" s="97"/>
      <c r="AT122" s="95"/>
      <c r="AX122" s="97"/>
      <c r="BD122" s="95"/>
      <c r="BH122" s="195"/>
      <c r="BM122" s="12">
        <v>122</v>
      </c>
      <c r="BQ122" s="148"/>
      <c r="BR122" s="149"/>
      <c r="BS122" s="150"/>
      <c r="BT122" s="151"/>
      <c r="BU122" s="150"/>
      <c r="BV122" s="151"/>
      <c r="BW122" s="150"/>
      <c r="BX122" s="150"/>
      <c r="CC122" s="1">
        <v>0</v>
      </c>
      <c r="CD122" s="1">
        <v>0</v>
      </c>
      <c r="CL122" s="20">
        <v>122</v>
      </c>
    </row>
    <row r="123" spans="2:90" ht="18.75">
      <c r="B123" s="37">
        <v>18</v>
      </c>
      <c r="C123" s="189" t="s">
        <v>15</v>
      </c>
      <c r="D123" s="8"/>
      <c r="E123" s="187"/>
      <c r="F123"/>
      <c r="G123" s="8"/>
      <c r="H123" s="8"/>
      <c r="I123" s="204"/>
      <c r="J123"/>
      <c r="K123" s="8"/>
      <c r="L123" s="8"/>
      <c r="M123" s="8"/>
      <c r="N123" s="8"/>
      <c r="O123" s="8"/>
      <c r="P123" s="95"/>
      <c r="Q123" s="8"/>
      <c r="R123" s="8"/>
      <c r="S123" s="8"/>
      <c r="T123" s="97"/>
      <c r="U123" s="8"/>
      <c r="V123" s="8"/>
      <c r="W123" s="8"/>
      <c r="Y123" s="8"/>
      <c r="Z123" s="152"/>
      <c r="AA123" s="153"/>
      <c r="AB123" s="154"/>
      <c r="AC123" s="155"/>
      <c r="AD123" s="156"/>
      <c r="AE123" s="153"/>
      <c r="AF123" s="157"/>
      <c r="AG123" s="155"/>
      <c r="AH123" s="188"/>
      <c r="AI123" s="188"/>
      <c r="AJ123" s="194"/>
      <c r="AN123" s="97"/>
      <c r="AT123" s="95"/>
      <c r="AX123" s="97"/>
      <c r="BD123" s="95"/>
      <c r="BH123" s="195"/>
      <c r="BM123" s="12">
        <v>123</v>
      </c>
      <c r="BQ123" s="148"/>
      <c r="BR123" s="149"/>
      <c r="BS123" s="150"/>
      <c r="BT123" s="151"/>
      <c r="BU123" s="150"/>
      <c r="BV123" s="151"/>
      <c r="BW123" s="150"/>
      <c r="BX123" s="150"/>
      <c r="CC123" s="1">
        <v>0</v>
      </c>
      <c r="CD123" s="1">
        <v>0</v>
      </c>
      <c r="CL123" s="20">
        <v>123</v>
      </c>
    </row>
    <row r="124" spans="2:90" ht="18.75">
      <c r="B124" s="37">
        <v>19</v>
      </c>
      <c r="C124" s="189" t="s">
        <v>15</v>
      </c>
      <c r="D124" s="8"/>
      <c r="E124" s="187"/>
      <c r="F124"/>
      <c r="G124" s="8"/>
      <c r="H124" s="8"/>
      <c r="I124" s="204"/>
      <c r="J124"/>
      <c r="K124" s="8"/>
      <c r="L124" s="8"/>
      <c r="M124" s="8"/>
      <c r="N124" s="8"/>
      <c r="O124" s="8"/>
      <c r="P124" s="95"/>
      <c r="Q124" s="8"/>
      <c r="R124" s="8"/>
      <c r="S124" s="8"/>
      <c r="T124" s="97"/>
      <c r="U124" s="8"/>
      <c r="V124" s="8"/>
      <c r="W124" s="8"/>
      <c r="Y124" s="8"/>
      <c r="Z124" s="152"/>
      <c r="AA124" s="153"/>
      <c r="AB124" s="154"/>
      <c r="AC124" s="155"/>
      <c r="AD124" s="156"/>
      <c r="AE124" s="153"/>
      <c r="AF124" s="157"/>
      <c r="AG124" s="155"/>
      <c r="AH124" s="188"/>
      <c r="AI124" s="188"/>
      <c r="AJ124" s="194"/>
      <c r="AN124" s="97"/>
      <c r="AT124" s="95"/>
      <c r="AX124" s="97"/>
      <c r="BD124" s="95"/>
      <c r="BH124" s="195"/>
      <c r="BM124" s="12">
        <v>124</v>
      </c>
      <c r="BQ124" s="148"/>
      <c r="BR124" s="149"/>
      <c r="BS124" s="150"/>
      <c r="BT124" s="151"/>
      <c r="BU124" s="150"/>
      <c r="BV124" s="151"/>
      <c r="BW124" s="150"/>
      <c r="BX124" s="150"/>
      <c r="CC124" s="1">
        <v>0</v>
      </c>
      <c r="CD124" s="1">
        <v>0</v>
      </c>
      <c r="CL124" s="20">
        <v>124</v>
      </c>
    </row>
    <row r="125" spans="2:90" ht="33.75">
      <c r="B125" s="37">
        <v>20</v>
      </c>
      <c r="C125" s="189" t="s">
        <v>15</v>
      </c>
      <c r="D125" s="8"/>
      <c r="E125" s="187"/>
      <c r="F125"/>
      <c r="G125" s="8"/>
      <c r="H125" s="8"/>
      <c r="I125" s="204"/>
      <c r="J125"/>
      <c r="K125" s="8"/>
      <c r="L125" s="8"/>
      <c r="M125" s="8"/>
      <c r="N125" s="8"/>
      <c r="O125" s="8"/>
      <c r="P125" s="95"/>
      <c r="Q125" s="8"/>
      <c r="R125" s="8"/>
      <c r="S125" s="8"/>
      <c r="T125" s="97"/>
      <c r="U125" s="8"/>
      <c r="V125" s="8"/>
      <c r="W125" s="8"/>
      <c r="Y125" s="8"/>
      <c r="Z125" s="206"/>
      <c r="AA125" s="206"/>
      <c r="AB125" s="206"/>
      <c r="AC125" s="206"/>
      <c r="AD125" s="206"/>
      <c r="AE125" s="206"/>
      <c r="AF125" s="206"/>
      <c r="AG125" s="206"/>
      <c r="AH125" s="206"/>
      <c r="AI125" s="206"/>
      <c r="AJ125" s="194"/>
      <c r="AN125" s="97"/>
      <c r="AT125" s="95"/>
      <c r="AX125" s="97"/>
      <c r="BD125" s="95"/>
      <c r="BH125" s="195"/>
      <c r="BM125" s="12">
        <v>125</v>
      </c>
      <c r="BQ125" s="148"/>
      <c r="BR125" s="149"/>
      <c r="BS125" s="150"/>
      <c r="BT125" s="151"/>
      <c r="BU125" s="150"/>
      <c r="BV125" s="151"/>
      <c r="BW125" s="150"/>
      <c r="BX125" s="150"/>
      <c r="CC125" s="1">
        <v>0</v>
      </c>
      <c r="CD125" s="1">
        <v>0</v>
      </c>
      <c r="CL125" s="20">
        <v>125</v>
      </c>
    </row>
    <row r="126" spans="2:90" ht="18.75">
      <c r="B126" s="37">
        <v>21</v>
      </c>
      <c r="C126" s="189" t="s">
        <v>15</v>
      </c>
      <c r="D126" s="8"/>
      <c r="E126" s="187"/>
      <c r="F126"/>
      <c r="G126" s="8"/>
      <c r="H126" s="8"/>
      <c r="I126" s="204"/>
      <c r="J126"/>
      <c r="K126" s="8"/>
      <c r="L126" s="8"/>
      <c r="M126" s="8"/>
      <c r="N126" s="8"/>
      <c r="O126" s="8"/>
      <c r="P126" s="95"/>
      <c r="Q126" s="8"/>
      <c r="R126" s="8"/>
      <c r="S126" s="8"/>
      <c r="T126" s="97"/>
      <c r="U126" s="8"/>
      <c r="V126" s="8"/>
      <c r="W126" s="8"/>
      <c r="Y126" s="8"/>
      <c r="Z126" s="152"/>
      <c r="AA126" s="153"/>
      <c r="AB126" s="154"/>
      <c r="AC126" s="155"/>
      <c r="AD126" s="156"/>
      <c r="AE126" s="153"/>
      <c r="AF126" s="157"/>
      <c r="AG126" s="155"/>
      <c r="AH126" s="188"/>
      <c r="AI126" s="188"/>
      <c r="AJ126" s="194"/>
      <c r="AN126" s="97"/>
      <c r="AT126" s="95"/>
      <c r="AX126" s="97"/>
      <c r="BD126" s="95"/>
      <c r="BH126" s="195"/>
      <c r="BM126" s="12">
        <v>126</v>
      </c>
      <c r="BQ126" s="148"/>
      <c r="BR126" s="149"/>
      <c r="BS126" s="150"/>
      <c r="BT126" s="151"/>
      <c r="BU126" s="150"/>
      <c r="BV126" s="151"/>
      <c r="BW126" s="150"/>
      <c r="BX126" s="150"/>
      <c r="CC126" s="1">
        <v>0</v>
      </c>
      <c r="CD126" s="1">
        <v>0</v>
      </c>
      <c r="CL126" s="20">
        <v>126</v>
      </c>
    </row>
    <row r="127" spans="2:90" ht="18.75">
      <c r="B127" s="37">
        <v>22</v>
      </c>
      <c r="C127" s="189" t="s">
        <v>15</v>
      </c>
      <c r="D127" s="8"/>
      <c r="E127" s="187"/>
      <c r="F127"/>
      <c r="G127" s="8"/>
      <c r="H127" s="8"/>
      <c r="I127" s="204"/>
      <c r="J127"/>
      <c r="K127" s="8"/>
      <c r="L127" s="8"/>
      <c r="M127" s="8"/>
      <c r="N127" s="8"/>
      <c r="O127" s="8"/>
      <c r="P127" s="95"/>
      <c r="Q127" s="8"/>
      <c r="R127" s="8"/>
      <c r="S127" s="8"/>
      <c r="T127" s="97"/>
      <c r="U127" s="8"/>
      <c r="V127" s="8"/>
      <c r="W127" s="8"/>
      <c r="Y127" s="8"/>
      <c r="Z127" s="152"/>
      <c r="AA127" s="153"/>
      <c r="AB127" s="154"/>
      <c r="AC127" s="155"/>
      <c r="AD127" s="156"/>
      <c r="AE127" s="153"/>
      <c r="AF127" s="157"/>
      <c r="AG127" s="155"/>
      <c r="AH127" s="188"/>
      <c r="AI127" s="188"/>
      <c r="AJ127" s="194"/>
      <c r="AN127" s="97"/>
      <c r="AT127" s="95"/>
      <c r="AX127" s="97"/>
      <c r="BD127" s="95"/>
      <c r="BH127" s="195"/>
      <c r="BM127" s="12">
        <v>127</v>
      </c>
      <c r="BQ127" s="148"/>
      <c r="BR127" s="149"/>
      <c r="BS127" s="150"/>
      <c r="BT127" s="151"/>
      <c r="BU127" s="150"/>
      <c r="BV127" s="151"/>
      <c r="BW127" s="150"/>
      <c r="BX127" s="150"/>
      <c r="CC127" s="1">
        <v>0</v>
      </c>
      <c r="CD127" s="1">
        <v>0</v>
      </c>
      <c r="CL127" s="20">
        <v>127</v>
      </c>
    </row>
    <row r="128" spans="2:90" ht="18.75">
      <c r="B128" s="37">
        <v>23</v>
      </c>
      <c r="C128" s="189" t="s">
        <v>15</v>
      </c>
      <c r="D128" s="8"/>
      <c r="E128" s="187"/>
      <c r="F128"/>
      <c r="G128" s="8"/>
      <c r="H128" s="8"/>
      <c r="I128" s="204"/>
      <c r="J128"/>
      <c r="K128" s="8"/>
      <c r="L128" s="8"/>
      <c r="M128" s="8"/>
      <c r="N128" s="8"/>
      <c r="O128" s="8"/>
      <c r="P128" s="95"/>
      <c r="Q128" s="8"/>
      <c r="R128" s="8"/>
      <c r="S128" s="8"/>
      <c r="T128" s="97"/>
      <c r="U128" s="8"/>
      <c r="V128" s="8"/>
      <c r="W128" s="8"/>
      <c r="Y128" s="8"/>
      <c r="Z128" s="152"/>
      <c r="AA128" s="153"/>
      <c r="AB128" s="154"/>
      <c r="AC128" s="155"/>
      <c r="AD128" s="156"/>
      <c r="AE128" s="153"/>
      <c r="AF128" s="157"/>
      <c r="AG128" s="155"/>
      <c r="AH128" s="188"/>
      <c r="AI128" s="188"/>
      <c r="AJ128" s="194"/>
      <c r="AN128" s="97"/>
      <c r="AT128" s="95"/>
      <c r="AX128" s="97"/>
      <c r="BD128" s="95"/>
      <c r="BH128" s="195"/>
      <c r="BM128" s="12">
        <v>128</v>
      </c>
      <c r="BQ128" s="148"/>
      <c r="BR128" s="149"/>
      <c r="BS128" s="150"/>
      <c r="BT128" s="151"/>
      <c r="BU128" s="150"/>
      <c r="BV128" s="151"/>
      <c r="BW128" s="150"/>
      <c r="BX128" s="150"/>
      <c r="CC128" s="1">
        <v>0</v>
      </c>
      <c r="CD128" s="1">
        <v>0</v>
      </c>
      <c r="CL128" s="20">
        <v>128</v>
      </c>
    </row>
    <row r="129" spans="2:90" ht="18.75">
      <c r="B129" s="37">
        <v>24</v>
      </c>
      <c r="C129" s="189" t="s">
        <v>15</v>
      </c>
      <c r="D129" s="8"/>
      <c r="E129" s="187"/>
      <c r="F129"/>
      <c r="G129" s="8"/>
      <c r="H129" s="8"/>
      <c r="I129" s="204"/>
      <c r="J129"/>
      <c r="K129" s="8"/>
      <c r="L129" s="8"/>
      <c r="M129" s="8"/>
      <c r="N129" s="8"/>
      <c r="O129" s="8"/>
      <c r="P129" s="95"/>
      <c r="Q129" s="8"/>
      <c r="R129" s="8"/>
      <c r="S129" s="8"/>
      <c r="T129" s="97"/>
      <c r="U129" s="8"/>
      <c r="V129" s="8"/>
      <c r="W129" s="8"/>
      <c r="Y129" s="8"/>
      <c r="Z129" s="152"/>
      <c r="AA129" s="153"/>
      <c r="AB129" s="154"/>
      <c r="AC129" s="155"/>
      <c r="AD129" s="156"/>
      <c r="AE129" s="153"/>
      <c r="AF129" s="157"/>
      <c r="AG129" s="155"/>
      <c r="AH129" s="188"/>
      <c r="AI129" s="188"/>
      <c r="AJ129" s="194"/>
      <c r="AN129" s="97"/>
      <c r="AT129" s="95"/>
      <c r="AX129" s="97"/>
      <c r="BD129" s="95"/>
      <c r="BH129" s="195"/>
      <c r="BM129" s="12"/>
      <c r="BQ129" s="148"/>
      <c r="BR129" s="149"/>
      <c r="BS129" s="150"/>
      <c r="BT129" s="151"/>
      <c r="BU129" s="150"/>
      <c r="BV129" s="151"/>
      <c r="BW129" s="150"/>
      <c r="BX129" s="150"/>
      <c r="CL129" s="210"/>
    </row>
    <row r="130" spans="2:90" ht="18.75">
      <c r="B130" s="37">
        <v>25</v>
      </c>
      <c r="C130" s="189" t="s">
        <v>15</v>
      </c>
      <c r="D130" s="8"/>
      <c r="E130" s="187"/>
      <c r="F130"/>
      <c r="G130" s="8"/>
      <c r="H130" s="8"/>
      <c r="I130" s="204"/>
      <c r="J130"/>
      <c r="K130" s="8"/>
      <c r="L130" s="8"/>
      <c r="M130" s="8"/>
      <c r="N130" s="8"/>
      <c r="O130" s="8"/>
      <c r="P130" s="95"/>
      <c r="Q130" s="8"/>
      <c r="R130" s="8"/>
      <c r="S130" s="8"/>
      <c r="T130" s="97"/>
      <c r="U130" s="8"/>
      <c r="V130" s="8"/>
      <c r="W130" s="8"/>
      <c r="Y130" s="8"/>
      <c r="Z130" s="152"/>
      <c r="AA130" s="153"/>
      <c r="AB130" s="154"/>
      <c r="AC130" s="155"/>
      <c r="AD130" s="156"/>
      <c r="AE130" s="153"/>
      <c r="AF130" s="157"/>
      <c r="AG130" s="155"/>
      <c r="AH130" s="188"/>
      <c r="AI130" s="188"/>
      <c r="AJ130" s="194"/>
      <c r="AN130" s="97"/>
      <c r="AT130" s="95"/>
      <c r="AX130" s="97"/>
      <c r="BD130" s="95"/>
      <c r="BH130" s="195"/>
      <c r="BM130" s="12"/>
      <c r="BQ130" s="148"/>
      <c r="BR130" s="149"/>
      <c r="BS130" s="150"/>
      <c r="BT130" s="151"/>
      <c r="BU130" s="150"/>
      <c r="BV130" s="151"/>
      <c r="BW130" s="150"/>
      <c r="BX130" s="150"/>
      <c r="CL130" s="210"/>
    </row>
    <row r="131" spans="2:90" ht="19.5" thickBot="1">
      <c r="B131" s="37">
        <v>26</v>
      </c>
      <c r="C131" s="189" t="s">
        <v>15</v>
      </c>
      <c r="D131" s="8"/>
      <c r="E131" s="187"/>
      <c r="F131"/>
      <c r="G131" s="8"/>
      <c r="H131" s="8"/>
      <c r="I131" s="204"/>
      <c r="J131"/>
      <c r="K131" s="8"/>
      <c r="L131" s="8"/>
      <c r="M131" s="8"/>
      <c r="N131" s="8"/>
      <c r="O131" s="8"/>
      <c r="P131" s="95"/>
      <c r="Q131" s="8"/>
      <c r="R131" s="8"/>
      <c r="S131" s="8"/>
      <c r="T131" s="97"/>
      <c r="U131" s="8"/>
      <c r="V131" s="8"/>
      <c r="W131" s="8"/>
      <c r="Y131" s="8"/>
      <c r="Z131" s="152"/>
      <c r="AA131" s="153"/>
      <c r="AB131" s="154"/>
      <c r="AC131" s="155"/>
      <c r="AD131" s="156"/>
      <c r="AE131" s="153"/>
      <c r="AF131" s="157"/>
      <c r="AG131" s="155"/>
      <c r="AH131" s="188"/>
      <c r="AI131" s="188"/>
      <c r="AJ131" s="194"/>
      <c r="AN131" s="97"/>
      <c r="AT131" s="113"/>
      <c r="AX131" s="114"/>
      <c r="BD131" s="113"/>
      <c r="BH131" s="211"/>
      <c r="BM131" s="12"/>
      <c r="BQ131" s="148"/>
      <c r="BR131" s="149"/>
      <c r="BS131" s="150"/>
      <c r="BT131" s="151"/>
      <c r="BU131" s="150"/>
      <c r="BV131" s="151"/>
      <c r="BW131" s="150"/>
      <c r="BX131" s="150"/>
      <c r="CL131" s="210"/>
    </row>
    <row r="132" spans="2:90" ht="19.5" thickBot="1">
      <c r="B132" s="37">
        <v>27</v>
      </c>
      <c r="C132" s="189" t="s">
        <v>15</v>
      </c>
      <c r="D132" s="8"/>
      <c r="E132" s="187"/>
      <c r="F132"/>
      <c r="G132" s="8"/>
      <c r="H132" s="8"/>
      <c r="I132" s="204"/>
      <c r="J132"/>
      <c r="K132" s="8"/>
      <c r="L132" s="8"/>
      <c r="M132" s="8"/>
      <c r="N132" s="8"/>
      <c r="O132" s="8"/>
      <c r="P132" s="113"/>
      <c r="Q132" s="8"/>
      <c r="R132" s="8"/>
      <c r="S132" s="8"/>
      <c r="T132" s="114"/>
      <c r="U132" s="8"/>
      <c r="V132" s="8"/>
      <c r="W132" s="8"/>
      <c r="Y132" s="8"/>
      <c r="Z132" s="152"/>
      <c r="AA132" s="153"/>
      <c r="AB132" s="154"/>
      <c r="AC132" s="155"/>
      <c r="AD132" s="156"/>
      <c r="AE132" s="153"/>
      <c r="AF132" s="157"/>
      <c r="AG132" s="155"/>
      <c r="AH132" s="188"/>
      <c r="AI132" s="188"/>
      <c r="AJ132" s="194"/>
      <c r="AN132" s="114"/>
      <c r="AT132"/>
      <c r="AX132"/>
      <c r="BD132"/>
      <c r="BH132"/>
      <c r="BM132" s="12"/>
      <c r="BQ132" s="148"/>
      <c r="BR132" s="149"/>
      <c r="BS132" s="150"/>
      <c r="BT132" s="151"/>
      <c r="BU132" s="150"/>
      <c r="BV132" s="151"/>
      <c r="BW132" s="150"/>
      <c r="BX132" s="150"/>
      <c r="CL132" s="210"/>
    </row>
    <row r="133" spans="2:90" ht="18.75">
      <c r="B133" s="37">
        <v>28</v>
      </c>
      <c r="C133" s="189" t="s">
        <v>15</v>
      </c>
      <c r="D133" s="8"/>
      <c r="E133" s="187"/>
      <c r="F133"/>
      <c r="G133" s="8"/>
      <c r="H133" s="8"/>
      <c r="I133" s="204"/>
      <c r="J133"/>
      <c r="K133" s="8"/>
      <c r="L133" s="8"/>
      <c r="M133" s="8"/>
      <c r="N133" s="8"/>
      <c r="O133" s="8"/>
      <c r="P133"/>
      <c r="Q133" s="8"/>
      <c r="R133" s="8"/>
      <c r="S133" s="8"/>
      <c r="T133"/>
      <c r="U133" s="8"/>
      <c r="V133" s="8"/>
      <c r="W133" s="8"/>
      <c r="Y133" s="8"/>
      <c r="Z133" s="152"/>
      <c r="AA133" s="153"/>
      <c r="AB133" s="154"/>
      <c r="AC133" s="155"/>
      <c r="AD133" s="156"/>
      <c r="AE133" s="153"/>
      <c r="AF133" s="157"/>
      <c r="AG133" s="155"/>
      <c r="AH133" s="188"/>
      <c r="AI133" s="188"/>
      <c r="AJ133" s="212"/>
      <c r="AN133"/>
      <c r="AT133"/>
      <c r="AX133"/>
      <c r="BD133"/>
      <c r="BH133"/>
      <c r="BM133" s="12"/>
      <c r="BQ133" s="148"/>
      <c r="BR133" s="149"/>
      <c r="BS133" s="150"/>
      <c r="BT133" s="151"/>
      <c r="BU133" s="150"/>
      <c r="BV133" s="151"/>
      <c r="BW133" s="150"/>
      <c r="BX133" s="150"/>
      <c r="CL133" s="210"/>
    </row>
    <row r="134" spans="2:90" ht="18.75">
      <c r="B134" s="37">
        <v>29</v>
      </c>
      <c r="C134" s="189" t="s">
        <v>15</v>
      </c>
      <c r="D134" s="8"/>
      <c r="E134" s="187"/>
      <c r="F134"/>
      <c r="G134" s="8"/>
      <c r="H134" s="8"/>
      <c r="I134" s="204"/>
      <c r="J134"/>
      <c r="K134" s="8"/>
      <c r="L134" s="8"/>
      <c r="M134" s="8"/>
      <c r="N134" s="8"/>
      <c r="O134" s="8"/>
      <c r="P134"/>
      <c r="Q134" s="8"/>
      <c r="R134" s="8"/>
      <c r="S134" s="8"/>
      <c r="T134"/>
      <c r="U134" s="8"/>
      <c r="V134" s="8"/>
      <c r="W134" s="8"/>
      <c r="Y134" s="8"/>
      <c r="Z134" s="212"/>
      <c r="AC134" s="8"/>
      <c r="AD134" s="212"/>
      <c r="AJ134" s="212"/>
      <c r="AN134"/>
      <c r="AT134"/>
      <c r="AX134"/>
      <c r="BD134"/>
      <c r="BH134"/>
      <c r="BM134" s="12"/>
      <c r="BQ134" s="148"/>
      <c r="BR134" s="149"/>
      <c r="BS134" s="150"/>
      <c r="BT134" s="151"/>
      <c r="BU134" s="150"/>
      <c r="BV134" s="151"/>
      <c r="BW134" s="150"/>
      <c r="BX134" s="150"/>
    </row>
    <row r="135" spans="2:90" ht="18.75">
      <c r="B135" s="37">
        <v>30</v>
      </c>
      <c r="C135" s="189" t="s">
        <v>15</v>
      </c>
      <c r="D135" s="8"/>
      <c r="E135" s="187"/>
      <c r="F135"/>
      <c r="G135" s="8"/>
      <c r="H135" s="8"/>
      <c r="I135" s="204"/>
      <c r="J135"/>
      <c r="K135" s="8"/>
      <c r="L135" s="8"/>
      <c r="M135" s="8"/>
      <c r="N135" s="8"/>
      <c r="O135" s="8"/>
      <c r="P135"/>
      <c r="Q135" s="8"/>
      <c r="R135" s="8"/>
      <c r="S135" s="8"/>
      <c r="T135"/>
      <c r="U135" s="8"/>
      <c r="V135" s="8"/>
      <c r="W135" s="8"/>
      <c r="Y135" s="8"/>
      <c r="Z135" s="212"/>
      <c r="AC135" s="8"/>
      <c r="AD135" s="212"/>
      <c r="AJ135" s="212"/>
      <c r="AN135"/>
      <c r="AT135"/>
      <c r="AX135"/>
      <c r="BD135"/>
      <c r="BH135"/>
      <c r="BM135" s="12"/>
      <c r="BQ135" s="148"/>
      <c r="BR135" s="149"/>
      <c r="BS135" s="150"/>
      <c r="BT135" s="151"/>
      <c r="BU135" s="150"/>
      <c r="BV135" s="151"/>
      <c r="BW135" s="150"/>
      <c r="BX135" s="150"/>
    </row>
    <row r="136" spans="2:90" ht="18.75">
      <c r="B136" s="37">
        <v>31</v>
      </c>
      <c r="C136" s="189" t="s">
        <v>15</v>
      </c>
      <c r="D136" s="8"/>
      <c r="E136" s="187"/>
      <c r="F136"/>
      <c r="G136" s="8"/>
      <c r="H136" s="8"/>
      <c r="I136" s="204"/>
      <c r="J136"/>
      <c r="K136" s="8"/>
      <c r="L136" s="8"/>
      <c r="M136" s="8"/>
      <c r="N136" s="8"/>
      <c r="O136" s="8"/>
      <c r="P136"/>
      <c r="Q136" s="8"/>
      <c r="R136" s="8"/>
      <c r="S136" s="8"/>
      <c r="T136"/>
      <c r="U136" s="8"/>
      <c r="V136" s="8"/>
      <c r="W136" s="8"/>
      <c r="Y136" s="8"/>
      <c r="Z136" s="212"/>
      <c r="AC136" s="8"/>
      <c r="AD136" s="212"/>
      <c r="AJ136" s="212"/>
      <c r="AN136"/>
      <c r="AT136"/>
      <c r="AX136"/>
      <c r="BD136"/>
      <c r="BH136"/>
      <c r="BM136" s="12"/>
      <c r="BQ136" s="148"/>
      <c r="BR136" s="149"/>
      <c r="BS136" s="150"/>
      <c r="BT136" s="151"/>
      <c r="BU136" s="150"/>
      <c r="BV136" s="151"/>
      <c r="BW136" s="150"/>
      <c r="BX136" s="150"/>
    </row>
    <row r="137" spans="2:90" ht="18.75">
      <c r="B137" s="37">
        <v>32</v>
      </c>
      <c r="C137" s="189" t="s">
        <v>15</v>
      </c>
      <c r="D137" s="8"/>
      <c r="E137" s="187"/>
      <c r="F137"/>
      <c r="G137" s="8"/>
      <c r="H137" s="8"/>
      <c r="I137" s="204"/>
      <c r="J137"/>
      <c r="K137" s="8"/>
      <c r="L137" s="8"/>
      <c r="M137" s="8"/>
      <c r="N137" s="8"/>
      <c r="O137" s="8"/>
      <c r="P137"/>
      <c r="Q137" s="8"/>
      <c r="R137" s="8"/>
      <c r="S137" s="8"/>
      <c r="T137"/>
      <c r="U137" s="8"/>
      <c r="V137" s="8"/>
      <c r="W137" s="8"/>
      <c r="Y137" s="8"/>
      <c r="Z137" s="212"/>
      <c r="AC137" s="8"/>
      <c r="AD137" s="212"/>
      <c r="AJ137" s="212"/>
      <c r="AN137"/>
      <c r="AT137"/>
      <c r="AX137"/>
      <c r="BD137"/>
      <c r="BH137"/>
      <c r="BM137" s="12"/>
      <c r="BQ137" s="148"/>
      <c r="BR137" s="149"/>
      <c r="BS137" s="150"/>
      <c r="BT137" s="151"/>
      <c r="BU137" s="150"/>
      <c r="BV137" s="151"/>
      <c r="BW137" s="150"/>
      <c r="BX137" s="150"/>
    </row>
    <row r="138" spans="2:90">
      <c r="C138" s="189" t="s">
        <v>15</v>
      </c>
      <c r="D138" s="8"/>
      <c r="E138" s="187"/>
      <c r="F138"/>
      <c r="G138" s="8"/>
      <c r="H138" s="8"/>
      <c r="I138" s="204"/>
      <c r="J138"/>
      <c r="K138" s="8"/>
      <c r="L138" s="8"/>
      <c r="M138" s="8"/>
      <c r="N138" s="8"/>
      <c r="O138" s="8"/>
      <c r="P138"/>
      <c r="Q138" s="8"/>
      <c r="R138" s="8"/>
      <c r="S138" s="8"/>
      <c r="T138"/>
      <c r="U138" s="8"/>
      <c r="V138" s="8"/>
      <c r="W138" s="8"/>
      <c r="Y138" s="8"/>
      <c r="Z138" s="212"/>
      <c r="AC138" s="8"/>
      <c r="AD138" s="212"/>
      <c r="AJ138" s="212"/>
      <c r="AN138"/>
      <c r="AT138"/>
      <c r="AX138"/>
      <c r="BD138"/>
      <c r="BH138"/>
      <c r="BM138" s="12"/>
      <c r="BQ138" s="148"/>
      <c r="BR138" s="149"/>
      <c r="BS138" s="150"/>
      <c r="BT138" s="151"/>
      <c r="BU138" s="150"/>
      <c r="BV138" s="151"/>
      <c r="BW138" s="150"/>
      <c r="BX138" s="150"/>
    </row>
    <row r="139" spans="2:90" ht="18.75" thickBot="1">
      <c r="C139" s="189" t="s">
        <v>15</v>
      </c>
      <c r="D139" s="8"/>
      <c r="E139" s="187"/>
      <c r="F139"/>
      <c r="G139" s="8"/>
      <c r="H139" s="8"/>
      <c r="I139" s="204"/>
      <c r="J139"/>
      <c r="K139" s="8"/>
      <c r="L139" s="8"/>
      <c r="M139" s="8"/>
      <c r="N139" s="8"/>
      <c r="O139" s="8"/>
      <c r="P139"/>
      <c r="Q139" s="8"/>
      <c r="R139" s="8"/>
      <c r="S139" s="8"/>
      <c r="T139"/>
      <c r="U139" s="8"/>
      <c r="V139" s="8"/>
      <c r="W139" s="8"/>
      <c r="Y139" s="8"/>
      <c r="Z139" s="212"/>
      <c r="AC139" s="8"/>
      <c r="AD139" s="212"/>
      <c r="AJ139" s="212"/>
      <c r="AN139"/>
      <c r="AT139"/>
      <c r="AX139"/>
      <c r="BD139"/>
      <c r="BH139"/>
      <c r="BM139" s="12"/>
      <c r="BQ139" s="148"/>
      <c r="BR139" s="149"/>
      <c r="BS139" s="150"/>
      <c r="BT139" s="151"/>
      <c r="BU139" s="150"/>
      <c r="BV139" s="151"/>
      <c r="BW139" s="150"/>
      <c r="BX139" s="150"/>
    </row>
    <row r="140" spans="2:90" ht="21" thickTop="1">
      <c r="C140" s="189" t="s">
        <v>15</v>
      </c>
      <c r="D140" s="8"/>
      <c r="E140" s="187"/>
      <c r="F140"/>
      <c r="G140" s="8"/>
      <c r="H140" s="8"/>
      <c r="I140" s="204"/>
      <c r="J140"/>
      <c r="K140" s="8"/>
      <c r="L140" s="8"/>
      <c r="M140" s="8"/>
      <c r="N140" s="8"/>
      <c r="O140" s="8"/>
      <c r="P140"/>
      <c r="Q140" s="8"/>
      <c r="R140" s="8"/>
      <c r="S140" s="8"/>
      <c r="T140"/>
      <c r="U140" s="8"/>
      <c r="V140" s="8"/>
      <c r="W140" s="8"/>
      <c r="Y140" s="8"/>
      <c r="Z140" s="212"/>
      <c r="AC140" s="8"/>
      <c r="AD140" s="212"/>
      <c r="AJ140" s="212"/>
      <c r="AN140"/>
      <c r="AT140"/>
      <c r="AX140"/>
      <c r="BD140"/>
      <c r="BH140"/>
      <c r="BM140" s="12"/>
      <c r="BS140" s="82" t="str">
        <f>W5</f>
        <v xml:space="preserve">                                          3 è tour                                              Poule a                                       résultat</v>
      </c>
      <c r="BT140" s="83"/>
      <c r="BU140" s="83"/>
      <c r="BV140" s="84"/>
      <c r="BW140" s="85"/>
      <c r="BX140" s="86"/>
    </row>
    <row r="141" spans="2:90" ht="18.75">
      <c r="C141" s="189" t="s">
        <v>15</v>
      </c>
      <c r="D141" s="8"/>
      <c r="E141" s="187"/>
      <c r="F141"/>
      <c r="G141" s="8"/>
      <c r="H141" s="8"/>
      <c r="I141" s="204"/>
      <c r="J141"/>
      <c r="K141" s="8"/>
      <c r="L141" s="8"/>
      <c r="M141" s="8"/>
      <c r="N141" s="8"/>
      <c r="O141" s="8"/>
      <c r="P141"/>
      <c r="Q141" s="8"/>
      <c r="R141" s="8"/>
      <c r="S141" s="8"/>
      <c r="T141"/>
      <c r="U141" s="8"/>
      <c r="V141" s="8"/>
      <c r="W141" s="8"/>
      <c r="Y141" s="8"/>
      <c r="Z141" s="212"/>
      <c r="AC141" s="8"/>
      <c r="AD141" s="212"/>
      <c r="AJ141" s="212"/>
      <c r="AN141"/>
      <c r="AT141"/>
      <c r="AX141"/>
      <c r="BD141"/>
      <c r="BH141"/>
      <c r="BM141" s="12"/>
      <c r="BQ141" s="88" t="s">
        <v>65</v>
      </c>
      <c r="BR141" s="89">
        <f t="shared" ref="BR141:BR172" si="39">B6</f>
        <v>1</v>
      </c>
      <c r="BS141" s="94">
        <f t="shared" ref="BS141:BS172" si="40">X6</f>
        <v>2</v>
      </c>
      <c r="BT141" s="214" t="str">
        <f t="shared" ref="BT141:BT172" si="41">Z6</f>
        <v>ROBERTE</v>
      </c>
      <c r="BU141" s="215">
        <f t="shared" ref="BU141:BU172" si="42">AB6</f>
        <v>7</v>
      </c>
      <c r="BV141" s="214" t="str">
        <f t="shared" ref="BV141:BV172" si="43">AD6</f>
        <v>HUBERT DEDE</v>
      </c>
      <c r="BW141" s="214"/>
      <c r="BX141" s="214"/>
    </row>
    <row r="142" spans="2:90">
      <c r="C142" s="189" t="s">
        <v>15</v>
      </c>
      <c r="D142" s="8"/>
      <c r="E142" s="187"/>
      <c r="F142"/>
      <c r="G142" s="8"/>
      <c r="H142" s="8"/>
      <c r="I142" s="204"/>
      <c r="J142"/>
      <c r="K142" s="8"/>
      <c r="L142" s="8"/>
      <c r="M142" s="8"/>
      <c r="N142" s="8"/>
      <c r="O142" s="8"/>
      <c r="P142"/>
      <c r="Q142" s="8"/>
      <c r="R142" s="8"/>
      <c r="S142" s="8"/>
      <c r="T142"/>
      <c r="U142" s="8"/>
      <c r="V142" s="8"/>
      <c r="W142" s="8"/>
      <c r="Y142" s="8"/>
      <c r="Z142" s="212"/>
      <c r="AC142" s="8"/>
      <c r="AD142" s="212"/>
      <c r="AJ142" s="212"/>
      <c r="AN142"/>
      <c r="AT142"/>
      <c r="AX142"/>
      <c r="BD142"/>
      <c r="BH142"/>
      <c r="BM142" s="12"/>
      <c r="BQ142" s="88" t="s">
        <v>24</v>
      </c>
      <c r="BR142" s="89">
        <f t="shared" si="39"/>
        <v>2</v>
      </c>
      <c r="BS142" s="94">
        <f t="shared" si="40"/>
        <v>8</v>
      </c>
      <c r="BT142" s="214" t="str">
        <f t="shared" si="41"/>
        <v>JEAN NOEL - G G</v>
      </c>
      <c r="BU142" s="215">
        <f t="shared" si="42"/>
        <v>4</v>
      </c>
      <c r="BV142" s="214" t="str">
        <f t="shared" si="43"/>
        <v>COLETTE</v>
      </c>
      <c r="BW142" s="214"/>
      <c r="BX142" s="214"/>
    </row>
    <row r="143" spans="2:90">
      <c r="C143" s="189" t="s">
        <v>15</v>
      </c>
      <c r="D143" s="8"/>
      <c r="E143" s="187"/>
      <c r="F143"/>
      <c r="G143" s="8"/>
      <c r="H143" s="8"/>
      <c r="I143" s="204"/>
      <c r="J143"/>
      <c r="K143" s="8"/>
      <c r="L143" s="8"/>
      <c r="M143" s="8"/>
      <c r="N143" s="8"/>
      <c r="O143" s="8"/>
      <c r="P143"/>
      <c r="Q143" s="8"/>
      <c r="R143" s="8"/>
      <c r="S143" s="8"/>
      <c r="T143"/>
      <c r="U143" s="8"/>
      <c r="V143" s="8"/>
      <c r="W143" s="8"/>
      <c r="Y143" s="8"/>
      <c r="Z143" s="212"/>
      <c r="AC143" s="8"/>
      <c r="AD143" s="212"/>
      <c r="AJ143" s="212"/>
      <c r="AN143"/>
      <c r="AT143"/>
      <c r="AX143"/>
      <c r="BD143"/>
      <c r="BH143"/>
      <c r="BM143" s="12"/>
      <c r="BQ143" s="88" t="s">
        <v>24</v>
      </c>
      <c r="BR143" s="89">
        <f t="shared" si="39"/>
        <v>3</v>
      </c>
      <c r="BS143" s="94">
        <f t="shared" si="40"/>
        <v>1</v>
      </c>
      <c r="BT143" s="214" t="str">
        <f t="shared" si="41"/>
        <v>CHRISTIAN LEBARS</v>
      </c>
      <c r="BU143" s="215">
        <f t="shared" si="42"/>
        <v>3</v>
      </c>
      <c r="BV143" s="214" t="str">
        <f t="shared" si="43"/>
        <v xml:space="preserve">THIERRY </v>
      </c>
      <c r="BW143" s="214"/>
      <c r="BX143" s="214"/>
    </row>
    <row r="144" spans="2:90">
      <c r="C144" s="189" t="s">
        <v>15</v>
      </c>
      <c r="D144" s="8"/>
      <c r="E144" s="187"/>
      <c r="F144"/>
      <c r="G144" s="8"/>
      <c r="H144" s="8"/>
      <c r="I144" s="204"/>
      <c r="J144"/>
      <c r="K144" s="8"/>
      <c r="L144" s="8"/>
      <c r="M144" s="8"/>
      <c r="N144" s="8"/>
      <c r="O144" s="8"/>
      <c r="P144"/>
      <c r="Q144" s="8"/>
      <c r="R144" s="8"/>
      <c r="S144" s="8"/>
      <c r="T144"/>
      <c r="U144" s="8"/>
      <c r="V144" s="8"/>
      <c r="W144" s="8"/>
      <c r="Y144" s="8"/>
      <c r="Z144" s="212"/>
      <c r="AC144" s="8"/>
      <c r="AD144" s="212"/>
      <c r="AJ144" s="212"/>
      <c r="AN144"/>
      <c r="AT144"/>
      <c r="AX144"/>
      <c r="BD144"/>
      <c r="BH144"/>
      <c r="BM144" s="12"/>
      <c r="BQ144" s="88" t="s">
        <v>24</v>
      </c>
      <c r="BR144" s="89">
        <f t="shared" si="39"/>
        <v>4</v>
      </c>
      <c r="BS144" s="94">
        <f t="shared" si="40"/>
        <v>14</v>
      </c>
      <c r="BT144" s="214" t="str">
        <f t="shared" si="41"/>
        <v>ABDEL ZORRO</v>
      </c>
      <c r="BU144" s="215">
        <f t="shared" si="42"/>
        <v>6</v>
      </c>
      <c r="BV144" s="214" t="str">
        <f t="shared" si="43"/>
        <v>DRAPEAU SERGE</v>
      </c>
      <c r="BW144" s="214"/>
      <c r="BX144" s="214"/>
    </row>
    <row r="145" spans="2:76">
      <c r="C145" s="189" t="s">
        <v>15</v>
      </c>
      <c r="D145" s="8"/>
      <c r="E145" s="187"/>
      <c r="F145"/>
      <c r="G145" s="8"/>
      <c r="H145" s="8"/>
      <c r="I145" s="204"/>
      <c r="J145"/>
      <c r="K145" s="8"/>
      <c r="L145" s="8"/>
      <c r="M145" s="8"/>
      <c r="N145" s="8"/>
      <c r="O145" s="8"/>
      <c r="P145"/>
      <c r="Q145" s="8"/>
      <c r="R145" s="8"/>
      <c r="S145" s="8"/>
      <c r="T145"/>
      <c r="U145" s="8"/>
      <c r="V145" s="8"/>
      <c r="W145" s="8"/>
      <c r="Y145" s="8"/>
      <c r="Z145" s="212"/>
      <c r="AC145" s="8"/>
      <c r="AD145" s="212"/>
      <c r="AJ145" s="212"/>
      <c r="AN145"/>
      <c r="AT145"/>
      <c r="AX145"/>
      <c r="BD145"/>
      <c r="BH145"/>
      <c r="BM145" s="12"/>
      <c r="BQ145" s="88" t="s">
        <v>24</v>
      </c>
      <c r="BR145" s="89">
        <f t="shared" si="39"/>
        <v>5</v>
      </c>
      <c r="BS145" s="94">
        <f t="shared" si="40"/>
        <v>12</v>
      </c>
      <c r="BT145" s="214" t="str">
        <f t="shared" si="41"/>
        <v>MICHEL DEDE</v>
      </c>
      <c r="BU145" s="215">
        <f t="shared" si="42"/>
        <v>10</v>
      </c>
      <c r="BV145" s="214" t="str">
        <f t="shared" si="43"/>
        <v>DIDIER ALAIN</v>
      </c>
      <c r="BW145" s="214"/>
      <c r="BX145" s="214"/>
    </row>
    <row r="146" spans="2:76" ht="18.75">
      <c r="B146" s="216">
        <v>1</v>
      </c>
      <c r="C146" s="189" t="s">
        <v>15</v>
      </c>
      <c r="D146" s="8"/>
      <c r="E146" s="187"/>
      <c r="F146"/>
      <c r="G146" s="8"/>
      <c r="H146" s="8"/>
      <c r="I146" s="204"/>
      <c r="J146"/>
      <c r="K146" s="8"/>
      <c r="L146" s="8"/>
      <c r="M146" s="8"/>
      <c r="N146" s="8"/>
      <c r="O146" s="8"/>
      <c r="P146"/>
      <c r="Q146" s="8"/>
      <c r="R146" s="8"/>
      <c r="S146" s="8"/>
      <c r="T146"/>
      <c r="U146" s="8"/>
      <c r="V146" s="8"/>
      <c r="W146" s="8"/>
      <c r="Y146" s="8"/>
      <c r="Z146" s="212"/>
      <c r="AC146" s="8"/>
      <c r="AD146" s="212"/>
      <c r="AJ146" s="212"/>
      <c r="AN146"/>
      <c r="AT146"/>
      <c r="AX146"/>
      <c r="BD146"/>
      <c r="BH146"/>
      <c r="BM146" s="12"/>
      <c r="BQ146" s="88" t="s">
        <v>24</v>
      </c>
      <c r="BR146" s="89">
        <f t="shared" si="39"/>
        <v>6</v>
      </c>
      <c r="BS146" s="94">
        <f t="shared" si="40"/>
        <v>11</v>
      </c>
      <c r="BT146" s="214" t="str">
        <f t="shared" si="41"/>
        <v>JOSETTE  ROGER</v>
      </c>
      <c r="BU146" s="215">
        <f t="shared" si="42"/>
        <v>5</v>
      </c>
      <c r="BV146" s="214" t="str">
        <f t="shared" si="43"/>
        <v>PASCALE VALERIE</v>
      </c>
      <c r="BW146" s="214"/>
      <c r="BX146" s="214"/>
    </row>
    <row r="147" spans="2:76" ht="18.75">
      <c r="B147" s="217">
        <v>2</v>
      </c>
      <c r="C147" s="189" t="s">
        <v>15</v>
      </c>
      <c r="D147" s="8"/>
      <c r="E147" s="187"/>
      <c r="F147"/>
      <c r="G147" s="8"/>
      <c r="H147" s="8"/>
      <c r="I147" s="204"/>
      <c r="J147"/>
      <c r="K147" s="8"/>
      <c r="L147" s="8"/>
      <c r="M147" s="8"/>
      <c r="N147" s="8"/>
      <c r="O147" s="8"/>
      <c r="P147"/>
      <c r="Q147" s="8"/>
      <c r="R147" s="8"/>
      <c r="S147" s="8"/>
      <c r="T147"/>
      <c r="U147" s="8"/>
      <c r="V147" s="8"/>
      <c r="W147" s="8"/>
      <c r="Y147" s="8"/>
      <c r="Z147" s="212"/>
      <c r="AC147" s="8"/>
      <c r="AD147" s="212"/>
      <c r="AJ147" s="212"/>
      <c r="AN147"/>
      <c r="AT147"/>
      <c r="AX147"/>
      <c r="BD147"/>
      <c r="BH147"/>
      <c r="BM147" s="12"/>
      <c r="BQ147" s="88" t="s">
        <v>24</v>
      </c>
      <c r="BR147" s="89">
        <f t="shared" si="39"/>
        <v>7</v>
      </c>
      <c r="BS147" s="94">
        <f t="shared" si="40"/>
        <v>9</v>
      </c>
      <c r="BT147" s="214" t="str">
        <f t="shared" si="41"/>
        <v>JEAN CLAUDE BEBEL</v>
      </c>
      <c r="BU147" s="215">
        <f t="shared" si="42"/>
        <v>13</v>
      </c>
      <c r="BV147" s="214" t="str">
        <f t="shared" si="43"/>
        <v>MONIQUE JESUS</v>
      </c>
      <c r="BW147" s="214"/>
      <c r="BX147" s="214"/>
    </row>
    <row r="148" spans="2:76" ht="18.75">
      <c r="B148" s="216">
        <v>3</v>
      </c>
      <c r="C148" s="189" t="s">
        <v>15</v>
      </c>
      <c r="D148" s="8"/>
      <c r="E148" s="187"/>
      <c r="F148"/>
      <c r="G148" s="8"/>
      <c r="H148" s="8"/>
      <c r="I148" s="204"/>
      <c r="J148"/>
      <c r="K148" s="8"/>
      <c r="L148" s="8"/>
      <c r="M148" s="8"/>
      <c r="N148" s="8"/>
      <c r="O148" s="8"/>
      <c r="P148"/>
      <c r="Q148" s="8"/>
      <c r="R148" s="8"/>
      <c r="S148" s="8"/>
      <c r="T148"/>
      <c r="U148" s="8"/>
      <c r="V148" s="8"/>
      <c r="W148" s="8"/>
      <c r="Y148" s="8"/>
      <c r="Z148" s="212"/>
      <c r="AC148" s="8"/>
      <c r="AD148" s="212"/>
      <c r="AJ148" s="212"/>
      <c r="AN148"/>
      <c r="AT148"/>
      <c r="AX148"/>
      <c r="BD148"/>
      <c r="BH148"/>
      <c r="BM148" s="12"/>
      <c r="BQ148" s="88" t="s">
        <v>24</v>
      </c>
      <c r="BR148" s="89">
        <f t="shared" si="39"/>
        <v>8</v>
      </c>
      <c r="BS148" s="94">
        <f>X14</f>
        <v>0</v>
      </c>
      <c r="BT148" s="214">
        <f>Z14</f>
        <v>0</v>
      </c>
      <c r="BU148" s="215">
        <f>AB14</f>
        <v>0</v>
      </c>
      <c r="BV148" s="214">
        <f>AD14</f>
        <v>0</v>
      </c>
      <c r="BW148" s="214"/>
      <c r="BX148" s="214"/>
    </row>
    <row r="149" spans="2:76" ht="18.75">
      <c r="B149" s="216">
        <v>4</v>
      </c>
      <c r="C149" s="189" t="s">
        <v>15</v>
      </c>
      <c r="D149" s="8"/>
      <c r="E149" s="187"/>
      <c r="F149"/>
      <c r="G149" s="8"/>
      <c r="H149" s="8"/>
      <c r="I149" s="204"/>
      <c r="J149"/>
      <c r="K149" s="8"/>
      <c r="L149" s="8"/>
      <c r="M149" s="8"/>
      <c r="N149" s="8"/>
      <c r="O149" s="8"/>
      <c r="P149"/>
      <c r="Q149" s="8"/>
      <c r="R149" s="8"/>
      <c r="S149" s="8"/>
      <c r="T149"/>
      <c r="U149" s="8"/>
      <c r="V149" s="8"/>
      <c r="W149" s="8"/>
      <c r="Y149" s="8"/>
      <c r="Z149" s="212"/>
      <c r="AC149" s="8"/>
      <c r="AD149" s="212"/>
      <c r="AJ149" s="212"/>
      <c r="AN149"/>
      <c r="AT149"/>
      <c r="AX149"/>
      <c r="BD149"/>
      <c r="BH149"/>
      <c r="BM149" s="12"/>
      <c r="BQ149" s="88" t="s">
        <v>24</v>
      </c>
      <c r="BR149" s="89">
        <f t="shared" si="39"/>
        <v>9</v>
      </c>
      <c r="BS149" s="94">
        <f>X22</f>
        <v>0</v>
      </c>
      <c r="BT149" s="214">
        <f>Z22</f>
        <v>0</v>
      </c>
      <c r="BU149" s="215">
        <f>AB22</f>
        <v>0</v>
      </c>
      <c r="BV149" s="214">
        <f>AD22</f>
        <v>0</v>
      </c>
      <c r="BW149" s="214"/>
      <c r="BX149" s="214"/>
    </row>
    <row r="150" spans="2:76" ht="18.75">
      <c r="B150" s="216">
        <v>5</v>
      </c>
      <c r="C150" s="189" t="s">
        <v>15</v>
      </c>
      <c r="D150" s="8"/>
      <c r="E150" s="187"/>
      <c r="F150"/>
      <c r="G150" s="8"/>
      <c r="H150" s="8"/>
      <c r="I150" s="204"/>
      <c r="J150"/>
      <c r="K150" s="8"/>
      <c r="L150" s="8"/>
      <c r="M150" s="8"/>
      <c r="N150" s="8"/>
      <c r="O150" s="8"/>
      <c r="P150"/>
      <c r="Q150" s="8"/>
      <c r="R150" s="8"/>
      <c r="S150" s="8"/>
      <c r="T150"/>
      <c r="U150" s="8"/>
      <c r="V150" s="8"/>
      <c r="W150" s="8"/>
      <c r="Y150" s="8"/>
      <c r="Z150" s="212"/>
      <c r="AC150" s="8"/>
      <c r="AD150" s="212"/>
      <c r="AJ150" s="212"/>
      <c r="AN150"/>
      <c r="AT150"/>
      <c r="AX150"/>
      <c r="BD150"/>
      <c r="BH150"/>
      <c r="BM150" s="12"/>
      <c r="BQ150" s="88" t="s">
        <v>24</v>
      </c>
      <c r="BR150" s="89">
        <f t="shared" si="39"/>
        <v>10</v>
      </c>
      <c r="BS150" s="94">
        <f t="shared" si="40"/>
        <v>0</v>
      </c>
      <c r="BT150" s="214">
        <f t="shared" si="41"/>
        <v>0</v>
      </c>
      <c r="BU150" s="215">
        <f t="shared" si="42"/>
        <v>0</v>
      </c>
      <c r="BV150" s="214">
        <f t="shared" si="43"/>
        <v>0</v>
      </c>
      <c r="BW150" s="214"/>
      <c r="BX150" s="214"/>
    </row>
    <row r="151" spans="2:76" ht="18.75">
      <c r="B151" s="216">
        <v>6</v>
      </c>
      <c r="C151" s="189" t="s">
        <v>15</v>
      </c>
      <c r="D151" s="8"/>
      <c r="E151" s="187"/>
      <c r="F151"/>
      <c r="G151" s="8"/>
      <c r="H151" s="8"/>
      <c r="I151" s="204"/>
      <c r="J151"/>
      <c r="K151" s="8"/>
      <c r="L151" s="8"/>
      <c r="M151" s="8"/>
      <c r="N151" s="8"/>
      <c r="O151" s="8"/>
      <c r="P151"/>
      <c r="Q151" s="8"/>
      <c r="R151" s="8"/>
      <c r="S151" s="8"/>
      <c r="T151"/>
      <c r="U151" s="8"/>
      <c r="V151" s="8"/>
      <c r="W151" s="8"/>
      <c r="Y151" s="8"/>
      <c r="Z151" s="212"/>
      <c r="AC151" s="8"/>
      <c r="AD151" s="212"/>
      <c r="AJ151" s="212"/>
      <c r="AN151"/>
      <c r="AT151"/>
      <c r="AX151"/>
      <c r="BD151"/>
      <c r="BH151"/>
      <c r="BM151" s="12"/>
      <c r="BQ151" s="88" t="s">
        <v>24</v>
      </c>
      <c r="BR151" s="89">
        <f t="shared" si="39"/>
        <v>11</v>
      </c>
      <c r="BS151" s="94">
        <f t="shared" si="40"/>
        <v>0</v>
      </c>
      <c r="BT151" s="214">
        <f t="shared" si="41"/>
        <v>0</v>
      </c>
      <c r="BU151" s="215">
        <f t="shared" si="42"/>
        <v>0</v>
      </c>
      <c r="BV151" s="214">
        <f t="shared" si="43"/>
        <v>0</v>
      </c>
      <c r="BW151" s="214"/>
      <c r="BX151" s="214"/>
    </row>
    <row r="152" spans="2:76" ht="18.75">
      <c r="B152" s="216">
        <v>7</v>
      </c>
      <c r="C152" s="189" t="s">
        <v>15</v>
      </c>
      <c r="D152" s="8"/>
      <c r="E152" s="187"/>
      <c r="F152"/>
      <c r="G152" s="8"/>
      <c r="H152" s="8"/>
      <c r="I152" s="204"/>
      <c r="J152"/>
      <c r="K152" s="8"/>
      <c r="L152" s="8"/>
      <c r="M152" s="8"/>
      <c r="N152" s="8"/>
      <c r="O152" s="8"/>
      <c r="P152"/>
      <c r="Q152" s="8"/>
      <c r="R152" s="8"/>
      <c r="S152" s="8"/>
      <c r="T152"/>
      <c r="U152" s="8"/>
      <c r="V152" s="8"/>
      <c r="W152" s="8"/>
      <c r="Y152" s="8"/>
      <c r="Z152" s="212"/>
      <c r="AC152" s="8"/>
      <c r="AD152" s="212"/>
      <c r="AJ152" s="212"/>
      <c r="AN152"/>
      <c r="AT152"/>
      <c r="AX152"/>
      <c r="BD152"/>
      <c r="BH152"/>
      <c r="BM152" s="12"/>
      <c r="BQ152" s="88" t="s">
        <v>24</v>
      </c>
      <c r="BR152" s="89">
        <f t="shared" si="39"/>
        <v>12</v>
      </c>
      <c r="BS152" s="94">
        <f t="shared" si="40"/>
        <v>0</v>
      </c>
      <c r="BT152" s="214">
        <f t="shared" si="41"/>
        <v>0</v>
      </c>
      <c r="BU152" s="215">
        <f t="shared" si="42"/>
        <v>0</v>
      </c>
      <c r="BV152" s="214">
        <f t="shared" si="43"/>
        <v>0</v>
      </c>
      <c r="BW152" s="214"/>
      <c r="BX152" s="214"/>
    </row>
    <row r="153" spans="2:76" ht="18.75">
      <c r="B153" s="216">
        <v>8</v>
      </c>
      <c r="C153" s="189" t="s">
        <v>15</v>
      </c>
      <c r="D153" s="8"/>
      <c r="E153" s="187"/>
      <c r="F153"/>
      <c r="G153" s="8"/>
      <c r="H153" s="8"/>
      <c r="I153" s="204"/>
      <c r="J153"/>
      <c r="K153" s="8"/>
      <c r="L153" s="8"/>
      <c r="M153" s="8"/>
      <c r="N153" s="8"/>
      <c r="O153" s="8"/>
      <c r="P153"/>
      <c r="Q153" s="8"/>
      <c r="R153" s="8"/>
      <c r="S153" s="8"/>
      <c r="T153"/>
      <c r="U153" s="8"/>
      <c r="V153" s="8"/>
      <c r="W153" s="8"/>
      <c r="Y153" s="8"/>
      <c r="Z153" s="212"/>
      <c r="AC153" s="8"/>
      <c r="AD153" s="212"/>
      <c r="AJ153" s="212"/>
      <c r="AN153"/>
      <c r="AT153"/>
      <c r="AX153"/>
      <c r="BD153"/>
      <c r="BH153"/>
      <c r="BM153" s="12"/>
      <c r="BQ153" s="88" t="s">
        <v>24</v>
      </c>
      <c r="BR153" s="89">
        <f t="shared" si="39"/>
        <v>13</v>
      </c>
      <c r="BS153" s="94">
        <f t="shared" si="40"/>
        <v>0</v>
      </c>
      <c r="BT153" s="214">
        <f t="shared" si="41"/>
        <v>0</v>
      </c>
      <c r="BU153" s="215">
        <f t="shared" si="42"/>
        <v>0</v>
      </c>
      <c r="BV153" s="214">
        <f t="shared" si="43"/>
        <v>0</v>
      </c>
      <c r="BW153" s="214"/>
      <c r="BX153" s="214"/>
    </row>
    <row r="154" spans="2:76" ht="18.75">
      <c r="B154" s="216">
        <v>9</v>
      </c>
      <c r="C154" s="189" t="s">
        <v>15</v>
      </c>
      <c r="D154" s="8"/>
      <c r="E154" s="187"/>
      <c r="F154"/>
      <c r="G154" s="8"/>
      <c r="H154" s="8"/>
      <c r="I154" s="204"/>
      <c r="J154"/>
      <c r="K154" s="8"/>
      <c r="L154" s="8"/>
      <c r="M154" s="8"/>
      <c r="N154" s="8"/>
      <c r="O154" s="8"/>
      <c r="P154"/>
      <c r="Q154" s="8"/>
      <c r="R154" s="8"/>
      <c r="S154" s="8"/>
      <c r="T154"/>
      <c r="U154" s="8"/>
      <c r="V154" s="8"/>
      <c r="W154" s="8"/>
      <c r="Y154" s="8"/>
      <c r="Z154" s="212"/>
      <c r="AC154" s="8"/>
      <c r="AD154" s="212"/>
      <c r="AJ154" s="212"/>
      <c r="AN154"/>
      <c r="AT154"/>
      <c r="AX154"/>
      <c r="BD154"/>
      <c r="BH154"/>
      <c r="BM154" s="12"/>
      <c r="BQ154" s="88" t="s">
        <v>24</v>
      </c>
      <c r="BR154" s="89">
        <f t="shared" si="39"/>
        <v>14</v>
      </c>
      <c r="BS154" s="94">
        <f t="shared" si="40"/>
        <v>0</v>
      </c>
      <c r="BT154" s="214">
        <f t="shared" si="41"/>
        <v>0</v>
      </c>
      <c r="BU154" s="215">
        <f t="shared" si="42"/>
        <v>0</v>
      </c>
      <c r="BV154" s="214">
        <f t="shared" si="43"/>
        <v>0</v>
      </c>
      <c r="BW154" s="214"/>
      <c r="BX154" s="214"/>
    </row>
    <row r="155" spans="2:76" ht="18.75">
      <c r="B155" s="216">
        <v>10</v>
      </c>
      <c r="C155" s="189" t="s">
        <v>15</v>
      </c>
      <c r="D155" s="8"/>
      <c r="E155" s="187"/>
      <c r="F155"/>
      <c r="G155" s="8"/>
      <c r="H155" s="8"/>
      <c r="I155" s="204"/>
      <c r="J155"/>
      <c r="K155" s="8"/>
      <c r="L155" s="8"/>
      <c r="M155" s="8"/>
      <c r="N155" s="8"/>
      <c r="O155" s="8"/>
      <c r="P155"/>
      <c r="Q155" s="8"/>
      <c r="R155" s="8"/>
      <c r="S155" s="8"/>
      <c r="T155"/>
      <c r="U155" s="8"/>
      <c r="V155" s="8"/>
      <c r="W155" s="8"/>
      <c r="Y155" s="8"/>
      <c r="Z155" s="212"/>
      <c r="AC155" s="8"/>
      <c r="AD155" s="212"/>
      <c r="AJ155" s="212"/>
      <c r="AN155"/>
      <c r="AT155"/>
      <c r="AX155"/>
      <c r="BD155"/>
      <c r="BH155"/>
      <c r="BM155" s="12"/>
      <c r="BQ155" s="88" t="s">
        <v>24</v>
      </c>
      <c r="BR155" s="89">
        <f t="shared" si="39"/>
        <v>15</v>
      </c>
      <c r="BS155" s="94">
        <f t="shared" si="40"/>
        <v>0</v>
      </c>
      <c r="BT155" s="214">
        <f t="shared" si="41"/>
        <v>0</v>
      </c>
      <c r="BU155" s="215">
        <f t="shared" si="42"/>
        <v>0</v>
      </c>
      <c r="BV155" s="214">
        <f t="shared" si="43"/>
        <v>0</v>
      </c>
      <c r="BW155" s="214"/>
      <c r="BX155" s="214"/>
    </row>
    <row r="156" spans="2:76" ht="18.75">
      <c r="B156" s="216">
        <v>11</v>
      </c>
      <c r="C156" s="189" t="s">
        <v>15</v>
      </c>
      <c r="D156" s="8"/>
      <c r="E156" s="187"/>
      <c r="F156"/>
      <c r="G156" s="8"/>
      <c r="H156" s="8"/>
      <c r="I156" s="204"/>
      <c r="J156"/>
      <c r="K156" s="8"/>
      <c r="L156" s="8"/>
      <c r="M156" s="8"/>
      <c r="N156" s="8"/>
      <c r="O156" s="8"/>
      <c r="P156"/>
      <c r="Q156" s="8"/>
      <c r="R156" s="8"/>
      <c r="S156" s="8"/>
      <c r="T156"/>
      <c r="U156" s="8"/>
      <c r="V156" s="8"/>
      <c r="W156" s="8"/>
      <c r="Y156" s="8"/>
      <c r="Z156" s="212"/>
      <c r="AC156" s="8"/>
      <c r="AD156" s="212"/>
      <c r="AJ156" s="212"/>
      <c r="AN156"/>
      <c r="AT156"/>
      <c r="AX156"/>
      <c r="BD156"/>
      <c r="BH156"/>
      <c r="BM156" s="12"/>
      <c r="BQ156" s="88" t="s">
        <v>24</v>
      </c>
      <c r="BR156" s="89">
        <f t="shared" si="39"/>
        <v>16</v>
      </c>
      <c r="BS156" s="94">
        <f t="shared" si="40"/>
        <v>0</v>
      </c>
      <c r="BT156" s="214">
        <f t="shared" si="41"/>
        <v>0</v>
      </c>
      <c r="BU156" s="215">
        <f t="shared" si="42"/>
        <v>0</v>
      </c>
      <c r="BV156" s="214">
        <f t="shared" si="43"/>
        <v>0</v>
      </c>
      <c r="BW156" s="214"/>
      <c r="BX156" s="214"/>
    </row>
    <row r="157" spans="2:76" ht="18.75">
      <c r="B157" s="216">
        <v>12</v>
      </c>
      <c r="C157" s="189" t="s">
        <v>15</v>
      </c>
      <c r="D157" s="8"/>
      <c r="E157" s="187"/>
      <c r="F157"/>
      <c r="G157" s="8"/>
      <c r="H157" s="8"/>
      <c r="I157" s="204"/>
      <c r="J157"/>
      <c r="K157" s="8"/>
      <c r="L157" s="8"/>
      <c r="M157" s="8"/>
      <c r="N157" s="8"/>
      <c r="O157" s="8"/>
      <c r="P157"/>
      <c r="Q157" s="8"/>
      <c r="R157" s="8"/>
      <c r="S157" s="8"/>
      <c r="T157"/>
      <c r="U157" s="8"/>
      <c r="V157" s="8"/>
      <c r="W157" s="8"/>
      <c r="Y157" s="8"/>
      <c r="Z157" s="212"/>
      <c r="AC157" s="8"/>
      <c r="AD157" s="212"/>
      <c r="AJ157" s="212"/>
      <c r="AN157"/>
      <c r="AT157"/>
      <c r="AX157"/>
      <c r="BD157"/>
      <c r="BH157"/>
      <c r="BM157" s="12"/>
      <c r="BQ157" s="180" t="s">
        <v>67</v>
      </c>
      <c r="BR157" s="181">
        <f t="shared" si="39"/>
        <v>17</v>
      </c>
      <c r="BS157" s="182" t="e">
        <f>#REF!</f>
        <v>#REF!</v>
      </c>
      <c r="BT157" s="183" t="e">
        <f>#REF!</f>
        <v>#REF!</v>
      </c>
      <c r="BU157" s="184" t="e">
        <f>#REF!</f>
        <v>#REF!</v>
      </c>
      <c r="BV157" s="185" t="e">
        <f>#REF!</f>
        <v>#REF!</v>
      </c>
      <c r="BW157" s="186"/>
      <c r="BX157" s="186"/>
    </row>
    <row r="158" spans="2:76" ht="18.75">
      <c r="B158" s="216">
        <v>13</v>
      </c>
      <c r="C158" s="189" t="s">
        <v>15</v>
      </c>
      <c r="D158" s="8"/>
      <c r="E158" s="187"/>
      <c r="F158"/>
      <c r="G158" s="8"/>
      <c r="H158" s="8"/>
      <c r="I158" s="204"/>
      <c r="J158"/>
      <c r="K158" s="8"/>
      <c r="L158" s="8"/>
      <c r="M158" s="8"/>
      <c r="N158" s="8"/>
      <c r="O158" s="8"/>
      <c r="P158"/>
      <c r="Q158" s="8"/>
      <c r="R158" s="8"/>
      <c r="S158" s="8"/>
      <c r="T158"/>
      <c r="U158" s="8"/>
      <c r="V158" s="8"/>
      <c r="W158" s="8"/>
      <c r="Y158" s="8"/>
      <c r="Z158" s="212"/>
      <c r="AC158" s="8"/>
      <c r="AD158" s="212"/>
      <c r="AJ158" s="212"/>
      <c r="AN158"/>
      <c r="AT158"/>
      <c r="AX158"/>
      <c r="BD158"/>
      <c r="BH158"/>
      <c r="BM158" s="12"/>
      <c r="BQ158" s="180" t="s">
        <v>24</v>
      </c>
      <c r="BR158" s="181">
        <f t="shared" si="39"/>
        <v>18</v>
      </c>
      <c r="BS158" s="182">
        <f t="shared" si="40"/>
        <v>38</v>
      </c>
      <c r="BT158" s="183" t="str">
        <f t="shared" si="41"/>
        <v>CHRISTIAN JEAN PIERRE</v>
      </c>
      <c r="BU158" s="184">
        <f t="shared" si="42"/>
        <v>15</v>
      </c>
      <c r="BV158" s="185" t="str">
        <f t="shared" si="43"/>
        <v>MARYVONNE JACQUES</v>
      </c>
      <c r="BW158" s="186"/>
      <c r="BX158" s="186"/>
    </row>
    <row r="159" spans="2:76" ht="18.75">
      <c r="B159" s="216">
        <v>14</v>
      </c>
      <c r="C159" s="189" t="s">
        <v>15</v>
      </c>
      <c r="D159" s="8"/>
      <c r="E159" s="187"/>
      <c r="F159"/>
      <c r="G159" s="8"/>
      <c r="H159" s="8"/>
      <c r="I159" s="204"/>
      <c r="J159"/>
      <c r="K159" s="8"/>
      <c r="L159" s="8"/>
      <c r="M159" s="8"/>
      <c r="N159" s="8"/>
      <c r="O159" s="8"/>
      <c r="P159"/>
      <c r="Q159" s="8"/>
      <c r="R159" s="8"/>
      <c r="S159" s="8"/>
      <c r="T159"/>
      <c r="U159" s="8"/>
      <c r="V159" s="8"/>
      <c r="W159" s="8"/>
      <c r="Y159" s="8"/>
      <c r="Z159" s="212"/>
      <c r="AC159" s="8"/>
      <c r="AD159" s="212"/>
      <c r="AJ159" s="212"/>
      <c r="AN159"/>
      <c r="AT159"/>
      <c r="AX159"/>
      <c r="BD159"/>
      <c r="BH159"/>
      <c r="BM159" s="12"/>
      <c r="BQ159" s="180" t="s">
        <v>24</v>
      </c>
      <c r="BR159" s="181">
        <f t="shared" si="39"/>
        <v>19</v>
      </c>
      <c r="BS159" s="182">
        <f t="shared" si="40"/>
        <v>36</v>
      </c>
      <c r="BT159" s="183" t="str">
        <f t="shared" si="41"/>
        <v>BOUBOU GEGE</v>
      </c>
      <c r="BU159" s="184">
        <f t="shared" si="42"/>
        <v>30</v>
      </c>
      <c r="BV159" s="185" t="str">
        <f t="shared" si="43"/>
        <v>JEAN LUC POLO</v>
      </c>
      <c r="BW159" s="186"/>
      <c r="BX159" s="186"/>
    </row>
    <row r="160" spans="2:76" ht="18.75">
      <c r="B160" s="216">
        <v>15</v>
      </c>
      <c r="C160" s="189" t="s">
        <v>15</v>
      </c>
      <c r="D160" s="8"/>
      <c r="E160" s="187"/>
      <c r="F160"/>
      <c r="G160" s="8"/>
      <c r="H160" s="8"/>
      <c r="I160" s="204"/>
      <c r="J160"/>
      <c r="K160" s="8"/>
      <c r="L160" s="8"/>
      <c r="M160" s="8"/>
      <c r="N160" s="8"/>
      <c r="O160" s="8"/>
      <c r="P160"/>
      <c r="Q160" s="8"/>
      <c r="R160" s="8"/>
      <c r="S160" s="8"/>
      <c r="T160"/>
      <c r="U160" s="8"/>
      <c r="V160" s="8"/>
      <c r="W160" s="8"/>
      <c r="Y160" s="8"/>
      <c r="Z160" s="212"/>
      <c r="AC160" s="8"/>
      <c r="AD160" s="212"/>
      <c r="AJ160" s="212"/>
      <c r="AN160"/>
      <c r="AT160"/>
      <c r="AX160"/>
      <c r="BD160"/>
      <c r="BH160"/>
      <c r="BM160" s="12"/>
      <c r="BQ160" s="180" t="s">
        <v>24</v>
      </c>
      <c r="BR160" s="181">
        <f t="shared" si="39"/>
        <v>20</v>
      </c>
      <c r="BS160" s="182">
        <f t="shared" si="40"/>
        <v>21</v>
      </c>
      <c r="BT160" s="183" t="str">
        <f t="shared" si="41"/>
        <v>THIERRY DOMINIQUE</v>
      </c>
      <c r="BU160" s="184">
        <f t="shared" si="42"/>
        <v>29</v>
      </c>
      <c r="BV160" s="185" t="str">
        <f t="shared" si="43"/>
        <v>PATRICK PIERRE</v>
      </c>
      <c r="BW160" s="186"/>
      <c r="BX160" s="186"/>
    </row>
    <row r="161" spans="2:76" ht="18.75">
      <c r="B161" s="216">
        <v>16</v>
      </c>
      <c r="C161" s="189" t="s">
        <v>15</v>
      </c>
      <c r="D161" s="8"/>
      <c r="E161" s="187"/>
      <c r="F161"/>
      <c r="G161" s="8"/>
      <c r="H161" s="8"/>
      <c r="I161" s="204"/>
      <c r="J161"/>
      <c r="K161" s="8"/>
      <c r="L161" s="8"/>
      <c r="M161" s="8"/>
      <c r="N161" s="8"/>
      <c r="O161" s="8"/>
      <c r="P161"/>
      <c r="Q161" s="8"/>
      <c r="R161" s="8"/>
      <c r="S161" s="8"/>
      <c r="T161"/>
      <c r="U161" s="8"/>
      <c r="V161" s="8"/>
      <c r="W161" s="8"/>
      <c r="Y161" s="8"/>
      <c r="Z161" s="212"/>
      <c r="AC161" s="8"/>
      <c r="AD161" s="212"/>
      <c r="AJ161" s="212"/>
      <c r="AN161"/>
      <c r="AT161"/>
      <c r="AX161"/>
      <c r="BD161"/>
      <c r="BH161"/>
      <c r="BM161" s="12"/>
      <c r="BQ161" s="180" t="s">
        <v>24</v>
      </c>
      <c r="BR161" s="181">
        <f t="shared" si="39"/>
        <v>21</v>
      </c>
      <c r="BS161" s="182">
        <f t="shared" si="40"/>
        <v>19</v>
      </c>
      <c r="BT161" s="183" t="str">
        <f t="shared" si="41"/>
        <v>PIERRICK LILI</v>
      </c>
      <c r="BU161" s="184">
        <f t="shared" si="42"/>
        <v>25</v>
      </c>
      <c r="BV161" s="185" t="str">
        <f t="shared" si="43"/>
        <v>PHILIPPE BABETTE</v>
      </c>
      <c r="BW161" s="186"/>
      <c r="BX161" s="186"/>
    </row>
    <row r="162" spans="2:76" ht="18.75">
      <c r="B162" s="218">
        <v>17</v>
      </c>
      <c r="C162" s="189" t="s">
        <v>15</v>
      </c>
      <c r="D162" s="8"/>
      <c r="E162" s="187"/>
      <c r="F162"/>
      <c r="G162" s="8"/>
      <c r="H162" s="8"/>
      <c r="I162" s="204"/>
      <c r="J162"/>
      <c r="K162" s="8"/>
      <c r="L162" s="8"/>
      <c r="M162" s="8"/>
      <c r="N162" s="8"/>
      <c r="O162" s="8"/>
      <c r="P162"/>
      <c r="Q162" s="8"/>
      <c r="R162" s="8"/>
      <c r="S162" s="8"/>
      <c r="T162"/>
      <c r="U162" s="8"/>
      <c r="V162" s="8"/>
      <c r="W162" s="8"/>
      <c r="Y162" s="8"/>
      <c r="Z162" s="212"/>
      <c r="AC162" s="8"/>
      <c r="AD162" s="212"/>
      <c r="AJ162" s="212"/>
      <c r="AN162"/>
      <c r="AT162"/>
      <c r="AX162"/>
      <c r="BD162"/>
      <c r="BH162"/>
      <c r="BM162" s="12"/>
      <c r="BQ162" s="180" t="s">
        <v>24</v>
      </c>
      <c r="BR162" s="181">
        <f t="shared" si="39"/>
        <v>22</v>
      </c>
      <c r="BS162" s="182">
        <f t="shared" si="40"/>
        <v>35</v>
      </c>
      <c r="BT162" s="183" t="str">
        <f t="shared" si="41"/>
        <v>EASIO CHRISTIAN</v>
      </c>
      <c r="BU162" s="184">
        <f t="shared" si="42"/>
        <v>31</v>
      </c>
      <c r="BV162" s="185" t="str">
        <f t="shared" si="43"/>
        <v>VERO JEAN</v>
      </c>
      <c r="BW162" s="186"/>
      <c r="BX162" s="186"/>
    </row>
    <row r="163" spans="2:76" ht="18.75">
      <c r="B163" s="218">
        <v>18</v>
      </c>
      <c r="C163" s="189" t="s">
        <v>15</v>
      </c>
      <c r="D163" s="8"/>
      <c r="E163" s="187"/>
      <c r="F163"/>
      <c r="G163" s="8"/>
      <c r="H163" s="8"/>
      <c r="I163" s="204"/>
      <c r="J163"/>
      <c r="K163" s="8"/>
      <c r="L163" s="8"/>
      <c r="M163" s="8"/>
      <c r="N163" s="8"/>
      <c r="O163" s="8"/>
      <c r="P163"/>
      <c r="Q163" s="8"/>
      <c r="R163" s="8"/>
      <c r="S163" s="8"/>
      <c r="T163"/>
      <c r="U163" s="8"/>
      <c r="V163" s="8"/>
      <c r="W163" s="8"/>
      <c r="Y163" s="8"/>
      <c r="Z163" s="212"/>
      <c r="AC163" s="8"/>
      <c r="AD163" s="212"/>
      <c r="AJ163" s="212"/>
      <c r="AN163"/>
      <c r="AT163"/>
      <c r="AX163"/>
      <c r="BD163"/>
      <c r="BH163"/>
      <c r="BM163" s="12"/>
      <c r="BQ163" s="180" t="s">
        <v>24</v>
      </c>
      <c r="BR163" s="181">
        <f t="shared" si="39"/>
        <v>23</v>
      </c>
      <c r="BS163" s="182">
        <f t="shared" si="40"/>
        <v>26</v>
      </c>
      <c r="BT163" s="183" t="str">
        <f t="shared" si="41"/>
        <v>FRANCOIS DOMINIQUE</v>
      </c>
      <c r="BU163" s="184">
        <f t="shared" si="42"/>
        <v>18</v>
      </c>
      <c r="BV163" s="185" t="str">
        <f t="shared" si="43"/>
        <v>HUARD BOUSSERON</v>
      </c>
      <c r="BW163" s="186"/>
      <c r="BX163" s="186"/>
    </row>
    <row r="164" spans="2:76" ht="18.75">
      <c r="B164" s="218">
        <v>19</v>
      </c>
      <c r="C164" s="189" t="s">
        <v>15</v>
      </c>
      <c r="D164" s="8"/>
      <c r="E164" s="187"/>
      <c r="F164"/>
      <c r="G164" s="8"/>
      <c r="H164" s="8"/>
      <c r="I164" s="204"/>
      <c r="J164"/>
      <c r="K164" s="8"/>
      <c r="L164" s="8"/>
      <c r="M164" s="8"/>
      <c r="N164" s="8"/>
      <c r="O164" s="8"/>
      <c r="P164"/>
      <c r="Q164" s="8"/>
      <c r="R164" s="8"/>
      <c r="S164" s="8"/>
      <c r="T164"/>
      <c r="U164" s="8"/>
      <c r="V164" s="8"/>
      <c r="W164" s="8"/>
      <c r="Y164" s="8"/>
      <c r="Z164" s="212"/>
      <c r="AC164" s="8"/>
      <c r="AD164" s="212"/>
      <c r="AJ164" s="212"/>
      <c r="AN164"/>
      <c r="AT164"/>
      <c r="AX164"/>
      <c r="BD164"/>
      <c r="BH164"/>
      <c r="BM164" s="12"/>
      <c r="BQ164" s="180" t="s">
        <v>24</v>
      </c>
      <c r="BR164" s="181">
        <f t="shared" si="39"/>
        <v>24</v>
      </c>
      <c r="BS164" s="182">
        <f t="shared" si="40"/>
        <v>40</v>
      </c>
      <c r="BT164" s="183" t="str">
        <f t="shared" si="41"/>
        <v>CHRISTIAN DANIELLE</v>
      </c>
      <c r="BU164" s="184">
        <f t="shared" si="42"/>
        <v>33</v>
      </c>
      <c r="BV164" s="185" t="str">
        <f t="shared" si="43"/>
        <v>SERGE MARTIAL</v>
      </c>
      <c r="BW164" s="186"/>
      <c r="BX164" s="186"/>
    </row>
    <row r="165" spans="2:76" ht="18.75">
      <c r="B165" s="218">
        <v>20</v>
      </c>
      <c r="C165" s="7"/>
      <c r="D165" s="179"/>
      <c r="E165" s="187"/>
      <c r="F165" s="7"/>
      <c r="G165" s="8"/>
      <c r="H165" s="8"/>
      <c r="I165" s="204"/>
      <c r="J165" s="8"/>
      <c r="K165" s="7"/>
      <c r="L165" s="7"/>
      <c r="M165" s="7"/>
      <c r="N165" s="8"/>
      <c r="O165" s="9"/>
      <c r="P165" s="9"/>
      <c r="Q165" s="8"/>
      <c r="R165" s="8"/>
      <c r="S165" s="7"/>
      <c r="T165" s="7"/>
      <c r="U165" s="7"/>
      <c r="V165" s="7"/>
      <c r="BM165" s="12"/>
      <c r="BQ165" s="180" t="s">
        <v>24</v>
      </c>
      <c r="BR165" s="181">
        <f t="shared" si="39"/>
        <v>25</v>
      </c>
      <c r="BS165" s="182">
        <f>X31</f>
        <v>23</v>
      </c>
      <c r="BT165" s="183" t="str">
        <f>Z31</f>
        <v>JEAN PIERRE   JACKY</v>
      </c>
      <c r="BU165" s="184">
        <f>AB31</f>
        <v>28</v>
      </c>
      <c r="BV165" s="185" t="str">
        <f>AD31</f>
        <v>JOSIANE ODILE</v>
      </c>
      <c r="BW165" s="186"/>
      <c r="BX165" s="186"/>
    </row>
    <row r="166" spans="2:76" ht="18.75">
      <c r="B166" s="218">
        <v>21</v>
      </c>
      <c r="C166" s="7"/>
      <c r="D166" s="179"/>
      <c r="E166" s="187"/>
      <c r="F166" s="7"/>
      <c r="G166" s="8"/>
      <c r="H166" s="8"/>
      <c r="I166" s="204"/>
      <c r="J166" s="7"/>
      <c r="K166" s="7"/>
      <c r="L166" s="7"/>
      <c r="M166" s="7"/>
      <c r="N166" s="8"/>
      <c r="O166" s="9"/>
      <c r="P166" s="9"/>
      <c r="Q166" s="8"/>
      <c r="R166" s="8"/>
      <c r="S166" s="7"/>
      <c r="T166" s="7"/>
      <c r="U166" s="7"/>
      <c r="V166" s="7"/>
      <c r="BM166" s="12"/>
      <c r="BQ166" s="180" t="s">
        <v>24</v>
      </c>
      <c r="BR166" s="181">
        <f t="shared" si="39"/>
        <v>26</v>
      </c>
      <c r="BS166" s="182" t="e">
        <f>#REF!</f>
        <v>#REF!</v>
      </c>
      <c r="BT166" s="183" t="e">
        <f>#REF!</f>
        <v>#REF!</v>
      </c>
      <c r="BU166" s="184" t="e">
        <f>#REF!</f>
        <v>#REF!</v>
      </c>
      <c r="BV166" s="185" t="e">
        <f>#REF!</f>
        <v>#REF!</v>
      </c>
      <c r="BW166" s="186"/>
      <c r="BX166" s="186"/>
    </row>
    <row r="167" spans="2:76" ht="18.75">
      <c r="B167" s="218">
        <v>22</v>
      </c>
      <c r="C167" s="7"/>
      <c r="D167" s="179"/>
      <c r="E167" s="187"/>
      <c r="F167" s="7"/>
      <c r="G167" s="8"/>
      <c r="H167" s="8"/>
      <c r="I167" s="204"/>
      <c r="J167" s="7"/>
      <c r="K167" s="7"/>
      <c r="L167" s="7"/>
      <c r="M167" s="7"/>
      <c r="N167" s="8"/>
      <c r="O167" s="9"/>
      <c r="P167" s="9"/>
      <c r="Q167" s="8"/>
      <c r="R167" s="8"/>
      <c r="S167" s="7"/>
      <c r="T167" s="7"/>
      <c r="U167" s="7"/>
      <c r="V167" s="7"/>
      <c r="BM167" s="12"/>
      <c r="BQ167" s="180" t="s">
        <v>24</v>
      </c>
      <c r="BR167" s="181">
        <f t="shared" si="39"/>
        <v>27</v>
      </c>
      <c r="BS167" s="182">
        <f t="shared" si="40"/>
        <v>44</v>
      </c>
      <c r="BT167" s="183" t="str">
        <f t="shared" si="41"/>
        <v>PATRICK ROGER</v>
      </c>
      <c r="BU167" s="184">
        <f t="shared" si="42"/>
        <v>46</v>
      </c>
      <c r="BV167" s="185" t="str">
        <f t="shared" si="43"/>
        <v xml:space="preserve">SERGE  </v>
      </c>
      <c r="BW167" s="186"/>
      <c r="BX167" s="186"/>
    </row>
    <row r="168" spans="2:76" ht="18.75">
      <c r="B168" s="218">
        <v>23</v>
      </c>
      <c r="C168" s="7"/>
      <c r="D168" s="179"/>
      <c r="E168" s="187"/>
      <c r="F168" s="7"/>
      <c r="G168" s="8"/>
      <c r="H168" s="8"/>
      <c r="I168" s="204"/>
      <c r="J168" s="7"/>
      <c r="K168" s="7"/>
      <c r="L168" s="7"/>
      <c r="M168" s="7"/>
      <c r="N168" s="8"/>
      <c r="O168" s="9"/>
      <c r="P168" s="9"/>
      <c r="Q168" s="8"/>
      <c r="R168" s="8"/>
      <c r="S168" s="7"/>
      <c r="T168" s="7"/>
      <c r="U168" s="7"/>
      <c r="V168" s="7"/>
      <c r="BM168" s="12"/>
      <c r="BQ168" s="180" t="s">
        <v>24</v>
      </c>
      <c r="BR168" s="181">
        <f t="shared" si="39"/>
        <v>28</v>
      </c>
      <c r="BS168" s="182">
        <f t="shared" si="40"/>
        <v>42</v>
      </c>
      <c r="BT168" s="183" t="str">
        <f t="shared" si="41"/>
        <v>PATRICK FLORENCE</v>
      </c>
      <c r="BU168" s="184">
        <f t="shared" si="42"/>
        <v>41</v>
      </c>
      <c r="BV168" s="185" t="str">
        <f t="shared" si="43"/>
        <v>ALAIN ALCIDE</v>
      </c>
      <c r="BW168" s="186"/>
      <c r="BX168" s="186"/>
    </row>
    <row r="169" spans="2:76" ht="18.75">
      <c r="B169" s="218">
        <v>24</v>
      </c>
      <c r="C169" s="7"/>
      <c r="D169" s="179"/>
      <c r="E169" s="187"/>
      <c r="F169" s="7"/>
      <c r="G169" s="8"/>
      <c r="H169" s="8"/>
      <c r="I169" s="204"/>
      <c r="J169" s="7"/>
      <c r="K169" s="7"/>
      <c r="L169" s="7"/>
      <c r="M169" s="7"/>
      <c r="N169" s="8"/>
      <c r="O169" s="9"/>
      <c r="P169" s="9"/>
      <c r="Q169" s="8"/>
      <c r="R169" s="8"/>
      <c r="S169" s="7"/>
      <c r="T169" s="7"/>
      <c r="U169" s="7"/>
      <c r="V169" s="7"/>
      <c r="BQ169" s="180" t="s">
        <v>24</v>
      </c>
      <c r="BR169" s="181">
        <f t="shared" si="39"/>
        <v>29</v>
      </c>
      <c r="BS169" s="182">
        <f t="shared" si="40"/>
        <v>49</v>
      </c>
      <c r="BT169" s="183" t="str">
        <f t="shared" si="41"/>
        <v>OLIVIER</v>
      </c>
      <c r="BU169" s="184">
        <f t="shared" si="42"/>
        <v>43</v>
      </c>
      <c r="BV169" s="185" t="str">
        <f t="shared" si="43"/>
        <v>DAVID MICHEL</v>
      </c>
      <c r="BW169" s="186"/>
      <c r="BX169" s="186"/>
    </row>
    <row r="170" spans="2:76" ht="18.75">
      <c r="B170" s="218">
        <v>25</v>
      </c>
      <c r="C170" s="7"/>
      <c r="D170" s="179"/>
      <c r="E170" s="187"/>
      <c r="F170" s="7"/>
      <c r="G170" s="8"/>
      <c r="H170" s="8"/>
      <c r="I170" s="204"/>
      <c r="J170" s="7"/>
      <c r="K170" s="7"/>
      <c r="L170" s="7"/>
      <c r="M170" s="7"/>
      <c r="N170" s="8"/>
      <c r="O170" s="9"/>
      <c r="P170" s="9"/>
      <c r="Q170" s="8"/>
      <c r="R170" s="8"/>
      <c r="S170" s="7"/>
      <c r="T170" s="7"/>
      <c r="U170" s="7"/>
      <c r="V170" s="7"/>
      <c r="BQ170" s="180" t="s">
        <v>24</v>
      </c>
      <c r="BR170" s="181">
        <f t="shared" si="39"/>
        <v>30</v>
      </c>
      <c r="BS170" s="182">
        <f t="shared" si="40"/>
        <v>47</v>
      </c>
      <c r="BT170" s="183" t="str">
        <f t="shared" si="41"/>
        <v>HERMAN</v>
      </c>
      <c r="BU170" s="184">
        <f t="shared" si="42"/>
        <v>48</v>
      </c>
      <c r="BV170" s="185" t="str">
        <f t="shared" si="43"/>
        <v>LUC</v>
      </c>
      <c r="BW170" s="186"/>
      <c r="BX170" s="186"/>
    </row>
    <row r="171" spans="2:76" ht="18.75">
      <c r="B171" s="218">
        <v>26</v>
      </c>
      <c r="C171" s="7"/>
      <c r="D171" s="179"/>
      <c r="E171" s="187"/>
      <c r="F171" s="7"/>
      <c r="G171" s="8"/>
      <c r="H171" s="8"/>
      <c r="I171" s="204"/>
      <c r="J171" s="7"/>
      <c r="K171" s="7"/>
      <c r="L171" s="7"/>
      <c r="M171" s="7"/>
      <c r="N171" s="8"/>
      <c r="O171" s="9"/>
      <c r="P171" s="9"/>
      <c r="Q171" s="8"/>
      <c r="R171" s="8"/>
      <c r="S171" s="7"/>
      <c r="T171" s="7"/>
      <c r="U171" s="7"/>
      <c r="V171" s="7"/>
      <c r="BQ171" s="180" t="s">
        <v>24</v>
      </c>
      <c r="BR171" s="181">
        <f t="shared" si="39"/>
        <v>31</v>
      </c>
      <c r="BS171" s="182">
        <f t="shared" si="40"/>
        <v>45</v>
      </c>
      <c r="BT171" s="183" t="str">
        <f t="shared" si="41"/>
        <v>RENAUD</v>
      </c>
      <c r="BU171" s="184">
        <f t="shared" si="42"/>
        <v>51</v>
      </c>
      <c r="BV171" s="185" t="str">
        <f t="shared" si="43"/>
        <v>BEAUDOUIN</v>
      </c>
      <c r="BW171" s="186"/>
      <c r="BX171" s="186"/>
    </row>
    <row r="172" spans="2:76" ht="19.5" thickBot="1">
      <c r="B172" s="218">
        <v>27</v>
      </c>
      <c r="C172" s="7"/>
      <c r="D172" s="179"/>
      <c r="E172" s="187"/>
      <c r="F172" s="7"/>
      <c r="G172" s="8"/>
      <c r="H172" s="8"/>
      <c r="I172" s="204"/>
      <c r="J172" s="7"/>
      <c r="K172" s="7"/>
      <c r="L172" s="7"/>
      <c r="M172" s="7"/>
      <c r="N172" s="8"/>
      <c r="O172" s="9"/>
      <c r="P172" s="9"/>
      <c r="Q172" s="8"/>
      <c r="R172" s="8"/>
      <c r="S172" s="7"/>
      <c r="T172" s="7"/>
      <c r="U172" s="7"/>
      <c r="V172" s="7"/>
      <c r="BQ172" s="196" t="s">
        <v>24</v>
      </c>
      <c r="BR172" s="197">
        <f t="shared" si="39"/>
        <v>32</v>
      </c>
      <c r="BS172" s="198">
        <f t="shared" si="40"/>
        <v>52</v>
      </c>
      <c r="BT172" s="199" t="str">
        <f t="shared" si="41"/>
        <v>ABEL</v>
      </c>
      <c r="BU172" s="200">
        <f t="shared" si="42"/>
        <v>50</v>
      </c>
      <c r="BV172" s="201" t="str">
        <f t="shared" si="43"/>
        <v>FLORENTIN</v>
      </c>
      <c r="BW172" s="202"/>
      <c r="BX172" s="202"/>
    </row>
    <row r="173" spans="2:76" ht="18.75">
      <c r="B173" s="218">
        <v>28</v>
      </c>
      <c r="C173" s="7"/>
      <c r="D173" s="179"/>
      <c r="E173" s="187"/>
      <c r="F173" s="7"/>
      <c r="G173" s="8"/>
      <c r="H173" s="8"/>
      <c r="I173" s="204"/>
      <c r="J173" s="7"/>
      <c r="K173" s="7"/>
      <c r="L173" s="7"/>
      <c r="M173" s="7"/>
      <c r="N173" s="8"/>
      <c r="O173" s="9"/>
      <c r="P173" s="9"/>
      <c r="Q173" s="8"/>
      <c r="R173" s="8"/>
      <c r="S173" s="7"/>
      <c r="T173" s="7"/>
      <c r="U173" s="7"/>
      <c r="V173" s="7"/>
      <c r="BQ173" s="148"/>
      <c r="BR173" s="149"/>
      <c r="BS173" s="150"/>
      <c r="BT173" s="220"/>
      <c r="BU173" s="9"/>
      <c r="BV173" s="220"/>
      <c r="BW173" s="220"/>
      <c r="BX173" s="220"/>
    </row>
    <row r="174" spans="2:76" ht="18.75">
      <c r="B174" s="218">
        <v>29</v>
      </c>
      <c r="C174" s="7"/>
      <c r="D174" s="179"/>
      <c r="E174" s="187"/>
      <c r="F174" s="7"/>
      <c r="G174" s="8"/>
      <c r="H174" s="8"/>
      <c r="I174" s="204"/>
      <c r="J174" s="7"/>
      <c r="K174" s="7"/>
      <c r="L174" s="7"/>
      <c r="M174" s="7"/>
      <c r="N174" s="8"/>
      <c r="O174" s="9"/>
      <c r="P174" s="9"/>
      <c r="Q174" s="8"/>
      <c r="R174" s="8"/>
      <c r="S174" s="7"/>
      <c r="T174" s="7"/>
      <c r="U174" s="7"/>
      <c r="V174" s="7"/>
      <c r="BQ174" s="148"/>
      <c r="BR174" s="149"/>
      <c r="BS174" s="150"/>
      <c r="BT174" s="220"/>
      <c r="BU174" s="9"/>
      <c r="BV174" s="220"/>
      <c r="BW174" s="220"/>
      <c r="BX174" s="220"/>
    </row>
    <row r="175" spans="2:76" ht="18.75">
      <c r="B175" s="218">
        <v>30</v>
      </c>
      <c r="C175" s="7"/>
      <c r="D175" s="179"/>
      <c r="E175" s="187"/>
      <c r="F175" s="7"/>
      <c r="G175" s="8"/>
      <c r="H175" s="8"/>
      <c r="I175" s="204"/>
      <c r="J175" s="7"/>
      <c r="K175" s="7"/>
      <c r="L175" s="7"/>
      <c r="M175" s="7"/>
      <c r="N175" s="8"/>
      <c r="O175" s="9"/>
      <c r="P175" s="9"/>
      <c r="Q175" s="8"/>
      <c r="R175" s="8"/>
      <c r="S175" s="7"/>
      <c r="T175" s="7"/>
      <c r="U175" s="7"/>
      <c r="V175" s="7"/>
      <c r="BQ175" s="148"/>
      <c r="BR175" s="149"/>
      <c r="BS175" s="150"/>
      <c r="BT175" s="220"/>
      <c r="BU175" s="9"/>
      <c r="BV175" s="220"/>
      <c r="BW175" s="220"/>
      <c r="BX175" s="220"/>
    </row>
    <row r="176" spans="2:76" ht="18.75">
      <c r="B176" s="218">
        <v>31</v>
      </c>
      <c r="C176" s="7"/>
      <c r="D176" s="179"/>
      <c r="E176" s="187"/>
      <c r="F176" s="7"/>
      <c r="G176" s="8"/>
      <c r="H176" s="8"/>
      <c r="I176" s="204"/>
      <c r="J176" s="7"/>
      <c r="K176" s="7"/>
      <c r="L176" s="7"/>
      <c r="M176" s="7"/>
      <c r="N176" s="8"/>
      <c r="O176" s="9"/>
      <c r="P176" s="9"/>
      <c r="Q176" s="8"/>
      <c r="R176" s="8"/>
      <c r="S176" s="7"/>
      <c r="T176" s="7"/>
      <c r="U176" s="7"/>
      <c r="V176" s="7"/>
      <c r="BQ176" s="148"/>
      <c r="BR176" s="149"/>
      <c r="BS176" s="150"/>
      <c r="BT176" s="220"/>
      <c r="BU176" s="9"/>
      <c r="BV176" s="220"/>
      <c r="BW176" s="220"/>
      <c r="BX176" s="220"/>
    </row>
    <row r="177" spans="2:76" ht="18.75">
      <c r="B177" s="218">
        <v>32</v>
      </c>
      <c r="C177" s="7"/>
      <c r="D177" s="179"/>
      <c r="E177" s="187"/>
      <c r="F177" s="7"/>
      <c r="G177" s="8"/>
      <c r="H177" s="8"/>
      <c r="I177" s="204"/>
      <c r="J177" s="7"/>
      <c r="K177" s="7"/>
      <c r="L177" s="7"/>
      <c r="M177" s="7"/>
      <c r="N177" s="8"/>
      <c r="O177" s="9"/>
      <c r="P177" s="9"/>
      <c r="Q177" s="8"/>
      <c r="R177" s="8"/>
      <c r="S177" s="7"/>
      <c r="T177" s="7"/>
      <c r="U177" s="7"/>
      <c r="V177" s="7"/>
      <c r="BQ177" s="148"/>
      <c r="BR177" s="149"/>
      <c r="BS177" s="150"/>
      <c r="BT177" s="220"/>
      <c r="BU177" s="9"/>
      <c r="BV177" s="220"/>
      <c r="BW177" s="220"/>
      <c r="BX177" s="220"/>
    </row>
    <row r="178" spans="2:76">
      <c r="C178" s="7"/>
      <c r="D178" s="179"/>
      <c r="E178" s="187"/>
      <c r="F178" s="7"/>
      <c r="G178" s="8"/>
      <c r="H178" s="8"/>
      <c r="I178" s="204"/>
      <c r="J178" s="7"/>
      <c r="K178" s="7"/>
      <c r="L178" s="7"/>
      <c r="M178" s="7"/>
      <c r="N178" s="8"/>
      <c r="O178" s="9"/>
      <c r="P178" s="9"/>
      <c r="Q178" s="8"/>
      <c r="R178" s="8"/>
      <c r="S178" s="7"/>
      <c r="T178" s="7"/>
      <c r="U178" s="7"/>
      <c r="V178" s="7"/>
      <c r="BQ178" s="148"/>
      <c r="BR178" s="149"/>
      <c r="BS178" s="150"/>
      <c r="BT178" s="220"/>
      <c r="BU178" s="9"/>
      <c r="BV178" s="220"/>
      <c r="BW178" s="220"/>
      <c r="BX178" s="220"/>
    </row>
    <row r="179" spans="2:76">
      <c r="C179" s="7"/>
      <c r="D179" s="179"/>
      <c r="E179" s="187"/>
      <c r="F179" s="7"/>
      <c r="G179" s="8"/>
      <c r="H179" s="8"/>
      <c r="I179" s="204"/>
      <c r="J179" s="7"/>
      <c r="K179" s="7"/>
      <c r="L179" s="7"/>
      <c r="M179" s="7"/>
      <c r="N179" s="8"/>
      <c r="O179" s="9"/>
      <c r="P179" s="9"/>
      <c r="Q179" s="8"/>
      <c r="R179" s="8"/>
      <c r="S179" s="7"/>
      <c r="T179" s="7"/>
      <c r="U179" s="7"/>
      <c r="V179" s="7"/>
      <c r="BQ179" s="148"/>
      <c r="BR179" s="149"/>
      <c r="BS179" s="150"/>
      <c r="BT179" s="220"/>
      <c r="BU179" s="9"/>
      <c r="BV179" s="220"/>
      <c r="BW179" s="220"/>
      <c r="BX179" s="220"/>
    </row>
    <row r="180" spans="2:76">
      <c r="C180" s="7"/>
      <c r="D180" s="179"/>
      <c r="E180" s="187"/>
      <c r="F180" s="7"/>
      <c r="G180" s="8"/>
      <c r="H180" s="8"/>
      <c r="I180" s="204"/>
      <c r="J180" s="7"/>
      <c r="K180" s="7"/>
      <c r="L180" s="7"/>
      <c r="M180" s="7"/>
      <c r="N180" s="8"/>
      <c r="O180" s="9"/>
      <c r="P180" s="9"/>
      <c r="Q180" s="8"/>
      <c r="R180" s="8"/>
      <c r="S180" s="7"/>
      <c r="T180" s="7"/>
      <c r="U180" s="7"/>
      <c r="V180" s="7"/>
      <c r="BQ180" s="148"/>
      <c r="BR180" s="149"/>
      <c r="BS180" s="150"/>
      <c r="BT180" s="220"/>
      <c r="BU180" s="9"/>
      <c r="BV180" s="220"/>
      <c r="BW180" s="220"/>
      <c r="BX180" s="220"/>
    </row>
    <row r="181" spans="2:76">
      <c r="C181" s="7"/>
      <c r="D181" s="179"/>
      <c r="E181" s="187"/>
      <c r="F181" s="7"/>
      <c r="G181" s="8"/>
      <c r="H181" s="8"/>
      <c r="I181" s="204"/>
      <c r="J181" s="7"/>
      <c r="K181" s="7"/>
      <c r="L181" s="7"/>
      <c r="M181" s="7"/>
      <c r="N181" s="8"/>
      <c r="O181" s="9"/>
      <c r="P181" s="9"/>
      <c r="Q181" s="8"/>
      <c r="R181" s="8"/>
      <c r="S181" s="7"/>
      <c r="T181" s="7"/>
      <c r="U181" s="7"/>
      <c r="V181" s="7"/>
      <c r="BQ181" s="148"/>
      <c r="BR181" s="149"/>
      <c r="BS181" s="150"/>
      <c r="BT181" s="220"/>
      <c r="BU181" s="9"/>
      <c r="BV181" s="220"/>
      <c r="BW181" s="220"/>
      <c r="BX181" s="220"/>
    </row>
    <row r="182" spans="2:76">
      <c r="C182" s="7"/>
      <c r="D182" s="179"/>
      <c r="E182" s="187"/>
      <c r="F182" s="7"/>
      <c r="G182" s="8"/>
      <c r="H182" s="8"/>
      <c r="I182" s="204"/>
      <c r="J182" s="7"/>
      <c r="K182" s="7"/>
      <c r="L182" s="7"/>
      <c r="M182" s="7"/>
      <c r="N182" s="8"/>
      <c r="O182" s="9"/>
      <c r="P182" s="9"/>
      <c r="Q182" s="8"/>
      <c r="R182" s="8"/>
      <c r="S182" s="7"/>
      <c r="T182" s="7"/>
      <c r="U182" s="7"/>
      <c r="V182" s="7"/>
      <c r="BQ182" s="148"/>
      <c r="BR182" s="149"/>
      <c r="BS182" s="150"/>
      <c r="BT182" s="220"/>
      <c r="BU182" s="9"/>
      <c r="BV182" s="220"/>
      <c r="BW182" s="220"/>
      <c r="BX182" s="220"/>
    </row>
    <row r="183" spans="2:76">
      <c r="C183" s="7"/>
      <c r="D183" s="179"/>
      <c r="E183" s="187"/>
      <c r="F183" s="7"/>
      <c r="G183" s="8"/>
      <c r="H183" s="8"/>
      <c r="I183" s="204"/>
      <c r="J183" s="7"/>
      <c r="K183" s="7"/>
      <c r="L183" s="7"/>
      <c r="M183" s="7"/>
      <c r="N183" s="8"/>
      <c r="O183" s="9"/>
      <c r="P183" s="9"/>
      <c r="Q183" s="8"/>
      <c r="R183" s="8"/>
      <c r="S183" s="7"/>
      <c r="T183" s="7"/>
      <c r="U183" s="7"/>
      <c r="V183" s="7"/>
      <c r="BQ183" s="148"/>
      <c r="BR183" s="149"/>
      <c r="BS183" s="150"/>
      <c r="BT183" s="220"/>
      <c r="BU183" s="9"/>
      <c r="BV183" s="220"/>
      <c r="BW183" s="220"/>
      <c r="BX183" s="220"/>
    </row>
    <row r="184" spans="2:76">
      <c r="C184" s="7"/>
      <c r="D184" s="179"/>
      <c r="E184" s="187"/>
      <c r="F184" s="7"/>
      <c r="G184" s="8"/>
      <c r="H184" s="8"/>
      <c r="I184" s="204"/>
      <c r="J184" s="7"/>
      <c r="K184" s="7"/>
      <c r="L184" s="7"/>
      <c r="M184" s="7"/>
      <c r="N184" s="8"/>
      <c r="O184" s="9"/>
      <c r="P184" s="9"/>
      <c r="Q184" s="8"/>
      <c r="R184" s="8"/>
      <c r="S184" s="7"/>
      <c r="T184" s="7"/>
      <c r="U184" s="7"/>
      <c r="V184" s="7"/>
      <c r="BQ184" s="148"/>
      <c r="BR184" s="149"/>
      <c r="BS184" s="150"/>
      <c r="BT184" s="220"/>
      <c r="BU184" s="9"/>
      <c r="BV184" s="220"/>
      <c r="BW184" s="220"/>
      <c r="BX184" s="220"/>
    </row>
    <row r="185" spans="2:76">
      <c r="C185" s="7"/>
      <c r="D185" s="179"/>
      <c r="E185" s="187"/>
      <c r="F185" s="7"/>
      <c r="G185" s="8"/>
      <c r="H185" s="8"/>
      <c r="I185" s="204"/>
      <c r="J185" s="7"/>
      <c r="K185" s="7"/>
      <c r="L185" s="7"/>
      <c r="M185" s="7"/>
      <c r="N185" s="8"/>
      <c r="O185" s="9"/>
      <c r="P185" s="9"/>
      <c r="Q185" s="8"/>
      <c r="R185" s="8"/>
      <c r="S185" s="7"/>
      <c r="T185" s="7"/>
      <c r="U185" s="7"/>
      <c r="V185" s="7"/>
      <c r="BQ185" s="148"/>
      <c r="BR185" s="149"/>
      <c r="BS185" s="150"/>
      <c r="BT185" s="220"/>
      <c r="BU185" s="9"/>
      <c r="BV185" s="220"/>
      <c r="BW185" s="220"/>
      <c r="BX185" s="220"/>
    </row>
    <row r="186" spans="2:76">
      <c r="C186" s="7"/>
      <c r="D186" s="179"/>
      <c r="E186" s="187"/>
      <c r="F186" s="7"/>
      <c r="G186" s="8"/>
      <c r="H186" s="8"/>
      <c r="I186" s="204"/>
      <c r="J186" s="7"/>
      <c r="K186" s="7"/>
      <c r="L186" s="7"/>
      <c r="M186" s="7"/>
      <c r="N186" s="8"/>
      <c r="O186" s="9"/>
      <c r="P186" s="9"/>
      <c r="Q186" s="8"/>
      <c r="R186" s="8"/>
      <c r="S186" s="7"/>
      <c r="T186" s="7"/>
      <c r="U186" s="7"/>
      <c r="V186" s="7"/>
      <c r="BQ186" s="148"/>
      <c r="BR186" s="149"/>
      <c r="BS186" s="150"/>
      <c r="BT186" s="220"/>
      <c r="BU186" s="9"/>
      <c r="BV186" s="220"/>
      <c r="BW186" s="220"/>
      <c r="BX186" s="220"/>
    </row>
    <row r="187" spans="2:76">
      <c r="C187" s="7"/>
      <c r="D187" s="179"/>
      <c r="E187" s="187"/>
      <c r="F187" s="7"/>
      <c r="G187" s="8"/>
      <c r="H187" s="8"/>
      <c r="I187" s="204"/>
      <c r="J187" s="7"/>
      <c r="K187" s="7"/>
      <c r="L187" s="7"/>
      <c r="M187" s="7"/>
      <c r="N187" s="8"/>
      <c r="O187" s="9"/>
      <c r="P187" s="9"/>
      <c r="Q187" s="8"/>
      <c r="R187" s="8"/>
      <c r="S187" s="7"/>
      <c r="T187" s="7"/>
      <c r="U187" s="7"/>
      <c r="V187" s="7"/>
      <c r="BQ187" s="148"/>
      <c r="BR187" s="149"/>
      <c r="BS187" s="150"/>
      <c r="BT187" s="220"/>
      <c r="BU187" s="9"/>
      <c r="BV187" s="220"/>
      <c r="BW187" s="220"/>
      <c r="BX187" s="220"/>
    </row>
    <row r="188" spans="2:76">
      <c r="C188" s="7"/>
      <c r="D188" s="179"/>
      <c r="E188" s="187"/>
      <c r="F188" s="7"/>
      <c r="G188" s="8"/>
      <c r="H188" s="8"/>
      <c r="I188" s="204"/>
      <c r="J188" s="7"/>
      <c r="K188" s="7"/>
      <c r="L188" s="7"/>
      <c r="M188" s="7"/>
      <c r="N188" s="8"/>
      <c r="O188" s="9"/>
      <c r="P188" s="9"/>
      <c r="Q188" s="8"/>
      <c r="R188" s="8"/>
      <c r="S188" s="7"/>
      <c r="T188" s="7"/>
      <c r="U188" s="7"/>
      <c r="V188" s="7"/>
      <c r="BQ188" s="148"/>
      <c r="BR188" s="149"/>
      <c r="BS188" s="150"/>
      <c r="BT188" s="220"/>
      <c r="BU188" s="9"/>
      <c r="BV188" s="220"/>
      <c r="BW188" s="220"/>
      <c r="BX188" s="220"/>
    </row>
    <row r="189" spans="2:76">
      <c r="C189" s="7"/>
      <c r="D189" s="179"/>
      <c r="E189" s="187"/>
      <c r="F189" s="7"/>
      <c r="G189" s="8"/>
      <c r="H189" s="8"/>
      <c r="I189" s="204"/>
      <c r="J189" s="7"/>
      <c r="K189" s="7"/>
      <c r="L189" s="7"/>
      <c r="M189" s="7"/>
      <c r="N189" s="8"/>
      <c r="O189" s="9"/>
      <c r="P189" s="9"/>
      <c r="Q189" s="8"/>
      <c r="R189" s="8"/>
      <c r="S189" s="7"/>
      <c r="T189" s="7"/>
      <c r="U189" s="7"/>
      <c r="V189" s="7"/>
      <c r="BQ189" s="148"/>
      <c r="BR189" s="149"/>
      <c r="BS189" s="150"/>
      <c r="BT189" s="220"/>
      <c r="BU189" s="9"/>
      <c r="BV189" s="220"/>
      <c r="BW189" s="220"/>
      <c r="BX189" s="220"/>
    </row>
    <row r="190" spans="2:76">
      <c r="C190" s="7"/>
      <c r="D190" s="179"/>
      <c r="E190" s="187"/>
      <c r="F190" s="7"/>
      <c r="G190" s="8"/>
      <c r="H190" s="8"/>
      <c r="I190" s="204"/>
      <c r="J190" s="7"/>
      <c r="K190" s="7"/>
      <c r="L190" s="7"/>
      <c r="M190" s="7"/>
      <c r="N190" s="8"/>
      <c r="O190" s="9"/>
      <c r="P190" s="9"/>
      <c r="Q190" s="8"/>
      <c r="R190" s="8"/>
      <c r="S190" s="7"/>
      <c r="T190" s="7"/>
      <c r="U190" s="7"/>
      <c r="V190" s="7"/>
      <c r="BQ190" s="148"/>
      <c r="BR190" s="149"/>
      <c r="BS190" s="150"/>
      <c r="BT190" s="220"/>
      <c r="BU190" s="9"/>
      <c r="BV190" s="220"/>
      <c r="BW190" s="220"/>
      <c r="BX190" s="220"/>
    </row>
    <row r="191" spans="2:76">
      <c r="C191" s="7"/>
      <c r="D191" s="179"/>
      <c r="E191" s="187"/>
      <c r="F191" s="7"/>
      <c r="G191" s="8"/>
      <c r="H191" s="8"/>
      <c r="I191" s="204"/>
      <c r="J191" s="7"/>
      <c r="K191" s="7"/>
      <c r="L191" s="7"/>
      <c r="M191" s="7"/>
      <c r="N191" s="8"/>
      <c r="O191" s="9"/>
      <c r="P191" s="9"/>
      <c r="Q191" s="8"/>
      <c r="R191" s="8"/>
      <c r="S191" s="7"/>
      <c r="T191" s="7"/>
      <c r="U191" s="7"/>
      <c r="V191" s="7"/>
      <c r="BQ191" s="148"/>
      <c r="BR191" s="149"/>
      <c r="BS191" s="150"/>
      <c r="BT191" s="220"/>
      <c r="BU191" s="9"/>
      <c r="BV191" s="220"/>
      <c r="BW191" s="220"/>
      <c r="BX191" s="220"/>
    </row>
    <row r="192" spans="2:76">
      <c r="C192" s="7"/>
      <c r="D192" s="179"/>
      <c r="E192" s="187"/>
      <c r="F192" s="7"/>
      <c r="G192" s="8"/>
      <c r="H192" s="8"/>
      <c r="I192" s="204"/>
      <c r="J192" s="7"/>
      <c r="K192" s="7"/>
      <c r="L192" s="7"/>
      <c r="M192" s="7"/>
      <c r="N192" s="8"/>
      <c r="O192" s="9"/>
      <c r="P192" s="9"/>
      <c r="Q192" s="8"/>
      <c r="R192" s="8"/>
      <c r="S192" s="7"/>
      <c r="T192" s="7"/>
      <c r="U192" s="7"/>
      <c r="V192" s="7"/>
      <c r="BQ192" s="148"/>
      <c r="BR192" s="149"/>
      <c r="BS192" s="150"/>
      <c r="BT192" s="220"/>
      <c r="BU192" s="9"/>
      <c r="BV192" s="220"/>
      <c r="BW192" s="220"/>
      <c r="BX192" s="220"/>
    </row>
    <row r="193" spans="3:76">
      <c r="C193" s="7"/>
      <c r="D193" s="179"/>
      <c r="E193" s="187"/>
      <c r="F193" s="7"/>
      <c r="G193" s="8"/>
      <c r="H193" s="8"/>
      <c r="I193" s="204"/>
      <c r="J193" s="7"/>
      <c r="K193" s="7"/>
      <c r="L193" s="7"/>
      <c r="M193" s="7"/>
      <c r="N193" s="8"/>
      <c r="O193" s="9"/>
      <c r="P193" s="9"/>
      <c r="Q193" s="8"/>
      <c r="R193" s="8"/>
      <c r="S193" s="7"/>
      <c r="T193" s="7"/>
      <c r="U193" s="7"/>
      <c r="V193" s="7"/>
      <c r="BQ193" s="148"/>
      <c r="BR193" s="149"/>
      <c r="BS193" s="150"/>
      <c r="BT193" s="220"/>
      <c r="BU193" s="9"/>
      <c r="BV193" s="220"/>
      <c r="BW193" s="220"/>
      <c r="BX193" s="220"/>
    </row>
    <row r="194" spans="3:76">
      <c r="C194" s="7"/>
      <c r="D194" s="179"/>
      <c r="E194" s="187"/>
      <c r="F194" s="7"/>
      <c r="G194" s="8"/>
      <c r="H194" s="8"/>
      <c r="I194" s="204"/>
      <c r="J194" s="7"/>
      <c r="K194" s="7"/>
      <c r="L194" s="7"/>
      <c r="M194" s="7"/>
      <c r="N194" s="8"/>
      <c r="O194" s="9"/>
      <c r="P194" s="9"/>
      <c r="Q194" s="8"/>
      <c r="R194" s="8"/>
      <c r="S194" s="7"/>
      <c r="T194" s="7"/>
      <c r="U194" s="7"/>
      <c r="V194" s="7"/>
      <c r="BQ194" s="148"/>
      <c r="BR194" s="149"/>
      <c r="BS194" s="150"/>
      <c r="BT194" s="220"/>
      <c r="BU194" s="9"/>
      <c r="BV194" s="220"/>
      <c r="BW194" s="220"/>
      <c r="BX194" s="220"/>
    </row>
    <row r="195" spans="3:76">
      <c r="C195" s="7"/>
      <c r="D195" s="179"/>
      <c r="E195" s="187"/>
      <c r="F195" s="7"/>
      <c r="G195" s="8"/>
      <c r="H195" s="8"/>
      <c r="I195" s="204"/>
      <c r="J195" s="7"/>
      <c r="K195" s="7"/>
      <c r="L195" s="7"/>
      <c r="M195" s="7"/>
      <c r="N195" s="8"/>
      <c r="O195" s="9"/>
      <c r="P195" s="9"/>
      <c r="Q195" s="8"/>
      <c r="R195" s="8"/>
      <c r="S195" s="7"/>
      <c r="T195" s="7"/>
      <c r="U195" s="7"/>
      <c r="V195" s="7"/>
      <c r="BQ195" s="148"/>
      <c r="BR195" s="149"/>
      <c r="BS195" s="150"/>
      <c r="BT195" s="220"/>
      <c r="BU195" s="9"/>
      <c r="BV195" s="220"/>
      <c r="BW195" s="220"/>
      <c r="BX195" s="220"/>
    </row>
    <row r="196" spans="3:76">
      <c r="C196" s="7"/>
      <c r="D196" s="179"/>
      <c r="E196" s="187"/>
      <c r="F196" s="7"/>
      <c r="G196" s="8"/>
      <c r="H196" s="8"/>
      <c r="I196" s="204"/>
      <c r="J196" s="7"/>
      <c r="K196" s="7"/>
      <c r="L196" s="7"/>
      <c r="M196" s="7"/>
      <c r="N196" s="8"/>
      <c r="O196" s="9"/>
      <c r="P196" s="9"/>
      <c r="Q196" s="8"/>
      <c r="R196" s="8"/>
      <c r="S196" s="7"/>
      <c r="T196" s="7"/>
      <c r="U196" s="7"/>
      <c r="V196" s="7"/>
      <c r="AP196" s="7">
        <v>15</v>
      </c>
      <c r="BQ196" s="148"/>
      <c r="BR196" s="149"/>
      <c r="BS196" s="150"/>
      <c r="BT196" s="220"/>
      <c r="BU196" s="9"/>
      <c r="BV196" s="220"/>
      <c r="BW196" s="220"/>
      <c r="BX196" s="220"/>
    </row>
    <row r="197" spans="3:76">
      <c r="C197" s="7"/>
      <c r="D197" s="179"/>
      <c r="E197" s="187"/>
      <c r="F197" s="7"/>
      <c r="G197" s="8"/>
      <c r="H197" s="8"/>
      <c r="I197" s="204"/>
      <c r="J197" s="7"/>
      <c r="K197" s="7"/>
      <c r="L197" s="7"/>
      <c r="M197" s="7"/>
      <c r="N197" s="8"/>
      <c r="O197" s="9"/>
      <c r="P197" s="9"/>
      <c r="Q197" s="8"/>
      <c r="R197" s="8"/>
      <c r="S197" s="7"/>
      <c r="T197" s="7"/>
      <c r="U197" s="7"/>
      <c r="V197" s="7"/>
      <c r="AP197" s="7">
        <v>15</v>
      </c>
      <c r="BQ197" s="148"/>
      <c r="BR197" s="149"/>
      <c r="BS197" s="150"/>
      <c r="BT197" s="220"/>
      <c r="BU197" s="9"/>
      <c r="BV197" s="220"/>
      <c r="BW197" s="220"/>
      <c r="BX197" s="220"/>
    </row>
    <row r="198" spans="3:76">
      <c r="C198" s="7"/>
      <c r="D198" s="179"/>
      <c r="E198" s="187"/>
      <c r="F198" s="7"/>
      <c r="G198" s="8"/>
      <c r="H198" s="8"/>
      <c r="I198" s="204"/>
      <c r="J198" s="7"/>
      <c r="K198" s="7"/>
      <c r="L198" s="7"/>
      <c r="M198" s="7"/>
      <c r="N198" s="8"/>
      <c r="O198" s="9"/>
      <c r="P198" s="9"/>
      <c r="Q198" s="8"/>
      <c r="R198" s="8"/>
      <c r="S198" s="7"/>
      <c r="T198" s="7"/>
      <c r="U198" s="7"/>
      <c r="V198" s="7"/>
      <c r="AP198" s="7">
        <v>15</v>
      </c>
      <c r="BQ198" s="148"/>
      <c r="BR198" s="149"/>
      <c r="BS198" s="150"/>
      <c r="BT198" s="220"/>
      <c r="BU198" s="9"/>
      <c r="BV198" s="220"/>
      <c r="BW198" s="220"/>
      <c r="BX198" s="220"/>
    </row>
    <row r="199" spans="3:76">
      <c r="C199" s="7"/>
      <c r="D199" s="179"/>
      <c r="E199" s="187"/>
      <c r="F199" s="7"/>
      <c r="G199" s="8"/>
      <c r="H199" s="8"/>
      <c r="I199" s="204"/>
      <c r="J199" s="7"/>
      <c r="K199" s="7"/>
      <c r="L199" s="7"/>
      <c r="M199" s="7"/>
      <c r="N199" s="8"/>
      <c r="O199" s="9"/>
      <c r="P199" s="9"/>
      <c r="Q199" s="8"/>
      <c r="R199" s="8"/>
      <c r="S199" s="7"/>
      <c r="T199" s="7"/>
      <c r="U199" s="7"/>
      <c r="V199" s="7"/>
      <c r="AP199" s="7">
        <v>15</v>
      </c>
      <c r="BQ199" s="148"/>
      <c r="BR199" s="149"/>
      <c r="BS199" s="150"/>
      <c r="BT199" s="220"/>
      <c r="BU199" s="9"/>
      <c r="BV199" s="220"/>
      <c r="BW199" s="220"/>
      <c r="BX199" s="220"/>
    </row>
    <row r="200" spans="3:76">
      <c r="C200" s="7"/>
      <c r="D200" s="179"/>
      <c r="E200" s="187"/>
      <c r="F200" s="7"/>
      <c r="G200" s="8"/>
      <c r="H200" s="8"/>
      <c r="I200" s="204"/>
      <c r="J200" s="7"/>
      <c r="K200" s="7"/>
      <c r="L200" s="7"/>
      <c r="M200" s="7"/>
      <c r="N200" s="8"/>
      <c r="O200" s="9"/>
      <c r="P200" s="9"/>
      <c r="Q200" s="8"/>
      <c r="R200" s="8"/>
      <c r="S200" s="7"/>
      <c r="T200" s="7"/>
      <c r="U200" s="7"/>
      <c r="V200" s="7"/>
      <c r="AP200" s="7">
        <v>15</v>
      </c>
      <c r="BQ200" s="148"/>
      <c r="BR200" s="149"/>
      <c r="BS200" s="150"/>
      <c r="BT200" s="220"/>
      <c r="BU200" s="9"/>
      <c r="BV200" s="220"/>
      <c r="BW200" s="220"/>
      <c r="BX200" s="220"/>
    </row>
    <row r="201" spans="3:76">
      <c r="C201" s="7"/>
      <c r="D201" s="179"/>
      <c r="E201" s="187"/>
      <c r="F201" s="7"/>
      <c r="G201" s="8"/>
      <c r="H201" s="8"/>
      <c r="I201" s="204"/>
      <c r="J201" s="7"/>
      <c r="K201" s="7"/>
      <c r="L201" s="7"/>
      <c r="M201" s="7"/>
      <c r="N201" s="8"/>
      <c r="O201" s="9"/>
      <c r="P201" s="95"/>
      <c r="Q201" s="8"/>
      <c r="R201" s="8"/>
      <c r="S201" s="7"/>
      <c r="T201" s="97"/>
      <c r="U201" s="7"/>
      <c r="V201" s="7"/>
      <c r="Z201" s="194"/>
      <c r="AA201" s="194"/>
      <c r="AD201" s="194"/>
      <c r="AJ201" s="194"/>
      <c r="AN201" s="97"/>
      <c r="BQ201" s="148"/>
      <c r="BR201" s="149"/>
      <c r="BS201" s="150"/>
      <c r="BT201" s="220"/>
      <c r="BU201" s="9"/>
      <c r="BV201" s="220"/>
      <c r="BW201" s="220"/>
      <c r="BX201" s="220"/>
    </row>
    <row r="202" spans="3:76">
      <c r="C202" s="7"/>
      <c r="D202" s="179"/>
      <c r="E202" s="187"/>
      <c r="F202" s="7"/>
      <c r="G202" s="8"/>
      <c r="H202" s="8"/>
      <c r="I202" s="204"/>
      <c r="J202" s="7"/>
      <c r="K202" s="7"/>
      <c r="L202" s="7"/>
      <c r="M202" s="7"/>
      <c r="N202" s="8"/>
      <c r="O202" s="9"/>
      <c r="P202" s="95"/>
      <c r="Q202" s="8"/>
      <c r="R202" s="8"/>
      <c r="S202" s="7"/>
      <c r="T202" s="97"/>
      <c r="U202" s="7"/>
      <c r="V202" s="7"/>
      <c r="Z202" s="221"/>
      <c r="AA202" s="222"/>
      <c r="AD202" s="222"/>
      <c r="AJ202" s="221"/>
      <c r="AN202" s="97"/>
      <c r="BQ202" s="148"/>
      <c r="BR202" s="149"/>
      <c r="BS202" s="150"/>
      <c r="BT202" s="220"/>
      <c r="BU202" s="9"/>
      <c r="BV202" s="220"/>
      <c r="BW202" s="220"/>
      <c r="BX202" s="220"/>
    </row>
    <row r="203" spans="3:76">
      <c r="C203" s="7"/>
      <c r="D203" s="179"/>
      <c r="E203" s="187"/>
      <c r="F203" s="7"/>
      <c r="G203" s="8"/>
      <c r="H203" s="8"/>
      <c r="I203" s="204"/>
      <c r="J203" s="7"/>
      <c r="K203" s="7"/>
      <c r="L203" s="7"/>
      <c r="M203" s="7"/>
      <c r="N203" s="8"/>
      <c r="O203" s="9"/>
      <c r="P203" s="95"/>
      <c r="Q203" s="8"/>
      <c r="R203" s="8"/>
      <c r="S203" s="7"/>
      <c r="T203" s="97"/>
      <c r="U203" s="7"/>
      <c r="V203" s="7"/>
      <c r="Z203" s="95"/>
      <c r="AA203" s="97"/>
      <c r="AD203" s="97"/>
      <c r="AJ203" s="95"/>
      <c r="AN203" s="97"/>
      <c r="BQ203" s="148"/>
      <c r="BR203" s="149"/>
      <c r="BS203" s="150"/>
      <c r="BT203" s="220"/>
      <c r="BU203" s="9"/>
      <c r="BV203" s="220"/>
      <c r="BW203" s="220"/>
      <c r="BX203" s="220"/>
    </row>
    <row r="204" spans="3:76">
      <c r="C204" s="7"/>
      <c r="D204" s="179"/>
      <c r="E204" s="187"/>
      <c r="F204" s="7"/>
      <c r="G204" s="8"/>
      <c r="H204" s="8"/>
      <c r="I204" s="204"/>
      <c r="J204" s="7"/>
      <c r="K204" s="7"/>
      <c r="L204" s="7"/>
      <c r="M204" s="7"/>
      <c r="N204" s="8"/>
      <c r="O204" s="9"/>
      <c r="P204" s="95"/>
      <c r="Q204" s="8"/>
      <c r="R204" s="8"/>
      <c r="S204" s="7"/>
      <c r="T204" s="97"/>
      <c r="U204" s="7"/>
      <c r="V204" s="7"/>
      <c r="Z204" s="95"/>
      <c r="AA204" s="97"/>
      <c r="AD204" s="97"/>
      <c r="AJ204" s="95"/>
      <c r="AN204" s="97"/>
      <c r="BQ204" s="148"/>
      <c r="BR204" s="149"/>
      <c r="BS204" s="150"/>
      <c r="BT204" s="220"/>
      <c r="BU204" s="9"/>
      <c r="BV204" s="220"/>
      <c r="BW204" s="220"/>
      <c r="BX204" s="220"/>
    </row>
    <row r="205" spans="3:76">
      <c r="C205" s="7"/>
      <c r="D205" s="179"/>
      <c r="E205" s="187"/>
      <c r="F205" s="7"/>
      <c r="G205" s="8"/>
      <c r="H205" s="8"/>
      <c r="I205" s="204"/>
      <c r="J205" s="7"/>
      <c r="K205" s="7"/>
      <c r="L205" s="7"/>
      <c r="M205" s="7"/>
      <c r="N205" s="8"/>
      <c r="O205" s="9"/>
      <c r="P205" s="95"/>
      <c r="Q205" s="8"/>
      <c r="R205" s="8"/>
      <c r="S205" s="7"/>
      <c r="T205" s="97"/>
      <c r="U205" s="7"/>
      <c r="V205" s="7"/>
      <c r="Z205" s="95"/>
      <c r="AA205" s="97"/>
      <c r="AD205" s="97"/>
      <c r="AJ205" s="95"/>
      <c r="AN205" s="97"/>
      <c r="BQ205" s="148"/>
      <c r="BR205" s="149"/>
      <c r="BS205" s="150"/>
      <c r="BT205" s="151"/>
      <c r="BU205" s="150"/>
      <c r="BV205" s="151"/>
      <c r="BW205" s="150"/>
      <c r="BX205" s="150"/>
    </row>
    <row r="206" spans="3:76" ht="18.75" thickBot="1">
      <c r="C206" s="7"/>
      <c r="D206" s="179"/>
      <c r="E206" s="187"/>
      <c r="F206" s="7"/>
      <c r="G206" s="8"/>
      <c r="H206" s="8"/>
      <c r="I206" s="204"/>
      <c r="J206" s="7"/>
      <c r="K206" s="7"/>
      <c r="L206" s="7"/>
      <c r="M206" s="7"/>
      <c r="N206" s="8"/>
      <c r="O206" s="9"/>
      <c r="P206" s="95"/>
      <c r="Q206" s="8"/>
      <c r="R206" s="8"/>
      <c r="S206" s="7"/>
      <c r="T206" s="97"/>
      <c r="U206" s="7"/>
      <c r="V206" s="7"/>
      <c r="Z206" s="95"/>
      <c r="AA206" s="97"/>
      <c r="AD206" s="97"/>
      <c r="AJ206" s="95"/>
      <c r="AN206" s="97"/>
      <c r="BQ206" s="148"/>
      <c r="BR206" s="149"/>
      <c r="BS206" s="150"/>
      <c r="BT206" s="151"/>
      <c r="BU206" s="150"/>
      <c r="BV206" s="151"/>
      <c r="BW206" s="150"/>
      <c r="BX206" s="150"/>
    </row>
    <row r="207" spans="3:76" ht="21" thickTop="1">
      <c r="C207" s="7"/>
      <c r="D207" s="179"/>
      <c r="E207" s="187"/>
      <c r="F207" s="7"/>
      <c r="G207" s="8"/>
      <c r="H207" s="8"/>
      <c r="I207" s="204"/>
      <c r="J207" s="7"/>
      <c r="K207" s="7"/>
      <c r="L207" s="7"/>
      <c r="M207" s="7"/>
      <c r="N207" s="8"/>
      <c r="O207" s="9"/>
      <c r="P207" s="95"/>
      <c r="Q207" s="8"/>
      <c r="R207" s="8"/>
      <c r="S207" s="7"/>
      <c r="T207" s="97"/>
      <c r="U207" s="7"/>
      <c r="V207" s="7"/>
      <c r="Z207" s="95"/>
      <c r="AA207" s="97"/>
      <c r="AD207" s="97"/>
      <c r="AJ207" s="95"/>
      <c r="AN207" s="97"/>
      <c r="BS207" s="82" t="str">
        <f>AG5</f>
        <v xml:space="preserve">                                             4è tour                                                       résultat</v>
      </c>
      <c r="BT207" s="83"/>
      <c r="BU207" s="83"/>
      <c r="BV207" s="84"/>
      <c r="BW207" s="85"/>
      <c r="BX207" s="86"/>
    </row>
    <row r="208" spans="3:76" ht="18.75">
      <c r="C208" s="7"/>
      <c r="D208" s="179"/>
      <c r="E208" s="187"/>
      <c r="F208" s="7"/>
      <c r="G208" s="8"/>
      <c r="H208" s="8"/>
      <c r="I208" s="204"/>
      <c r="J208" s="7"/>
      <c r="K208" s="7"/>
      <c r="L208" s="7"/>
      <c r="M208" s="7"/>
      <c r="N208" s="8"/>
      <c r="O208" s="9"/>
      <c r="P208" s="95"/>
      <c r="Q208" s="8"/>
      <c r="R208" s="8"/>
      <c r="S208" s="7"/>
      <c r="T208" s="97"/>
      <c r="U208" s="7"/>
      <c r="V208" s="7"/>
      <c r="Z208" s="95"/>
      <c r="AA208" s="97"/>
      <c r="AD208" s="97"/>
      <c r="AJ208" s="95"/>
      <c r="AN208" s="97"/>
      <c r="BQ208" s="88" t="s">
        <v>65</v>
      </c>
      <c r="BR208" s="89">
        <f t="shared" ref="BR208:BR239" si="44">B6</f>
        <v>1</v>
      </c>
      <c r="BS208" s="90" t="str">
        <f t="shared" ref="BS208:BS239" si="45">AH6</f>
        <v/>
      </c>
      <c r="BT208" s="91" t="str">
        <f t="shared" ref="BT208:BT239" si="46">AJ6</f>
        <v/>
      </c>
      <c r="BU208" s="92" t="str">
        <f t="shared" ref="BU208:BU239" si="47">AL6</f>
        <v/>
      </c>
      <c r="BV208" s="93" t="str">
        <f t="shared" ref="BV208:BV239" si="48">AN6</f>
        <v/>
      </c>
      <c r="BW208" s="94"/>
      <c r="BX208" s="94"/>
    </row>
    <row r="209" spans="3:76" ht="18.75" thickBot="1">
      <c r="C209" s="7"/>
      <c r="D209" s="179"/>
      <c r="E209" s="187"/>
      <c r="F209" s="7"/>
      <c r="G209" s="8"/>
      <c r="H209" s="8"/>
      <c r="I209" s="204"/>
      <c r="J209" s="7"/>
      <c r="K209" s="7"/>
      <c r="L209" s="7"/>
      <c r="M209" s="7"/>
      <c r="N209" s="8"/>
      <c r="O209" s="9"/>
      <c r="P209" s="113"/>
      <c r="Q209" s="8"/>
      <c r="R209" s="8"/>
      <c r="S209" s="7"/>
      <c r="T209" s="114"/>
      <c r="U209" s="7"/>
      <c r="V209" s="7"/>
      <c r="Z209" s="113"/>
      <c r="AA209" s="97"/>
      <c r="AD209" s="114"/>
      <c r="AJ209" s="113"/>
      <c r="AN209" s="114"/>
      <c r="BQ209" s="88" t="s">
        <v>24</v>
      </c>
      <c r="BR209" s="89">
        <f t="shared" si="44"/>
        <v>2</v>
      </c>
      <c r="BS209" s="90" t="str">
        <f t="shared" si="45"/>
        <v/>
      </c>
      <c r="BT209" s="91" t="str">
        <f t="shared" si="46"/>
        <v/>
      </c>
      <c r="BU209" s="92" t="str">
        <f t="shared" si="47"/>
        <v/>
      </c>
      <c r="BV209" s="93" t="str">
        <f t="shared" si="48"/>
        <v/>
      </c>
      <c r="BW209" s="94"/>
      <c r="BX209" s="94"/>
    </row>
    <row r="210" spans="3:76">
      <c r="C210" s="7"/>
      <c r="D210" s="179"/>
      <c r="E210" s="187"/>
      <c r="F210" s="7"/>
      <c r="G210" s="8"/>
      <c r="H210" s="8"/>
      <c r="I210" s="204"/>
      <c r="J210" s="7"/>
      <c r="K210" s="7"/>
      <c r="L210" s="7"/>
      <c r="M210" s="7"/>
      <c r="N210" s="8"/>
      <c r="O210" s="9"/>
      <c r="P210" s="95"/>
      <c r="Q210" s="8"/>
      <c r="R210" s="8"/>
      <c r="S210" s="7"/>
      <c r="T210" s="97"/>
      <c r="U210" s="7"/>
      <c r="V210" s="7"/>
      <c r="Z210" s="95"/>
      <c r="AA210" s="97"/>
      <c r="AD210" s="97"/>
      <c r="AJ210" s="95"/>
      <c r="AN210" s="97"/>
      <c r="BQ210" s="88" t="s">
        <v>24</v>
      </c>
      <c r="BR210" s="89">
        <f t="shared" si="44"/>
        <v>3</v>
      </c>
      <c r="BS210" s="90" t="str">
        <f t="shared" si="45"/>
        <v/>
      </c>
      <c r="BT210" s="91" t="str">
        <f t="shared" si="46"/>
        <v/>
      </c>
      <c r="BU210" s="92" t="str">
        <f t="shared" si="47"/>
        <v/>
      </c>
      <c r="BV210" s="93" t="str">
        <f t="shared" si="48"/>
        <v/>
      </c>
      <c r="BW210" s="94"/>
      <c r="BX210" s="94"/>
    </row>
    <row r="211" spans="3:76" ht="18.75" thickBot="1">
      <c r="C211" s="7"/>
      <c r="D211" s="179"/>
      <c r="E211" s="187"/>
      <c r="F211" s="7"/>
      <c r="G211" s="8"/>
      <c r="H211" s="8"/>
      <c r="I211" s="204"/>
      <c r="J211" s="7"/>
      <c r="K211" s="7"/>
      <c r="L211" s="7"/>
      <c r="M211" s="7"/>
      <c r="N211" s="8"/>
      <c r="O211" s="9"/>
      <c r="P211" s="95"/>
      <c r="Q211" s="8"/>
      <c r="R211" s="8"/>
      <c r="S211" s="7"/>
      <c r="T211" s="97"/>
      <c r="U211" s="7"/>
      <c r="V211" s="7"/>
      <c r="Z211" s="95"/>
      <c r="AA211" s="114"/>
      <c r="AD211" s="97"/>
      <c r="AJ211" s="95"/>
      <c r="AN211" s="97"/>
      <c r="BQ211" s="88" t="s">
        <v>24</v>
      </c>
      <c r="BR211" s="89">
        <f t="shared" si="44"/>
        <v>4</v>
      </c>
      <c r="BS211" s="90" t="str">
        <f t="shared" si="45"/>
        <v/>
      </c>
      <c r="BT211" s="91" t="str">
        <f t="shared" si="46"/>
        <v/>
      </c>
      <c r="BU211" s="92" t="str">
        <f t="shared" si="47"/>
        <v/>
      </c>
      <c r="BV211" s="93" t="str">
        <f t="shared" si="48"/>
        <v/>
      </c>
      <c r="BW211" s="94"/>
      <c r="BX211" s="94"/>
    </row>
    <row r="212" spans="3:76">
      <c r="C212" s="7"/>
      <c r="D212" s="179"/>
      <c r="E212" s="187"/>
      <c r="F212" s="7"/>
      <c r="G212" s="8"/>
      <c r="H212" s="8"/>
      <c r="I212" s="204"/>
      <c r="J212" s="7"/>
      <c r="K212" s="7"/>
      <c r="L212" s="7"/>
      <c r="M212" s="7"/>
      <c r="N212" s="8"/>
      <c r="O212" s="9"/>
      <c r="P212" s="95"/>
      <c r="Q212" s="8"/>
      <c r="R212" s="8"/>
      <c r="S212" s="7"/>
      <c r="T212" s="97"/>
      <c r="U212" s="7"/>
      <c r="V212" s="7"/>
      <c r="Z212" s="95"/>
      <c r="AD212" s="97"/>
      <c r="AJ212" s="95"/>
      <c r="AN212" s="97"/>
      <c r="BQ212" s="88" t="s">
        <v>24</v>
      </c>
      <c r="BR212" s="89">
        <f t="shared" si="44"/>
        <v>5</v>
      </c>
      <c r="BS212" s="90" t="str">
        <f t="shared" si="45"/>
        <v/>
      </c>
      <c r="BT212" s="91" t="str">
        <f t="shared" si="46"/>
        <v/>
      </c>
      <c r="BU212" s="92" t="str">
        <f t="shared" si="47"/>
        <v/>
      </c>
      <c r="BV212" s="93" t="str">
        <f t="shared" si="48"/>
        <v/>
      </c>
      <c r="BW212" s="94"/>
      <c r="BX212" s="94"/>
    </row>
    <row r="213" spans="3:76" ht="18.75" thickBot="1">
      <c r="C213" s="7"/>
      <c r="D213" s="179"/>
      <c r="E213" s="187"/>
      <c r="F213" s="7"/>
      <c r="G213" s="8"/>
      <c r="H213" s="8"/>
      <c r="I213" s="204"/>
      <c r="J213" s="7"/>
      <c r="K213" s="7"/>
      <c r="L213" s="7"/>
      <c r="M213" s="7"/>
      <c r="N213" s="8"/>
      <c r="O213" s="9"/>
      <c r="P213" s="113"/>
      <c r="Q213" s="8"/>
      <c r="R213" s="8"/>
      <c r="S213" s="7"/>
      <c r="T213" s="114"/>
      <c r="U213" s="7"/>
      <c r="V213" s="7"/>
      <c r="Z213" s="113"/>
      <c r="AD213" s="114"/>
      <c r="AJ213" s="113"/>
      <c r="AN213" s="114"/>
      <c r="BQ213" s="88" t="s">
        <v>24</v>
      </c>
      <c r="BR213" s="89">
        <f t="shared" si="44"/>
        <v>6</v>
      </c>
      <c r="BS213" s="90" t="str">
        <f t="shared" si="45"/>
        <v/>
      </c>
      <c r="BT213" s="91" t="str">
        <f t="shared" si="46"/>
        <v/>
      </c>
      <c r="BU213" s="92" t="str">
        <f t="shared" si="47"/>
        <v/>
      </c>
      <c r="BV213" s="93" t="str">
        <f t="shared" si="48"/>
        <v/>
      </c>
      <c r="BW213" s="94"/>
      <c r="BX213" s="94"/>
    </row>
    <row r="214" spans="3:76">
      <c r="C214" s="7"/>
      <c r="D214" s="179"/>
      <c r="E214" s="187"/>
      <c r="F214" s="7"/>
      <c r="G214" s="8"/>
      <c r="H214" s="8"/>
      <c r="I214" s="204"/>
      <c r="J214" s="7"/>
      <c r="K214" s="7"/>
      <c r="L214" s="7"/>
      <c r="M214" s="7"/>
      <c r="N214" s="8"/>
      <c r="O214" s="9"/>
      <c r="P214" s="95"/>
      <c r="Q214" s="8"/>
      <c r="R214" s="8"/>
      <c r="S214" s="7"/>
      <c r="T214" s="97"/>
      <c r="U214" s="7"/>
      <c r="V214" s="7"/>
      <c r="Z214" s="95"/>
      <c r="AD214" s="97"/>
      <c r="AJ214" s="95"/>
      <c r="AN214" s="97"/>
      <c r="BQ214" s="88" t="s">
        <v>24</v>
      </c>
      <c r="BR214" s="89">
        <f t="shared" si="44"/>
        <v>7</v>
      </c>
      <c r="BS214" s="90" t="str">
        <f t="shared" si="45"/>
        <v/>
      </c>
      <c r="BT214" s="91" t="str">
        <f t="shared" si="46"/>
        <v/>
      </c>
      <c r="BU214" s="92" t="str">
        <f t="shared" si="47"/>
        <v/>
      </c>
      <c r="BV214" s="93" t="str">
        <f t="shared" si="48"/>
        <v/>
      </c>
      <c r="BW214" s="94"/>
      <c r="BX214" s="94"/>
    </row>
    <row r="215" spans="3:76" ht="18.75" thickBot="1">
      <c r="C215" s="7"/>
      <c r="D215" s="179"/>
      <c r="E215" s="187"/>
      <c r="F215" s="7"/>
      <c r="G215" s="8"/>
      <c r="H215" s="8"/>
      <c r="I215" s="204"/>
      <c r="J215" s="7"/>
      <c r="K215" s="7"/>
      <c r="L215" s="7"/>
      <c r="M215" s="7"/>
      <c r="N215" s="8"/>
      <c r="O215" s="9"/>
      <c r="P215" s="113"/>
      <c r="Q215" s="8"/>
      <c r="R215" s="8"/>
      <c r="S215" s="7"/>
      <c r="T215" s="114"/>
      <c r="U215" s="7"/>
      <c r="V215" s="7"/>
      <c r="Z215" s="113"/>
      <c r="AD215" s="114"/>
      <c r="AJ215" s="113"/>
      <c r="AN215" s="114"/>
      <c r="BQ215" s="88" t="s">
        <v>24</v>
      </c>
      <c r="BR215" s="89">
        <f t="shared" si="44"/>
        <v>8</v>
      </c>
      <c r="BS215" s="90" t="str">
        <f t="shared" si="45"/>
        <v/>
      </c>
      <c r="BT215" s="91" t="str">
        <f t="shared" si="46"/>
        <v/>
      </c>
      <c r="BU215" s="92" t="str">
        <f t="shared" si="47"/>
        <v/>
      </c>
      <c r="BV215" s="93" t="str">
        <f t="shared" si="48"/>
        <v/>
      </c>
      <c r="BW215" s="94"/>
      <c r="BX215" s="94"/>
    </row>
    <row r="216" spans="3:76">
      <c r="C216" s="7"/>
      <c r="D216" s="179"/>
      <c r="E216" s="187"/>
      <c r="F216" s="7"/>
      <c r="G216" s="8"/>
      <c r="H216" s="8"/>
      <c r="I216" s="204"/>
      <c r="J216" s="7"/>
      <c r="K216" s="7"/>
      <c r="L216" s="7"/>
      <c r="M216" s="7"/>
      <c r="N216" s="8"/>
      <c r="O216" s="9"/>
      <c r="P216" s="95"/>
      <c r="Q216" s="8"/>
      <c r="R216" s="8"/>
      <c r="S216" s="7"/>
      <c r="T216" s="97"/>
      <c r="U216" s="7"/>
      <c r="V216" s="7"/>
      <c r="Z216" s="95"/>
      <c r="AD216" s="97"/>
      <c r="AJ216" s="95"/>
      <c r="AN216" s="97"/>
      <c r="BQ216" s="88" t="s">
        <v>24</v>
      </c>
      <c r="BR216" s="89">
        <f t="shared" si="44"/>
        <v>9</v>
      </c>
      <c r="BS216" s="90" t="str">
        <f t="shared" si="45"/>
        <v/>
      </c>
      <c r="BT216" s="91" t="str">
        <f t="shared" si="46"/>
        <v/>
      </c>
      <c r="BU216" s="92" t="str">
        <f t="shared" si="47"/>
        <v/>
      </c>
      <c r="BV216" s="93" t="str">
        <f t="shared" si="48"/>
        <v/>
      </c>
      <c r="BW216" s="94"/>
      <c r="BX216" s="94"/>
    </row>
    <row r="217" spans="3:76">
      <c r="C217" s="7"/>
      <c r="D217" s="179"/>
      <c r="E217" s="187"/>
      <c r="F217" s="7"/>
      <c r="G217" s="8"/>
      <c r="H217" s="8"/>
      <c r="I217" s="204"/>
      <c r="J217" s="7"/>
      <c r="K217" s="7"/>
      <c r="L217" s="7"/>
      <c r="M217" s="7"/>
      <c r="N217" s="8"/>
      <c r="O217" s="9"/>
      <c r="P217" s="95"/>
      <c r="Q217" s="8"/>
      <c r="R217" s="8"/>
      <c r="S217" s="7"/>
      <c r="T217" s="97"/>
      <c r="U217" s="7"/>
      <c r="V217" s="7"/>
      <c r="Z217" s="95"/>
      <c r="AD217" s="97"/>
      <c r="AJ217" s="95"/>
      <c r="AN217" s="97"/>
      <c r="BQ217" s="88" t="s">
        <v>24</v>
      </c>
      <c r="BR217" s="89">
        <f t="shared" si="44"/>
        <v>10</v>
      </c>
      <c r="BS217" s="90" t="str">
        <f t="shared" si="45"/>
        <v/>
      </c>
      <c r="BT217" s="91" t="str">
        <f t="shared" si="46"/>
        <v/>
      </c>
      <c r="BU217" s="92" t="str">
        <f t="shared" si="47"/>
        <v/>
      </c>
      <c r="BV217" s="93" t="str">
        <f t="shared" si="48"/>
        <v/>
      </c>
      <c r="BW217" s="94"/>
      <c r="BX217" s="94"/>
    </row>
    <row r="218" spans="3:76">
      <c r="C218" s="7"/>
      <c r="D218" s="179"/>
      <c r="E218" s="187"/>
      <c r="F218" s="7"/>
      <c r="G218" s="8"/>
      <c r="H218" s="8"/>
      <c r="I218" s="204"/>
      <c r="J218" s="7"/>
      <c r="K218" s="7"/>
      <c r="L218" s="7"/>
      <c r="M218" s="7"/>
      <c r="N218" s="8"/>
      <c r="O218" s="9"/>
      <c r="P218" s="95"/>
      <c r="Q218" s="8"/>
      <c r="R218" s="8"/>
      <c r="S218" s="7"/>
      <c r="T218" s="97"/>
      <c r="U218" s="7"/>
      <c r="V218" s="7"/>
      <c r="Z218" s="95"/>
      <c r="AD218" s="97"/>
      <c r="AJ218" s="95"/>
      <c r="AN218" s="97"/>
      <c r="BQ218" s="88" t="s">
        <v>24</v>
      </c>
      <c r="BR218" s="89">
        <f t="shared" si="44"/>
        <v>11</v>
      </c>
      <c r="BS218" s="90" t="str">
        <f t="shared" si="45"/>
        <v/>
      </c>
      <c r="BT218" s="91" t="str">
        <f t="shared" si="46"/>
        <v/>
      </c>
      <c r="BU218" s="92" t="str">
        <f t="shared" si="47"/>
        <v/>
      </c>
      <c r="BV218" s="93" t="str">
        <f t="shared" si="48"/>
        <v/>
      </c>
      <c r="BW218" s="94"/>
      <c r="BX218" s="94"/>
    </row>
    <row r="219" spans="3:76">
      <c r="C219" s="7"/>
      <c r="D219" s="179"/>
      <c r="E219" s="187"/>
      <c r="F219" s="7"/>
      <c r="G219" s="8"/>
      <c r="H219" s="8"/>
      <c r="I219" s="204"/>
      <c r="J219" s="7"/>
      <c r="K219" s="7"/>
      <c r="L219" s="7"/>
      <c r="M219" s="7"/>
      <c r="N219" s="8"/>
      <c r="O219" s="9"/>
      <c r="P219" s="95"/>
      <c r="Q219" s="8"/>
      <c r="R219" s="8"/>
      <c r="S219" s="7"/>
      <c r="T219" s="97"/>
      <c r="U219" s="7"/>
      <c r="V219" s="7"/>
      <c r="Z219" s="95"/>
      <c r="AD219" s="97"/>
      <c r="AJ219" s="95"/>
      <c r="AN219" s="97"/>
      <c r="BQ219" s="88" t="s">
        <v>24</v>
      </c>
      <c r="BR219" s="89">
        <f t="shared" si="44"/>
        <v>12</v>
      </c>
      <c r="BS219" s="90" t="str">
        <f t="shared" si="45"/>
        <v/>
      </c>
      <c r="BT219" s="91" t="str">
        <f t="shared" si="46"/>
        <v/>
      </c>
      <c r="BU219" s="92" t="str">
        <f t="shared" si="47"/>
        <v/>
      </c>
      <c r="BV219" s="93" t="str">
        <f t="shared" si="48"/>
        <v/>
      </c>
      <c r="BW219" s="94"/>
      <c r="BX219" s="94"/>
    </row>
    <row r="220" spans="3:76">
      <c r="C220" s="7"/>
      <c r="D220" s="179"/>
      <c r="E220" s="187"/>
      <c r="F220" s="7"/>
      <c r="G220" s="8"/>
      <c r="H220" s="8"/>
      <c r="I220" s="204"/>
      <c r="J220" s="7"/>
      <c r="K220" s="7"/>
      <c r="L220" s="7"/>
      <c r="M220" s="7"/>
      <c r="N220" s="8"/>
      <c r="O220" s="9"/>
      <c r="P220" s="95"/>
      <c r="Q220" s="8"/>
      <c r="R220" s="8"/>
      <c r="S220" s="7"/>
      <c r="T220" s="97"/>
      <c r="U220" s="7"/>
      <c r="V220" s="7"/>
      <c r="Z220" s="95"/>
      <c r="AD220" s="97"/>
      <c r="AJ220" s="95"/>
      <c r="AN220" s="97"/>
      <c r="BQ220" s="88" t="s">
        <v>24</v>
      </c>
      <c r="BR220" s="89">
        <f t="shared" si="44"/>
        <v>13</v>
      </c>
      <c r="BS220" s="90" t="str">
        <f t="shared" si="45"/>
        <v/>
      </c>
      <c r="BT220" s="91" t="str">
        <f t="shared" si="46"/>
        <v/>
      </c>
      <c r="BU220" s="92" t="str">
        <f t="shared" si="47"/>
        <v/>
      </c>
      <c r="BV220" s="93" t="str">
        <f t="shared" si="48"/>
        <v/>
      </c>
      <c r="BW220" s="94"/>
      <c r="BX220" s="94"/>
    </row>
    <row r="221" spans="3:76">
      <c r="C221" s="7"/>
      <c r="D221" s="179"/>
      <c r="E221" s="187"/>
      <c r="F221" s="7"/>
      <c r="G221" s="8"/>
      <c r="H221" s="8"/>
      <c r="I221" s="204"/>
      <c r="J221" s="7"/>
      <c r="K221" s="7"/>
      <c r="L221" s="7"/>
      <c r="M221" s="7"/>
      <c r="N221" s="8"/>
      <c r="O221" s="9"/>
      <c r="P221" s="95"/>
      <c r="Q221" s="8"/>
      <c r="R221" s="8"/>
      <c r="S221" s="7"/>
      <c r="T221" s="97"/>
      <c r="U221" s="7"/>
      <c r="V221" s="7"/>
      <c r="Z221" s="95"/>
      <c r="AD221" s="97"/>
      <c r="AJ221" s="95"/>
      <c r="AN221" s="97"/>
      <c r="BQ221" s="88" t="s">
        <v>24</v>
      </c>
      <c r="BR221" s="89">
        <f t="shared" si="44"/>
        <v>14</v>
      </c>
      <c r="BS221" s="90" t="str">
        <f t="shared" si="45"/>
        <v/>
      </c>
      <c r="BT221" s="91" t="str">
        <f t="shared" si="46"/>
        <v/>
      </c>
      <c r="BU221" s="92" t="str">
        <f t="shared" si="47"/>
        <v/>
      </c>
      <c r="BV221" s="93" t="str">
        <f t="shared" si="48"/>
        <v/>
      </c>
      <c r="BW221" s="94"/>
      <c r="BX221" s="94"/>
    </row>
    <row r="222" spans="3:76">
      <c r="C222" s="7"/>
      <c r="D222" s="179"/>
      <c r="E222" s="187"/>
      <c r="F222" s="7"/>
      <c r="G222" s="8"/>
      <c r="H222" s="8"/>
      <c r="I222" s="204"/>
      <c r="J222" s="7"/>
      <c r="K222" s="7"/>
      <c r="L222" s="7"/>
      <c r="M222" s="7"/>
      <c r="N222" s="8"/>
      <c r="O222" s="9"/>
      <c r="P222" s="95"/>
      <c r="Q222" s="8"/>
      <c r="R222" s="8"/>
      <c r="S222" s="7"/>
      <c r="T222" s="97"/>
      <c r="U222" s="7"/>
      <c r="V222" s="7"/>
      <c r="Z222" s="95"/>
      <c r="AD222" s="97"/>
      <c r="AJ222" s="95"/>
      <c r="AN222" s="97"/>
      <c r="BQ222" s="88" t="s">
        <v>24</v>
      </c>
      <c r="BR222" s="89">
        <f t="shared" si="44"/>
        <v>15</v>
      </c>
      <c r="BS222" s="90" t="str">
        <f t="shared" si="45"/>
        <v/>
      </c>
      <c r="BT222" s="91" t="str">
        <f t="shared" si="46"/>
        <v/>
      </c>
      <c r="BU222" s="92" t="str">
        <f t="shared" si="47"/>
        <v/>
      </c>
      <c r="BV222" s="93" t="str">
        <f t="shared" si="48"/>
        <v/>
      </c>
      <c r="BW222" s="94"/>
      <c r="BX222" s="94"/>
    </row>
    <row r="223" spans="3:76">
      <c r="C223" s="7"/>
      <c r="D223" s="179"/>
      <c r="E223" s="187"/>
      <c r="F223" s="7"/>
      <c r="G223" s="8"/>
      <c r="H223" s="8"/>
      <c r="I223" s="204"/>
      <c r="J223" s="7"/>
      <c r="K223" s="7"/>
      <c r="L223" s="7"/>
      <c r="M223" s="7"/>
      <c r="N223" s="8"/>
      <c r="O223" s="9"/>
      <c r="P223" s="95"/>
      <c r="Q223" s="8"/>
      <c r="R223" s="8"/>
      <c r="S223" s="7"/>
      <c r="T223" s="97"/>
      <c r="U223" s="7"/>
      <c r="V223" s="7"/>
      <c r="Z223" s="95"/>
      <c r="AD223" s="97"/>
      <c r="AJ223" s="95"/>
      <c r="AN223" s="97"/>
      <c r="BQ223" s="88" t="s">
        <v>24</v>
      </c>
      <c r="BR223" s="89">
        <f t="shared" si="44"/>
        <v>16</v>
      </c>
      <c r="BS223" s="90" t="str">
        <f t="shared" si="45"/>
        <v/>
      </c>
      <c r="BT223" s="91" t="str">
        <f t="shared" si="46"/>
        <v/>
      </c>
      <c r="BU223" s="92" t="str">
        <f t="shared" si="47"/>
        <v/>
      </c>
      <c r="BV223" s="93" t="str">
        <f t="shared" si="48"/>
        <v/>
      </c>
      <c r="BW223" s="94"/>
      <c r="BX223" s="94"/>
    </row>
    <row r="224" spans="3:76" ht="18.75">
      <c r="C224" s="7"/>
      <c r="D224" s="179"/>
      <c r="E224" s="187"/>
      <c r="F224" s="7"/>
      <c r="G224" s="8"/>
      <c r="H224" s="8"/>
      <c r="I224" s="204"/>
      <c r="J224" s="7"/>
      <c r="K224" s="7"/>
      <c r="L224" s="7"/>
      <c r="M224" s="7"/>
      <c r="N224" s="8"/>
      <c r="O224" s="9"/>
      <c r="P224" s="95"/>
      <c r="Q224" s="8"/>
      <c r="R224" s="8"/>
      <c r="S224" s="7"/>
      <c r="T224" s="97"/>
      <c r="U224" s="7"/>
      <c r="V224" s="7"/>
      <c r="Z224" s="95"/>
      <c r="AD224" s="97"/>
      <c r="AJ224" s="95"/>
      <c r="AN224" s="97"/>
      <c r="BQ224" s="180" t="s">
        <v>67</v>
      </c>
      <c r="BR224" s="181">
        <f t="shared" si="44"/>
        <v>17</v>
      </c>
      <c r="BS224" s="182" t="str">
        <f t="shared" si="45"/>
        <v/>
      </c>
      <c r="BT224" s="183" t="str">
        <f t="shared" si="46"/>
        <v/>
      </c>
      <c r="BU224" s="184" t="str">
        <f t="shared" si="47"/>
        <v/>
      </c>
      <c r="BV224" s="185" t="str">
        <f t="shared" si="48"/>
        <v/>
      </c>
      <c r="BW224" s="186"/>
      <c r="BX224" s="186"/>
    </row>
    <row r="225" spans="3:76">
      <c r="C225" s="7"/>
      <c r="D225" s="179"/>
      <c r="E225" s="187"/>
      <c r="F225" s="7"/>
      <c r="G225" s="8"/>
      <c r="H225" s="8"/>
      <c r="I225" s="204"/>
      <c r="J225" s="7"/>
      <c r="K225" s="7"/>
      <c r="L225" s="7"/>
      <c r="M225" s="7"/>
      <c r="N225" s="8"/>
      <c r="O225" s="9"/>
      <c r="P225" s="95"/>
      <c r="Q225" s="8"/>
      <c r="R225" s="8"/>
      <c r="S225" s="7"/>
      <c r="T225" s="97"/>
      <c r="U225" s="7"/>
      <c r="V225" s="7"/>
      <c r="Z225" s="95"/>
      <c r="AD225" s="97"/>
      <c r="AJ225" s="95"/>
      <c r="AN225" s="97"/>
      <c r="BQ225" s="180" t="s">
        <v>24</v>
      </c>
      <c r="BR225" s="181">
        <f t="shared" si="44"/>
        <v>18</v>
      </c>
      <c r="BS225" s="182" t="str">
        <f t="shared" si="45"/>
        <v/>
      </c>
      <c r="BT225" s="183" t="str">
        <f t="shared" si="46"/>
        <v/>
      </c>
      <c r="BU225" s="184" t="str">
        <f t="shared" si="47"/>
        <v/>
      </c>
      <c r="BV225" s="185" t="str">
        <f t="shared" si="48"/>
        <v/>
      </c>
      <c r="BW225" s="186"/>
      <c r="BX225" s="186"/>
    </row>
    <row r="226" spans="3:76">
      <c r="C226" s="7"/>
      <c r="D226" s="179"/>
      <c r="E226" s="187"/>
      <c r="F226" s="7"/>
      <c r="G226" s="8"/>
      <c r="H226" s="8"/>
      <c r="I226" s="204"/>
      <c r="J226" s="7"/>
      <c r="K226" s="7"/>
      <c r="L226" s="7"/>
      <c r="M226" s="7"/>
      <c r="N226" s="8"/>
      <c r="O226" s="9"/>
      <c r="P226" s="95"/>
      <c r="Q226" s="8"/>
      <c r="R226" s="8"/>
      <c r="S226" s="7"/>
      <c r="T226" s="97"/>
      <c r="U226" s="7"/>
      <c r="V226" s="7"/>
      <c r="Z226" s="95"/>
      <c r="AD226" s="97"/>
      <c r="AJ226" s="95"/>
      <c r="AN226" s="97"/>
      <c r="BQ226" s="180" t="s">
        <v>24</v>
      </c>
      <c r="BR226" s="181">
        <f t="shared" si="44"/>
        <v>19</v>
      </c>
      <c r="BS226" s="182" t="str">
        <f t="shared" si="45"/>
        <v/>
      </c>
      <c r="BT226" s="183" t="str">
        <f t="shared" si="46"/>
        <v/>
      </c>
      <c r="BU226" s="184" t="str">
        <f t="shared" si="47"/>
        <v/>
      </c>
      <c r="BV226" s="185" t="str">
        <f t="shared" si="48"/>
        <v/>
      </c>
      <c r="BW226" s="186"/>
      <c r="BX226" s="186"/>
    </row>
    <row r="227" spans="3:76">
      <c r="C227" s="7"/>
      <c r="D227" s="179"/>
      <c r="E227" s="187"/>
      <c r="F227" s="7"/>
      <c r="G227" s="8"/>
      <c r="H227" s="8"/>
      <c r="I227" s="204"/>
      <c r="J227" s="7"/>
      <c r="K227" s="7"/>
      <c r="L227" s="7"/>
      <c r="M227" s="7"/>
      <c r="N227" s="8"/>
      <c r="O227" s="9"/>
      <c r="P227" s="95"/>
      <c r="Q227" s="8"/>
      <c r="R227" s="8"/>
      <c r="S227" s="7"/>
      <c r="T227" s="97"/>
      <c r="U227" s="7"/>
      <c r="V227" s="7"/>
      <c r="Z227" s="95"/>
      <c r="AD227" s="97"/>
      <c r="AJ227" s="95"/>
      <c r="AN227" s="97"/>
      <c r="BQ227" s="180" t="s">
        <v>24</v>
      </c>
      <c r="BR227" s="181">
        <f t="shared" si="44"/>
        <v>20</v>
      </c>
      <c r="BS227" s="182" t="str">
        <f t="shared" si="45"/>
        <v/>
      </c>
      <c r="BT227" s="183" t="str">
        <f t="shared" si="46"/>
        <v/>
      </c>
      <c r="BU227" s="184" t="str">
        <f t="shared" si="47"/>
        <v/>
      </c>
      <c r="BV227" s="185" t="str">
        <f t="shared" si="48"/>
        <v/>
      </c>
      <c r="BW227" s="186"/>
      <c r="BX227" s="186"/>
    </row>
    <row r="228" spans="3:76">
      <c r="C228" s="7"/>
      <c r="D228" s="179"/>
      <c r="E228" s="187"/>
      <c r="F228" s="7"/>
      <c r="G228" s="8"/>
      <c r="H228" s="8"/>
      <c r="I228" s="204"/>
      <c r="J228" s="7"/>
      <c r="K228" s="7"/>
      <c r="L228" s="7"/>
      <c r="M228" s="7"/>
      <c r="N228" s="8"/>
      <c r="O228" s="9"/>
      <c r="P228" s="95"/>
      <c r="Q228" s="8"/>
      <c r="R228" s="8"/>
      <c r="S228" s="7"/>
      <c r="T228" s="97"/>
      <c r="U228" s="7"/>
      <c r="V228" s="7"/>
      <c r="Z228" s="95"/>
      <c r="AD228" s="97"/>
      <c r="AJ228" s="95"/>
      <c r="AN228" s="97"/>
      <c r="BQ228" s="180" t="s">
        <v>24</v>
      </c>
      <c r="BR228" s="181">
        <f t="shared" si="44"/>
        <v>21</v>
      </c>
      <c r="BS228" s="182" t="str">
        <f t="shared" si="45"/>
        <v/>
      </c>
      <c r="BT228" s="183" t="str">
        <f t="shared" si="46"/>
        <v/>
      </c>
      <c r="BU228" s="184" t="str">
        <f t="shared" si="47"/>
        <v/>
      </c>
      <c r="BV228" s="185" t="str">
        <f t="shared" si="48"/>
        <v/>
      </c>
      <c r="BW228" s="186"/>
      <c r="BX228" s="186"/>
    </row>
    <row r="229" spans="3:76">
      <c r="C229" s="7"/>
      <c r="D229" s="179"/>
      <c r="E229" s="187"/>
      <c r="F229" s="7"/>
      <c r="G229" s="8"/>
      <c r="H229" s="8"/>
      <c r="I229" s="204"/>
      <c r="J229" s="7"/>
      <c r="K229" s="7"/>
      <c r="L229" s="7"/>
      <c r="M229" s="7"/>
      <c r="N229" s="8"/>
      <c r="O229" s="9"/>
      <c r="P229" s="95"/>
      <c r="Q229" s="8"/>
      <c r="R229" s="8"/>
      <c r="S229" s="7"/>
      <c r="T229" s="97"/>
      <c r="U229" s="7"/>
      <c r="V229" s="7"/>
      <c r="Z229" s="95"/>
      <c r="AD229" s="97"/>
      <c r="AJ229" s="95"/>
      <c r="AN229" s="97"/>
      <c r="BQ229" s="180" t="s">
        <v>24</v>
      </c>
      <c r="BR229" s="181">
        <f t="shared" si="44"/>
        <v>22</v>
      </c>
      <c r="BS229" s="182" t="str">
        <f t="shared" si="45"/>
        <v/>
      </c>
      <c r="BT229" s="183" t="str">
        <f t="shared" si="46"/>
        <v/>
      </c>
      <c r="BU229" s="184" t="str">
        <f t="shared" si="47"/>
        <v/>
      </c>
      <c r="BV229" s="185" t="str">
        <f t="shared" si="48"/>
        <v/>
      </c>
      <c r="BW229" s="186"/>
      <c r="BX229" s="186"/>
    </row>
    <row r="230" spans="3:76">
      <c r="C230" s="7"/>
      <c r="D230" s="179"/>
      <c r="E230" s="187"/>
      <c r="F230" s="7"/>
      <c r="G230" s="8"/>
      <c r="H230" s="8"/>
      <c r="I230" s="204"/>
      <c r="J230" s="7"/>
      <c r="K230" s="7"/>
      <c r="L230" s="7"/>
      <c r="M230" s="7"/>
      <c r="N230" s="8"/>
      <c r="O230" s="9"/>
      <c r="P230" s="95"/>
      <c r="Q230" s="8"/>
      <c r="R230" s="8"/>
      <c r="S230" s="7"/>
      <c r="T230" s="97"/>
      <c r="U230" s="7"/>
      <c r="V230" s="7"/>
      <c r="Z230" s="95"/>
      <c r="AD230" s="97"/>
      <c r="AJ230" s="95"/>
      <c r="AN230" s="97"/>
      <c r="BQ230" s="180" t="s">
        <v>24</v>
      </c>
      <c r="BR230" s="181">
        <f t="shared" si="44"/>
        <v>23</v>
      </c>
      <c r="BS230" s="182" t="str">
        <f t="shared" si="45"/>
        <v/>
      </c>
      <c r="BT230" s="183" t="str">
        <f t="shared" si="46"/>
        <v/>
      </c>
      <c r="BU230" s="184" t="str">
        <f t="shared" si="47"/>
        <v/>
      </c>
      <c r="BV230" s="185" t="str">
        <f t="shared" si="48"/>
        <v/>
      </c>
      <c r="BW230" s="186"/>
      <c r="BX230" s="186"/>
    </row>
    <row r="231" spans="3:76">
      <c r="C231" s="7"/>
      <c r="D231" s="179"/>
      <c r="E231" s="187"/>
      <c r="F231" s="7"/>
      <c r="G231" s="8"/>
      <c r="H231" s="8"/>
      <c r="I231" s="204"/>
      <c r="J231" s="7"/>
      <c r="K231" s="7"/>
      <c r="L231" s="7"/>
      <c r="M231" s="7"/>
      <c r="N231" s="8"/>
      <c r="O231" s="9"/>
      <c r="P231" s="95"/>
      <c r="Q231" s="8"/>
      <c r="R231" s="8"/>
      <c r="S231" s="7"/>
      <c r="T231" s="97"/>
      <c r="U231" s="7"/>
      <c r="V231" s="7"/>
      <c r="Z231" s="95"/>
      <c r="AD231" s="97"/>
      <c r="AJ231" s="95"/>
      <c r="AN231" s="97"/>
      <c r="BQ231" s="180" t="s">
        <v>24</v>
      </c>
      <c r="BR231" s="181">
        <f t="shared" si="44"/>
        <v>24</v>
      </c>
      <c r="BS231" s="182" t="str">
        <f t="shared" si="45"/>
        <v/>
      </c>
      <c r="BT231" s="183" t="str">
        <f t="shared" si="46"/>
        <v/>
      </c>
      <c r="BU231" s="184" t="str">
        <f t="shared" si="47"/>
        <v/>
      </c>
      <c r="BV231" s="185" t="str">
        <f t="shared" si="48"/>
        <v/>
      </c>
      <c r="BW231" s="186"/>
      <c r="BX231" s="186"/>
    </row>
    <row r="232" spans="3:76" ht="18.75" thickBot="1">
      <c r="C232" s="7"/>
      <c r="D232" s="179"/>
      <c r="E232" s="187"/>
      <c r="F232" s="7"/>
      <c r="G232" s="8"/>
      <c r="H232" s="8"/>
      <c r="I232" s="204"/>
      <c r="J232" s="7"/>
      <c r="K232" s="7"/>
      <c r="L232" s="7"/>
      <c r="M232" s="7"/>
      <c r="N232" s="8"/>
      <c r="O232" s="9"/>
      <c r="P232" s="113"/>
      <c r="Q232" s="8"/>
      <c r="R232" s="8"/>
      <c r="S232" s="7"/>
      <c r="T232" s="114"/>
      <c r="U232" s="7"/>
      <c r="V232" s="7"/>
      <c r="Z232" s="113"/>
      <c r="AD232" s="114"/>
      <c r="AJ232" s="113"/>
      <c r="AN232" s="114"/>
      <c r="BQ232" s="180" t="s">
        <v>24</v>
      </c>
      <c r="BR232" s="181">
        <f t="shared" si="44"/>
        <v>25</v>
      </c>
      <c r="BS232" s="182" t="str">
        <f t="shared" si="45"/>
        <v/>
      </c>
      <c r="BT232" s="183" t="str">
        <f t="shared" si="46"/>
        <v/>
      </c>
      <c r="BU232" s="184" t="str">
        <f t="shared" si="47"/>
        <v/>
      </c>
      <c r="BV232" s="185" t="str">
        <f t="shared" si="48"/>
        <v/>
      </c>
      <c r="BW232" s="186"/>
      <c r="BX232" s="186"/>
    </row>
    <row r="233" spans="3:76">
      <c r="C233" s="7"/>
      <c r="D233" s="179"/>
      <c r="E233" s="187"/>
      <c r="F233" s="7"/>
      <c r="G233" s="8"/>
      <c r="H233" s="8"/>
      <c r="I233" s="204"/>
      <c r="J233" s="7"/>
      <c r="K233" s="7"/>
      <c r="L233" s="7"/>
      <c r="M233" s="7"/>
      <c r="N233" s="8"/>
      <c r="O233" s="9"/>
      <c r="P233"/>
      <c r="Q233" s="8"/>
      <c r="R233" s="8"/>
      <c r="S233" s="7"/>
      <c r="T233"/>
      <c r="U233" s="7"/>
      <c r="V233" s="7"/>
      <c r="Z233"/>
      <c r="AD233"/>
      <c r="AJ233"/>
      <c r="AN233"/>
      <c r="BQ233" s="180" t="s">
        <v>24</v>
      </c>
      <c r="BR233" s="181">
        <f t="shared" si="44"/>
        <v>26</v>
      </c>
      <c r="BS233" s="182" t="str">
        <f t="shared" si="45"/>
        <v/>
      </c>
      <c r="BT233" s="183" t="str">
        <f t="shared" si="46"/>
        <v/>
      </c>
      <c r="BU233" s="184" t="str">
        <f t="shared" si="47"/>
        <v/>
      </c>
      <c r="BV233" s="185" t="str">
        <f t="shared" si="48"/>
        <v/>
      </c>
      <c r="BW233" s="186"/>
      <c r="BX233" s="186"/>
    </row>
    <row r="234" spans="3:76">
      <c r="C234" s="7"/>
      <c r="D234" s="179"/>
      <c r="E234" s="187"/>
      <c r="F234" s="7"/>
      <c r="G234" s="8"/>
      <c r="H234" s="8"/>
      <c r="I234" s="204"/>
      <c r="J234" s="7"/>
      <c r="K234" s="7"/>
      <c r="L234" s="7"/>
      <c r="M234" s="7"/>
      <c r="N234" s="8"/>
      <c r="O234" s="9"/>
      <c r="P234"/>
      <c r="Q234" s="8"/>
      <c r="R234" s="8"/>
      <c r="S234" s="7"/>
      <c r="T234"/>
      <c r="U234" s="7"/>
      <c r="V234" s="7"/>
      <c r="Z234"/>
      <c r="AD234"/>
      <c r="AJ234"/>
      <c r="AN234"/>
      <c r="BQ234" s="180" t="s">
        <v>24</v>
      </c>
      <c r="BR234" s="181">
        <f t="shared" si="44"/>
        <v>27</v>
      </c>
      <c r="BS234" s="182" t="str">
        <f t="shared" si="45"/>
        <v/>
      </c>
      <c r="BT234" s="183" t="str">
        <f t="shared" si="46"/>
        <v/>
      </c>
      <c r="BU234" s="184" t="str">
        <f t="shared" si="47"/>
        <v/>
      </c>
      <c r="BV234" s="185" t="str">
        <f t="shared" si="48"/>
        <v/>
      </c>
      <c r="BW234" s="186"/>
      <c r="BX234" s="186"/>
    </row>
    <row r="235" spans="3:76">
      <c r="C235" s="7"/>
      <c r="D235" s="179"/>
      <c r="E235" s="187"/>
      <c r="F235" s="7"/>
      <c r="G235" s="8"/>
      <c r="H235" s="8"/>
      <c r="I235" s="204"/>
      <c r="J235" s="7"/>
      <c r="K235" s="7"/>
      <c r="L235" s="7"/>
      <c r="M235" s="7"/>
      <c r="N235" s="8"/>
      <c r="O235" s="9"/>
      <c r="P235"/>
      <c r="Q235" s="8"/>
      <c r="R235" s="8"/>
      <c r="S235" s="7"/>
      <c r="T235"/>
      <c r="U235" s="7"/>
      <c r="V235" s="7"/>
      <c r="Z235"/>
      <c r="AD235"/>
      <c r="AJ235"/>
      <c r="AN235"/>
      <c r="BQ235" s="180" t="s">
        <v>24</v>
      </c>
      <c r="BR235" s="181">
        <f t="shared" si="44"/>
        <v>28</v>
      </c>
      <c r="BS235" s="182" t="str">
        <f t="shared" si="45"/>
        <v/>
      </c>
      <c r="BT235" s="183" t="str">
        <f t="shared" si="46"/>
        <v/>
      </c>
      <c r="BU235" s="184" t="str">
        <f t="shared" si="47"/>
        <v/>
      </c>
      <c r="BV235" s="185" t="str">
        <f t="shared" si="48"/>
        <v/>
      </c>
      <c r="BW235" s="186"/>
      <c r="BX235" s="186"/>
    </row>
    <row r="236" spans="3:76">
      <c r="C236" s="7"/>
      <c r="D236" s="179"/>
      <c r="E236" s="187"/>
      <c r="F236" s="7"/>
      <c r="G236" s="8"/>
      <c r="H236" s="8"/>
      <c r="I236" s="204"/>
      <c r="J236" s="7"/>
      <c r="K236" s="7"/>
      <c r="L236" s="7"/>
      <c r="M236" s="7"/>
      <c r="N236" s="8"/>
      <c r="O236" s="9"/>
      <c r="P236"/>
      <c r="Q236" s="8"/>
      <c r="R236" s="8"/>
      <c r="S236" s="7"/>
      <c r="T236"/>
      <c r="U236" s="7"/>
      <c r="V236" s="7"/>
      <c r="Z236"/>
      <c r="AD236"/>
      <c r="AJ236"/>
      <c r="AN236"/>
      <c r="BQ236" s="180" t="s">
        <v>24</v>
      </c>
      <c r="BR236" s="181">
        <f t="shared" si="44"/>
        <v>29</v>
      </c>
      <c r="BS236" s="182" t="str">
        <f t="shared" si="45"/>
        <v/>
      </c>
      <c r="BT236" s="183" t="str">
        <f t="shared" si="46"/>
        <v/>
      </c>
      <c r="BU236" s="184" t="str">
        <f t="shared" si="47"/>
        <v/>
      </c>
      <c r="BV236" s="185" t="str">
        <f t="shared" si="48"/>
        <v/>
      </c>
      <c r="BW236" s="186"/>
      <c r="BX236" s="186"/>
    </row>
    <row r="237" spans="3:76">
      <c r="C237" s="7"/>
      <c r="D237" s="179"/>
      <c r="E237" s="187"/>
      <c r="F237" s="7"/>
      <c r="G237" s="8"/>
      <c r="H237" s="8"/>
      <c r="I237" s="204"/>
      <c r="J237" s="7"/>
      <c r="K237" s="7"/>
      <c r="L237" s="7"/>
      <c r="M237" s="7"/>
      <c r="N237" s="8"/>
      <c r="O237" s="9"/>
      <c r="P237"/>
      <c r="Q237" s="8"/>
      <c r="R237" s="8"/>
      <c r="S237" s="7"/>
      <c r="T237"/>
      <c r="U237" s="7"/>
      <c r="V237" s="7"/>
      <c r="Z237"/>
      <c r="AD237"/>
      <c r="AJ237"/>
      <c r="AN237"/>
      <c r="BQ237" s="180" t="s">
        <v>24</v>
      </c>
      <c r="BR237" s="181">
        <f t="shared" si="44"/>
        <v>30</v>
      </c>
      <c r="BS237" s="182" t="str">
        <f t="shared" si="45"/>
        <v/>
      </c>
      <c r="BT237" s="183" t="str">
        <f t="shared" si="46"/>
        <v/>
      </c>
      <c r="BU237" s="184" t="str">
        <f t="shared" si="47"/>
        <v/>
      </c>
      <c r="BV237" s="185" t="str">
        <f t="shared" si="48"/>
        <v/>
      </c>
      <c r="BW237" s="186"/>
      <c r="BX237" s="186"/>
    </row>
    <row r="238" spans="3:76">
      <c r="C238" s="7"/>
      <c r="D238" s="179"/>
      <c r="E238" s="187"/>
      <c r="F238" s="7"/>
      <c r="G238" s="8"/>
      <c r="H238" s="8"/>
      <c r="I238" s="204"/>
      <c r="J238" s="7"/>
      <c r="K238" s="7"/>
      <c r="L238" s="7"/>
      <c r="M238" s="7"/>
      <c r="N238" s="8"/>
      <c r="O238" s="9"/>
      <c r="P238"/>
      <c r="Q238" s="8"/>
      <c r="R238" s="8"/>
      <c r="S238" s="7"/>
      <c r="T238"/>
      <c r="U238" s="7"/>
      <c r="V238" s="7"/>
      <c r="Z238"/>
      <c r="AD238"/>
      <c r="AJ238"/>
      <c r="AN238"/>
      <c r="BQ238" s="180" t="s">
        <v>24</v>
      </c>
      <c r="BR238" s="181">
        <f t="shared" si="44"/>
        <v>31</v>
      </c>
      <c r="BS238" s="182" t="str">
        <f t="shared" si="45"/>
        <v/>
      </c>
      <c r="BT238" s="183" t="str">
        <f t="shared" si="46"/>
        <v/>
      </c>
      <c r="BU238" s="184" t="str">
        <f t="shared" si="47"/>
        <v/>
      </c>
      <c r="BV238" s="185" t="str">
        <f t="shared" si="48"/>
        <v/>
      </c>
      <c r="BW238" s="186"/>
      <c r="BX238" s="186"/>
    </row>
    <row r="239" spans="3:76" ht="18.75" thickBot="1">
      <c r="C239" s="7"/>
      <c r="D239" s="179"/>
      <c r="E239" s="187"/>
      <c r="F239" s="7"/>
      <c r="G239" s="8"/>
      <c r="H239" s="8"/>
      <c r="I239" s="204"/>
      <c r="J239" s="7"/>
      <c r="K239" s="7"/>
      <c r="L239" s="7"/>
      <c r="M239" s="7"/>
      <c r="N239" s="8"/>
      <c r="O239" s="9"/>
      <c r="P239"/>
      <c r="Q239" s="8"/>
      <c r="R239" s="8"/>
      <c r="S239" s="7"/>
      <c r="T239"/>
      <c r="U239" s="7"/>
      <c r="V239" s="7"/>
      <c r="Z239"/>
      <c r="AD239"/>
      <c r="AJ239"/>
      <c r="AN239"/>
      <c r="BQ239" s="196" t="s">
        <v>24</v>
      </c>
      <c r="BR239" s="197">
        <f t="shared" si="44"/>
        <v>32</v>
      </c>
      <c r="BS239" s="198" t="str">
        <f t="shared" si="45"/>
        <v/>
      </c>
      <c r="BT239" s="199" t="str">
        <f t="shared" si="46"/>
        <v/>
      </c>
      <c r="BU239" s="200" t="str">
        <f t="shared" si="47"/>
        <v/>
      </c>
      <c r="BV239" s="201" t="str">
        <f t="shared" si="48"/>
        <v/>
      </c>
      <c r="BW239" s="202"/>
      <c r="BX239" s="202"/>
    </row>
    <row r="240" spans="3:76">
      <c r="C240" s="7"/>
      <c r="D240" s="179"/>
      <c r="E240" s="187"/>
      <c r="F240" s="7"/>
      <c r="G240" s="8"/>
      <c r="H240" s="8"/>
      <c r="I240" s="204"/>
      <c r="J240" s="7"/>
      <c r="K240" s="7"/>
      <c r="L240" s="7"/>
      <c r="M240" s="7"/>
      <c r="N240" s="8"/>
      <c r="O240" s="9"/>
      <c r="P240"/>
      <c r="Q240" s="8"/>
      <c r="R240" s="8"/>
      <c r="S240" s="7"/>
      <c r="T240"/>
      <c r="U240" s="7"/>
      <c r="V240" s="7"/>
      <c r="Z240"/>
      <c r="AD240"/>
      <c r="AJ240"/>
      <c r="AN240"/>
      <c r="BQ240" s="148"/>
      <c r="BR240" s="149"/>
      <c r="BS240" s="150"/>
      <c r="BT240" s="151"/>
      <c r="BU240" s="150"/>
      <c r="BV240" s="151"/>
      <c r="BW240" s="150"/>
      <c r="BX240" s="150"/>
    </row>
    <row r="241" spans="3:76">
      <c r="C241" s="7"/>
      <c r="D241" s="179"/>
      <c r="E241" s="187"/>
      <c r="F241" s="7"/>
      <c r="G241" s="8"/>
      <c r="H241" s="8"/>
      <c r="I241" s="204"/>
      <c r="J241" s="7"/>
      <c r="K241" s="7"/>
      <c r="L241" s="7"/>
      <c r="M241" s="7"/>
      <c r="N241" s="8"/>
      <c r="O241" s="9"/>
      <c r="P241"/>
      <c r="Q241" s="8"/>
      <c r="R241" s="8"/>
      <c r="S241" s="7"/>
      <c r="T241"/>
      <c r="U241" s="7"/>
      <c r="V241" s="7"/>
      <c r="Z241"/>
      <c r="AD241"/>
      <c r="AJ241"/>
      <c r="AN241"/>
      <c r="BQ241" s="148"/>
      <c r="BR241" s="149"/>
      <c r="BS241" s="150"/>
      <c r="BT241" s="151"/>
      <c r="BU241" s="150"/>
      <c r="BV241" s="151"/>
      <c r="BW241" s="150"/>
      <c r="BX241" s="150"/>
    </row>
    <row r="242" spans="3:76">
      <c r="C242" s="7"/>
      <c r="D242" s="179"/>
      <c r="E242" s="187"/>
      <c r="F242" s="7"/>
      <c r="G242" s="8"/>
      <c r="H242" s="8"/>
      <c r="I242" s="204"/>
      <c r="J242" s="7"/>
      <c r="K242" s="7"/>
      <c r="L242" s="7"/>
      <c r="M242" s="7"/>
      <c r="N242" s="8"/>
      <c r="O242" s="9"/>
      <c r="P242"/>
      <c r="Q242" s="8"/>
      <c r="R242" s="8"/>
      <c r="S242" s="7"/>
      <c r="T242"/>
      <c r="U242" s="7"/>
      <c r="V242" s="7"/>
      <c r="Z242"/>
      <c r="AD242"/>
      <c r="AJ242"/>
      <c r="AN242"/>
      <c r="BQ242" s="148"/>
      <c r="BR242" s="149"/>
      <c r="BS242" s="150"/>
      <c r="BT242" s="151"/>
      <c r="BU242" s="150"/>
      <c r="BV242" s="151"/>
      <c r="BW242" s="150"/>
      <c r="BX242" s="150"/>
    </row>
    <row r="243" spans="3:76">
      <c r="C243" s="7"/>
      <c r="D243" s="179"/>
      <c r="E243" s="187"/>
      <c r="F243" s="7"/>
      <c r="G243" s="8"/>
      <c r="H243" s="8"/>
      <c r="I243" s="204"/>
      <c r="J243" s="7"/>
      <c r="K243" s="7"/>
      <c r="L243" s="7"/>
      <c r="M243" s="7"/>
      <c r="N243" s="8"/>
      <c r="O243" s="9"/>
      <c r="P243"/>
      <c r="Q243" s="8"/>
      <c r="R243" s="8"/>
      <c r="S243" s="7"/>
      <c r="T243"/>
      <c r="U243" s="7"/>
      <c r="V243" s="7"/>
      <c r="Z243"/>
      <c r="AD243"/>
      <c r="AJ243"/>
      <c r="AN243"/>
      <c r="BQ243" s="148"/>
      <c r="BR243" s="149"/>
      <c r="BS243" s="150"/>
      <c r="BT243" s="151"/>
      <c r="BU243" s="150"/>
      <c r="BV243" s="151"/>
      <c r="BW243" s="150"/>
      <c r="BX243" s="150"/>
    </row>
    <row r="244" spans="3:76">
      <c r="C244" s="7"/>
      <c r="D244" s="179"/>
      <c r="E244" s="187"/>
      <c r="F244" s="7"/>
      <c r="G244" s="8"/>
      <c r="H244" s="8"/>
      <c r="I244" s="204"/>
      <c r="J244" s="7"/>
      <c r="K244" s="7"/>
      <c r="L244" s="7"/>
      <c r="M244" s="7"/>
      <c r="N244" s="8"/>
      <c r="O244" s="9"/>
      <c r="P244"/>
      <c r="Q244" s="8"/>
      <c r="R244" s="8"/>
      <c r="S244" s="7"/>
      <c r="T244"/>
      <c r="U244" s="7"/>
      <c r="V244" s="7"/>
      <c r="Z244"/>
      <c r="AD244"/>
      <c r="AJ244"/>
      <c r="AN244"/>
      <c r="BQ244" s="148"/>
      <c r="BR244" s="149"/>
      <c r="BS244" s="150"/>
      <c r="BT244" s="151"/>
      <c r="BU244" s="150"/>
      <c r="BV244" s="151"/>
      <c r="BW244" s="150"/>
      <c r="BX244" s="150"/>
    </row>
    <row r="245" spans="3:76">
      <c r="C245" s="7"/>
      <c r="D245" s="179"/>
      <c r="E245" s="187"/>
      <c r="F245" s="7"/>
      <c r="G245" s="8"/>
      <c r="H245" s="8"/>
      <c r="I245" s="204"/>
      <c r="J245" s="7"/>
      <c r="K245" s="7"/>
      <c r="L245" s="7"/>
      <c r="M245" s="7"/>
      <c r="N245" s="8"/>
      <c r="O245" s="9"/>
      <c r="P245"/>
      <c r="Q245" s="8"/>
      <c r="R245" s="8"/>
      <c r="S245" s="7"/>
      <c r="T245"/>
      <c r="U245" s="7"/>
      <c r="V245" s="7"/>
      <c r="Z245"/>
      <c r="AD245"/>
      <c r="AJ245"/>
      <c r="AN245"/>
      <c r="BQ245" s="148"/>
      <c r="BR245" s="149"/>
      <c r="BS245" s="150"/>
      <c r="BT245" s="151"/>
      <c r="BU245" s="150"/>
      <c r="BV245" s="151"/>
      <c r="BW245" s="150"/>
      <c r="BX245" s="150"/>
    </row>
    <row r="246" spans="3:76">
      <c r="C246" s="7"/>
      <c r="D246" s="179"/>
      <c r="E246" s="187"/>
      <c r="F246" s="7"/>
      <c r="G246" s="8"/>
      <c r="H246" s="8"/>
      <c r="I246" s="204"/>
      <c r="J246" s="7"/>
      <c r="K246" s="7"/>
      <c r="L246" s="7"/>
      <c r="M246" s="7"/>
      <c r="N246" s="8"/>
      <c r="O246" s="9"/>
      <c r="P246"/>
      <c r="Q246" s="8"/>
      <c r="R246" s="8"/>
      <c r="S246" s="7"/>
      <c r="T246"/>
      <c r="U246" s="7"/>
      <c r="V246" s="7"/>
      <c r="Z246"/>
      <c r="AD246"/>
      <c r="AJ246"/>
      <c r="AN246"/>
      <c r="BQ246" s="148"/>
      <c r="BR246" s="149"/>
      <c r="BS246" s="150"/>
      <c r="BT246" s="151"/>
      <c r="BU246" s="150"/>
      <c r="BV246" s="151"/>
      <c r="BW246" s="150"/>
      <c r="BX246" s="150"/>
    </row>
    <row r="247" spans="3:76">
      <c r="C247" s="7"/>
      <c r="D247" s="179"/>
      <c r="E247" s="187"/>
      <c r="F247" s="7"/>
      <c r="G247" s="8"/>
      <c r="H247" s="8"/>
      <c r="I247" s="204"/>
      <c r="J247" s="7"/>
      <c r="K247" s="7"/>
      <c r="L247" s="7"/>
      <c r="M247" s="7"/>
      <c r="N247" s="8"/>
      <c r="O247" s="9"/>
      <c r="P247"/>
      <c r="Q247" s="8"/>
      <c r="R247" s="8"/>
      <c r="S247" s="7"/>
      <c r="T247"/>
      <c r="U247" s="7"/>
      <c r="V247" s="7"/>
      <c r="Z247"/>
      <c r="AD247"/>
      <c r="AJ247"/>
      <c r="AN247"/>
      <c r="BQ247" s="148"/>
      <c r="BR247" s="149"/>
      <c r="BS247" s="150"/>
      <c r="BT247" s="151"/>
      <c r="BU247" s="150"/>
      <c r="BV247" s="151"/>
      <c r="BW247" s="150"/>
      <c r="BX247" s="150"/>
    </row>
    <row r="248" spans="3:76">
      <c r="C248" s="7"/>
      <c r="D248" s="179"/>
      <c r="E248" s="187"/>
      <c r="F248" s="7"/>
      <c r="G248" s="8"/>
      <c r="H248" s="8"/>
      <c r="I248" s="204"/>
      <c r="J248" s="7"/>
      <c r="K248" s="7"/>
      <c r="L248" s="7"/>
      <c r="M248" s="7"/>
      <c r="N248" s="8"/>
      <c r="O248" s="9"/>
      <c r="P248"/>
      <c r="Q248" s="8"/>
      <c r="R248" s="8"/>
      <c r="S248" s="7"/>
      <c r="T248"/>
      <c r="U248" s="7"/>
      <c r="V248" s="7"/>
      <c r="Z248"/>
      <c r="AD248"/>
      <c r="AJ248"/>
      <c r="AN248"/>
      <c r="BQ248" s="148"/>
      <c r="BR248" s="149"/>
      <c r="BS248" s="150"/>
      <c r="BT248" s="151"/>
      <c r="BU248" s="150"/>
      <c r="BV248" s="151"/>
      <c r="BW248" s="150"/>
      <c r="BX248" s="150"/>
    </row>
    <row r="249" spans="3:76">
      <c r="C249" s="7"/>
      <c r="D249" s="179"/>
      <c r="E249" s="187"/>
      <c r="F249" s="7"/>
      <c r="G249" s="8"/>
      <c r="H249" s="8"/>
      <c r="I249" s="204"/>
      <c r="J249" s="7"/>
      <c r="K249" s="7"/>
      <c r="L249" s="7"/>
      <c r="M249" s="7"/>
      <c r="N249" s="8"/>
      <c r="O249" s="9"/>
      <c r="P249"/>
      <c r="Q249" s="8"/>
      <c r="R249" s="8"/>
      <c r="S249" s="7"/>
      <c r="T249"/>
      <c r="U249" s="7"/>
      <c r="V249" s="7"/>
      <c r="Z249"/>
      <c r="AD249"/>
      <c r="AJ249"/>
      <c r="AN249"/>
      <c r="BQ249" s="148"/>
      <c r="BR249" s="149"/>
      <c r="BS249" s="150"/>
      <c r="BT249" s="151"/>
      <c r="BU249" s="150"/>
      <c r="BV249" s="151"/>
      <c r="BW249" s="150"/>
      <c r="BX249" s="150"/>
    </row>
    <row r="250" spans="3:76">
      <c r="C250" s="7"/>
      <c r="D250" s="179"/>
      <c r="E250" s="187"/>
      <c r="F250" s="7"/>
      <c r="G250" s="8"/>
      <c r="H250" s="8"/>
      <c r="I250" s="204"/>
      <c r="J250" s="7"/>
      <c r="K250" s="7"/>
      <c r="L250" s="7"/>
      <c r="M250" s="7"/>
      <c r="N250" s="8"/>
      <c r="O250" s="9"/>
      <c r="P250"/>
      <c r="Q250" s="8"/>
      <c r="R250" s="8"/>
      <c r="S250" s="7"/>
      <c r="T250"/>
      <c r="U250" s="7"/>
      <c r="V250" s="7"/>
      <c r="Z250"/>
      <c r="AD250"/>
      <c r="AJ250"/>
      <c r="AN250"/>
      <c r="BQ250" s="148"/>
      <c r="BR250" s="149"/>
      <c r="BS250" s="150"/>
      <c r="BT250" s="151"/>
      <c r="BU250" s="150"/>
      <c r="BV250" s="151"/>
      <c r="BW250" s="150"/>
      <c r="BX250" s="150"/>
    </row>
    <row r="251" spans="3:76">
      <c r="C251" s="7"/>
      <c r="D251" s="179"/>
      <c r="E251" s="187"/>
      <c r="F251" s="7"/>
      <c r="G251" s="8"/>
      <c r="H251" s="8"/>
      <c r="I251" s="204"/>
      <c r="J251" s="7"/>
      <c r="K251" s="7"/>
      <c r="L251" s="7"/>
      <c r="M251" s="7"/>
      <c r="N251" s="8"/>
      <c r="O251" s="9"/>
      <c r="P251"/>
      <c r="Q251" s="8"/>
      <c r="R251" s="8"/>
      <c r="S251" s="7"/>
      <c r="T251"/>
      <c r="U251" s="7"/>
      <c r="V251" s="7"/>
      <c r="Z251"/>
      <c r="AD251"/>
      <c r="AJ251"/>
      <c r="AN251"/>
      <c r="BQ251" s="148"/>
      <c r="BR251" s="149"/>
      <c r="BS251" s="150"/>
      <c r="BT251" s="151"/>
      <c r="BU251" s="150"/>
      <c r="BV251" s="151"/>
      <c r="BW251" s="150"/>
      <c r="BX251" s="150"/>
    </row>
    <row r="252" spans="3:76">
      <c r="C252" s="7"/>
      <c r="D252" s="179"/>
      <c r="E252" s="187"/>
      <c r="F252" s="7"/>
      <c r="G252" s="8"/>
      <c r="H252" s="8"/>
      <c r="I252" s="204"/>
      <c r="J252" s="7"/>
      <c r="K252" s="7"/>
      <c r="L252" s="7"/>
      <c r="M252" s="7"/>
      <c r="N252" s="8"/>
      <c r="O252" s="9"/>
      <c r="P252"/>
      <c r="Q252" s="8"/>
      <c r="R252" s="8"/>
      <c r="S252" s="7"/>
      <c r="T252"/>
      <c r="U252" s="7"/>
      <c r="V252" s="7"/>
      <c r="Z252"/>
      <c r="AD252"/>
      <c r="AJ252"/>
      <c r="AN252"/>
      <c r="BQ252" s="148"/>
      <c r="BR252" s="149"/>
      <c r="BS252" s="150"/>
      <c r="BT252" s="151"/>
      <c r="BU252" s="150"/>
      <c r="BV252" s="151"/>
      <c r="BW252" s="150"/>
      <c r="BX252" s="150"/>
    </row>
    <row r="253" spans="3:76">
      <c r="C253" s="7"/>
      <c r="D253" s="179"/>
      <c r="E253" s="187"/>
      <c r="F253" s="7"/>
      <c r="G253" s="8"/>
      <c r="H253" s="8"/>
      <c r="I253" s="204"/>
      <c r="J253" s="7"/>
      <c r="K253" s="7"/>
      <c r="L253" s="7"/>
      <c r="M253" s="7"/>
      <c r="N253" s="8"/>
      <c r="O253" s="9"/>
      <c r="P253"/>
      <c r="Q253" s="8"/>
      <c r="R253" s="8"/>
      <c r="S253" s="7"/>
      <c r="T253"/>
      <c r="U253" s="7"/>
      <c r="V253" s="7"/>
      <c r="Z253"/>
      <c r="AD253"/>
      <c r="AJ253"/>
      <c r="AN253"/>
      <c r="BQ253" s="148"/>
      <c r="BR253" s="149"/>
      <c r="BS253" s="150"/>
      <c r="BT253" s="151"/>
      <c r="BU253" s="150"/>
      <c r="BV253" s="151"/>
      <c r="BW253" s="150"/>
      <c r="BX253" s="150"/>
    </row>
    <row r="254" spans="3:76">
      <c r="C254" s="7"/>
      <c r="D254" s="179"/>
      <c r="E254" s="187"/>
      <c r="F254" s="7"/>
      <c r="G254" s="8"/>
      <c r="H254" s="8"/>
      <c r="I254" s="204"/>
      <c r="J254" s="7"/>
      <c r="K254" s="7"/>
      <c r="L254" s="7"/>
      <c r="M254" s="7"/>
      <c r="N254" s="8"/>
      <c r="O254" s="9"/>
      <c r="P254"/>
      <c r="Q254" s="8"/>
      <c r="R254" s="8"/>
      <c r="S254" s="7"/>
      <c r="T254"/>
      <c r="U254" s="7"/>
      <c r="V254" s="7"/>
      <c r="Z254"/>
      <c r="AD254"/>
      <c r="AJ254"/>
      <c r="AN254"/>
      <c r="BQ254" s="148"/>
      <c r="BR254" s="149"/>
      <c r="BS254" s="150"/>
      <c r="BT254" s="151"/>
      <c r="BU254" s="150"/>
      <c r="BV254" s="151"/>
      <c r="BW254" s="150"/>
      <c r="BX254" s="150"/>
    </row>
    <row r="255" spans="3:76">
      <c r="C255" s="7"/>
      <c r="D255" s="179"/>
      <c r="E255" s="187"/>
      <c r="F255" s="7"/>
      <c r="G255" s="8"/>
      <c r="H255" s="8"/>
      <c r="I255" s="204"/>
      <c r="J255" s="7"/>
      <c r="K255" s="7"/>
      <c r="L255" s="7"/>
      <c r="M255" s="7"/>
      <c r="N255" s="8"/>
      <c r="O255" s="9"/>
      <c r="P255"/>
      <c r="Q255" s="8"/>
      <c r="R255" s="8"/>
      <c r="S255" s="7"/>
      <c r="T255"/>
      <c r="U255" s="7"/>
      <c r="V255" s="7"/>
      <c r="Z255"/>
      <c r="AD255"/>
      <c r="AJ255"/>
      <c r="AN255"/>
      <c r="BQ255" s="148"/>
      <c r="BR255" s="149"/>
      <c r="BS255" s="150"/>
      <c r="BT255" s="151"/>
      <c r="BU255" s="150"/>
      <c r="BV255" s="151"/>
      <c r="BW255" s="150"/>
      <c r="BX255" s="150"/>
    </row>
    <row r="256" spans="3:76">
      <c r="C256" s="7"/>
      <c r="D256" s="179"/>
      <c r="E256" s="187"/>
      <c r="F256" s="7"/>
      <c r="G256" s="8"/>
      <c r="H256" s="8"/>
      <c r="I256" s="204"/>
      <c r="J256" s="7"/>
      <c r="K256" s="7"/>
      <c r="L256" s="7"/>
      <c r="M256" s="7"/>
      <c r="N256" s="8"/>
      <c r="O256" s="9"/>
      <c r="P256"/>
      <c r="Q256" s="8"/>
      <c r="R256" s="8"/>
      <c r="S256" s="7"/>
      <c r="T256"/>
      <c r="U256" s="7"/>
      <c r="V256" s="7"/>
      <c r="Z256"/>
      <c r="AD256"/>
      <c r="AJ256"/>
      <c r="AN256"/>
      <c r="BQ256" s="148"/>
      <c r="BR256" s="149"/>
      <c r="BS256" s="150"/>
      <c r="BT256" s="151"/>
      <c r="BU256" s="150"/>
      <c r="BV256" s="151"/>
      <c r="BW256" s="150"/>
      <c r="BX256" s="150"/>
    </row>
    <row r="257" spans="3:76">
      <c r="C257" s="7"/>
      <c r="D257" s="179"/>
      <c r="E257" s="187"/>
      <c r="F257" s="7"/>
      <c r="G257" s="8"/>
      <c r="H257" s="8"/>
      <c r="I257" s="204"/>
      <c r="J257" s="7"/>
      <c r="K257" s="7"/>
      <c r="L257" s="7"/>
      <c r="M257" s="7"/>
      <c r="N257" s="8"/>
      <c r="O257" s="9"/>
      <c r="P257"/>
      <c r="Q257" s="8"/>
      <c r="R257" s="8"/>
      <c r="S257" s="7"/>
      <c r="T257"/>
      <c r="U257" s="7"/>
      <c r="V257" s="7"/>
      <c r="Z257"/>
      <c r="AD257"/>
      <c r="AJ257"/>
      <c r="AN257"/>
      <c r="BQ257" s="148"/>
      <c r="BR257" s="149"/>
      <c r="BS257" s="150"/>
      <c r="BT257" s="151"/>
      <c r="BU257" s="150"/>
      <c r="BV257" s="151"/>
      <c r="BW257" s="150"/>
      <c r="BX257" s="150"/>
    </row>
    <row r="258" spans="3:76">
      <c r="C258" s="7"/>
      <c r="D258" s="179"/>
      <c r="E258" s="187"/>
      <c r="F258" s="7"/>
      <c r="G258" s="8"/>
      <c r="H258" s="8"/>
      <c r="I258" s="204"/>
      <c r="J258" s="7"/>
      <c r="K258" s="7"/>
      <c r="L258" s="7"/>
      <c r="M258" s="7"/>
      <c r="N258" s="8"/>
      <c r="O258" s="9"/>
      <c r="P258"/>
      <c r="Q258" s="8"/>
      <c r="R258" s="8"/>
      <c r="S258" s="7"/>
      <c r="T258"/>
      <c r="U258" s="7"/>
      <c r="V258" s="7"/>
      <c r="Z258"/>
      <c r="AD258"/>
      <c r="AJ258"/>
      <c r="AN258"/>
      <c r="BQ258" s="148"/>
      <c r="BR258" s="149"/>
      <c r="BS258" s="150"/>
      <c r="BT258" s="151"/>
      <c r="BU258" s="150"/>
      <c r="BV258" s="151"/>
      <c r="BW258" s="150"/>
      <c r="BX258" s="150"/>
    </row>
    <row r="259" spans="3:76">
      <c r="C259" s="7"/>
      <c r="D259" s="179"/>
      <c r="E259" s="187"/>
      <c r="F259" s="7"/>
      <c r="G259" s="8"/>
      <c r="H259" s="8"/>
      <c r="I259" s="204"/>
      <c r="J259" s="7"/>
      <c r="K259" s="7"/>
      <c r="L259" s="7"/>
      <c r="M259" s="7"/>
      <c r="N259" s="8"/>
      <c r="O259" s="9"/>
      <c r="P259"/>
      <c r="Q259" s="8"/>
      <c r="R259" s="8"/>
      <c r="S259" s="7"/>
      <c r="T259"/>
      <c r="U259" s="7"/>
      <c r="V259" s="7"/>
      <c r="Z259"/>
      <c r="AD259"/>
      <c r="AJ259"/>
      <c r="AN259"/>
      <c r="BQ259" s="148"/>
      <c r="BR259" s="149"/>
      <c r="BS259" s="150"/>
      <c r="BT259" s="151"/>
      <c r="BU259" s="150"/>
      <c r="BV259" s="151"/>
      <c r="BW259" s="150"/>
      <c r="BX259" s="150"/>
    </row>
    <row r="260" spans="3:76">
      <c r="C260" s="7"/>
      <c r="D260" s="179"/>
      <c r="E260" s="187"/>
      <c r="F260" s="7"/>
      <c r="G260" s="8"/>
      <c r="H260" s="8"/>
      <c r="I260" s="204"/>
      <c r="J260" s="7"/>
      <c r="K260" s="7"/>
      <c r="L260" s="7"/>
      <c r="M260" s="7"/>
      <c r="N260" s="8"/>
      <c r="O260" s="9"/>
      <c r="P260"/>
      <c r="Q260" s="8"/>
      <c r="R260" s="8"/>
      <c r="S260" s="7"/>
      <c r="T260"/>
      <c r="U260" s="7"/>
      <c r="V260" s="7"/>
      <c r="Z260"/>
      <c r="AD260"/>
      <c r="AJ260"/>
      <c r="AN260"/>
      <c r="BQ260" s="148"/>
      <c r="BR260" s="149"/>
      <c r="BS260" s="150"/>
      <c r="BT260" s="151"/>
      <c r="BU260" s="150"/>
      <c r="BV260" s="151"/>
      <c r="BW260" s="150"/>
      <c r="BX260" s="150"/>
    </row>
    <row r="261" spans="3:76">
      <c r="C261" s="7"/>
      <c r="D261" s="179"/>
      <c r="E261" s="187"/>
      <c r="F261" s="7"/>
      <c r="G261" s="8"/>
      <c r="H261" s="8"/>
      <c r="I261" s="204"/>
      <c r="J261" s="7"/>
      <c r="K261" s="7"/>
      <c r="L261" s="7"/>
      <c r="M261" s="7"/>
      <c r="N261" s="8"/>
      <c r="O261" s="9"/>
      <c r="P261"/>
      <c r="Q261" s="8"/>
      <c r="R261" s="8"/>
      <c r="S261" s="7"/>
      <c r="T261"/>
      <c r="U261" s="7"/>
      <c r="V261" s="7"/>
      <c r="Z261"/>
      <c r="AD261"/>
      <c r="AJ261"/>
      <c r="AN261"/>
      <c r="BQ261" s="148"/>
      <c r="BR261" s="149"/>
      <c r="BS261" s="150"/>
      <c r="BT261" s="151"/>
      <c r="BU261" s="150"/>
      <c r="BV261" s="151"/>
      <c r="BW261" s="150"/>
      <c r="BX261" s="150"/>
    </row>
    <row r="262" spans="3:76">
      <c r="C262" s="7"/>
      <c r="D262" s="179"/>
      <c r="E262" s="187"/>
      <c r="F262" s="7"/>
      <c r="G262" s="8"/>
      <c r="H262" s="8"/>
      <c r="I262" s="204"/>
      <c r="J262" s="7"/>
      <c r="K262" s="7"/>
      <c r="L262" s="7"/>
      <c r="M262" s="7"/>
      <c r="N262" s="8"/>
      <c r="O262" s="9"/>
      <c r="P262"/>
      <c r="Q262" s="8"/>
      <c r="R262" s="8"/>
      <c r="S262" s="7"/>
      <c r="T262"/>
      <c r="U262" s="7"/>
      <c r="V262" s="7"/>
      <c r="Z262"/>
      <c r="AD262"/>
      <c r="AJ262"/>
      <c r="AN262"/>
      <c r="BQ262" s="148"/>
      <c r="BR262" s="149"/>
      <c r="BS262" s="150"/>
      <c r="BT262" s="151"/>
      <c r="BU262" s="150"/>
      <c r="BV262" s="151"/>
      <c r="BW262" s="150"/>
      <c r="BX262" s="150"/>
    </row>
    <row r="263" spans="3:76">
      <c r="C263" s="7"/>
      <c r="D263" s="179"/>
      <c r="E263" s="187"/>
      <c r="F263" s="7"/>
      <c r="G263" s="8"/>
      <c r="H263" s="8"/>
      <c r="I263" s="204"/>
      <c r="J263" s="7"/>
      <c r="K263" s="7"/>
      <c r="L263" s="7"/>
      <c r="M263" s="7"/>
      <c r="N263" s="8"/>
      <c r="O263" s="9"/>
      <c r="P263"/>
      <c r="Q263" s="8"/>
      <c r="R263" s="8"/>
      <c r="S263" s="7"/>
      <c r="T263"/>
      <c r="U263" s="7"/>
      <c r="V263" s="7"/>
      <c r="Z263"/>
      <c r="AD263"/>
      <c r="AJ263"/>
      <c r="AN263"/>
      <c r="BQ263" s="148"/>
      <c r="BR263" s="149"/>
      <c r="BS263" s="150"/>
      <c r="BT263" s="151"/>
      <c r="BU263" s="150"/>
      <c r="BV263" s="151"/>
      <c r="BW263" s="150"/>
      <c r="BX263" s="150"/>
    </row>
    <row r="264" spans="3:76">
      <c r="C264" s="7"/>
      <c r="D264" s="179"/>
      <c r="E264" s="187"/>
      <c r="F264" s="7"/>
      <c r="G264" s="8"/>
      <c r="H264" s="8"/>
      <c r="I264" s="204"/>
      <c r="J264" s="7"/>
      <c r="K264" s="7"/>
      <c r="L264" s="7"/>
      <c r="M264" s="7"/>
      <c r="N264" s="8"/>
      <c r="O264" s="9"/>
      <c r="P264"/>
      <c r="Q264" s="8"/>
      <c r="R264" s="8"/>
      <c r="S264" s="7"/>
      <c r="T264"/>
      <c r="U264" s="7"/>
      <c r="V264" s="7"/>
      <c r="Z264"/>
      <c r="AD264"/>
      <c r="AJ264"/>
      <c r="AN264"/>
      <c r="BQ264" s="148"/>
      <c r="BR264" s="149"/>
      <c r="BS264" s="150"/>
      <c r="BT264" s="151"/>
      <c r="BU264" s="150"/>
      <c r="BV264" s="151"/>
      <c r="BW264" s="150"/>
      <c r="BX264" s="150"/>
    </row>
    <row r="265" spans="3:76">
      <c r="C265" s="7"/>
      <c r="D265" s="179"/>
      <c r="E265" s="187"/>
      <c r="F265" s="7"/>
      <c r="G265" s="8"/>
      <c r="H265" s="8"/>
      <c r="I265" s="204"/>
      <c r="J265" s="7"/>
      <c r="K265" s="7"/>
      <c r="L265" s="7"/>
      <c r="M265" s="7"/>
      <c r="N265" s="8"/>
      <c r="O265" s="9"/>
      <c r="P265" s="9"/>
      <c r="Q265" s="8"/>
      <c r="R265" s="8"/>
      <c r="S265" s="7"/>
      <c r="T265" s="7"/>
      <c r="U265" s="7"/>
      <c r="V265" s="7"/>
      <c r="BQ265" s="148"/>
      <c r="BR265" s="149"/>
      <c r="BS265" s="150"/>
      <c r="BT265" s="151"/>
      <c r="BU265" s="150"/>
      <c r="BV265" s="151"/>
      <c r="BW265" s="150"/>
      <c r="BX265" s="150"/>
    </row>
    <row r="266" spans="3:76">
      <c r="C266" s="7"/>
      <c r="D266" s="179"/>
      <c r="E266" s="187"/>
      <c r="F266" s="7"/>
      <c r="G266" s="8"/>
      <c r="H266" s="8"/>
      <c r="I266" s="204"/>
      <c r="J266" s="7"/>
      <c r="K266" s="7"/>
      <c r="L266" s="7"/>
      <c r="M266" s="7"/>
      <c r="N266" s="8"/>
      <c r="O266" s="9"/>
      <c r="P266" s="9"/>
      <c r="Q266" s="8"/>
      <c r="R266" s="8"/>
      <c r="S266" s="7"/>
      <c r="T266" s="7"/>
      <c r="U266" s="7"/>
      <c r="V266" s="7"/>
      <c r="BQ266" s="148"/>
      <c r="BR266" s="149"/>
      <c r="BS266" s="150"/>
      <c r="BT266" s="151"/>
      <c r="BU266" s="150"/>
      <c r="BV266" s="151"/>
      <c r="BW266" s="150"/>
      <c r="BX266" s="150"/>
    </row>
    <row r="267" spans="3:76">
      <c r="C267" s="7"/>
      <c r="D267" s="179"/>
      <c r="E267" s="187"/>
      <c r="F267" s="7"/>
      <c r="G267" s="8"/>
      <c r="H267" s="8"/>
      <c r="I267" s="204"/>
      <c r="J267" s="7"/>
      <c r="K267" s="7"/>
      <c r="L267" s="7"/>
      <c r="M267" s="7"/>
      <c r="N267" s="8"/>
      <c r="O267" s="9"/>
      <c r="P267" s="9"/>
      <c r="Q267" s="8"/>
      <c r="R267" s="8"/>
      <c r="S267" s="7"/>
      <c r="T267" s="7"/>
      <c r="U267" s="7"/>
      <c r="V267" s="7"/>
      <c r="BQ267" s="148"/>
      <c r="BR267" s="149"/>
      <c r="BS267" s="150"/>
      <c r="BT267" s="151"/>
      <c r="BU267" s="150"/>
      <c r="BV267" s="151"/>
      <c r="BW267" s="150"/>
      <c r="BX267" s="150"/>
    </row>
    <row r="268" spans="3:76">
      <c r="C268" s="7"/>
      <c r="D268" s="179"/>
      <c r="E268" s="187"/>
      <c r="F268" s="7"/>
      <c r="G268" s="8"/>
      <c r="H268" s="8"/>
      <c r="I268" s="204"/>
      <c r="J268" s="7"/>
      <c r="K268" s="7"/>
      <c r="L268" s="7"/>
      <c r="M268" s="7"/>
      <c r="N268" s="8"/>
      <c r="O268" s="9"/>
      <c r="P268" s="9"/>
      <c r="Q268" s="8"/>
      <c r="R268" s="8"/>
      <c r="S268" s="7"/>
      <c r="T268" s="7"/>
      <c r="U268" s="7"/>
      <c r="V268" s="7"/>
      <c r="BQ268" s="148"/>
      <c r="BR268" s="149"/>
      <c r="BS268" s="150"/>
      <c r="BT268" s="151"/>
      <c r="BU268" s="150"/>
      <c r="BV268" s="151"/>
      <c r="BW268" s="150"/>
      <c r="BX268" s="150"/>
    </row>
    <row r="269" spans="3:76">
      <c r="C269" s="7"/>
      <c r="D269" s="179"/>
      <c r="E269" s="187"/>
      <c r="F269" s="7"/>
      <c r="G269" s="8"/>
      <c r="H269" s="8"/>
      <c r="I269" s="204"/>
      <c r="J269" s="7"/>
      <c r="K269" s="7"/>
      <c r="L269" s="7"/>
      <c r="M269" s="7"/>
      <c r="N269" s="8"/>
      <c r="O269" s="9"/>
      <c r="P269" s="9"/>
      <c r="Q269" s="8"/>
      <c r="R269" s="8"/>
      <c r="S269" s="7"/>
      <c r="T269" s="7"/>
      <c r="U269" s="7"/>
      <c r="V269" s="7"/>
      <c r="BQ269" s="148"/>
      <c r="BR269" s="149"/>
      <c r="BS269" s="150"/>
      <c r="BT269" s="151"/>
      <c r="BU269" s="150"/>
      <c r="BV269" s="151"/>
      <c r="BW269" s="150"/>
      <c r="BX269" s="150"/>
    </row>
    <row r="270" spans="3:76">
      <c r="C270" s="7"/>
      <c r="D270" s="179"/>
      <c r="E270" s="187"/>
      <c r="F270" s="7"/>
      <c r="G270" s="8"/>
      <c r="H270" s="8"/>
      <c r="I270" s="204"/>
      <c r="J270" s="7"/>
      <c r="K270" s="7"/>
      <c r="L270" s="7"/>
      <c r="M270" s="7"/>
      <c r="N270" s="8"/>
      <c r="O270" s="9"/>
      <c r="P270" s="9"/>
      <c r="Q270" s="8"/>
      <c r="R270" s="8"/>
      <c r="S270" s="7"/>
      <c r="T270" s="7"/>
      <c r="U270" s="7"/>
      <c r="V270" s="7"/>
      <c r="BQ270" s="148"/>
      <c r="BR270" s="149"/>
      <c r="BS270" s="150"/>
      <c r="BT270" s="151"/>
      <c r="BU270" s="150"/>
      <c r="BV270" s="151"/>
      <c r="BW270" s="150"/>
      <c r="BX270" s="150"/>
    </row>
    <row r="271" spans="3:76">
      <c r="C271" s="7"/>
      <c r="D271" s="179"/>
      <c r="E271" s="187"/>
      <c r="F271" s="7"/>
      <c r="G271" s="8"/>
      <c r="H271" s="8"/>
      <c r="I271" s="204"/>
      <c r="J271" s="7"/>
      <c r="K271" s="7"/>
      <c r="L271" s="7"/>
      <c r="M271" s="7"/>
      <c r="N271" s="8"/>
      <c r="O271" s="9"/>
      <c r="P271" s="9"/>
      <c r="Q271" s="8"/>
      <c r="R271" s="8"/>
      <c r="S271" s="7"/>
      <c r="T271" s="7"/>
      <c r="U271" s="7"/>
      <c r="V271" s="7"/>
      <c r="BQ271" s="148"/>
      <c r="BR271" s="149"/>
      <c r="BS271" s="150"/>
      <c r="BT271" s="151"/>
      <c r="BU271" s="150"/>
      <c r="BV271" s="151"/>
      <c r="BW271" s="150"/>
      <c r="BX271" s="150"/>
    </row>
    <row r="272" spans="3:76">
      <c r="C272" s="7"/>
      <c r="D272" s="179"/>
      <c r="E272" s="187"/>
      <c r="F272" s="7"/>
      <c r="G272" s="8"/>
      <c r="H272" s="8"/>
      <c r="I272" s="204"/>
      <c r="J272" s="7"/>
      <c r="K272" s="7"/>
      <c r="L272" s="7"/>
      <c r="M272" s="7"/>
      <c r="N272" s="8"/>
      <c r="O272" s="9"/>
      <c r="P272" s="9"/>
      <c r="Q272" s="8"/>
      <c r="R272" s="8"/>
      <c r="S272" s="7"/>
      <c r="T272" s="7"/>
      <c r="U272" s="7"/>
      <c r="V272" s="7"/>
      <c r="BQ272" s="29"/>
      <c r="BR272" s="149"/>
      <c r="BS272" s="150"/>
      <c r="BT272" s="220"/>
      <c r="BU272" s="9"/>
      <c r="BV272" s="220"/>
      <c r="BW272" s="9"/>
      <c r="BX272" s="9"/>
    </row>
    <row r="273" spans="3:76" ht="18.75" thickBot="1">
      <c r="C273" s="7"/>
      <c r="D273" s="179"/>
      <c r="E273" s="187"/>
      <c r="F273" s="7"/>
      <c r="G273" s="8"/>
      <c r="H273" s="8"/>
      <c r="I273" s="204"/>
      <c r="J273" s="7"/>
      <c r="K273" s="7"/>
      <c r="L273" s="7"/>
      <c r="M273" s="7"/>
      <c r="N273" s="8"/>
      <c r="O273" s="9"/>
      <c r="P273" s="9"/>
      <c r="Q273" s="8"/>
      <c r="R273" s="8"/>
      <c r="S273" s="7"/>
      <c r="T273" s="7"/>
      <c r="U273" s="7"/>
      <c r="V273" s="7"/>
      <c r="BQ273" s="29"/>
      <c r="BR273" s="149"/>
      <c r="BS273" s="150"/>
      <c r="BT273" s="220"/>
      <c r="BU273" s="9"/>
      <c r="BV273" s="220"/>
      <c r="BW273" s="9"/>
      <c r="BX273" s="9"/>
    </row>
    <row r="274" spans="3:76" ht="21" thickTop="1">
      <c r="C274" s="7"/>
      <c r="D274" s="179"/>
      <c r="E274" s="187"/>
      <c r="F274" s="7"/>
      <c r="G274" s="8"/>
      <c r="H274" s="8"/>
      <c r="I274" s="204"/>
      <c r="J274" s="7"/>
      <c r="K274" s="7"/>
      <c r="L274" s="7"/>
      <c r="M274" s="7"/>
      <c r="N274" s="8"/>
      <c r="O274" s="9"/>
      <c r="P274" s="9"/>
      <c r="Q274" s="8"/>
      <c r="R274" s="8"/>
      <c r="S274" s="7"/>
      <c r="T274" s="7"/>
      <c r="U274" s="7"/>
      <c r="V274" s="7"/>
      <c r="BS274" s="82" t="str">
        <f>AQ5</f>
        <v xml:space="preserve">                                                 5 è tour                                               résultat</v>
      </c>
      <c r="BT274" s="83"/>
      <c r="BU274" s="83"/>
      <c r="BV274" s="84"/>
      <c r="BW274" s="85"/>
      <c r="BX274" s="86"/>
    </row>
    <row r="275" spans="3:76">
      <c r="C275" s="7"/>
      <c r="D275" s="179"/>
      <c r="E275" s="187"/>
      <c r="F275" s="7"/>
      <c r="G275" s="8"/>
      <c r="H275" s="8"/>
      <c r="I275" s="204"/>
      <c r="J275" s="7"/>
      <c r="K275" s="7"/>
      <c r="L275" s="7"/>
      <c r="M275" s="7"/>
      <c r="N275" s="8"/>
      <c r="O275" s="9"/>
      <c r="P275" s="9"/>
      <c r="Q275" s="8"/>
      <c r="R275" s="8"/>
      <c r="S275" s="7"/>
      <c r="T275" s="7"/>
      <c r="U275" s="7"/>
      <c r="V275" s="7"/>
      <c r="BQ275" s="88" t="s">
        <v>24</v>
      </c>
      <c r="BR275" s="89">
        <f t="shared" ref="BR275:BR306" si="49">B6</f>
        <v>1</v>
      </c>
      <c r="BS275" s="90">
        <f t="shared" ref="BS275:BS306" si="50">AR6</f>
        <v>0</v>
      </c>
      <c r="BT275" s="91" t="str">
        <f t="shared" ref="BT275:BT306" si="51">AT6</f>
        <v/>
      </c>
      <c r="BU275" s="92">
        <f t="shared" ref="BU275:BU306" si="52">AV6</f>
        <v>0</v>
      </c>
      <c r="BV275" s="93" t="str">
        <f t="shared" ref="BV275:BV306" si="53">AX6</f>
        <v/>
      </c>
      <c r="BW275" s="94"/>
      <c r="BX275" s="94"/>
    </row>
    <row r="276" spans="3:76">
      <c r="C276" s="7"/>
      <c r="D276" s="179"/>
      <c r="E276" s="187"/>
      <c r="F276" s="7"/>
      <c r="G276" s="8"/>
      <c r="H276" s="8"/>
      <c r="I276" s="204"/>
      <c r="J276" s="7"/>
      <c r="K276" s="7"/>
      <c r="L276" s="7"/>
      <c r="M276" s="7"/>
      <c r="N276" s="8"/>
      <c r="O276" s="9"/>
      <c r="P276" s="9"/>
      <c r="Q276" s="8"/>
      <c r="R276" s="8"/>
      <c r="S276" s="7"/>
      <c r="T276" s="7"/>
      <c r="U276" s="7"/>
      <c r="V276" s="7"/>
      <c r="BQ276" s="88" t="s">
        <v>24</v>
      </c>
      <c r="BR276" s="89">
        <f t="shared" si="49"/>
        <v>2</v>
      </c>
      <c r="BS276" s="90">
        <f t="shared" si="50"/>
        <v>0</v>
      </c>
      <c r="BT276" s="91" t="str">
        <f t="shared" si="51"/>
        <v/>
      </c>
      <c r="BU276" s="92">
        <f t="shared" si="52"/>
        <v>0</v>
      </c>
      <c r="BV276" s="93" t="str">
        <f t="shared" si="53"/>
        <v/>
      </c>
      <c r="BW276" s="94"/>
      <c r="BX276" s="94"/>
    </row>
    <row r="277" spans="3:76">
      <c r="C277" s="7"/>
      <c r="D277" s="179"/>
      <c r="E277" s="187"/>
      <c r="F277" s="7"/>
      <c r="G277" s="8"/>
      <c r="H277" s="8"/>
      <c r="I277" s="204"/>
      <c r="J277" s="7"/>
      <c r="K277" s="7"/>
      <c r="L277" s="7"/>
      <c r="M277" s="7"/>
      <c r="N277" s="8"/>
      <c r="O277" s="9"/>
      <c r="P277" s="9"/>
      <c r="Q277" s="8"/>
      <c r="R277" s="8"/>
      <c r="S277" s="7"/>
      <c r="T277" s="7"/>
      <c r="U277" s="7"/>
      <c r="V277" s="7"/>
      <c r="BQ277" s="88" t="s">
        <v>24</v>
      </c>
      <c r="BR277" s="89">
        <f t="shared" si="49"/>
        <v>3</v>
      </c>
      <c r="BS277" s="90">
        <f t="shared" si="50"/>
        <v>0</v>
      </c>
      <c r="BT277" s="91" t="str">
        <f t="shared" si="51"/>
        <v/>
      </c>
      <c r="BU277" s="92">
        <f t="shared" si="52"/>
        <v>0</v>
      </c>
      <c r="BV277" s="93" t="str">
        <f t="shared" si="53"/>
        <v/>
      </c>
      <c r="BW277" s="94"/>
      <c r="BX277" s="94"/>
    </row>
    <row r="278" spans="3:76">
      <c r="C278" s="7"/>
      <c r="D278" s="179"/>
      <c r="E278" s="187"/>
      <c r="F278" s="7"/>
      <c r="G278" s="8"/>
      <c r="H278" s="8"/>
      <c r="I278" s="204"/>
      <c r="J278" s="7"/>
      <c r="K278" s="7"/>
      <c r="L278" s="7"/>
      <c r="M278" s="7"/>
      <c r="N278" s="8"/>
      <c r="O278" s="9"/>
      <c r="P278" s="9"/>
      <c r="Q278" s="8"/>
      <c r="R278" s="8"/>
      <c r="S278" s="7"/>
      <c r="T278" s="7"/>
      <c r="U278" s="7"/>
      <c r="V278" s="7"/>
      <c r="BQ278" s="88" t="s">
        <v>24</v>
      </c>
      <c r="BR278" s="89">
        <f t="shared" si="49"/>
        <v>4</v>
      </c>
      <c r="BS278" s="90">
        <f t="shared" si="50"/>
        <v>0</v>
      </c>
      <c r="BT278" s="91" t="str">
        <f t="shared" si="51"/>
        <v/>
      </c>
      <c r="BU278" s="92">
        <f t="shared" si="52"/>
        <v>0</v>
      </c>
      <c r="BV278" s="93" t="str">
        <f t="shared" si="53"/>
        <v/>
      </c>
      <c r="BW278" s="94"/>
      <c r="BX278" s="94"/>
    </row>
    <row r="279" spans="3:76">
      <c r="C279" s="7"/>
      <c r="D279" s="179"/>
      <c r="E279" s="187"/>
      <c r="F279" s="7"/>
      <c r="G279" s="8"/>
      <c r="H279" s="8"/>
      <c r="I279" s="204"/>
      <c r="J279" s="7"/>
      <c r="K279" s="7"/>
      <c r="L279" s="7"/>
      <c r="M279" s="7"/>
      <c r="N279" s="8"/>
      <c r="O279" s="9"/>
      <c r="P279" s="9"/>
      <c r="Q279" s="8"/>
      <c r="R279" s="8"/>
      <c r="S279" s="7"/>
      <c r="T279" s="7"/>
      <c r="U279" s="7"/>
      <c r="V279" s="7"/>
      <c r="BQ279" s="88" t="s">
        <v>24</v>
      </c>
      <c r="BR279" s="89">
        <f t="shared" si="49"/>
        <v>5</v>
      </c>
      <c r="BS279" s="90">
        <f t="shared" si="50"/>
        <v>0</v>
      </c>
      <c r="BT279" s="91" t="str">
        <f t="shared" si="51"/>
        <v/>
      </c>
      <c r="BU279" s="92">
        <f t="shared" si="52"/>
        <v>0</v>
      </c>
      <c r="BV279" s="93" t="str">
        <f t="shared" si="53"/>
        <v/>
      </c>
      <c r="BW279" s="94"/>
      <c r="BX279" s="94"/>
    </row>
    <row r="280" spans="3:76">
      <c r="C280" s="7"/>
      <c r="D280" s="179"/>
      <c r="E280" s="187"/>
      <c r="F280" s="7"/>
      <c r="G280" s="8"/>
      <c r="H280" s="8"/>
      <c r="I280" s="204"/>
      <c r="J280" s="7"/>
      <c r="K280" s="7"/>
      <c r="L280" s="7"/>
      <c r="M280" s="7"/>
      <c r="N280" s="8"/>
      <c r="O280" s="9"/>
      <c r="P280" s="9"/>
      <c r="Q280" s="8"/>
      <c r="R280" s="8"/>
      <c r="S280" s="7"/>
      <c r="T280" s="7"/>
      <c r="U280" s="7"/>
      <c r="V280" s="7"/>
      <c r="BQ280" s="88" t="s">
        <v>24</v>
      </c>
      <c r="BR280" s="89">
        <f t="shared" si="49"/>
        <v>6</v>
      </c>
      <c r="BS280" s="90">
        <f t="shared" si="50"/>
        <v>0</v>
      </c>
      <c r="BT280" s="91" t="str">
        <f t="shared" si="51"/>
        <v/>
      </c>
      <c r="BU280" s="92">
        <f t="shared" si="52"/>
        <v>0</v>
      </c>
      <c r="BV280" s="93" t="str">
        <f t="shared" si="53"/>
        <v/>
      </c>
      <c r="BW280" s="94"/>
      <c r="BX280" s="94"/>
    </row>
    <row r="281" spans="3:76">
      <c r="C281" s="7"/>
      <c r="D281" s="179"/>
      <c r="E281" s="187"/>
      <c r="F281" s="7"/>
      <c r="G281" s="8"/>
      <c r="H281" s="8"/>
      <c r="I281" s="204"/>
      <c r="J281" s="7"/>
      <c r="K281" s="7"/>
      <c r="L281" s="7"/>
      <c r="M281" s="7"/>
      <c r="N281" s="8"/>
      <c r="O281" s="9"/>
      <c r="P281" s="9"/>
      <c r="Q281" s="8"/>
      <c r="R281" s="8"/>
      <c r="S281" s="7"/>
      <c r="T281" s="7"/>
      <c r="U281" s="7"/>
      <c r="V281" s="7"/>
      <c r="BQ281" s="88" t="s">
        <v>24</v>
      </c>
      <c r="BR281" s="89">
        <f t="shared" si="49"/>
        <v>7</v>
      </c>
      <c r="BS281" s="90">
        <f t="shared" si="50"/>
        <v>0</v>
      </c>
      <c r="BT281" s="91" t="str">
        <f t="shared" si="51"/>
        <v/>
      </c>
      <c r="BU281" s="92">
        <f t="shared" si="52"/>
        <v>0</v>
      </c>
      <c r="BV281" s="93" t="str">
        <f t="shared" si="53"/>
        <v/>
      </c>
      <c r="BW281" s="94"/>
      <c r="BX281" s="94"/>
    </row>
    <row r="282" spans="3:76">
      <c r="C282" s="7"/>
      <c r="D282" s="179"/>
      <c r="E282" s="187"/>
      <c r="F282" s="7"/>
      <c r="G282" s="8"/>
      <c r="H282" s="8"/>
      <c r="I282" s="204"/>
      <c r="J282" s="7"/>
      <c r="K282" s="7"/>
      <c r="L282" s="7"/>
      <c r="M282" s="7"/>
      <c r="N282" s="8"/>
      <c r="O282" s="9"/>
      <c r="P282" s="9"/>
      <c r="Q282" s="8"/>
      <c r="R282" s="8"/>
      <c r="S282" s="7"/>
      <c r="T282" s="7"/>
      <c r="U282" s="7"/>
      <c r="V282" s="7"/>
      <c r="BQ282" s="88" t="s">
        <v>24</v>
      </c>
      <c r="BR282" s="89">
        <f t="shared" si="49"/>
        <v>8</v>
      </c>
      <c r="BS282" s="90">
        <f t="shared" si="50"/>
        <v>0</v>
      </c>
      <c r="BT282" s="91" t="str">
        <f t="shared" si="51"/>
        <v/>
      </c>
      <c r="BU282" s="92">
        <f t="shared" si="52"/>
        <v>0</v>
      </c>
      <c r="BV282" s="93" t="str">
        <f t="shared" si="53"/>
        <v/>
      </c>
      <c r="BW282" s="94"/>
      <c r="BX282" s="94"/>
    </row>
    <row r="283" spans="3:76">
      <c r="C283" s="7"/>
      <c r="D283" s="179"/>
      <c r="E283" s="187"/>
      <c r="F283" s="7"/>
      <c r="G283" s="8"/>
      <c r="H283" s="8"/>
      <c r="I283" s="204"/>
      <c r="J283" s="7"/>
      <c r="K283" s="7"/>
      <c r="L283" s="7"/>
      <c r="M283" s="7"/>
      <c r="N283" s="8"/>
      <c r="O283" s="9"/>
      <c r="P283" s="9"/>
      <c r="Q283" s="8"/>
      <c r="R283" s="8"/>
      <c r="S283" s="7"/>
      <c r="T283" s="7"/>
      <c r="U283" s="7"/>
      <c r="V283" s="7"/>
      <c r="BQ283" s="88" t="s">
        <v>24</v>
      </c>
      <c r="BR283" s="89">
        <f t="shared" si="49"/>
        <v>9</v>
      </c>
      <c r="BS283" s="90">
        <f t="shared" si="50"/>
        <v>0</v>
      </c>
      <c r="BT283" s="91" t="str">
        <f t="shared" si="51"/>
        <v/>
      </c>
      <c r="BU283" s="92">
        <f t="shared" si="52"/>
        <v>0</v>
      </c>
      <c r="BV283" s="93" t="str">
        <f t="shared" si="53"/>
        <v/>
      </c>
      <c r="BW283" s="94"/>
      <c r="BX283" s="94"/>
    </row>
    <row r="284" spans="3:76">
      <c r="C284" s="7"/>
      <c r="D284" s="179"/>
      <c r="E284" s="187"/>
      <c r="F284" s="7"/>
      <c r="G284" s="8"/>
      <c r="H284" s="8"/>
      <c r="I284" s="204"/>
      <c r="J284" s="7"/>
      <c r="K284" s="7"/>
      <c r="L284" s="7"/>
      <c r="M284" s="7"/>
      <c r="N284" s="8"/>
      <c r="O284" s="9"/>
      <c r="P284" s="9"/>
      <c r="Q284" s="8"/>
      <c r="R284" s="8"/>
      <c r="S284" s="7"/>
      <c r="T284" s="7"/>
      <c r="U284" s="7"/>
      <c r="V284" s="7"/>
      <c r="BQ284" s="88" t="s">
        <v>24</v>
      </c>
      <c r="BR284" s="89">
        <f t="shared" si="49"/>
        <v>10</v>
      </c>
      <c r="BS284" s="90">
        <f t="shared" si="50"/>
        <v>0</v>
      </c>
      <c r="BT284" s="91" t="str">
        <f t="shared" si="51"/>
        <v/>
      </c>
      <c r="BU284" s="92">
        <f t="shared" si="52"/>
        <v>0</v>
      </c>
      <c r="BV284" s="93" t="str">
        <f t="shared" si="53"/>
        <v/>
      </c>
      <c r="BW284" s="94"/>
      <c r="BX284" s="94"/>
    </row>
    <row r="285" spans="3:76">
      <c r="C285" s="7"/>
      <c r="D285" s="179"/>
      <c r="E285" s="187"/>
      <c r="F285" s="7"/>
      <c r="G285" s="8"/>
      <c r="H285" s="8"/>
      <c r="I285" s="204"/>
      <c r="J285" s="7"/>
      <c r="K285" s="7"/>
      <c r="L285" s="7"/>
      <c r="M285" s="7"/>
      <c r="N285" s="8"/>
      <c r="O285" s="9"/>
      <c r="P285" s="9"/>
      <c r="Q285" s="8"/>
      <c r="R285" s="8"/>
      <c r="S285" s="7"/>
      <c r="T285" s="7"/>
      <c r="U285" s="7"/>
      <c r="V285" s="7"/>
      <c r="BQ285" s="88" t="s">
        <v>24</v>
      </c>
      <c r="BR285" s="89">
        <f t="shared" si="49"/>
        <v>11</v>
      </c>
      <c r="BS285" s="90">
        <f t="shared" si="50"/>
        <v>0</v>
      </c>
      <c r="BT285" s="91" t="str">
        <f t="shared" si="51"/>
        <v/>
      </c>
      <c r="BU285" s="92">
        <f t="shared" si="52"/>
        <v>0</v>
      </c>
      <c r="BV285" s="93" t="str">
        <f t="shared" si="53"/>
        <v/>
      </c>
      <c r="BW285" s="94"/>
      <c r="BX285" s="94"/>
    </row>
    <row r="286" spans="3:76">
      <c r="C286" s="7"/>
      <c r="D286" s="179"/>
      <c r="E286" s="187"/>
      <c r="F286" s="7"/>
      <c r="G286" s="8"/>
      <c r="H286" s="8"/>
      <c r="I286" s="204"/>
      <c r="J286" s="7"/>
      <c r="K286" s="7"/>
      <c r="L286" s="7"/>
      <c r="M286" s="7"/>
      <c r="N286" s="8"/>
      <c r="O286" s="9"/>
      <c r="P286" s="9"/>
      <c r="Q286" s="8"/>
      <c r="R286" s="8"/>
      <c r="S286" s="7"/>
      <c r="T286" s="7"/>
      <c r="U286" s="7"/>
      <c r="V286" s="7"/>
      <c r="BQ286" s="88" t="s">
        <v>24</v>
      </c>
      <c r="BR286" s="89">
        <f t="shared" si="49"/>
        <v>12</v>
      </c>
      <c r="BS286" s="90">
        <f t="shared" si="50"/>
        <v>0</v>
      </c>
      <c r="BT286" s="91" t="str">
        <f t="shared" si="51"/>
        <v/>
      </c>
      <c r="BU286" s="92">
        <f t="shared" si="52"/>
        <v>0</v>
      </c>
      <c r="BV286" s="93" t="str">
        <f t="shared" si="53"/>
        <v/>
      </c>
      <c r="BW286" s="94"/>
      <c r="BX286" s="94"/>
    </row>
    <row r="287" spans="3:76">
      <c r="C287" s="7"/>
      <c r="D287" s="179"/>
      <c r="E287" s="187"/>
      <c r="F287" s="7"/>
      <c r="G287" s="8"/>
      <c r="H287" s="8"/>
      <c r="I287" s="204"/>
      <c r="J287" s="7"/>
      <c r="K287" s="7"/>
      <c r="L287" s="7"/>
      <c r="M287" s="7"/>
      <c r="N287" s="8"/>
      <c r="O287" s="9"/>
      <c r="P287" s="9"/>
      <c r="Q287" s="8"/>
      <c r="R287" s="8"/>
      <c r="S287" s="7"/>
      <c r="T287" s="7"/>
      <c r="U287" s="7"/>
      <c r="V287" s="7"/>
      <c r="BQ287" s="88" t="s">
        <v>24</v>
      </c>
      <c r="BR287" s="89">
        <f t="shared" si="49"/>
        <v>13</v>
      </c>
      <c r="BS287" s="90">
        <f t="shared" si="50"/>
        <v>0</v>
      </c>
      <c r="BT287" s="91" t="str">
        <f t="shared" si="51"/>
        <v/>
      </c>
      <c r="BU287" s="92">
        <f t="shared" si="52"/>
        <v>0</v>
      </c>
      <c r="BV287" s="93" t="str">
        <f t="shared" si="53"/>
        <v/>
      </c>
      <c r="BW287" s="94"/>
      <c r="BX287" s="94"/>
    </row>
    <row r="288" spans="3:76">
      <c r="C288" s="7"/>
      <c r="D288" s="179"/>
      <c r="E288" s="187"/>
      <c r="F288" s="7"/>
      <c r="G288" s="8"/>
      <c r="H288" s="8"/>
      <c r="I288" s="204"/>
      <c r="J288" s="7"/>
      <c r="K288" s="7"/>
      <c r="L288" s="7"/>
      <c r="M288" s="7"/>
      <c r="N288" s="8"/>
      <c r="O288" s="9"/>
      <c r="P288" s="9"/>
      <c r="Q288" s="8"/>
      <c r="R288" s="8"/>
      <c r="S288" s="7"/>
      <c r="T288" s="7"/>
      <c r="U288" s="7"/>
      <c r="V288" s="7"/>
      <c r="BQ288" s="88" t="s">
        <v>24</v>
      </c>
      <c r="BR288" s="89">
        <f t="shared" si="49"/>
        <v>14</v>
      </c>
      <c r="BS288" s="90">
        <f t="shared" si="50"/>
        <v>0</v>
      </c>
      <c r="BT288" s="91" t="str">
        <f t="shared" si="51"/>
        <v/>
      </c>
      <c r="BU288" s="92">
        <f t="shared" si="52"/>
        <v>0</v>
      </c>
      <c r="BV288" s="93" t="str">
        <f t="shared" si="53"/>
        <v/>
      </c>
      <c r="BW288" s="94"/>
      <c r="BX288" s="94"/>
    </row>
    <row r="289" spans="3:76">
      <c r="C289" s="7"/>
      <c r="D289" s="179"/>
      <c r="E289" s="187"/>
      <c r="F289" s="7"/>
      <c r="G289" s="8"/>
      <c r="H289" s="8"/>
      <c r="I289" s="204"/>
      <c r="J289" s="7"/>
      <c r="K289" s="7"/>
      <c r="L289" s="7"/>
      <c r="M289" s="7"/>
      <c r="N289" s="8"/>
      <c r="O289" s="9"/>
      <c r="P289" s="9"/>
      <c r="Q289" s="8"/>
      <c r="R289" s="8"/>
      <c r="S289" s="7"/>
      <c r="T289" s="7"/>
      <c r="U289" s="7"/>
      <c r="V289" s="7"/>
      <c r="BQ289" s="88" t="s">
        <v>24</v>
      </c>
      <c r="BR289" s="89">
        <f t="shared" si="49"/>
        <v>15</v>
      </c>
      <c r="BS289" s="90">
        <f t="shared" si="50"/>
        <v>0</v>
      </c>
      <c r="BT289" s="91" t="str">
        <f t="shared" si="51"/>
        <v/>
      </c>
      <c r="BU289" s="92">
        <f t="shared" si="52"/>
        <v>0</v>
      </c>
      <c r="BV289" s="93" t="str">
        <f t="shared" si="53"/>
        <v/>
      </c>
      <c r="BW289" s="94"/>
      <c r="BX289" s="94"/>
    </row>
    <row r="290" spans="3:76">
      <c r="C290" s="7"/>
      <c r="D290" s="179"/>
      <c r="E290" s="187"/>
      <c r="F290" s="7"/>
      <c r="G290" s="8"/>
      <c r="H290" s="8"/>
      <c r="I290" s="204"/>
      <c r="J290" s="7"/>
      <c r="K290" s="7"/>
      <c r="L290" s="7"/>
      <c r="M290" s="7"/>
      <c r="N290" s="8"/>
      <c r="O290" s="9"/>
      <c r="P290" s="9"/>
      <c r="Q290" s="8"/>
      <c r="R290" s="8"/>
      <c r="S290" s="7"/>
      <c r="T290" s="7"/>
      <c r="U290" s="7"/>
      <c r="V290" s="7"/>
      <c r="BQ290" s="88" t="s">
        <v>24</v>
      </c>
      <c r="BR290" s="89">
        <f t="shared" si="49"/>
        <v>16</v>
      </c>
      <c r="BS290" s="90">
        <f t="shared" si="50"/>
        <v>0</v>
      </c>
      <c r="BT290" s="91" t="str">
        <f t="shared" si="51"/>
        <v/>
      </c>
      <c r="BU290" s="92">
        <f t="shared" si="52"/>
        <v>0</v>
      </c>
      <c r="BV290" s="93" t="str">
        <f t="shared" si="53"/>
        <v/>
      </c>
      <c r="BW290" s="94"/>
      <c r="BX290" s="94"/>
    </row>
    <row r="291" spans="3:76">
      <c r="C291" s="7"/>
      <c r="D291" s="179"/>
      <c r="E291" s="187"/>
      <c r="F291" s="7"/>
      <c r="G291" s="8"/>
      <c r="H291" s="8"/>
      <c r="I291" s="204"/>
      <c r="J291" s="7"/>
      <c r="K291" s="7"/>
      <c r="L291" s="7"/>
      <c r="M291" s="7"/>
      <c r="N291" s="8"/>
      <c r="O291" s="9"/>
      <c r="P291" s="9"/>
      <c r="Q291" s="8"/>
      <c r="R291" s="8"/>
      <c r="S291" s="7"/>
      <c r="T291" s="7"/>
      <c r="U291" s="7"/>
      <c r="V291" s="7"/>
      <c r="BQ291" s="88" t="s">
        <v>24</v>
      </c>
      <c r="BR291" s="89">
        <f t="shared" si="49"/>
        <v>17</v>
      </c>
      <c r="BS291" s="90">
        <f t="shared" si="50"/>
        <v>0</v>
      </c>
      <c r="BT291" s="91" t="str">
        <f t="shared" si="51"/>
        <v/>
      </c>
      <c r="BU291" s="92">
        <f t="shared" si="52"/>
        <v>0</v>
      </c>
      <c r="BV291" s="93" t="str">
        <f t="shared" si="53"/>
        <v/>
      </c>
      <c r="BW291" s="94"/>
      <c r="BX291" s="94"/>
    </row>
    <row r="292" spans="3:76">
      <c r="C292" s="7"/>
      <c r="D292" s="179"/>
      <c r="E292" s="187"/>
      <c r="F292" s="7"/>
      <c r="G292" s="8"/>
      <c r="H292" s="8"/>
      <c r="I292" s="204"/>
      <c r="J292" s="7"/>
      <c r="K292" s="7"/>
      <c r="L292" s="7"/>
      <c r="M292" s="7"/>
      <c r="N292" s="8"/>
      <c r="O292" s="9"/>
      <c r="P292" s="9"/>
      <c r="Q292" s="8"/>
      <c r="R292" s="8"/>
      <c r="S292" s="7"/>
      <c r="T292" s="7"/>
      <c r="U292" s="7"/>
      <c r="V292" s="7"/>
      <c r="BQ292" s="88" t="s">
        <v>24</v>
      </c>
      <c r="BR292" s="89">
        <f t="shared" si="49"/>
        <v>18</v>
      </c>
      <c r="BS292" s="90">
        <f t="shared" si="50"/>
        <v>0</v>
      </c>
      <c r="BT292" s="91" t="str">
        <f t="shared" si="51"/>
        <v/>
      </c>
      <c r="BU292" s="92">
        <f t="shared" si="52"/>
        <v>0</v>
      </c>
      <c r="BV292" s="93" t="str">
        <f t="shared" si="53"/>
        <v/>
      </c>
      <c r="BW292" s="94"/>
      <c r="BX292" s="94"/>
    </row>
    <row r="293" spans="3:76">
      <c r="C293" s="7"/>
      <c r="D293" s="179"/>
      <c r="E293" s="187"/>
      <c r="F293" s="7"/>
      <c r="G293" s="8"/>
      <c r="H293" s="8"/>
      <c r="I293" s="204"/>
      <c r="J293" s="7"/>
      <c r="K293" s="7"/>
      <c r="L293" s="7"/>
      <c r="M293" s="7"/>
      <c r="N293" s="8"/>
      <c r="O293" s="9"/>
      <c r="P293" s="9"/>
      <c r="Q293" s="8"/>
      <c r="R293" s="8"/>
      <c r="S293" s="7"/>
      <c r="T293" s="7"/>
      <c r="U293" s="7"/>
      <c r="V293" s="7"/>
      <c r="BQ293" s="88" t="s">
        <v>24</v>
      </c>
      <c r="BR293" s="89">
        <f t="shared" si="49"/>
        <v>19</v>
      </c>
      <c r="BS293" s="90">
        <f t="shared" si="50"/>
        <v>0</v>
      </c>
      <c r="BT293" s="91" t="str">
        <f t="shared" si="51"/>
        <v/>
      </c>
      <c r="BU293" s="92">
        <f t="shared" si="52"/>
        <v>0</v>
      </c>
      <c r="BV293" s="93" t="str">
        <f t="shared" si="53"/>
        <v/>
      </c>
      <c r="BW293" s="94"/>
      <c r="BX293" s="94"/>
    </row>
    <row r="294" spans="3:76">
      <c r="C294" s="7"/>
      <c r="D294" s="179"/>
      <c r="E294" s="187"/>
      <c r="F294" s="7"/>
      <c r="G294" s="8"/>
      <c r="H294" s="8"/>
      <c r="I294" s="204"/>
      <c r="J294" s="7"/>
      <c r="K294" s="7"/>
      <c r="L294" s="7"/>
      <c r="M294" s="7"/>
      <c r="N294" s="8"/>
      <c r="O294" s="9"/>
      <c r="P294" s="9"/>
      <c r="Q294" s="8"/>
      <c r="R294" s="8"/>
      <c r="S294" s="7"/>
      <c r="T294" s="7"/>
      <c r="U294" s="7"/>
      <c r="V294" s="7"/>
      <c r="BQ294" s="88" t="s">
        <v>24</v>
      </c>
      <c r="BR294" s="89">
        <f t="shared" si="49"/>
        <v>20</v>
      </c>
      <c r="BS294" s="90">
        <f t="shared" si="50"/>
        <v>0</v>
      </c>
      <c r="BT294" s="91" t="str">
        <f t="shared" si="51"/>
        <v/>
      </c>
      <c r="BU294" s="92">
        <f t="shared" si="52"/>
        <v>0</v>
      </c>
      <c r="BV294" s="93" t="str">
        <f t="shared" si="53"/>
        <v/>
      </c>
      <c r="BW294" s="94"/>
      <c r="BX294" s="94"/>
    </row>
    <row r="295" spans="3:76">
      <c r="C295" s="7"/>
      <c r="D295" s="179"/>
      <c r="E295" s="187"/>
      <c r="F295" s="7"/>
      <c r="G295" s="8"/>
      <c r="H295" s="8"/>
      <c r="I295" s="204"/>
      <c r="J295" s="7"/>
      <c r="K295" s="7"/>
      <c r="L295" s="7"/>
      <c r="M295" s="7"/>
      <c r="N295" s="8"/>
      <c r="O295" s="9"/>
      <c r="P295" s="9"/>
      <c r="Q295" s="8"/>
      <c r="R295" s="8"/>
      <c r="S295" s="7"/>
      <c r="T295" s="7"/>
      <c r="U295" s="7"/>
      <c r="V295" s="7"/>
      <c r="BQ295" s="88" t="s">
        <v>24</v>
      </c>
      <c r="BR295" s="89">
        <f t="shared" si="49"/>
        <v>21</v>
      </c>
      <c r="BS295" s="90">
        <f t="shared" si="50"/>
        <v>0</v>
      </c>
      <c r="BT295" s="91" t="str">
        <f t="shared" si="51"/>
        <v/>
      </c>
      <c r="BU295" s="92">
        <f t="shared" si="52"/>
        <v>0</v>
      </c>
      <c r="BV295" s="93" t="str">
        <f t="shared" si="53"/>
        <v/>
      </c>
      <c r="BW295" s="94"/>
      <c r="BX295" s="94"/>
    </row>
    <row r="296" spans="3:76">
      <c r="C296" s="7"/>
      <c r="D296" s="179"/>
      <c r="E296" s="187"/>
      <c r="F296" s="7"/>
      <c r="G296" s="8"/>
      <c r="H296" s="8"/>
      <c r="I296" s="204"/>
      <c r="J296" s="7"/>
      <c r="K296" s="7"/>
      <c r="L296" s="7"/>
      <c r="M296" s="7"/>
      <c r="N296" s="8"/>
      <c r="O296" s="9"/>
      <c r="P296" s="9"/>
      <c r="Q296" s="8"/>
      <c r="R296" s="8"/>
      <c r="S296" s="7"/>
      <c r="T296" s="7"/>
      <c r="U296" s="7"/>
      <c r="V296" s="7"/>
      <c r="BQ296" s="88" t="s">
        <v>24</v>
      </c>
      <c r="BR296" s="89">
        <f t="shared" si="49"/>
        <v>22</v>
      </c>
      <c r="BS296" s="90">
        <f t="shared" si="50"/>
        <v>0</v>
      </c>
      <c r="BT296" s="91" t="str">
        <f t="shared" si="51"/>
        <v/>
      </c>
      <c r="BU296" s="92">
        <f t="shared" si="52"/>
        <v>0</v>
      </c>
      <c r="BV296" s="93" t="str">
        <f t="shared" si="53"/>
        <v/>
      </c>
      <c r="BW296" s="94"/>
      <c r="BX296" s="94"/>
    </row>
    <row r="297" spans="3:76">
      <c r="C297" s="7"/>
      <c r="D297" s="179"/>
      <c r="E297" s="187"/>
      <c r="F297" s="7"/>
      <c r="G297" s="8"/>
      <c r="H297" s="8"/>
      <c r="I297" s="204"/>
      <c r="J297" s="7"/>
      <c r="K297" s="7"/>
      <c r="L297" s="7"/>
      <c r="M297" s="7"/>
      <c r="N297" s="8"/>
      <c r="O297" s="9"/>
      <c r="P297" s="9"/>
      <c r="Q297" s="8"/>
      <c r="R297" s="8"/>
      <c r="S297" s="7"/>
      <c r="T297" s="7"/>
      <c r="U297" s="7"/>
      <c r="V297" s="7"/>
      <c r="BQ297" s="88" t="s">
        <v>24</v>
      </c>
      <c r="BR297" s="89">
        <f t="shared" si="49"/>
        <v>23</v>
      </c>
      <c r="BS297" s="90">
        <f t="shared" si="50"/>
        <v>0</v>
      </c>
      <c r="BT297" s="91" t="str">
        <f t="shared" si="51"/>
        <v/>
      </c>
      <c r="BU297" s="92">
        <f t="shared" si="52"/>
        <v>0</v>
      </c>
      <c r="BV297" s="93" t="str">
        <f t="shared" si="53"/>
        <v/>
      </c>
      <c r="BW297" s="94"/>
      <c r="BX297" s="94"/>
    </row>
    <row r="298" spans="3:76">
      <c r="C298" s="7"/>
      <c r="D298" s="179"/>
      <c r="E298" s="187"/>
      <c r="F298" s="7"/>
      <c r="G298" s="8"/>
      <c r="H298" s="8"/>
      <c r="I298" s="204"/>
      <c r="J298" s="7"/>
      <c r="K298" s="7"/>
      <c r="L298" s="7"/>
      <c r="M298" s="7"/>
      <c r="N298" s="8"/>
      <c r="O298" s="9"/>
      <c r="P298" s="9"/>
      <c r="Q298" s="8"/>
      <c r="R298" s="8"/>
      <c r="S298" s="7"/>
      <c r="T298" s="7"/>
      <c r="U298" s="7"/>
      <c r="V298" s="7"/>
      <c r="BQ298" s="88" t="s">
        <v>24</v>
      </c>
      <c r="BR298" s="89">
        <f t="shared" si="49"/>
        <v>24</v>
      </c>
      <c r="BS298" s="90">
        <f t="shared" si="50"/>
        <v>0</v>
      </c>
      <c r="BT298" s="91" t="str">
        <f t="shared" si="51"/>
        <v/>
      </c>
      <c r="BU298" s="92">
        <f t="shared" si="52"/>
        <v>0</v>
      </c>
      <c r="BV298" s="93" t="str">
        <f t="shared" si="53"/>
        <v/>
      </c>
      <c r="BW298" s="94"/>
      <c r="BX298" s="94"/>
    </row>
    <row r="299" spans="3:76">
      <c r="C299" s="7"/>
      <c r="D299" s="179"/>
      <c r="E299" s="187"/>
      <c r="F299" s="7"/>
      <c r="G299" s="8"/>
      <c r="H299" s="8"/>
      <c r="I299" s="204"/>
      <c r="J299" s="7"/>
      <c r="K299" s="7"/>
      <c r="L299" s="7"/>
      <c r="M299" s="7"/>
      <c r="N299" s="8"/>
      <c r="O299" s="9"/>
      <c r="P299" s="9"/>
      <c r="Q299" s="8"/>
      <c r="R299" s="8"/>
      <c r="S299" s="7"/>
      <c r="T299" s="7"/>
      <c r="U299" s="7"/>
      <c r="V299" s="7"/>
      <c r="BQ299" s="88" t="s">
        <v>24</v>
      </c>
      <c r="BR299" s="89">
        <f t="shared" si="49"/>
        <v>25</v>
      </c>
      <c r="BS299" s="90">
        <f t="shared" si="50"/>
        <v>0</v>
      </c>
      <c r="BT299" s="91" t="str">
        <f t="shared" si="51"/>
        <v/>
      </c>
      <c r="BU299" s="92">
        <f t="shared" si="52"/>
        <v>0</v>
      </c>
      <c r="BV299" s="93" t="str">
        <f t="shared" si="53"/>
        <v/>
      </c>
      <c r="BW299" s="94"/>
      <c r="BX299" s="94"/>
    </row>
    <row r="300" spans="3:76">
      <c r="C300" s="7"/>
      <c r="D300" s="179"/>
      <c r="E300" s="187"/>
      <c r="F300" s="7"/>
      <c r="G300" s="8"/>
      <c r="H300" s="8"/>
      <c r="I300" s="204"/>
      <c r="J300" s="7"/>
      <c r="K300" s="7"/>
      <c r="L300" s="7"/>
      <c r="M300" s="7"/>
      <c r="N300" s="8"/>
      <c r="O300" s="9"/>
      <c r="P300" s="9"/>
      <c r="Q300" s="8"/>
      <c r="R300" s="8"/>
      <c r="S300" s="7"/>
      <c r="T300" s="7"/>
      <c r="U300" s="7"/>
      <c r="V300" s="7"/>
      <c r="BQ300" s="88" t="s">
        <v>24</v>
      </c>
      <c r="BR300" s="89">
        <f t="shared" si="49"/>
        <v>26</v>
      </c>
      <c r="BS300" s="90">
        <f t="shared" si="50"/>
        <v>0</v>
      </c>
      <c r="BT300" s="91" t="str">
        <f t="shared" si="51"/>
        <v/>
      </c>
      <c r="BU300" s="92">
        <f t="shared" si="52"/>
        <v>0</v>
      </c>
      <c r="BV300" s="93" t="str">
        <f t="shared" si="53"/>
        <v/>
      </c>
      <c r="BW300" s="94"/>
      <c r="BX300" s="94"/>
    </row>
    <row r="301" spans="3:76">
      <c r="C301" s="7"/>
      <c r="D301" s="179"/>
      <c r="E301" s="187"/>
      <c r="F301" s="7"/>
      <c r="G301" s="8"/>
      <c r="H301" s="8"/>
      <c r="I301" s="204"/>
      <c r="J301" s="7"/>
      <c r="K301" s="7"/>
      <c r="L301" s="7"/>
      <c r="M301" s="7"/>
      <c r="N301" s="8"/>
      <c r="O301" s="9"/>
      <c r="P301" s="9"/>
      <c r="Q301" s="8"/>
      <c r="R301" s="8"/>
      <c r="S301" s="7"/>
      <c r="T301" s="7"/>
      <c r="U301" s="7"/>
      <c r="V301" s="7"/>
      <c r="BQ301" s="88" t="s">
        <v>24</v>
      </c>
      <c r="BR301" s="89">
        <f t="shared" si="49"/>
        <v>27</v>
      </c>
      <c r="BS301" s="90">
        <f t="shared" si="50"/>
        <v>0</v>
      </c>
      <c r="BT301" s="91" t="str">
        <f t="shared" si="51"/>
        <v/>
      </c>
      <c r="BU301" s="92">
        <f t="shared" si="52"/>
        <v>0</v>
      </c>
      <c r="BV301" s="93" t="str">
        <f t="shared" si="53"/>
        <v/>
      </c>
      <c r="BW301" s="94"/>
      <c r="BX301" s="94"/>
    </row>
    <row r="302" spans="3:76">
      <c r="C302" s="7"/>
      <c r="D302" s="179"/>
      <c r="E302" s="187"/>
      <c r="F302" s="7"/>
      <c r="G302" s="8"/>
      <c r="H302" s="8"/>
      <c r="I302" s="204"/>
      <c r="J302" s="7"/>
      <c r="K302" s="7"/>
      <c r="L302" s="7"/>
      <c r="M302" s="7"/>
      <c r="N302" s="8"/>
      <c r="O302" s="9"/>
      <c r="P302" s="9"/>
      <c r="Q302" s="8"/>
      <c r="R302" s="8"/>
      <c r="S302" s="7"/>
      <c r="T302" s="7"/>
      <c r="U302" s="7"/>
      <c r="V302" s="7"/>
      <c r="BQ302" s="88" t="s">
        <v>24</v>
      </c>
      <c r="BR302" s="89">
        <f t="shared" si="49"/>
        <v>28</v>
      </c>
      <c r="BS302" s="90">
        <f t="shared" si="50"/>
        <v>0</v>
      </c>
      <c r="BT302" s="91" t="str">
        <f t="shared" si="51"/>
        <v/>
      </c>
      <c r="BU302" s="92">
        <f t="shared" si="52"/>
        <v>0</v>
      </c>
      <c r="BV302" s="93" t="str">
        <f t="shared" si="53"/>
        <v/>
      </c>
      <c r="BW302" s="94"/>
      <c r="BX302" s="94"/>
    </row>
    <row r="303" spans="3:76">
      <c r="C303" s="7"/>
      <c r="D303" s="179"/>
      <c r="E303" s="187"/>
      <c r="F303" s="7"/>
      <c r="G303" s="8"/>
      <c r="H303" s="8"/>
      <c r="I303" s="204"/>
      <c r="J303" s="7"/>
      <c r="K303" s="7"/>
      <c r="L303" s="7"/>
      <c r="M303" s="7"/>
      <c r="N303" s="8"/>
      <c r="O303" s="9"/>
      <c r="P303" s="9"/>
      <c r="Q303" s="8"/>
      <c r="R303" s="8"/>
      <c r="S303" s="7"/>
      <c r="T303" s="7"/>
      <c r="U303" s="7"/>
      <c r="V303" s="7"/>
      <c r="BQ303" s="88" t="s">
        <v>24</v>
      </c>
      <c r="BR303" s="89">
        <f t="shared" si="49"/>
        <v>29</v>
      </c>
      <c r="BS303" s="90">
        <f t="shared" si="50"/>
        <v>0</v>
      </c>
      <c r="BT303" s="91" t="str">
        <f t="shared" si="51"/>
        <v/>
      </c>
      <c r="BU303" s="92">
        <f t="shared" si="52"/>
        <v>0</v>
      </c>
      <c r="BV303" s="93" t="str">
        <f t="shared" si="53"/>
        <v/>
      </c>
      <c r="BW303" s="94"/>
      <c r="BX303" s="94"/>
    </row>
    <row r="304" spans="3:76">
      <c r="C304" s="7"/>
      <c r="D304" s="179"/>
      <c r="E304" s="187"/>
      <c r="F304" s="7"/>
      <c r="G304" s="8"/>
      <c r="H304" s="8"/>
      <c r="I304" s="204"/>
      <c r="J304" s="7"/>
      <c r="K304" s="7"/>
      <c r="L304" s="7"/>
      <c r="M304" s="7"/>
      <c r="N304" s="8"/>
      <c r="O304" s="9"/>
      <c r="P304" s="9"/>
      <c r="Q304" s="8"/>
      <c r="R304" s="8"/>
      <c r="S304" s="7"/>
      <c r="T304" s="7"/>
      <c r="U304" s="7"/>
      <c r="V304" s="7"/>
      <c r="BQ304" s="88" t="s">
        <v>24</v>
      </c>
      <c r="BR304" s="89">
        <f t="shared" si="49"/>
        <v>30</v>
      </c>
      <c r="BS304" s="90">
        <f t="shared" si="50"/>
        <v>0</v>
      </c>
      <c r="BT304" s="91" t="str">
        <f t="shared" si="51"/>
        <v/>
      </c>
      <c r="BU304" s="92">
        <f t="shared" si="52"/>
        <v>0</v>
      </c>
      <c r="BV304" s="93" t="str">
        <f t="shared" si="53"/>
        <v/>
      </c>
      <c r="BW304" s="94"/>
      <c r="BX304" s="94"/>
    </row>
    <row r="305" spans="3:76">
      <c r="C305" s="7"/>
      <c r="D305" s="179"/>
      <c r="E305" s="187"/>
      <c r="F305" s="7"/>
      <c r="G305" s="8"/>
      <c r="H305" s="8"/>
      <c r="I305" s="204"/>
      <c r="J305" s="7"/>
      <c r="K305" s="7"/>
      <c r="L305" s="7"/>
      <c r="M305" s="7"/>
      <c r="N305" s="8"/>
      <c r="O305" s="9"/>
      <c r="P305" s="9"/>
      <c r="Q305" s="8"/>
      <c r="R305" s="8"/>
      <c r="S305" s="7"/>
      <c r="T305" s="7"/>
      <c r="U305" s="7"/>
      <c r="V305" s="7"/>
      <c r="BQ305" s="88" t="s">
        <v>24</v>
      </c>
      <c r="BR305" s="89">
        <f t="shared" si="49"/>
        <v>31</v>
      </c>
      <c r="BS305" s="90">
        <f t="shared" si="50"/>
        <v>0</v>
      </c>
      <c r="BT305" s="91" t="str">
        <f t="shared" si="51"/>
        <v/>
      </c>
      <c r="BU305" s="92">
        <f t="shared" si="52"/>
        <v>0</v>
      </c>
      <c r="BV305" s="93" t="str">
        <f t="shared" si="53"/>
        <v/>
      </c>
      <c r="BW305" s="94"/>
      <c r="BX305" s="94"/>
    </row>
    <row r="306" spans="3:76" ht="18.75" thickBot="1">
      <c r="C306" s="7"/>
      <c r="D306" s="179"/>
      <c r="E306" s="187"/>
      <c r="F306" s="7"/>
      <c r="G306" s="8"/>
      <c r="H306" s="8"/>
      <c r="I306" s="204"/>
      <c r="J306" s="7"/>
      <c r="K306" s="7"/>
      <c r="L306" s="7"/>
      <c r="M306" s="7"/>
      <c r="N306" s="8"/>
      <c r="O306" s="9"/>
      <c r="P306" s="9"/>
      <c r="Q306" s="8"/>
      <c r="R306" s="8"/>
      <c r="S306" s="7"/>
      <c r="T306" s="7"/>
      <c r="U306" s="7"/>
      <c r="V306" s="7"/>
      <c r="BQ306" s="138" t="s">
        <v>24</v>
      </c>
      <c r="BR306" s="139">
        <f t="shared" si="49"/>
        <v>32</v>
      </c>
      <c r="BS306" s="140">
        <f t="shared" si="50"/>
        <v>0</v>
      </c>
      <c r="BT306" s="141" t="str">
        <f t="shared" si="51"/>
        <v/>
      </c>
      <c r="BU306" s="142">
        <f t="shared" si="52"/>
        <v>0</v>
      </c>
      <c r="BV306" s="143" t="str">
        <f t="shared" si="53"/>
        <v/>
      </c>
      <c r="BW306" s="144"/>
      <c r="BX306" s="144"/>
    </row>
    <row r="307" spans="3:76">
      <c r="C307" s="7"/>
      <c r="D307" s="179"/>
      <c r="E307" s="187"/>
      <c r="F307" s="7"/>
      <c r="G307" s="8"/>
      <c r="H307" s="8"/>
      <c r="I307" s="204"/>
      <c r="J307" s="7"/>
      <c r="K307" s="7"/>
      <c r="L307" s="7"/>
      <c r="M307" s="7"/>
      <c r="N307" s="8"/>
      <c r="O307" s="9"/>
      <c r="P307" s="9"/>
      <c r="Q307" s="8"/>
      <c r="R307" s="8"/>
      <c r="S307" s="7"/>
      <c r="T307" s="7"/>
      <c r="U307" s="7"/>
      <c r="V307" s="7"/>
      <c r="BQ307" s="148"/>
      <c r="BR307" s="149"/>
      <c r="BS307" s="150"/>
      <c r="BT307" s="151"/>
      <c r="BU307" s="150"/>
      <c r="BV307" s="151"/>
      <c r="BW307" s="150"/>
      <c r="BX307" s="150"/>
    </row>
    <row r="308" spans="3:76">
      <c r="C308" s="7"/>
      <c r="D308" s="179"/>
      <c r="E308" s="187"/>
      <c r="F308" s="7"/>
      <c r="G308" s="8"/>
      <c r="H308" s="8"/>
      <c r="I308" s="204"/>
      <c r="J308" s="7"/>
      <c r="K308" s="7"/>
      <c r="L308" s="7"/>
      <c r="M308" s="7"/>
      <c r="N308" s="8"/>
      <c r="O308" s="9"/>
      <c r="P308" s="9"/>
      <c r="Q308" s="8"/>
      <c r="R308" s="8"/>
      <c r="S308" s="7"/>
      <c r="T308" s="7"/>
      <c r="U308" s="7"/>
      <c r="V308" s="7"/>
      <c r="BQ308" s="148"/>
      <c r="BR308" s="149"/>
      <c r="BS308" s="150"/>
      <c r="BT308" s="151"/>
      <c r="BU308" s="150"/>
      <c r="BV308" s="151"/>
      <c r="BW308" s="150"/>
      <c r="BX308" s="150"/>
    </row>
    <row r="309" spans="3:76">
      <c r="C309" s="7"/>
      <c r="D309" s="179"/>
      <c r="E309" s="187"/>
      <c r="F309" s="7"/>
      <c r="G309" s="8"/>
      <c r="H309" s="8"/>
      <c r="I309" s="204"/>
      <c r="J309" s="7"/>
      <c r="K309" s="7"/>
      <c r="L309" s="7"/>
      <c r="M309" s="7"/>
      <c r="N309" s="8"/>
      <c r="O309" s="9"/>
      <c r="P309" s="9"/>
      <c r="Q309" s="8"/>
      <c r="R309" s="8"/>
      <c r="S309" s="7"/>
      <c r="T309" s="7"/>
      <c r="U309" s="7"/>
      <c r="V309" s="7"/>
      <c r="BQ309" s="148"/>
      <c r="BR309" s="149"/>
      <c r="BS309" s="150"/>
      <c r="BT309" s="151"/>
      <c r="BU309" s="150"/>
      <c r="BV309" s="151"/>
      <c r="BW309" s="150"/>
      <c r="BX309" s="150"/>
    </row>
    <row r="310" spans="3:76">
      <c r="C310" s="7"/>
      <c r="D310" s="179"/>
      <c r="E310" s="187"/>
      <c r="F310" s="7"/>
      <c r="G310" s="8"/>
      <c r="H310" s="8"/>
      <c r="I310" s="204"/>
      <c r="J310" s="7"/>
      <c r="K310" s="7"/>
      <c r="L310" s="7"/>
      <c r="M310" s="7"/>
      <c r="N310" s="8"/>
      <c r="O310" s="9"/>
      <c r="P310" s="9"/>
      <c r="Q310" s="8"/>
      <c r="R310" s="8"/>
      <c r="S310" s="7"/>
      <c r="T310" s="7"/>
      <c r="U310" s="7"/>
      <c r="V310" s="7"/>
      <c r="BQ310" s="148"/>
      <c r="BR310" s="149"/>
      <c r="BS310" s="150"/>
      <c r="BT310" s="151"/>
      <c r="BU310" s="150"/>
      <c r="BV310" s="151"/>
      <c r="BW310" s="150"/>
      <c r="BX310" s="150"/>
    </row>
    <row r="311" spans="3:76">
      <c r="C311" s="7"/>
      <c r="D311" s="179"/>
      <c r="E311" s="187"/>
      <c r="F311" s="7"/>
      <c r="G311" s="8"/>
      <c r="H311" s="8"/>
      <c r="I311" s="204"/>
      <c r="J311" s="7"/>
      <c r="K311" s="7"/>
      <c r="L311" s="7"/>
      <c r="M311" s="7"/>
      <c r="N311" s="8"/>
      <c r="O311" s="9"/>
      <c r="P311" s="9"/>
      <c r="Q311" s="8"/>
      <c r="R311" s="8"/>
      <c r="S311" s="7"/>
      <c r="T311" s="7"/>
      <c r="U311" s="7"/>
      <c r="V311" s="7"/>
      <c r="BQ311" s="148"/>
      <c r="BR311" s="149"/>
      <c r="BS311" s="150"/>
      <c r="BT311" s="151"/>
      <c r="BU311" s="150"/>
      <c r="BV311" s="151"/>
      <c r="BW311" s="150"/>
      <c r="BX311" s="150"/>
    </row>
    <row r="312" spans="3:76">
      <c r="C312" s="7"/>
      <c r="D312" s="179"/>
      <c r="E312" s="187"/>
      <c r="F312" s="7"/>
      <c r="G312" s="8"/>
      <c r="H312" s="8"/>
      <c r="I312" s="204"/>
      <c r="J312" s="7"/>
      <c r="K312" s="7"/>
      <c r="L312" s="7"/>
      <c r="M312" s="7"/>
      <c r="N312" s="8"/>
      <c r="O312" s="9"/>
      <c r="P312" s="9"/>
      <c r="Q312" s="8"/>
      <c r="R312" s="8"/>
      <c r="S312" s="7"/>
      <c r="T312" s="7"/>
      <c r="U312" s="7"/>
      <c r="V312" s="7"/>
      <c r="BQ312" s="148"/>
      <c r="BR312" s="149"/>
      <c r="BS312" s="150"/>
      <c r="BT312" s="151"/>
      <c r="BU312" s="150"/>
      <c r="BV312" s="151"/>
      <c r="BW312" s="150"/>
      <c r="BX312" s="150"/>
    </row>
    <row r="313" spans="3:76">
      <c r="C313" s="7"/>
      <c r="D313" s="179"/>
      <c r="E313" s="187"/>
      <c r="F313" s="7"/>
      <c r="G313" s="8"/>
      <c r="H313" s="8"/>
      <c r="I313" s="204"/>
      <c r="J313" s="7"/>
      <c r="K313" s="7"/>
      <c r="L313" s="7"/>
      <c r="M313" s="7"/>
      <c r="N313" s="8"/>
      <c r="O313" s="9"/>
      <c r="P313" s="9"/>
      <c r="Q313" s="8"/>
      <c r="R313" s="8"/>
      <c r="S313" s="7"/>
      <c r="T313" s="7"/>
      <c r="U313" s="7"/>
      <c r="V313" s="7"/>
      <c r="BQ313" s="148"/>
      <c r="BR313" s="149"/>
      <c r="BS313" s="150"/>
      <c r="BT313" s="151"/>
      <c r="BU313" s="150"/>
      <c r="BV313" s="151"/>
      <c r="BW313" s="150"/>
      <c r="BX313" s="150"/>
    </row>
    <row r="314" spans="3:76">
      <c r="C314" s="7"/>
      <c r="D314" s="179"/>
      <c r="E314" s="187"/>
      <c r="F314" s="7"/>
      <c r="G314" s="8"/>
      <c r="H314" s="8"/>
      <c r="I314" s="204"/>
      <c r="J314" s="7"/>
      <c r="K314" s="7"/>
      <c r="L314" s="7"/>
      <c r="M314" s="7"/>
      <c r="N314" s="8"/>
      <c r="O314" s="9"/>
      <c r="P314" s="9"/>
      <c r="Q314" s="8"/>
      <c r="R314" s="8"/>
      <c r="S314" s="7"/>
      <c r="T314" s="7"/>
      <c r="U314" s="7"/>
      <c r="V314" s="7"/>
      <c r="BQ314" s="148"/>
      <c r="BR314" s="149"/>
      <c r="BS314" s="150"/>
      <c r="BT314" s="151"/>
      <c r="BU314" s="150"/>
      <c r="BV314" s="151"/>
      <c r="BW314" s="150"/>
      <c r="BX314" s="150"/>
    </row>
    <row r="315" spans="3:76">
      <c r="C315" s="7"/>
      <c r="D315" s="179"/>
      <c r="E315" s="187"/>
      <c r="F315" s="7"/>
      <c r="G315" s="8"/>
      <c r="H315" s="8"/>
      <c r="I315" s="204"/>
      <c r="J315" s="7"/>
      <c r="K315" s="7"/>
      <c r="L315" s="7"/>
      <c r="M315" s="7"/>
      <c r="N315" s="8"/>
      <c r="O315" s="9"/>
      <c r="P315" s="9"/>
      <c r="Q315" s="8"/>
      <c r="R315" s="8"/>
      <c r="S315" s="7"/>
      <c r="T315" s="7"/>
      <c r="U315" s="7"/>
      <c r="V315" s="7"/>
      <c r="BQ315" s="148"/>
      <c r="BR315" s="149"/>
      <c r="BS315" s="150"/>
      <c r="BT315" s="151"/>
      <c r="BU315" s="150"/>
      <c r="BV315" s="151"/>
      <c r="BW315" s="150"/>
      <c r="BX315" s="150"/>
    </row>
    <row r="316" spans="3:76">
      <c r="C316" s="7"/>
      <c r="D316" s="179"/>
      <c r="E316" s="187"/>
      <c r="F316" s="7"/>
      <c r="G316" s="8"/>
      <c r="H316" s="8"/>
      <c r="I316" s="204"/>
      <c r="J316" s="7"/>
      <c r="K316" s="7"/>
      <c r="L316" s="7"/>
      <c r="M316" s="7"/>
      <c r="N316" s="8"/>
      <c r="O316" s="9"/>
      <c r="P316" s="9"/>
      <c r="Q316" s="8"/>
      <c r="R316" s="8"/>
      <c r="S316" s="7"/>
      <c r="T316" s="7"/>
      <c r="U316" s="7"/>
      <c r="V316" s="7"/>
      <c r="BQ316" s="148"/>
      <c r="BR316" s="149"/>
      <c r="BS316" s="150"/>
      <c r="BT316" s="151"/>
      <c r="BU316" s="150"/>
      <c r="BV316" s="151"/>
      <c r="BW316" s="150"/>
      <c r="BX316" s="150"/>
    </row>
    <row r="317" spans="3:76">
      <c r="C317" s="7"/>
      <c r="D317" s="179"/>
      <c r="E317" s="187"/>
      <c r="F317" s="7"/>
      <c r="G317" s="8"/>
      <c r="H317" s="8"/>
      <c r="I317" s="204"/>
      <c r="J317" s="7"/>
      <c r="K317" s="7"/>
      <c r="L317" s="7"/>
      <c r="M317" s="7"/>
      <c r="N317" s="8"/>
      <c r="O317" s="9"/>
      <c r="P317" s="9"/>
      <c r="Q317" s="8"/>
      <c r="R317" s="8"/>
      <c r="S317" s="7"/>
      <c r="T317" s="7"/>
      <c r="U317" s="7"/>
      <c r="V317" s="7"/>
      <c r="BQ317" s="148"/>
      <c r="BR317" s="149"/>
      <c r="BS317" s="150"/>
      <c r="BT317" s="151"/>
      <c r="BU317" s="150"/>
      <c r="BV317" s="151"/>
      <c r="BW317" s="150"/>
      <c r="BX317" s="150"/>
    </row>
    <row r="318" spans="3:76">
      <c r="C318" s="7"/>
      <c r="D318" s="179"/>
      <c r="E318" s="187"/>
      <c r="F318" s="7"/>
      <c r="G318" s="8"/>
      <c r="H318" s="8"/>
      <c r="I318" s="204"/>
      <c r="J318" s="7"/>
      <c r="K318" s="7"/>
      <c r="L318" s="7"/>
      <c r="M318" s="7"/>
      <c r="N318" s="8"/>
      <c r="O318" s="9"/>
      <c r="P318" s="9"/>
      <c r="Q318" s="8"/>
      <c r="R318" s="8"/>
      <c r="S318" s="7"/>
      <c r="T318" s="7"/>
      <c r="U318" s="7"/>
      <c r="V318" s="7"/>
      <c r="BQ318" s="148"/>
      <c r="BR318" s="149"/>
      <c r="BS318" s="150"/>
      <c r="BT318" s="151"/>
      <c r="BU318" s="150"/>
      <c r="BV318" s="151"/>
      <c r="BW318" s="150"/>
      <c r="BX318" s="150"/>
    </row>
    <row r="319" spans="3:76">
      <c r="C319" s="7"/>
      <c r="D319" s="179"/>
      <c r="E319" s="187"/>
      <c r="F319" s="7"/>
      <c r="G319" s="8"/>
      <c r="H319" s="8"/>
      <c r="I319" s="204"/>
      <c r="J319" s="7"/>
      <c r="K319" s="7"/>
      <c r="L319" s="7"/>
      <c r="M319" s="7"/>
      <c r="N319" s="8"/>
      <c r="O319" s="9"/>
      <c r="P319" s="9"/>
      <c r="Q319" s="8"/>
      <c r="R319" s="8"/>
      <c r="S319" s="7"/>
      <c r="T319" s="7"/>
      <c r="U319" s="7"/>
      <c r="V319" s="7"/>
      <c r="BQ319" s="148"/>
      <c r="BR319" s="149"/>
      <c r="BS319" s="150"/>
      <c r="BT319" s="151"/>
      <c r="BU319" s="150"/>
      <c r="BV319" s="151"/>
      <c r="BW319" s="150"/>
      <c r="BX319" s="150"/>
    </row>
    <row r="320" spans="3:76">
      <c r="C320" s="7"/>
      <c r="D320" s="179"/>
      <c r="E320" s="187"/>
      <c r="F320" s="7"/>
      <c r="G320" s="8"/>
      <c r="H320" s="8"/>
      <c r="I320" s="204"/>
      <c r="J320" s="7"/>
      <c r="K320" s="7"/>
      <c r="L320" s="7"/>
      <c r="M320" s="7"/>
      <c r="N320" s="8"/>
      <c r="O320" s="9"/>
      <c r="P320" s="9"/>
      <c r="Q320" s="8"/>
      <c r="R320" s="8"/>
      <c r="S320" s="7"/>
      <c r="T320" s="7"/>
      <c r="U320" s="7"/>
      <c r="V320" s="7"/>
      <c r="BQ320" s="148"/>
      <c r="BR320" s="149"/>
      <c r="BS320" s="150"/>
      <c r="BT320" s="151"/>
      <c r="BU320" s="150"/>
      <c r="BV320" s="151"/>
      <c r="BW320" s="150"/>
      <c r="BX320" s="150"/>
    </row>
    <row r="321" spans="3:76">
      <c r="C321" s="7"/>
      <c r="D321" s="179"/>
      <c r="E321" s="187"/>
      <c r="F321" s="7"/>
      <c r="G321" s="8"/>
      <c r="H321" s="8"/>
      <c r="I321" s="204"/>
      <c r="J321" s="7"/>
      <c r="K321" s="7"/>
      <c r="L321" s="7"/>
      <c r="M321" s="7"/>
      <c r="N321" s="8"/>
      <c r="O321" s="9"/>
      <c r="P321" s="9"/>
      <c r="Q321" s="8"/>
      <c r="R321" s="8"/>
      <c r="S321" s="7"/>
      <c r="T321" s="7"/>
      <c r="U321" s="7"/>
      <c r="V321" s="7"/>
      <c r="BQ321" s="148"/>
      <c r="BR321" s="149"/>
      <c r="BS321" s="150"/>
      <c r="BT321" s="151"/>
      <c r="BU321" s="150"/>
      <c r="BV321" s="151"/>
      <c r="BW321" s="150"/>
      <c r="BX321" s="150"/>
    </row>
    <row r="322" spans="3:76">
      <c r="C322" s="7"/>
      <c r="D322" s="179"/>
      <c r="E322" s="187"/>
      <c r="F322" s="7"/>
      <c r="G322" s="8"/>
      <c r="H322" s="8"/>
      <c r="I322" s="204"/>
      <c r="J322" s="7"/>
      <c r="K322" s="7"/>
      <c r="L322" s="7"/>
      <c r="M322" s="7"/>
      <c r="N322" s="8"/>
      <c r="O322" s="9"/>
      <c r="P322" s="9"/>
      <c r="Q322" s="8"/>
      <c r="R322" s="8"/>
      <c r="S322" s="7"/>
      <c r="T322" s="7"/>
      <c r="U322" s="7"/>
      <c r="V322" s="7"/>
      <c r="BQ322" s="148"/>
      <c r="BR322" s="149"/>
      <c r="BS322" s="150"/>
      <c r="BT322" s="151"/>
      <c r="BU322" s="150"/>
      <c r="BV322" s="151"/>
      <c r="BW322" s="150"/>
      <c r="BX322" s="150"/>
    </row>
    <row r="323" spans="3:76">
      <c r="C323" s="7"/>
      <c r="D323" s="179"/>
      <c r="E323" s="187"/>
      <c r="F323" s="7"/>
      <c r="G323" s="8"/>
      <c r="H323" s="8"/>
      <c r="I323" s="204"/>
      <c r="J323" s="7"/>
      <c r="K323" s="7"/>
      <c r="L323" s="7"/>
      <c r="M323" s="7"/>
      <c r="N323" s="8"/>
      <c r="O323" s="9"/>
      <c r="P323" s="9"/>
      <c r="Q323" s="8"/>
      <c r="R323" s="8"/>
      <c r="S323" s="7"/>
      <c r="T323" s="7"/>
      <c r="U323" s="7"/>
      <c r="V323" s="7"/>
      <c r="BQ323" s="148"/>
      <c r="BR323" s="149"/>
      <c r="BS323" s="150"/>
      <c r="BT323" s="151"/>
      <c r="BU323" s="150"/>
      <c r="BV323" s="151"/>
      <c r="BW323" s="150"/>
      <c r="BX323" s="150"/>
    </row>
    <row r="324" spans="3:76">
      <c r="C324" s="7"/>
      <c r="D324" s="179"/>
      <c r="E324" s="187"/>
      <c r="F324" s="7"/>
      <c r="G324" s="8"/>
      <c r="H324" s="8"/>
      <c r="I324" s="204"/>
      <c r="J324" s="7"/>
      <c r="K324" s="7"/>
      <c r="L324" s="7"/>
      <c r="M324" s="7"/>
      <c r="N324" s="8"/>
      <c r="O324" s="9"/>
      <c r="P324" s="9"/>
      <c r="Q324" s="8"/>
      <c r="R324" s="8"/>
      <c r="S324" s="7"/>
      <c r="T324" s="7"/>
      <c r="U324" s="7"/>
      <c r="V324" s="7"/>
      <c r="BQ324" s="148"/>
      <c r="BR324" s="149"/>
      <c r="BS324" s="150"/>
      <c r="BT324" s="151"/>
      <c r="BU324" s="150"/>
      <c r="BV324" s="151"/>
      <c r="BW324" s="150"/>
      <c r="BX324" s="150"/>
    </row>
    <row r="325" spans="3:76">
      <c r="C325" s="7"/>
      <c r="D325" s="179"/>
      <c r="E325" s="187"/>
      <c r="F325" s="7"/>
      <c r="G325" s="8"/>
      <c r="H325" s="8"/>
      <c r="I325" s="204"/>
      <c r="J325" s="7"/>
      <c r="K325" s="7"/>
      <c r="L325" s="7"/>
      <c r="M325" s="7"/>
      <c r="N325" s="8"/>
      <c r="O325" s="9"/>
      <c r="P325" s="9"/>
      <c r="Q325" s="8"/>
      <c r="R325" s="8"/>
      <c r="S325" s="7"/>
      <c r="T325" s="7"/>
      <c r="U325" s="7"/>
      <c r="V325" s="7"/>
      <c r="BQ325" s="148"/>
      <c r="BR325" s="149"/>
      <c r="BS325" s="150"/>
      <c r="BT325" s="151"/>
      <c r="BU325" s="150"/>
      <c r="BV325" s="151"/>
      <c r="BW325" s="150"/>
      <c r="BX325" s="150"/>
    </row>
    <row r="326" spans="3:76">
      <c r="C326" s="7"/>
      <c r="D326" s="179"/>
      <c r="E326" s="187"/>
      <c r="F326" s="7"/>
      <c r="G326" s="8"/>
      <c r="H326" s="8"/>
      <c r="I326" s="204"/>
      <c r="J326" s="7"/>
      <c r="K326" s="7"/>
      <c r="L326" s="7"/>
      <c r="M326" s="7"/>
      <c r="N326" s="8"/>
      <c r="O326" s="9"/>
      <c r="P326" s="9"/>
      <c r="Q326" s="8"/>
      <c r="R326" s="8"/>
      <c r="S326" s="7"/>
      <c r="T326" s="7"/>
      <c r="U326" s="7"/>
      <c r="V326" s="7"/>
      <c r="BQ326" s="148"/>
      <c r="BR326" s="149"/>
      <c r="BS326" s="150"/>
      <c r="BT326" s="151"/>
      <c r="BU326" s="150"/>
      <c r="BV326" s="151"/>
      <c r="BW326" s="150"/>
      <c r="BX326" s="150"/>
    </row>
    <row r="327" spans="3:76">
      <c r="C327" s="7"/>
      <c r="D327" s="179"/>
      <c r="E327" s="187"/>
      <c r="F327" s="7"/>
      <c r="G327" s="8"/>
      <c r="H327" s="8"/>
      <c r="I327" s="204"/>
      <c r="J327" s="7"/>
      <c r="K327" s="7"/>
      <c r="L327" s="7"/>
      <c r="M327" s="7"/>
      <c r="N327" s="8"/>
      <c r="O327" s="9"/>
      <c r="P327" s="9"/>
      <c r="Q327" s="8"/>
      <c r="R327" s="8"/>
      <c r="S327" s="7"/>
      <c r="T327" s="7"/>
      <c r="U327" s="7"/>
      <c r="V327" s="7"/>
      <c r="BQ327" s="148"/>
      <c r="BR327" s="149"/>
      <c r="BS327" s="150"/>
      <c r="BT327" s="151"/>
      <c r="BU327" s="150"/>
      <c r="BV327" s="151"/>
      <c r="BW327" s="150"/>
      <c r="BX327" s="150"/>
    </row>
    <row r="328" spans="3:76">
      <c r="C328" s="7"/>
      <c r="D328" s="179"/>
      <c r="E328" s="187"/>
      <c r="F328" s="7"/>
      <c r="G328" s="8"/>
      <c r="H328" s="8"/>
      <c r="I328" s="204"/>
      <c r="J328" s="7"/>
      <c r="K328" s="7"/>
      <c r="L328" s="7"/>
      <c r="M328" s="7"/>
      <c r="N328" s="8"/>
      <c r="O328" s="9"/>
      <c r="P328" s="9"/>
      <c r="Q328" s="8"/>
      <c r="R328" s="8"/>
      <c r="S328" s="7"/>
      <c r="T328" s="7"/>
      <c r="U328" s="7"/>
      <c r="V328" s="7"/>
      <c r="BQ328" s="148"/>
      <c r="BR328" s="149"/>
      <c r="BS328" s="150"/>
      <c r="BT328" s="151"/>
      <c r="BU328" s="150"/>
      <c r="BV328" s="151"/>
      <c r="BW328" s="150"/>
      <c r="BX328" s="150"/>
    </row>
    <row r="329" spans="3:76">
      <c r="C329" s="7"/>
      <c r="D329" s="179"/>
      <c r="E329" s="187"/>
      <c r="F329" s="7"/>
      <c r="G329" s="8"/>
      <c r="H329" s="8"/>
      <c r="I329" s="204"/>
      <c r="J329" s="7"/>
      <c r="K329" s="7"/>
      <c r="L329" s="7"/>
      <c r="M329" s="7"/>
      <c r="N329" s="8"/>
      <c r="O329" s="9"/>
      <c r="P329" s="9"/>
      <c r="Q329" s="8"/>
      <c r="R329" s="8"/>
      <c r="S329" s="7"/>
      <c r="T329" s="7"/>
      <c r="U329" s="7"/>
      <c r="V329" s="7"/>
      <c r="BQ329" s="148"/>
      <c r="BR329" s="149"/>
      <c r="BS329" s="150"/>
      <c r="BT329" s="151"/>
      <c r="BU329" s="150"/>
      <c r="BV329" s="151"/>
      <c r="BW329" s="150"/>
      <c r="BX329" s="150"/>
    </row>
    <row r="330" spans="3:76">
      <c r="C330" s="7"/>
      <c r="D330" s="179"/>
      <c r="E330" s="187"/>
      <c r="F330" s="7"/>
      <c r="G330" s="8"/>
      <c r="H330" s="8"/>
      <c r="I330" s="204"/>
      <c r="J330" s="7"/>
      <c r="K330" s="7"/>
      <c r="L330" s="7"/>
      <c r="M330" s="7"/>
      <c r="N330" s="8"/>
      <c r="O330" s="9"/>
      <c r="P330" s="9"/>
      <c r="Q330" s="8"/>
      <c r="R330" s="8"/>
      <c r="S330" s="7"/>
      <c r="T330" s="7"/>
      <c r="U330" s="7"/>
      <c r="V330" s="7"/>
      <c r="BQ330" s="148"/>
      <c r="BR330" s="149"/>
      <c r="BS330" s="150"/>
      <c r="BT330" s="151"/>
      <c r="BU330" s="150"/>
      <c r="BV330" s="151"/>
      <c r="BW330" s="150"/>
      <c r="BX330" s="150"/>
    </row>
    <row r="331" spans="3:76">
      <c r="C331" s="7"/>
      <c r="D331" s="179"/>
      <c r="E331" s="187"/>
      <c r="F331" s="7"/>
      <c r="G331" s="8"/>
      <c r="H331" s="8"/>
      <c r="I331" s="204"/>
      <c r="J331" s="7"/>
      <c r="K331" s="7"/>
      <c r="L331" s="7"/>
      <c r="M331" s="7"/>
      <c r="N331" s="8"/>
      <c r="O331" s="9"/>
      <c r="P331" s="9"/>
      <c r="Q331" s="8"/>
      <c r="R331" s="8"/>
      <c r="S331" s="7"/>
      <c r="T331" s="7"/>
      <c r="U331" s="7"/>
      <c r="V331" s="7"/>
      <c r="BQ331" s="148"/>
      <c r="BR331" s="149"/>
      <c r="BS331" s="150"/>
      <c r="BT331" s="151"/>
      <c r="BU331" s="150"/>
      <c r="BV331" s="151"/>
      <c r="BW331" s="150"/>
      <c r="BX331" s="150"/>
    </row>
    <row r="332" spans="3:76">
      <c r="C332" s="7"/>
      <c r="D332" s="179"/>
      <c r="E332" s="187"/>
      <c r="F332" s="7"/>
      <c r="G332" s="8"/>
      <c r="H332" s="8"/>
      <c r="I332" s="204"/>
      <c r="J332" s="7"/>
      <c r="K332" s="7"/>
      <c r="L332" s="7"/>
      <c r="M332" s="7"/>
      <c r="N332" s="8"/>
      <c r="O332" s="9"/>
      <c r="P332" s="9"/>
      <c r="Q332" s="8"/>
      <c r="R332" s="8"/>
      <c r="S332" s="7"/>
      <c r="T332" s="7"/>
      <c r="U332" s="7"/>
      <c r="V332" s="7"/>
      <c r="BQ332" s="148"/>
      <c r="BR332" s="149"/>
      <c r="BS332" s="150"/>
      <c r="BT332" s="151"/>
      <c r="BU332" s="150"/>
      <c r="BV332" s="151"/>
      <c r="BW332" s="150"/>
      <c r="BX332" s="150"/>
    </row>
    <row r="333" spans="3:76">
      <c r="C333" s="7"/>
      <c r="D333" s="179"/>
      <c r="E333" s="187"/>
      <c r="F333" s="7"/>
      <c r="G333" s="8"/>
      <c r="H333" s="8"/>
      <c r="I333" s="204"/>
      <c r="J333" s="7"/>
      <c r="K333" s="7"/>
      <c r="L333" s="7"/>
      <c r="M333" s="7"/>
      <c r="N333" s="8"/>
      <c r="O333" s="9"/>
      <c r="P333" s="9"/>
      <c r="Q333" s="8"/>
      <c r="R333" s="8"/>
      <c r="S333" s="7"/>
      <c r="T333" s="7"/>
      <c r="U333" s="7"/>
      <c r="V333" s="7"/>
      <c r="BQ333" s="148"/>
      <c r="BR333" s="149"/>
      <c r="BS333" s="150"/>
      <c r="BT333" s="151"/>
      <c r="BU333" s="150"/>
      <c r="BV333" s="151"/>
      <c r="BW333" s="150"/>
      <c r="BX333" s="150"/>
    </row>
    <row r="334" spans="3:76">
      <c r="C334" s="7"/>
      <c r="D334" s="179"/>
      <c r="E334" s="187"/>
      <c r="F334" s="7"/>
      <c r="G334" s="8"/>
      <c r="H334" s="8"/>
      <c r="I334" s="204"/>
      <c r="J334" s="7"/>
      <c r="K334" s="7"/>
      <c r="L334" s="7"/>
      <c r="M334" s="7"/>
      <c r="N334" s="8"/>
      <c r="O334" s="9"/>
      <c r="P334" s="9"/>
      <c r="Q334" s="8"/>
      <c r="R334" s="8"/>
      <c r="S334" s="7"/>
      <c r="T334" s="7"/>
      <c r="U334" s="7"/>
      <c r="V334" s="7"/>
      <c r="BQ334" s="148"/>
      <c r="BR334" s="149"/>
      <c r="BS334" s="150"/>
      <c r="BT334" s="151"/>
      <c r="BU334" s="150"/>
      <c r="BV334" s="151"/>
      <c r="BW334" s="150"/>
      <c r="BX334" s="150"/>
    </row>
    <row r="335" spans="3:76">
      <c r="C335" s="7"/>
      <c r="D335" s="179"/>
      <c r="E335" s="187"/>
      <c r="F335" s="7"/>
      <c r="G335" s="8"/>
      <c r="H335" s="8"/>
      <c r="I335" s="204"/>
      <c r="J335" s="7"/>
      <c r="K335" s="7"/>
      <c r="L335" s="7"/>
      <c r="M335" s="7"/>
      <c r="N335" s="8"/>
      <c r="O335" s="9"/>
      <c r="P335" s="9"/>
      <c r="Q335" s="8"/>
      <c r="R335" s="8"/>
      <c r="S335" s="7"/>
      <c r="T335" s="7"/>
      <c r="U335" s="7"/>
      <c r="V335" s="7"/>
      <c r="BQ335" s="148"/>
      <c r="BR335" s="149"/>
      <c r="BS335" s="150"/>
      <c r="BT335" s="151"/>
      <c r="BU335" s="150"/>
      <c r="BV335" s="151"/>
      <c r="BW335" s="150"/>
      <c r="BX335" s="150"/>
    </row>
    <row r="336" spans="3:76">
      <c r="C336" s="7"/>
      <c r="D336" s="179"/>
      <c r="E336" s="187"/>
      <c r="F336" s="7"/>
      <c r="G336" s="8"/>
      <c r="H336" s="8"/>
      <c r="I336" s="204"/>
      <c r="J336" s="7"/>
      <c r="K336" s="7"/>
      <c r="L336" s="7"/>
      <c r="M336" s="7"/>
      <c r="N336" s="8"/>
      <c r="O336" s="9"/>
      <c r="P336" s="9"/>
      <c r="Q336" s="8"/>
      <c r="R336" s="8"/>
      <c r="S336" s="7"/>
      <c r="T336" s="7"/>
      <c r="U336" s="7"/>
      <c r="V336" s="7"/>
      <c r="BQ336" s="148"/>
      <c r="BR336" s="149"/>
      <c r="BS336" s="150"/>
      <c r="BT336" s="151"/>
      <c r="BU336" s="150"/>
      <c r="BV336" s="151"/>
      <c r="BW336" s="150"/>
      <c r="BX336" s="150"/>
    </row>
    <row r="337" spans="3:76">
      <c r="C337" s="7"/>
      <c r="D337" s="179"/>
      <c r="E337" s="187"/>
      <c r="F337" s="7"/>
      <c r="G337" s="8"/>
      <c r="H337" s="8"/>
      <c r="I337" s="204"/>
      <c r="J337" s="7"/>
      <c r="K337" s="7"/>
      <c r="L337" s="7"/>
      <c r="M337" s="7"/>
      <c r="N337" s="8"/>
      <c r="O337" s="9"/>
      <c r="P337" s="9"/>
      <c r="Q337" s="8"/>
      <c r="R337" s="8"/>
      <c r="S337" s="7"/>
      <c r="T337" s="7"/>
      <c r="U337" s="7"/>
      <c r="V337" s="7"/>
      <c r="BQ337" s="148"/>
      <c r="BR337" s="149"/>
      <c r="BS337" s="150"/>
      <c r="BT337" s="151"/>
      <c r="BU337" s="150"/>
      <c r="BV337" s="151"/>
      <c r="BW337" s="150"/>
      <c r="BX337" s="150"/>
    </row>
    <row r="338" spans="3:76">
      <c r="C338" s="7"/>
      <c r="D338" s="179"/>
      <c r="E338" s="187"/>
      <c r="F338" s="7"/>
      <c r="G338" s="8"/>
      <c r="H338" s="8"/>
      <c r="I338" s="204"/>
      <c r="J338" s="7"/>
      <c r="K338" s="7"/>
      <c r="L338" s="7"/>
      <c r="M338" s="7"/>
      <c r="N338" s="8"/>
      <c r="O338" s="9"/>
      <c r="P338" s="9"/>
      <c r="Q338" s="8"/>
      <c r="R338" s="8"/>
      <c r="S338" s="7"/>
      <c r="T338" s="7"/>
      <c r="U338" s="7"/>
      <c r="V338" s="7"/>
      <c r="BQ338" s="148"/>
      <c r="BR338" s="149"/>
      <c r="BS338" s="150"/>
      <c r="BT338" s="151"/>
      <c r="BU338" s="150"/>
      <c r="BV338" s="151"/>
      <c r="BW338" s="150"/>
      <c r="BX338" s="150"/>
    </row>
    <row r="339" spans="3:76">
      <c r="C339" s="7"/>
      <c r="D339" s="179"/>
      <c r="E339" s="187"/>
      <c r="F339" s="7"/>
      <c r="G339" s="8"/>
      <c r="H339" s="8"/>
      <c r="I339" s="204"/>
      <c r="J339" s="7"/>
      <c r="K339" s="7"/>
      <c r="L339" s="7"/>
      <c r="M339" s="7"/>
      <c r="N339" s="8"/>
      <c r="O339" s="9"/>
      <c r="P339" s="9"/>
      <c r="Q339" s="8"/>
      <c r="R339" s="8"/>
      <c r="S339" s="7"/>
      <c r="T339" s="7"/>
      <c r="U339" s="7"/>
      <c r="V339" s="7"/>
      <c r="BQ339" s="29"/>
      <c r="BR339" s="149"/>
      <c r="BS339" s="150"/>
      <c r="BT339" s="220"/>
      <c r="BU339" s="9"/>
      <c r="BV339" s="220"/>
      <c r="BW339" s="9"/>
      <c r="BX339" s="9"/>
    </row>
    <row r="340" spans="3:76" ht="18.75" thickBot="1">
      <c r="C340" s="7"/>
      <c r="D340" s="179"/>
      <c r="E340" s="187"/>
      <c r="F340" s="7"/>
      <c r="G340" s="8"/>
      <c r="H340" s="8"/>
      <c r="I340" s="204"/>
      <c r="J340" s="7"/>
      <c r="K340" s="7"/>
      <c r="L340" s="7"/>
      <c r="M340" s="7"/>
      <c r="N340" s="8"/>
      <c r="O340" s="9"/>
      <c r="P340" s="9"/>
      <c r="Q340" s="8"/>
      <c r="R340" s="8"/>
      <c r="S340" s="7"/>
      <c r="T340" s="7"/>
      <c r="U340" s="7"/>
      <c r="V340" s="7"/>
      <c r="BQ340" s="29"/>
      <c r="BR340" s="149"/>
      <c r="BS340" s="150"/>
      <c r="BT340" s="220"/>
      <c r="BU340" s="9"/>
      <c r="BV340" s="220"/>
      <c r="BW340" s="9"/>
      <c r="BX340" s="9"/>
    </row>
    <row r="341" spans="3:76" ht="21" thickTop="1">
      <c r="C341" s="7"/>
      <c r="D341" s="179"/>
      <c r="E341" s="187"/>
      <c r="F341" s="7"/>
      <c r="G341" s="8"/>
      <c r="H341" s="8"/>
      <c r="I341" s="204"/>
      <c r="J341" s="7"/>
      <c r="K341" s="7"/>
      <c r="L341" s="7"/>
      <c r="M341" s="7"/>
      <c r="N341" s="8"/>
      <c r="O341" s="9"/>
      <c r="P341" s="9"/>
      <c r="Q341" s="8"/>
      <c r="R341" s="8"/>
      <c r="S341" s="7"/>
      <c r="T341" s="7"/>
      <c r="U341" s="7"/>
      <c r="V341" s="7"/>
      <c r="BS341" s="82" t="str">
        <f>BA5</f>
        <v xml:space="preserve">                                                 6 è tour                                              résultat</v>
      </c>
      <c r="BT341" s="83"/>
      <c r="BU341" s="83"/>
      <c r="BV341" s="84"/>
      <c r="BW341" s="85"/>
      <c r="BX341" s="86"/>
    </row>
    <row r="342" spans="3:76">
      <c r="C342" s="7"/>
      <c r="D342" s="179"/>
      <c r="E342" s="187"/>
      <c r="F342" s="7"/>
      <c r="G342" s="8"/>
      <c r="H342" s="8"/>
      <c r="I342" s="204"/>
      <c r="J342" s="7"/>
      <c r="K342" s="7"/>
      <c r="L342" s="7"/>
      <c r="M342" s="7"/>
      <c r="N342" s="8"/>
      <c r="O342" s="9"/>
      <c r="P342" s="9"/>
      <c r="Q342" s="8"/>
      <c r="R342" s="8"/>
      <c r="S342" s="7"/>
      <c r="T342" s="7"/>
      <c r="U342" s="7"/>
      <c r="V342" s="7"/>
      <c r="BQ342" s="88" t="s">
        <v>24</v>
      </c>
      <c r="BR342" s="89">
        <f t="shared" ref="BR342:BR373" si="54">B6</f>
        <v>1</v>
      </c>
      <c r="BS342" s="90">
        <f t="shared" ref="BS342:BS373" si="55">BB6</f>
        <v>0</v>
      </c>
      <c r="BT342" s="91" t="str">
        <f t="shared" ref="BT342:BT373" si="56">BD6</f>
        <v/>
      </c>
      <c r="BU342" s="92">
        <f t="shared" ref="BU342:BU373" si="57">BF6</f>
        <v>0</v>
      </c>
      <c r="BV342" s="93" t="str">
        <f t="shared" ref="BV342:BV373" si="58">BH6</f>
        <v/>
      </c>
      <c r="BW342" s="93"/>
      <c r="BX342" s="93"/>
    </row>
    <row r="343" spans="3:76">
      <c r="C343" s="7"/>
      <c r="D343" s="179"/>
      <c r="E343" s="187"/>
      <c r="F343" s="7"/>
      <c r="G343" s="8"/>
      <c r="H343" s="8"/>
      <c r="I343" s="204"/>
      <c r="J343" s="7"/>
      <c r="K343" s="7"/>
      <c r="L343" s="7"/>
      <c r="M343" s="7"/>
      <c r="N343" s="8"/>
      <c r="O343" s="9"/>
      <c r="P343" s="9"/>
      <c r="Q343" s="8"/>
      <c r="R343" s="8"/>
      <c r="S343" s="7"/>
      <c r="T343" s="7"/>
      <c r="U343" s="7"/>
      <c r="V343" s="7"/>
      <c r="BQ343" s="88" t="s">
        <v>24</v>
      </c>
      <c r="BR343" s="89">
        <f t="shared" si="54"/>
        <v>2</v>
      </c>
      <c r="BS343" s="90">
        <f t="shared" si="55"/>
        <v>0</v>
      </c>
      <c r="BT343" s="91" t="str">
        <f t="shared" si="56"/>
        <v/>
      </c>
      <c r="BU343" s="92">
        <f t="shared" si="57"/>
        <v>0</v>
      </c>
      <c r="BV343" s="93" t="str">
        <f t="shared" si="58"/>
        <v/>
      </c>
      <c r="BW343" s="93"/>
      <c r="BX343" s="93"/>
    </row>
    <row r="344" spans="3:76">
      <c r="C344" s="7"/>
      <c r="D344" s="179"/>
      <c r="E344" s="187"/>
      <c r="F344" s="7"/>
      <c r="G344" s="8"/>
      <c r="H344" s="8"/>
      <c r="I344" s="204"/>
      <c r="J344" s="7"/>
      <c r="K344" s="7"/>
      <c r="L344" s="7"/>
      <c r="M344" s="7"/>
      <c r="N344" s="8"/>
      <c r="O344" s="9"/>
      <c r="P344" s="9"/>
      <c r="Q344" s="8"/>
      <c r="R344" s="8"/>
      <c r="S344" s="7"/>
      <c r="T344" s="7"/>
      <c r="U344" s="7"/>
      <c r="V344" s="7"/>
      <c r="BQ344" s="88" t="s">
        <v>24</v>
      </c>
      <c r="BR344" s="89">
        <f t="shared" si="54"/>
        <v>3</v>
      </c>
      <c r="BS344" s="90">
        <f t="shared" si="55"/>
        <v>0</v>
      </c>
      <c r="BT344" s="91" t="str">
        <f t="shared" si="56"/>
        <v/>
      </c>
      <c r="BU344" s="92">
        <f t="shared" si="57"/>
        <v>0</v>
      </c>
      <c r="BV344" s="93" t="str">
        <f t="shared" si="58"/>
        <v/>
      </c>
      <c r="BW344" s="93"/>
      <c r="BX344" s="93"/>
    </row>
    <row r="345" spans="3:76">
      <c r="C345" s="7"/>
      <c r="D345" s="179"/>
      <c r="E345" s="187"/>
      <c r="F345" s="7"/>
      <c r="G345" s="8"/>
      <c r="H345" s="8"/>
      <c r="I345" s="204"/>
      <c r="J345" s="7"/>
      <c r="K345" s="7"/>
      <c r="L345" s="7"/>
      <c r="M345" s="7"/>
      <c r="N345" s="8"/>
      <c r="O345" s="9"/>
      <c r="P345" s="9"/>
      <c r="Q345" s="8"/>
      <c r="R345" s="8"/>
      <c r="S345" s="7"/>
      <c r="T345" s="7"/>
      <c r="U345" s="7"/>
      <c r="V345" s="7"/>
      <c r="BQ345" s="88" t="s">
        <v>24</v>
      </c>
      <c r="BR345" s="89">
        <f t="shared" si="54"/>
        <v>4</v>
      </c>
      <c r="BS345" s="90">
        <f t="shared" si="55"/>
        <v>0</v>
      </c>
      <c r="BT345" s="91" t="str">
        <f t="shared" si="56"/>
        <v/>
      </c>
      <c r="BU345" s="92">
        <f t="shared" si="57"/>
        <v>0</v>
      </c>
      <c r="BV345" s="93" t="str">
        <f t="shared" si="58"/>
        <v/>
      </c>
      <c r="BW345" s="93"/>
      <c r="BX345" s="93"/>
    </row>
    <row r="346" spans="3:76">
      <c r="C346" s="7"/>
      <c r="D346" s="179"/>
      <c r="E346" s="187"/>
      <c r="F346" s="7"/>
      <c r="G346" s="8"/>
      <c r="H346" s="8"/>
      <c r="I346" s="204"/>
      <c r="J346" s="7"/>
      <c r="K346" s="7"/>
      <c r="L346" s="7"/>
      <c r="M346" s="7"/>
      <c r="N346" s="8"/>
      <c r="O346" s="9"/>
      <c r="P346" s="9"/>
      <c r="Q346" s="8"/>
      <c r="R346" s="8"/>
      <c r="S346" s="7"/>
      <c r="T346" s="7"/>
      <c r="U346" s="7"/>
      <c r="V346" s="7"/>
      <c r="BQ346" s="88" t="s">
        <v>24</v>
      </c>
      <c r="BR346" s="89">
        <f t="shared" si="54"/>
        <v>5</v>
      </c>
      <c r="BS346" s="90">
        <f t="shared" si="55"/>
        <v>0</v>
      </c>
      <c r="BT346" s="91" t="str">
        <f t="shared" si="56"/>
        <v/>
      </c>
      <c r="BU346" s="92">
        <f t="shared" si="57"/>
        <v>0</v>
      </c>
      <c r="BV346" s="93" t="str">
        <f t="shared" si="58"/>
        <v/>
      </c>
      <c r="BW346" s="93"/>
      <c r="BX346" s="93"/>
    </row>
    <row r="347" spans="3:76">
      <c r="C347" s="7"/>
      <c r="D347" s="179"/>
      <c r="E347" s="187"/>
      <c r="F347" s="7"/>
      <c r="G347" s="8"/>
      <c r="H347" s="8"/>
      <c r="I347" s="204"/>
      <c r="J347" s="7"/>
      <c r="K347" s="7"/>
      <c r="L347" s="7"/>
      <c r="M347" s="7"/>
      <c r="N347" s="8"/>
      <c r="O347" s="9"/>
      <c r="P347" s="9"/>
      <c r="Q347" s="8"/>
      <c r="R347" s="8"/>
      <c r="S347" s="7"/>
      <c r="T347" s="7"/>
      <c r="U347" s="7"/>
      <c r="V347" s="7"/>
      <c r="BQ347" s="88" t="s">
        <v>24</v>
      </c>
      <c r="BR347" s="89">
        <f t="shared" si="54"/>
        <v>6</v>
      </c>
      <c r="BS347" s="90">
        <f t="shared" si="55"/>
        <v>0</v>
      </c>
      <c r="BT347" s="91" t="str">
        <f t="shared" si="56"/>
        <v/>
      </c>
      <c r="BU347" s="92">
        <f t="shared" si="57"/>
        <v>0</v>
      </c>
      <c r="BV347" s="93" t="str">
        <f t="shared" si="58"/>
        <v/>
      </c>
      <c r="BW347" s="93"/>
      <c r="BX347" s="93"/>
    </row>
    <row r="348" spans="3:76">
      <c r="C348" s="7"/>
      <c r="D348" s="179"/>
      <c r="E348" s="187"/>
      <c r="F348" s="7"/>
      <c r="G348" s="8"/>
      <c r="H348" s="8"/>
      <c r="I348" s="204"/>
      <c r="J348" s="7"/>
      <c r="K348" s="7"/>
      <c r="L348" s="7"/>
      <c r="M348" s="7"/>
      <c r="N348" s="8"/>
      <c r="O348" s="9"/>
      <c r="P348" s="9"/>
      <c r="Q348" s="8"/>
      <c r="R348" s="8"/>
      <c r="S348" s="7"/>
      <c r="T348" s="7"/>
      <c r="U348" s="7"/>
      <c r="V348" s="7"/>
      <c r="BQ348" s="88" t="s">
        <v>24</v>
      </c>
      <c r="BR348" s="89">
        <f t="shared" si="54"/>
        <v>7</v>
      </c>
      <c r="BS348" s="90">
        <f t="shared" si="55"/>
        <v>0</v>
      </c>
      <c r="BT348" s="91" t="str">
        <f t="shared" si="56"/>
        <v/>
      </c>
      <c r="BU348" s="92">
        <f t="shared" si="57"/>
        <v>0</v>
      </c>
      <c r="BV348" s="93" t="str">
        <f t="shared" si="58"/>
        <v/>
      </c>
      <c r="BW348" s="93"/>
      <c r="BX348" s="93"/>
    </row>
    <row r="349" spans="3:76">
      <c r="C349" s="7"/>
      <c r="D349" s="179"/>
      <c r="E349" s="187"/>
      <c r="F349" s="7"/>
      <c r="G349" s="8"/>
      <c r="H349" s="8"/>
      <c r="I349" s="204"/>
      <c r="J349" s="7"/>
      <c r="K349" s="7"/>
      <c r="L349" s="7"/>
      <c r="M349" s="7"/>
      <c r="N349" s="8"/>
      <c r="O349" s="9"/>
      <c r="P349" s="9"/>
      <c r="Q349" s="8"/>
      <c r="R349" s="8"/>
      <c r="S349" s="7"/>
      <c r="T349" s="7"/>
      <c r="U349" s="7"/>
      <c r="V349" s="7"/>
      <c r="BQ349" s="88" t="s">
        <v>24</v>
      </c>
      <c r="BR349" s="89">
        <f t="shared" si="54"/>
        <v>8</v>
      </c>
      <c r="BS349" s="90">
        <f t="shared" si="55"/>
        <v>0</v>
      </c>
      <c r="BT349" s="91" t="str">
        <f t="shared" si="56"/>
        <v/>
      </c>
      <c r="BU349" s="92">
        <f t="shared" si="57"/>
        <v>0</v>
      </c>
      <c r="BV349" s="93" t="str">
        <f t="shared" si="58"/>
        <v/>
      </c>
      <c r="BW349" s="93"/>
      <c r="BX349" s="93"/>
    </row>
    <row r="350" spans="3:76">
      <c r="C350" s="7"/>
      <c r="D350" s="179"/>
      <c r="E350" s="187"/>
      <c r="F350" s="7"/>
      <c r="G350" s="8"/>
      <c r="H350" s="8"/>
      <c r="I350" s="204"/>
      <c r="J350" s="7"/>
      <c r="K350" s="7"/>
      <c r="L350" s="7"/>
      <c r="M350" s="7"/>
      <c r="N350" s="8"/>
      <c r="O350" s="9"/>
      <c r="P350" s="9"/>
      <c r="Q350" s="8"/>
      <c r="R350" s="8"/>
      <c r="S350" s="7"/>
      <c r="T350" s="7"/>
      <c r="U350" s="7"/>
      <c r="V350" s="7"/>
      <c r="BQ350" s="88" t="s">
        <v>24</v>
      </c>
      <c r="BR350" s="89">
        <f t="shared" si="54"/>
        <v>9</v>
      </c>
      <c r="BS350" s="90">
        <f t="shared" si="55"/>
        <v>0</v>
      </c>
      <c r="BT350" s="91" t="str">
        <f t="shared" si="56"/>
        <v/>
      </c>
      <c r="BU350" s="92">
        <f t="shared" si="57"/>
        <v>0</v>
      </c>
      <c r="BV350" s="93" t="str">
        <f t="shared" si="58"/>
        <v/>
      </c>
      <c r="BW350" s="93"/>
      <c r="BX350" s="93"/>
    </row>
    <row r="351" spans="3:76">
      <c r="C351" s="7"/>
      <c r="D351" s="179"/>
      <c r="E351" s="187"/>
      <c r="F351" s="7"/>
      <c r="G351" s="8"/>
      <c r="H351" s="8"/>
      <c r="I351" s="204"/>
      <c r="J351" s="7"/>
      <c r="K351" s="7"/>
      <c r="L351" s="7"/>
      <c r="M351" s="7"/>
      <c r="N351" s="8"/>
      <c r="O351" s="9"/>
      <c r="P351" s="9"/>
      <c r="Q351" s="8"/>
      <c r="R351" s="8"/>
      <c r="S351" s="7"/>
      <c r="T351" s="7"/>
      <c r="U351" s="7"/>
      <c r="V351" s="7"/>
      <c r="BQ351" s="88" t="s">
        <v>24</v>
      </c>
      <c r="BR351" s="89">
        <f t="shared" si="54"/>
        <v>10</v>
      </c>
      <c r="BS351" s="90">
        <f t="shared" si="55"/>
        <v>0</v>
      </c>
      <c r="BT351" s="91" t="str">
        <f t="shared" si="56"/>
        <v/>
      </c>
      <c r="BU351" s="92">
        <f t="shared" si="57"/>
        <v>0</v>
      </c>
      <c r="BV351" s="93" t="str">
        <f t="shared" si="58"/>
        <v/>
      </c>
      <c r="BW351" s="93"/>
      <c r="BX351" s="93"/>
    </row>
    <row r="352" spans="3:76">
      <c r="C352" s="7"/>
      <c r="D352" s="179"/>
      <c r="E352" s="187"/>
      <c r="F352" s="7"/>
      <c r="G352" s="8"/>
      <c r="H352" s="8"/>
      <c r="I352" s="204"/>
      <c r="J352" s="7"/>
      <c r="K352" s="7"/>
      <c r="L352" s="7"/>
      <c r="M352" s="7"/>
      <c r="N352" s="8"/>
      <c r="O352" s="9"/>
      <c r="P352" s="9"/>
      <c r="Q352" s="8"/>
      <c r="R352" s="8"/>
      <c r="S352" s="7"/>
      <c r="T352" s="7"/>
      <c r="U352" s="7"/>
      <c r="V352" s="7"/>
      <c r="BQ352" s="88" t="s">
        <v>24</v>
      </c>
      <c r="BR352" s="89">
        <f t="shared" si="54"/>
        <v>11</v>
      </c>
      <c r="BS352" s="90">
        <f t="shared" si="55"/>
        <v>0</v>
      </c>
      <c r="BT352" s="91" t="str">
        <f t="shared" si="56"/>
        <v/>
      </c>
      <c r="BU352" s="92">
        <f t="shared" si="57"/>
        <v>0</v>
      </c>
      <c r="BV352" s="93" t="str">
        <f t="shared" si="58"/>
        <v/>
      </c>
      <c r="BW352" s="93"/>
      <c r="BX352" s="93"/>
    </row>
    <row r="353" spans="3:76">
      <c r="C353" s="7"/>
      <c r="D353" s="179"/>
      <c r="E353" s="187"/>
      <c r="F353" s="7"/>
      <c r="G353" s="8"/>
      <c r="H353" s="8"/>
      <c r="I353" s="204"/>
      <c r="J353" s="7"/>
      <c r="K353" s="7"/>
      <c r="L353" s="7"/>
      <c r="M353" s="7"/>
      <c r="N353" s="8"/>
      <c r="O353" s="9"/>
      <c r="P353" s="9"/>
      <c r="Q353" s="8"/>
      <c r="R353" s="8"/>
      <c r="S353" s="7"/>
      <c r="T353" s="7"/>
      <c r="U353" s="7"/>
      <c r="V353" s="7"/>
      <c r="BQ353" s="88" t="s">
        <v>24</v>
      </c>
      <c r="BR353" s="89">
        <f t="shared" si="54"/>
        <v>12</v>
      </c>
      <c r="BS353" s="90">
        <f t="shared" si="55"/>
        <v>0</v>
      </c>
      <c r="BT353" s="91" t="str">
        <f t="shared" si="56"/>
        <v/>
      </c>
      <c r="BU353" s="92">
        <f t="shared" si="57"/>
        <v>0</v>
      </c>
      <c r="BV353" s="93" t="str">
        <f t="shared" si="58"/>
        <v/>
      </c>
      <c r="BW353" s="93"/>
      <c r="BX353" s="93"/>
    </row>
    <row r="354" spans="3:76">
      <c r="C354" s="7"/>
      <c r="D354" s="179"/>
      <c r="E354" s="187"/>
      <c r="F354" s="7"/>
      <c r="G354" s="8"/>
      <c r="H354" s="8"/>
      <c r="I354" s="204"/>
      <c r="J354" s="7"/>
      <c r="K354" s="7"/>
      <c r="L354" s="7"/>
      <c r="M354" s="7"/>
      <c r="N354" s="8"/>
      <c r="O354" s="9"/>
      <c r="P354" s="9"/>
      <c r="Q354" s="8"/>
      <c r="R354" s="8"/>
      <c r="S354" s="7"/>
      <c r="T354" s="7"/>
      <c r="U354" s="7"/>
      <c r="V354" s="7"/>
      <c r="BQ354" s="88" t="s">
        <v>24</v>
      </c>
      <c r="BR354" s="89">
        <f t="shared" si="54"/>
        <v>13</v>
      </c>
      <c r="BS354" s="90">
        <f t="shared" si="55"/>
        <v>0</v>
      </c>
      <c r="BT354" s="91" t="str">
        <f t="shared" si="56"/>
        <v/>
      </c>
      <c r="BU354" s="92">
        <f t="shared" si="57"/>
        <v>0</v>
      </c>
      <c r="BV354" s="93" t="str">
        <f t="shared" si="58"/>
        <v/>
      </c>
      <c r="BW354" s="93"/>
      <c r="BX354" s="93"/>
    </row>
    <row r="355" spans="3:76">
      <c r="C355" s="7"/>
      <c r="D355" s="179"/>
      <c r="E355" s="187"/>
      <c r="F355" s="7"/>
      <c r="G355" s="8"/>
      <c r="H355" s="8"/>
      <c r="I355" s="204"/>
      <c r="J355" s="7"/>
      <c r="K355" s="7"/>
      <c r="L355" s="7"/>
      <c r="M355" s="7"/>
      <c r="N355" s="8"/>
      <c r="O355" s="9"/>
      <c r="P355" s="9"/>
      <c r="Q355" s="8"/>
      <c r="R355" s="8"/>
      <c r="S355" s="7"/>
      <c r="T355" s="7"/>
      <c r="U355" s="7"/>
      <c r="V355" s="7"/>
      <c r="BQ355" s="88" t="s">
        <v>24</v>
      </c>
      <c r="BR355" s="89">
        <f t="shared" si="54"/>
        <v>14</v>
      </c>
      <c r="BS355" s="90">
        <f t="shared" si="55"/>
        <v>0</v>
      </c>
      <c r="BT355" s="91" t="str">
        <f t="shared" si="56"/>
        <v/>
      </c>
      <c r="BU355" s="92">
        <f t="shared" si="57"/>
        <v>0</v>
      </c>
      <c r="BV355" s="93" t="str">
        <f t="shared" si="58"/>
        <v/>
      </c>
      <c r="BW355" s="93"/>
      <c r="BX355" s="93"/>
    </row>
    <row r="356" spans="3:76">
      <c r="C356" s="7"/>
      <c r="D356" s="179"/>
      <c r="E356" s="187"/>
      <c r="F356" s="7"/>
      <c r="G356" s="8"/>
      <c r="H356" s="8"/>
      <c r="I356" s="204"/>
      <c r="J356" s="7"/>
      <c r="K356" s="7"/>
      <c r="L356" s="7"/>
      <c r="M356" s="7"/>
      <c r="N356" s="8"/>
      <c r="O356" s="9"/>
      <c r="P356" s="9"/>
      <c r="Q356" s="8"/>
      <c r="R356" s="8"/>
      <c r="S356" s="7"/>
      <c r="T356" s="7"/>
      <c r="U356" s="7"/>
      <c r="V356" s="7"/>
      <c r="BQ356" s="88" t="s">
        <v>24</v>
      </c>
      <c r="BR356" s="89">
        <f t="shared" si="54"/>
        <v>15</v>
      </c>
      <c r="BS356" s="90">
        <f t="shared" si="55"/>
        <v>0</v>
      </c>
      <c r="BT356" s="91" t="str">
        <f t="shared" si="56"/>
        <v/>
      </c>
      <c r="BU356" s="92">
        <f t="shared" si="57"/>
        <v>0</v>
      </c>
      <c r="BV356" s="93" t="str">
        <f t="shared" si="58"/>
        <v/>
      </c>
      <c r="BW356" s="93"/>
      <c r="BX356" s="93"/>
    </row>
    <row r="357" spans="3:76">
      <c r="C357" s="7"/>
      <c r="D357" s="179"/>
      <c r="E357" s="187"/>
      <c r="F357" s="7"/>
      <c r="G357" s="8"/>
      <c r="H357" s="8"/>
      <c r="I357" s="204"/>
      <c r="J357" s="7"/>
      <c r="K357" s="7"/>
      <c r="L357" s="7"/>
      <c r="M357" s="7"/>
      <c r="N357" s="8"/>
      <c r="O357" s="9"/>
      <c r="P357" s="9"/>
      <c r="Q357" s="8"/>
      <c r="R357" s="8"/>
      <c r="S357" s="7"/>
      <c r="T357" s="7"/>
      <c r="U357" s="7"/>
      <c r="V357" s="7"/>
      <c r="BQ357" s="88" t="s">
        <v>24</v>
      </c>
      <c r="BR357" s="89">
        <f t="shared" si="54"/>
        <v>16</v>
      </c>
      <c r="BS357" s="90">
        <f t="shared" si="55"/>
        <v>0</v>
      </c>
      <c r="BT357" s="91" t="str">
        <f t="shared" si="56"/>
        <v/>
      </c>
      <c r="BU357" s="92">
        <f t="shared" si="57"/>
        <v>0</v>
      </c>
      <c r="BV357" s="93" t="str">
        <f t="shared" si="58"/>
        <v/>
      </c>
      <c r="BW357" s="93"/>
      <c r="BX357" s="93"/>
    </row>
    <row r="358" spans="3:76">
      <c r="C358" s="7"/>
      <c r="D358" s="179"/>
      <c r="E358" s="187"/>
      <c r="F358" s="7"/>
      <c r="G358" s="8"/>
      <c r="H358" s="8"/>
      <c r="I358" s="204"/>
      <c r="J358" s="7"/>
      <c r="K358" s="7"/>
      <c r="L358" s="7"/>
      <c r="M358" s="7"/>
      <c r="N358" s="8"/>
      <c r="O358" s="9"/>
      <c r="P358" s="9"/>
      <c r="Q358" s="8"/>
      <c r="R358" s="8"/>
      <c r="S358" s="7"/>
      <c r="T358" s="7"/>
      <c r="U358" s="7"/>
      <c r="V358" s="7"/>
      <c r="BQ358" s="88" t="s">
        <v>24</v>
      </c>
      <c r="BR358" s="89">
        <f t="shared" si="54"/>
        <v>17</v>
      </c>
      <c r="BS358" s="90">
        <f t="shared" si="55"/>
        <v>0</v>
      </c>
      <c r="BT358" s="91" t="str">
        <f t="shared" si="56"/>
        <v/>
      </c>
      <c r="BU358" s="92">
        <f t="shared" si="57"/>
        <v>0</v>
      </c>
      <c r="BV358" s="93" t="str">
        <f t="shared" si="58"/>
        <v/>
      </c>
      <c r="BW358" s="93"/>
      <c r="BX358" s="93"/>
    </row>
    <row r="359" spans="3:76">
      <c r="C359" s="7"/>
      <c r="D359" s="179"/>
      <c r="E359" s="187"/>
      <c r="F359" s="7"/>
      <c r="G359" s="8"/>
      <c r="H359" s="8"/>
      <c r="I359" s="204"/>
      <c r="J359" s="7"/>
      <c r="K359" s="7"/>
      <c r="L359" s="7"/>
      <c r="M359" s="7"/>
      <c r="N359" s="8"/>
      <c r="O359" s="9"/>
      <c r="P359" s="9"/>
      <c r="Q359" s="8"/>
      <c r="R359" s="8"/>
      <c r="S359" s="7"/>
      <c r="T359" s="7"/>
      <c r="U359" s="7"/>
      <c r="V359" s="7"/>
      <c r="BQ359" s="88" t="s">
        <v>24</v>
      </c>
      <c r="BR359" s="89">
        <f t="shared" si="54"/>
        <v>18</v>
      </c>
      <c r="BS359" s="90">
        <f t="shared" si="55"/>
        <v>0</v>
      </c>
      <c r="BT359" s="91" t="str">
        <f t="shared" si="56"/>
        <v/>
      </c>
      <c r="BU359" s="92">
        <f t="shared" si="57"/>
        <v>0</v>
      </c>
      <c r="BV359" s="93" t="str">
        <f t="shared" si="58"/>
        <v/>
      </c>
      <c r="BW359" s="93"/>
      <c r="BX359" s="93"/>
    </row>
    <row r="360" spans="3:76">
      <c r="C360" s="7"/>
      <c r="D360" s="179"/>
      <c r="E360" s="187"/>
      <c r="F360" s="7"/>
      <c r="G360" s="8"/>
      <c r="H360" s="8"/>
      <c r="I360" s="204"/>
      <c r="J360" s="7"/>
      <c r="K360" s="7"/>
      <c r="L360" s="7"/>
      <c r="M360" s="7"/>
      <c r="N360" s="8"/>
      <c r="O360" s="9"/>
      <c r="P360" s="9"/>
      <c r="Q360" s="8"/>
      <c r="R360" s="8"/>
      <c r="S360" s="7"/>
      <c r="T360" s="7"/>
      <c r="U360" s="7"/>
      <c r="V360" s="7"/>
      <c r="BQ360" s="88" t="s">
        <v>24</v>
      </c>
      <c r="BR360" s="89">
        <f t="shared" si="54"/>
        <v>19</v>
      </c>
      <c r="BS360" s="90">
        <f t="shared" si="55"/>
        <v>0</v>
      </c>
      <c r="BT360" s="91" t="str">
        <f t="shared" si="56"/>
        <v/>
      </c>
      <c r="BU360" s="92">
        <f t="shared" si="57"/>
        <v>0</v>
      </c>
      <c r="BV360" s="93" t="str">
        <f t="shared" si="58"/>
        <v/>
      </c>
      <c r="BW360" s="93"/>
      <c r="BX360" s="93"/>
    </row>
    <row r="361" spans="3:76">
      <c r="C361" s="7"/>
      <c r="D361" s="179"/>
      <c r="E361" s="187"/>
      <c r="F361" s="7"/>
      <c r="G361" s="8"/>
      <c r="H361" s="8"/>
      <c r="I361" s="204"/>
      <c r="J361" s="7"/>
      <c r="K361" s="7"/>
      <c r="L361" s="7"/>
      <c r="M361" s="7"/>
      <c r="N361" s="8"/>
      <c r="O361" s="9"/>
      <c r="P361" s="9"/>
      <c r="Q361" s="8"/>
      <c r="R361" s="8"/>
      <c r="S361" s="7"/>
      <c r="T361" s="7"/>
      <c r="U361" s="7"/>
      <c r="V361" s="7"/>
      <c r="BQ361" s="88" t="s">
        <v>24</v>
      </c>
      <c r="BR361" s="89">
        <f t="shared" si="54"/>
        <v>20</v>
      </c>
      <c r="BS361" s="90">
        <f t="shared" si="55"/>
        <v>0</v>
      </c>
      <c r="BT361" s="91" t="str">
        <f t="shared" si="56"/>
        <v/>
      </c>
      <c r="BU361" s="92">
        <f t="shared" si="57"/>
        <v>0</v>
      </c>
      <c r="BV361" s="93" t="str">
        <f t="shared" si="58"/>
        <v/>
      </c>
      <c r="BW361" s="93"/>
      <c r="BX361" s="93"/>
    </row>
    <row r="362" spans="3:76">
      <c r="C362" s="7"/>
      <c r="D362" s="179"/>
      <c r="E362" s="187"/>
      <c r="F362" s="7"/>
      <c r="G362" s="8"/>
      <c r="H362" s="8"/>
      <c r="I362" s="204"/>
      <c r="J362" s="7"/>
      <c r="K362" s="7"/>
      <c r="L362" s="7"/>
      <c r="M362" s="7"/>
      <c r="N362" s="8"/>
      <c r="O362" s="9"/>
      <c r="P362" s="9"/>
      <c r="Q362" s="8"/>
      <c r="R362" s="8"/>
      <c r="S362" s="7"/>
      <c r="T362" s="7"/>
      <c r="U362" s="7"/>
      <c r="V362" s="7"/>
      <c r="BQ362" s="88" t="s">
        <v>24</v>
      </c>
      <c r="BR362" s="89">
        <f t="shared" si="54"/>
        <v>21</v>
      </c>
      <c r="BS362" s="90">
        <f t="shared" si="55"/>
        <v>0</v>
      </c>
      <c r="BT362" s="91" t="str">
        <f t="shared" si="56"/>
        <v/>
      </c>
      <c r="BU362" s="92">
        <f t="shared" si="57"/>
        <v>0</v>
      </c>
      <c r="BV362" s="93" t="str">
        <f t="shared" si="58"/>
        <v/>
      </c>
      <c r="BW362" s="93"/>
      <c r="BX362" s="93"/>
    </row>
    <row r="363" spans="3:76">
      <c r="C363" s="7"/>
      <c r="D363" s="179"/>
      <c r="E363" s="187"/>
      <c r="F363" s="7"/>
      <c r="G363" s="8"/>
      <c r="H363" s="8"/>
      <c r="I363" s="204"/>
      <c r="J363" s="7"/>
      <c r="K363" s="7"/>
      <c r="L363" s="7"/>
      <c r="M363" s="7"/>
      <c r="N363" s="8"/>
      <c r="O363" s="9"/>
      <c r="P363" s="9"/>
      <c r="Q363" s="8"/>
      <c r="R363" s="8"/>
      <c r="S363" s="7"/>
      <c r="T363" s="7"/>
      <c r="U363" s="7"/>
      <c r="V363" s="7"/>
      <c r="BQ363" s="88" t="s">
        <v>24</v>
      </c>
      <c r="BR363" s="89">
        <f t="shared" si="54"/>
        <v>22</v>
      </c>
      <c r="BS363" s="90">
        <f t="shared" si="55"/>
        <v>0</v>
      </c>
      <c r="BT363" s="91" t="str">
        <f t="shared" si="56"/>
        <v/>
      </c>
      <c r="BU363" s="92">
        <f t="shared" si="57"/>
        <v>0</v>
      </c>
      <c r="BV363" s="93" t="str">
        <f t="shared" si="58"/>
        <v/>
      </c>
      <c r="BW363" s="93"/>
      <c r="BX363" s="93"/>
    </row>
    <row r="364" spans="3:76">
      <c r="C364" s="7"/>
      <c r="D364" s="179"/>
      <c r="E364" s="187"/>
      <c r="F364" s="7"/>
      <c r="G364" s="8"/>
      <c r="H364" s="8"/>
      <c r="I364" s="204"/>
      <c r="J364" s="7"/>
      <c r="K364" s="7"/>
      <c r="L364" s="7"/>
      <c r="M364" s="7"/>
      <c r="N364" s="8"/>
      <c r="O364" s="9"/>
      <c r="P364" s="9"/>
      <c r="Q364" s="8"/>
      <c r="R364" s="8"/>
      <c r="S364" s="7"/>
      <c r="T364" s="7"/>
      <c r="U364" s="7"/>
      <c r="V364" s="7"/>
      <c r="BQ364" s="88" t="s">
        <v>24</v>
      </c>
      <c r="BR364" s="89">
        <f t="shared" si="54"/>
        <v>23</v>
      </c>
      <c r="BS364" s="90">
        <f t="shared" si="55"/>
        <v>0</v>
      </c>
      <c r="BT364" s="91" t="str">
        <f t="shared" si="56"/>
        <v/>
      </c>
      <c r="BU364" s="92">
        <f t="shared" si="57"/>
        <v>0</v>
      </c>
      <c r="BV364" s="93" t="str">
        <f t="shared" si="58"/>
        <v/>
      </c>
      <c r="BW364" s="93"/>
      <c r="BX364" s="93"/>
    </row>
    <row r="365" spans="3:76">
      <c r="C365" s="7"/>
      <c r="D365" s="179"/>
      <c r="E365" s="187"/>
      <c r="F365" s="7"/>
      <c r="G365" s="8"/>
      <c r="H365" s="8"/>
      <c r="I365" s="204"/>
      <c r="J365" s="7"/>
      <c r="K365" s="7"/>
      <c r="L365" s="7"/>
      <c r="M365" s="7"/>
      <c r="N365" s="8"/>
      <c r="O365" s="9"/>
      <c r="P365" s="9"/>
      <c r="Q365" s="8"/>
      <c r="R365" s="8"/>
      <c r="S365" s="7"/>
      <c r="T365" s="7"/>
      <c r="U365" s="7"/>
      <c r="V365" s="7"/>
      <c r="BQ365" s="88" t="s">
        <v>24</v>
      </c>
      <c r="BR365" s="89">
        <f t="shared" si="54"/>
        <v>24</v>
      </c>
      <c r="BS365" s="90">
        <f t="shared" si="55"/>
        <v>0</v>
      </c>
      <c r="BT365" s="91" t="str">
        <f t="shared" si="56"/>
        <v/>
      </c>
      <c r="BU365" s="92">
        <f t="shared" si="57"/>
        <v>0</v>
      </c>
      <c r="BV365" s="93" t="str">
        <f t="shared" si="58"/>
        <v/>
      </c>
      <c r="BW365" s="93"/>
      <c r="BX365" s="93"/>
    </row>
    <row r="366" spans="3:76">
      <c r="C366" s="7"/>
      <c r="D366" s="179"/>
      <c r="E366" s="187"/>
      <c r="F366" s="7"/>
      <c r="G366" s="8"/>
      <c r="H366" s="8"/>
      <c r="I366" s="204"/>
      <c r="J366" s="7"/>
      <c r="K366" s="7"/>
      <c r="L366" s="7"/>
      <c r="M366" s="7"/>
      <c r="N366" s="8"/>
      <c r="O366" s="9"/>
      <c r="P366" s="9"/>
      <c r="Q366" s="8"/>
      <c r="R366" s="8"/>
      <c r="S366" s="7"/>
      <c r="T366" s="7"/>
      <c r="U366" s="7"/>
      <c r="V366" s="7"/>
      <c r="BQ366" s="88" t="s">
        <v>24</v>
      </c>
      <c r="BR366" s="89">
        <f t="shared" si="54"/>
        <v>25</v>
      </c>
      <c r="BS366" s="90">
        <f t="shared" si="55"/>
        <v>0</v>
      </c>
      <c r="BT366" s="91" t="str">
        <f t="shared" si="56"/>
        <v/>
      </c>
      <c r="BU366" s="92">
        <f t="shared" si="57"/>
        <v>0</v>
      </c>
      <c r="BV366" s="93" t="str">
        <f t="shared" si="58"/>
        <v/>
      </c>
      <c r="BW366" s="93"/>
      <c r="BX366" s="93"/>
    </row>
    <row r="367" spans="3:76">
      <c r="C367" s="7"/>
      <c r="D367" s="179"/>
      <c r="E367" s="187"/>
      <c r="F367" s="7"/>
      <c r="G367" s="8"/>
      <c r="H367" s="8"/>
      <c r="I367" s="204"/>
      <c r="J367" s="7"/>
      <c r="K367" s="7"/>
      <c r="L367" s="7"/>
      <c r="M367" s="7"/>
      <c r="N367" s="8"/>
      <c r="O367" s="9"/>
      <c r="P367" s="9"/>
      <c r="Q367" s="8"/>
      <c r="R367" s="8"/>
      <c r="S367" s="7"/>
      <c r="T367" s="7"/>
      <c r="U367" s="7"/>
      <c r="V367" s="7"/>
      <c r="BQ367" s="88" t="s">
        <v>24</v>
      </c>
      <c r="BR367" s="89">
        <f t="shared" si="54"/>
        <v>26</v>
      </c>
      <c r="BS367" s="90">
        <f t="shared" si="55"/>
        <v>0</v>
      </c>
      <c r="BT367" s="91" t="str">
        <f t="shared" si="56"/>
        <v/>
      </c>
      <c r="BU367" s="92">
        <f t="shared" si="57"/>
        <v>0</v>
      </c>
      <c r="BV367" s="93" t="str">
        <f t="shared" si="58"/>
        <v/>
      </c>
      <c r="BW367" s="93"/>
      <c r="BX367" s="93"/>
    </row>
    <row r="368" spans="3:76">
      <c r="C368" s="7"/>
      <c r="D368" s="179"/>
      <c r="E368" s="187"/>
      <c r="F368" s="7"/>
      <c r="G368" s="8"/>
      <c r="H368" s="8"/>
      <c r="I368" s="204"/>
      <c r="J368" s="7"/>
      <c r="K368" s="7"/>
      <c r="L368" s="7"/>
      <c r="M368" s="7"/>
      <c r="N368" s="8"/>
      <c r="O368" s="9"/>
      <c r="P368" s="9"/>
      <c r="Q368" s="8"/>
      <c r="R368" s="8"/>
      <c r="S368" s="7"/>
      <c r="T368" s="7"/>
      <c r="U368" s="7"/>
      <c r="V368" s="7"/>
      <c r="BQ368" s="88" t="s">
        <v>24</v>
      </c>
      <c r="BR368" s="89">
        <f t="shared" si="54"/>
        <v>27</v>
      </c>
      <c r="BS368" s="90">
        <f t="shared" si="55"/>
        <v>0</v>
      </c>
      <c r="BT368" s="91" t="str">
        <f t="shared" si="56"/>
        <v/>
      </c>
      <c r="BU368" s="92">
        <f t="shared" si="57"/>
        <v>0</v>
      </c>
      <c r="BV368" s="93" t="str">
        <f t="shared" si="58"/>
        <v/>
      </c>
      <c r="BW368" s="93"/>
      <c r="BX368" s="93"/>
    </row>
    <row r="369" spans="3:76">
      <c r="C369" s="7"/>
      <c r="D369" s="179"/>
      <c r="E369" s="187"/>
      <c r="F369" s="7"/>
      <c r="G369" s="8"/>
      <c r="H369" s="8"/>
      <c r="I369" s="204"/>
      <c r="J369" s="7"/>
      <c r="K369" s="7"/>
      <c r="L369" s="7"/>
      <c r="M369" s="7"/>
      <c r="N369" s="8"/>
      <c r="O369" s="9"/>
      <c r="P369" s="9"/>
      <c r="Q369" s="8"/>
      <c r="R369" s="8"/>
      <c r="S369" s="7"/>
      <c r="T369" s="7"/>
      <c r="U369" s="7"/>
      <c r="V369" s="7"/>
      <c r="BQ369" s="88" t="s">
        <v>24</v>
      </c>
      <c r="BR369" s="89">
        <f t="shared" si="54"/>
        <v>28</v>
      </c>
      <c r="BS369" s="90">
        <f t="shared" si="55"/>
        <v>0</v>
      </c>
      <c r="BT369" s="91" t="str">
        <f t="shared" si="56"/>
        <v/>
      </c>
      <c r="BU369" s="92">
        <f t="shared" si="57"/>
        <v>0</v>
      </c>
      <c r="BV369" s="93" t="str">
        <f t="shared" si="58"/>
        <v/>
      </c>
      <c r="BW369" s="93"/>
      <c r="BX369" s="93"/>
    </row>
    <row r="370" spans="3:76">
      <c r="C370" s="7"/>
      <c r="D370" s="179"/>
      <c r="E370" s="187"/>
      <c r="F370" s="7"/>
      <c r="G370" s="8"/>
      <c r="H370" s="8"/>
      <c r="I370" s="204"/>
      <c r="J370" s="7"/>
      <c r="K370" s="7"/>
      <c r="L370" s="7"/>
      <c r="M370" s="7"/>
      <c r="N370" s="8"/>
      <c r="O370" s="9"/>
      <c r="P370" s="9"/>
      <c r="Q370" s="8"/>
      <c r="R370" s="8"/>
      <c r="S370" s="7"/>
      <c r="T370" s="7"/>
      <c r="U370" s="7"/>
      <c r="V370" s="7"/>
      <c r="BQ370" s="88" t="s">
        <v>24</v>
      </c>
      <c r="BR370" s="89">
        <f t="shared" si="54"/>
        <v>29</v>
      </c>
      <c r="BS370" s="90">
        <f t="shared" si="55"/>
        <v>0</v>
      </c>
      <c r="BT370" s="91" t="str">
        <f t="shared" si="56"/>
        <v/>
      </c>
      <c r="BU370" s="92">
        <f t="shared" si="57"/>
        <v>0</v>
      </c>
      <c r="BV370" s="93" t="str">
        <f t="shared" si="58"/>
        <v/>
      </c>
      <c r="BW370" s="93"/>
      <c r="BX370" s="93"/>
    </row>
    <row r="371" spans="3:76">
      <c r="C371" s="7"/>
      <c r="D371" s="179"/>
      <c r="E371" s="187"/>
      <c r="F371" s="7"/>
      <c r="G371" s="8"/>
      <c r="H371" s="8"/>
      <c r="I371" s="204"/>
      <c r="J371" s="7"/>
      <c r="K371" s="7"/>
      <c r="L371" s="7"/>
      <c r="M371" s="7"/>
      <c r="N371" s="8"/>
      <c r="O371" s="9"/>
      <c r="P371" s="9"/>
      <c r="Q371" s="8"/>
      <c r="R371" s="8"/>
      <c r="S371" s="7"/>
      <c r="T371" s="7"/>
      <c r="U371" s="7"/>
      <c r="V371" s="7"/>
      <c r="BQ371" s="88" t="s">
        <v>24</v>
      </c>
      <c r="BR371" s="89">
        <f t="shared" si="54"/>
        <v>30</v>
      </c>
      <c r="BS371" s="90">
        <f t="shared" si="55"/>
        <v>0</v>
      </c>
      <c r="BT371" s="91" t="str">
        <f t="shared" si="56"/>
        <v/>
      </c>
      <c r="BU371" s="92">
        <f t="shared" si="57"/>
        <v>0</v>
      </c>
      <c r="BV371" s="93" t="str">
        <f t="shared" si="58"/>
        <v/>
      </c>
      <c r="BW371" s="93"/>
      <c r="BX371" s="93"/>
    </row>
    <row r="372" spans="3:76">
      <c r="C372" s="7"/>
      <c r="D372" s="179"/>
      <c r="E372" s="187"/>
      <c r="F372" s="7"/>
      <c r="G372" s="8"/>
      <c r="H372" s="8"/>
      <c r="I372" s="204"/>
      <c r="J372" s="7"/>
      <c r="K372" s="7"/>
      <c r="L372" s="7"/>
      <c r="M372" s="7"/>
      <c r="N372" s="8"/>
      <c r="O372" s="9"/>
      <c r="P372" s="9"/>
      <c r="Q372" s="8"/>
      <c r="R372" s="8"/>
      <c r="S372" s="7"/>
      <c r="T372" s="7"/>
      <c r="U372" s="7"/>
      <c r="V372" s="7"/>
      <c r="BQ372" s="223" t="s">
        <v>24</v>
      </c>
      <c r="BR372" s="224">
        <f t="shared" si="54"/>
        <v>31</v>
      </c>
      <c r="BS372" s="225">
        <f t="shared" si="55"/>
        <v>0</v>
      </c>
      <c r="BT372" s="226" t="str">
        <f t="shared" si="56"/>
        <v/>
      </c>
      <c r="BU372" s="227">
        <f t="shared" si="57"/>
        <v>0</v>
      </c>
      <c r="BV372" s="228" t="str">
        <f t="shared" si="58"/>
        <v/>
      </c>
      <c r="BW372" s="228"/>
      <c r="BX372" s="228"/>
    </row>
    <row r="373" spans="3:76" ht="18.75" thickBot="1">
      <c r="C373" s="7"/>
      <c r="D373" s="179"/>
      <c r="E373" s="187"/>
      <c r="F373" s="7"/>
      <c r="G373" s="8"/>
      <c r="H373" s="8"/>
      <c r="I373" s="204"/>
      <c r="J373" s="7"/>
      <c r="K373" s="7"/>
      <c r="L373" s="7"/>
      <c r="M373" s="7"/>
      <c r="N373" s="8"/>
      <c r="O373" s="9"/>
      <c r="P373" s="9"/>
      <c r="Q373" s="8"/>
      <c r="R373" s="8"/>
      <c r="S373" s="7"/>
      <c r="T373" s="7"/>
      <c r="U373" s="7"/>
      <c r="V373" s="7"/>
      <c r="BQ373" s="138" t="s">
        <v>24</v>
      </c>
      <c r="BR373" s="139">
        <f t="shared" si="54"/>
        <v>32</v>
      </c>
      <c r="BS373" s="144">
        <f t="shared" si="55"/>
        <v>0</v>
      </c>
      <c r="BT373" s="143" t="str">
        <f t="shared" si="56"/>
        <v/>
      </c>
      <c r="BU373" s="142">
        <f t="shared" si="57"/>
        <v>0</v>
      </c>
      <c r="BV373" s="143" t="str">
        <f t="shared" si="58"/>
        <v/>
      </c>
      <c r="BW373" s="143"/>
      <c r="BX373" s="143"/>
    </row>
    <row r="374" spans="3:76">
      <c r="C374" s="7"/>
      <c r="D374" s="179"/>
      <c r="E374" s="187"/>
      <c r="F374" s="7"/>
      <c r="G374" s="8"/>
      <c r="H374" s="8"/>
      <c r="I374" s="204"/>
      <c r="J374" s="7"/>
      <c r="K374" s="7"/>
      <c r="L374" s="7"/>
      <c r="M374" s="7"/>
      <c r="N374" s="8"/>
      <c r="O374" s="9"/>
      <c r="P374" s="9"/>
      <c r="Q374" s="8"/>
      <c r="R374" s="8"/>
      <c r="S374" s="7"/>
      <c r="T374" s="7"/>
      <c r="U374" s="7"/>
      <c r="V374" s="7"/>
      <c r="BQ374" s="148"/>
      <c r="BR374" s="149"/>
      <c r="BS374" s="150"/>
      <c r="BT374" s="151"/>
      <c r="BU374" s="150"/>
      <c r="BV374" s="151"/>
      <c r="BW374" s="151"/>
      <c r="BX374" s="151"/>
    </row>
    <row r="375" spans="3:76">
      <c r="C375" s="7"/>
      <c r="D375" s="179"/>
      <c r="E375" s="187"/>
      <c r="F375" s="7"/>
      <c r="G375" s="8"/>
      <c r="H375" s="8"/>
      <c r="I375" s="204"/>
      <c r="J375" s="7"/>
      <c r="K375" s="7"/>
      <c r="L375" s="7"/>
      <c r="M375" s="7"/>
      <c r="N375" s="8"/>
      <c r="O375" s="9"/>
      <c r="P375" s="9"/>
      <c r="Q375" s="8"/>
      <c r="R375" s="8"/>
      <c r="S375" s="7"/>
      <c r="T375" s="7"/>
      <c r="U375" s="7"/>
      <c r="V375" s="7"/>
      <c r="BQ375" s="148"/>
      <c r="BR375" s="149"/>
      <c r="BS375" s="150"/>
      <c r="BT375" s="151"/>
      <c r="BU375" s="150"/>
      <c r="BV375" s="151"/>
      <c r="BW375" s="151"/>
      <c r="BX375" s="151"/>
    </row>
    <row r="376" spans="3:76">
      <c r="C376" s="7"/>
      <c r="D376" s="179"/>
      <c r="E376" s="187"/>
      <c r="F376" s="7"/>
      <c r="G376" s="8"/>
      <c r="H376" s="8"/>
      <c r="I376" s="204"/>
      <c r="J376" s="7"/>
      <c r="K376" s="7"/>
      <c r="L376" s="7"/>
      <c r="M376" s="7"/>
      <c r="N376" s="8"/>
      <c r="O376" s="9"/>
      <c r="P376" s="9"/>
      <c r="Q376" s="8"/>
      <c r="R376" s="8"/>
      <c r="S376" s="7"/>
      <c r="T376" s="7"/>
      <c r="U376" s="7"/>
      <c r="V376" s="7"/>
      <c r="BQ376" s="148"/>
      <c r="BR376" s="149"/>
      <c r="BS376" s="150"/>
      <c r="BT376" s="151"/>
      <c r="BU376" s="150"/>
      <c r="BV376" s="151"/>
      <c r="BW376" s="151"/>
      <c r="BX376" s="151"/>
    </row>
    <row r="377" spans="3:76">
      <c r="C377" s="7"/>
      <c r="D377" s="179"/>
      <c r="E377" s="187"/>
      <c r="F377" s="7"/>
      <c r="G377" s="8"/>
      <c r="H377" s="8"/>
      <c r="I377" s="204"/>
      <c r="J377" s="7"/>
      <c r="K377" s="7"/>
      <c r="L377" s="7"/>
      <c r="M377" s="7"/>
      <c r="N377" s="8"/>
      <c r="O377" s="9"/>
      <c r="P377" s="9"/>
      <c r="Q377" s="8"/>
      <c r="R377" s="8"/>
      <c r="S377" s="7"/>
      <c r="T377" s="7"/>
      <c r="U377" s="7"/>
      <c r="V377" s="7"/>
      <c r="BQ377" s="148"/>
      <c r="BR377" s="149"/>
      <c r="BS377" s="150"/>
      <c r="BT377" s="151"/>
      <c r="BU377" s="150"/>
      <c r="BV377" s="151"/>
      <c r="BW377" s="151"/>
      <c r="BX377" s="151"/>
    </row>
    <row r="378" spans="3:76">
      <c r="C378" s="7"/>
      <c r="D378" s="179"/>
      <c r="E378" s="187"/>
      <c r="F378" s="7"/>
      <c r="G378" s="8"/>
      <c r="H378" s="8"/>
      <c r="I378" s="204"/>
      <c r="J378" s="7"/>
      <c r="K378" s="7"/>
      <c r="L378" s="7"/>
      <c r="M378" s="7"/>
      <c r="N378" s="8"/>
      <c r="O378" s="9"/>
      <c r="P378" s="9"/>
      <c r="Q378" s="8"/>
      <c r="R378" s="8"/>
      <c r="S378" s="7"/>
      <c r="T378" s="7"/>
      <c r="U378" s="7"/>
      <c r="V378" s="7"/>
      <c r="BQ378" s="148"/>
      <c r="BR378" s="149"/>
      <c r="BS378" s="150"/>
      <c r="BT378" s="151"/>
      <c r="BU378" s="150"/>
      <c r="BV378" s="151"/>
      <c r="BW378" s="151"/>
      <c r="BX378" s="151"/>
    </row>
    <row r="379" spans="3:76">
      <c r="C379" s="7"/>
      <c r="D379" s="179"/>
      <c r="E379" s="187"/>
      <c r="F379" s="7"/>
      <c r="G379" s="8"/>
      <c r="H379" s="8"/>
      <c r="I379" s="204"/>
      <c r="J379" s="7"/>
      <c r="K379" s="7"/>
      <c r="L379" s="7"/>
      <c r="M379" s="7"/>
      <c r="N379" s="8"/>
      <c r="O379" s="9"/>
      <c r="P379" s="9"/>
      <c r="Q379" s="8"/>
      <c r="R379" s="8"/>
      <c r="S379" s="7"/>
      <c r="T379" s="7"/>
      <c r="U379" s="7"/>
      <c r="V379" s="7"/>
      <c r="BQ379" s="148"/>
      <c r="BR379" s="149"/>
      <c r="BS379" s="150"/>
      <c r="BT379" s="151"/>
      <c r="BU379" s="150"/>
      <c r="BV379" s="151"/>
      <c r="BW379" s="151"/>
      <c r="BX379" s="151"/>
    </row>
    <row r="380" spans="3:76">
      <c r="C380" s="7"/>
      <c r="D380" s="179"/>
      <c r="E380" s="187"/>
      <c r="F380" s="7"/>
      <c r="G380" s="8"/>
      <c r="H380" s="8"/>
      <c r="I380" s="204"/>
      <c r="J380" s="7"/>
      <c r="K380" s="7"/>
      <c r="L380" s="7"/>
      <c r="M380" s="7"/>
      <c r="N380" s="8"/>
      <c r="O380" s="9"/>
      <c r="P380" s="9"/>
      <c r="Q380" s="8"/>
      <c r="R380" s="8"/>
      <c r="S380" s="7"/>
      <c r="T380" s="7"/>
      <c r="U380" s="7"/>
      <c r="V380" s="7"/>
      <c r="BQ380" s="148"/>
      <c r="BR380" s="149"/>
      <c r="BS380" s="150"/>
      <c r="BT380" s="151"/>
      <c r="BU380" s="150"/>
      <c r="BV380" s="151"/>
      <c r="BW380" s="151"/>
      <c r="BX380" s="151"/>
    </row>
    <row r="381" spans="3:76">
      <c r="C381" s="7"/>
      <c r="D381" s="179"/>
      <c r="E381" s="187"/>
      <c r="F381" s="7"/>
      <c r="G381" s="8"/>
      <c r="H381" s="8"/>
      <c r="I381" s="204"/>
      <c r="J381" s="7"/>
      <c r="K381" s="7"/>
      <c r="L381" s="7"/>
      <c r="M381" s="7"/>
      <c r="N381" s="8"/>
      <c r="O381" s="9"/>
      <c r="P381" s="9"/>
      <c r="Q381" s="8"/>
      <c r="R381" s="8"/>
      <c r="S381" s="7"/>
      <c r="T381" s="7"/>
      <c r="U381" s="7"/>
      <c r="V381" s="7"/>
      <c r="BQ381" s="148"/>
      <c r="BR381" s="149"/>
      <c r="BS381" s="150"/>
      <c r="BT381" s="151"/>
      <c r="BU381" s="150"/>
      <c r="BV381" s="151"/>
      <c r="BW381" s="151"/>
      <c r="BX381" s="151"/>
    </row>
    <row r="382" spans="3:76">
      <c r="C382" s="7"/>
      <c r="D382" s="179"/>
      <c r="E382" s="187"/>
      <c r="F382" s="7"/>
      <c r="G382" s="8"/>
      <c r="H382" s="8"/>
      <c r="I382" s="204"/>
      <c r="J382" s="7"/>
      <c r="K382" s="7"/>
      <c r="L382" s="7"/>
      <c r="M382" s="7"/>
      <c r="N382" s="8"/>
      <c r="O382" s="9"/>
      <c r="P382" s="9"/>
      <c r="Q382" s="8"/>
      <c r="R382" s="8"/>
      <c r="S382" s="7"/>
      <c r="T382" s="7"/>
      <c r="U382" s="7"/>
      <c r="V382" s="7"/>
      <c r="BQ382" s="148"/>
      <c r="BR382" s="149"/>
      <c r="BS382" s="150"/>
      <c r="BT382" s="151"/>
      <c r="BU382" s="150"/>
      <c r="BV382" s="151"/>
      <c r="BW382" s="151"/>
      <c r="BX382" s="151"/>
    </row>
    <row r="383" spans="3:76">
      <c r="C383" s="7"/>
      <c r="D383" s="179"/>
      <c r="E383" s="187"/>
      <c r="F383" s="7"/>
      <c r="G383" s="8"/>
      <c r="H383" s="8"/>
      <c r="I383" s="204"/>
      <c r="J383" s="7"/>
      <c r="K383" s="7"/>
      <c r="L383" s="7"/>
      <c r="M383" s="7"/>
      <c r="N383" s="8"/>
      <c r="O383" s="9"/>
      <c r="P383" s="9"/>
      <c r="Q383" s="8"/>
      <c r="R383" s="8"/>
      <c r="S383" s="7"/>
      <c r="T383" s="7"/>
      <c r="U383" s="7"/>
      <c r="V383" s="7"/>
      <c r="BQ383" s="148"/>
      <c r="BR383" s="149"/>
      <c r="BS383" s="150"/>
      <c r="BT383" s="151"/>
      <c r="BU383" s="150"/>
      <c r="BV383" s="151"/>
      <c r="BW383" s="151"/>
      <c r="BX383" s="151"/>
    </row>
    <row r="384" spans="3:76">
      <c r="BQ384" s="148"/>
      <c r="BR384" s="149"/>
      <c r="BS384" s="150"/>
      <c r="BT384" s="151"/>
      <c r="BU384" s="150"/>
      <c r="BV384" s="151"/>
      <c r="BW384" s="151"/>
      <c r="BX384" s="151"/>
    </row>
    <row r="385" spans="69:76">
      <c r="BQ385" s="148"/>
      <c r="BR385" s="149"/>
      <c r="BS385" s="150"/>
      <c r="BT385" s="151"/>
      <c r="BU385" s="150"/>
      <c r="BV385" s="151"/>
      <c r="BW385" s="151"/>
      <c r="BX385" s="151"/>
    </row>
    <row r="386" spans="69:76">
      <c r="BQ386" s="148"/>
      <c r="BR386" s="149"/>
      <c r="BS386" s="150"/>
      <c r="BT386" s="151"/>
      <c r="BU386" s="150"/>
      <c r="BV386" s="151"/>
      <c r="BW386" s="151"/>
      <c r="BX386" s="151"/>
    </row>
    <row r="387" spans="69:76">
      <c r="BQ387" s="148"/>
      <c r="BR387" s="149"/>
      <c r="BS387" s="150"/>
      <c r="BT387" s="151"/>
      <c r="BU387" s="150"/>
      <c r="BV387" s="151"/>
      <c r="BW387" s="151"/>
      <c r="BX387" s="151"/>
    </row>
    <row r="388" spans="69:76">
      <c r="BQ388" s="148"/>
      <c r="BR388" s="149"/>
      <c r="BS388" s="150"/>
      <c r="BT388" s="151"/>
      <c r="BU388" s="150"/>
      <c r="BV388" s="151"/>
      <c r="BW388" s="151"/>
      <c r="BX388" s="151"/>
    </row>
    <row r="389" spans="69:76">
      <c r="BQ389" s="148"/>
      <c r="BR389" s="149"/>
      <c r="BS389" s="150"/>
      <c r="BT389" s="151"/>
      <c r="BU389" s="150"/>
      <c r="BV389" s="151"/>
      <c r="BW389" s="151"/>
      <c r="BX389" s="151"/>
    </row>
    <row r="390" spans="69:76">
      <c r="BQ390" s="148"/>
      <c r="BR390" s="149"/>
      <c r="BS390" s="150"/>
      <c r="BT390" s="151"/>
      <c r="BU390" s="150"/>
      <c r="BV390" s="151"/>
      <c r="BW390" s="151"/>
      <c r="BX390" s="151"/>
    </row>
    <row r="391" spans="69:76">
      <c r="BQ391" s="148"/>
      <c r="BR391" s="149"/>
      <c r="BS391" s="150"/>
      <c r="BT391" s="151"/>
      <c r="BU391" s="150"/>
      <c r="BV391" s="151"/>
      <c r="BW391" s="151"/>
      <c r="BX391" s="151"/>
    </row>
    <row r="392" spans="69:76">
      <c r="BQ392" s="148"/>
      <c r="BR392" s="149"/>
      <c r="BS392" s="150"/>
      <c r="BT392" s="151"/>
      <c r="BU392" s="150"/>
      <c r="BV392" s="151"/>
      <c r="BW392" s="151"/>
      <c r="BX392" s="151"/>
    </row>
    <row r="393" spans="69:76">
      <c r="BQ393" s="148"/>
      <c r="BR393" s="149"/>
      <c r="BS393" s="150"/>
      <c r="BT393" s="151"/>
      <c r="BU393" s="150"/>
      <c r="BV393" s="151"/>
      <c r="BW393" s="151"/>
      <c r="BX393" s="151"/>
    </row>
    <row r="394" spans="69:76">
      <c r="BQ394" s="148"/>
      <c r="BR394" s="149"/>
      <c r="BS394" s="150"/>
      <c r="BT394" s="151"/>
      <c r="BU394" s="150"/>
      <c r="BV394" s="151"/>
      <c r="BW394" s="151"/>
      <c r="BX394" s="151"/>
    </row>
    <row r="395" spans="69:76">
      <c r="BQ395" s="148"/>
      <c r="BR395" s="149"/>
      <c r="BS395" s="150"/>
      <c r="BT395" s="151"/>
      <c r="BU395" s="150"/>
      <c r="BV395" s="151"/>
      <c r="BW395" s="151"/>
      <c r="BX395" s="151"/>
    </row>
    <row r="396" spans="69:76">
      <c r="BQ396" s="148"/>
      <c r="BR396" s="149"/>
      <c r="BS396" s="150"/>
      <c r="BT396" s="151"/>
      <c r="BU396" s="150"/>
      <c r="BV396" s="151"/>
      <c r="BW396" s="151"/>
      <c r="BX396" s="151"/>
    </row>
    <row r="397" spans="69:76">
      <c r="BQ397" s="148"/>
      <c r="BR397" s="149"/>
      <c r="BS397" s="150"/>
      <c r="BT397" s="151"/>
      <c r="BU397" s="150"/>
      <c r="BV397" s="151"/>
      <c r="BW397" s="151"/>
      <c r="BX397" s="151"/>
    </row>
    <row r="398" spans="69:76">
      <c r="BQ398" s="148"/>
      <c r="BR398" s="149"/>
      <c r="BS398" s="150"/>
      <c r="BT398" s="151"/>
      <c r="BU398" s="150"/>
      <c r="BV398" s="151"/>
      <c r="BW398" s="151"/>
      <c r="BX398" s="151"/>
    </row>
    <row r="399" spans="69:76">
      <c r="BQ399" s="148"/>
      <c r="BR399" s="149"/>
      <c r="BS399" s="150"/>
      <c r="BT399" s="151"/>
      <c r="BU399" s="150"/>
      <c r="BV399" s="151"/>
      <c r="BW399" s="151"/>
      <c r="BX399" s="151"/>
    </row>
    <row r="400" spans="69:76">
      <c r="BQ400" s="148"/>
      <c r="BR400" s="149"/>
      <c r="BS400" s="150"/>
      <c r="BT400" s="151"/>
      <c r="BU400" s="150"/>
      <c r="BV400" s="151"/>
      <c r="BW400" s="151"/>
      <c r="BX400" s="151"/>
    </row>
    <row r="401" spans="69:76">
      <c r="BQ401" s="148"/>
      <c r="BR401" s="149"/>
      <c r="BS401" s="150"/>
      <c r="BT401" s="151"/>
      <c r="BU401" s="150"/>
      <c r="BV401" s="151"/>
      <c r="BW401" s="151"/>
      <c r="BX401" s="151"/>
    </row>
    <row r="402" spans="69:76">
      <c r="BQ402" s="148"/>
      <c r="BR402" s="149"/>
      <c r="BS402" s="150"/>
      <c r="BT402" s="151"/>
      <c r="BU402" s="150"/>
      <c r="BV402" s="151"/>
      <c r="BW402" s="151"/>
      <c r="BX402" s="151"/>
    </row>
    <row r="403" spans="69:76">
      <c r="BQ403" s="148"/>
      <c r="BR403" s="149"/>
      <c r="BS403" s="150"/>
      <c r="BT403" s="151"/>
      <c r="BU403" s="150"/>
      <c r="BV403" s="151"/>
      <c r="BW403" s="151"/>
      <c r="BX403" s="151"/>
    </row>
    <row r="404" spans="69:76">
      <c r="BQ404" s="148"/>
      <c r="BR404" s="149"/>
      <c r="BS404" s="150"/>
      <c r="BT404" s="151"/>
      <c r="BU404" s="150"/>
      <c r="BV404" s="151"/>
      <c r="BW404" s="151"/>
      <c r="BX404" s="151"/>
    </row>
    <row r="405" spans="69:76">
      <c r="BQ405" s="148"/>
      <c r="BR405" s="149"/>
      <c r="BS405" s="150"/>
      <c r="BT405" s="151"/>
      <c r="BU405" s="150"/>
      <c r="BV405" s="151"/>
      <c r="BW405" s="151"/>
      <c r="BX405" s="151"/>
    </row>
  </sheetData>
  <mergeCells count="29">
    <mergeCell ref="Z108:AI108"/>
    <mergeCell ref="Z125:AI125"/>
    <mergeCell ref="K71:L71"/>
    <mergeCell ref="K72:L72"/>
    <mergeCell ref="K73:L73"/>
    <mergeCell ref="K101:L101"/>
    <mergeCell ref="K102:L102"/>
    <mergeCell ref="K103:L103"/>
    <mergeCell ref="CN31:CW31"/>
    <mergeCell ref="AG39:AN39"/>
    <mergeCell ref="AQ39:AX39"/>
    <mergeCell ref="BA39:BH39"/>
    <mergeCell ref="K40:L40"/>
    <mergeCell ref="C41:J41"/>
    <mergeCell ref="K41:L41"/>
    <mergeCell ref="M41:T41"/>
    <mergeCell ref="W41:AD41"/>
    <mergeCell ref="CN5:CW5"/>
    <mergeCell ref="CZ5:DI5"/>
    <mergeCell ref="CN14:CW14"/>
    <mergeCell ref="M22:V22"/>
    <mergeCell ref="W22:AF22"/>
    <mergeCell ref="CZ22:DI22"/>
    <mergeCell ref="C5:L5"/>
    <mergeCell ref="M5:V5"/>
    <mergeCell ref="W5:AF5"/>
    <mergeCell ref="AG5:AP5"/>
    <mergeCell ref="AQ5:AZ5"/>
    <mergeCell ref="BA5:BJ5"/>
  </mergeCells>
  <dataValidations count="5">
    <dataValidation type="whole" operator="lessThan" allowBlank="1" showInputMessage="1" showErrorMessage="1" errorTitle="Valeur non autorisée" error="Score compris ente 0 et 13" sqref="K52:L69 K6:L39 K42:L50">
      <formula1>14</formula1>
    </dataValidation>
    <dataValidation type="whole" operator="lessThan" allowBlank="1" showInputMessage="1" showErrorMessage="1" errorTitle="Score impossible" error="Score compris entre 0 et 13" sqref="BI52:BJ69 BI42:BJ50 AY6:AZ37 BI6:BJ37 AY42:AZ50 AY52:AZ69">
      <formula1>14</formula1>
    </dataValidation>
    <dataValidation type="custom" allowBlank="1" showInputMessage="1" showErrorMessage="1" sqref="B46:B49">
      <formula1>"z;;;w:::"</formula1>
    </dataValidation>
    <dataValidation type="whole" operator="lessThan" allowBlank="1" showInputMessage="1" showErrorMessage="1" errorTitle="Score impossible" error="Score entre 0 et 13" sqref="DH23:DI39 DH6:DI21 AE52:AF69 AH109:AI124 AH126:AI133 AH100:AI107 AE6:AF21 U6:V21 U42:V50 AO42:AP50 AO6:AP37 AO52:AP69 AE42:AF50 U52:V69 CV15:CW30 CV32:CW39 CV6:CW13 AE23:AF39 U23:V39">
      <formula1>14</formula1>
    </dataValidation>
    <dataValidation type="custom" allowBlank="1" showInputMessage="1" showErrorMessage="1" sqref="DD23:DD39 DF23:DF39 DA6:DG21 E28:E29 W40:AD40 AD109:AD124 AF117:AF124 AA100:AG107 AA109:AA113 AB109:AC115 AE109:AG115 AD126:AD133 AF126:AF133 Z134:Z200 Z71:AD99 AG71:AI99 AJ71:AN1048576 AQ6:AX38 AL6:AL21 BA40:BH50 AG6:AG38 M1:T4 W1:AD4 AG1:AN4 AQ1:AX4 BA1:BH4 E44:E1048576 C1:C4 BA52:BH69 E19:E21 AQ71:AX1048576 BA71:BH1048576 AQ40:AX50 AQ52:AX69 AG40:AN50 AG52:AN69 M71:T1048576 E6 W52:AD69 F71:J1048576 M52:T69 C42:D1048576 F52:J69 P18:P21 AG134:AI1048576 M42:T50 Z202:Z1048576 W71:Y1048576 M40:T40 AA134:AD1048576 Q6:T21 W42:AD50 M6:O21 AH38 C40:J40 AJ38 AJ6:AJ21 AL38 AH6:AH21 AN38 AN6:AN21 AM6:AM38 AK6:AK38 AI6:AI38 O23:O39 M23:M39 S23:S39 Q23:Q39 F42:J50 P6:P16 BA6:BH38 I6:J39 C6:D39 E31 F1:J4 E15:E17 E2:E3 E8:E10 E36:E39 E23 E33:E34 E42 F6:G39 D2:D4 CT23:CT30 CO6:CU13 CO15:CO19 CP15:CQ21 CS15:CU21 CT32:CT39 CR15:CR30 CR32:CR39 AA23:AA39 AC23:AC39 X6:AD21">
      <formula1>"x_y_z"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S328"/>
  <sheetViews>
    <sheetView tabSelected="1" workbookViewId="0">
      <selection activeCell="R22" sqref="R22"/>
    </sheetView>
  </sheetViews>
  <sheetFormatPr baseColWidth="10" defaultRowHeight="18"/>
  <cols>
    <col min="1" max="1" width="6" style="213" customWidth="1"/>
    <col min="2" max="2" width="8" style="213" customWidth="1"/>
    <col min="3" max="3" width="22.42578125" style="355" customWidth="1"/>
    <col min="4" max="15" width="6.140625" style="213" customWidth="1"/>
    <col min="16" max="17" width="11.42578125" style="213"/>
    <col min="18" max="18" width="14.28515625" customWidth="1"/>
    <col min="20" max="22" width="3.140625" customWidth="1"/>
    <col min="23" max="23" width="17.28515625" customWidth="1"/>
    <col min="24" max="24" width="3.140625" customWidth="1"/>
    <col min="25" max="25" width="13.85546875" customWidth="1"/>
    <col min="26" max="26" width="7.85546875" style="353" customWidth="1"/>
    <col min="27" max="27" width="6.85546875" style="251" customWidth="1"/>
    <col min="28" max="28" width="34.140625" style="357" customWidth="1"/>
    <col min="29" max="29" width="15" style="251" customWidth="1"/>
    <col min="30" max="30" width="11.42578125" style="251"/>
    <col min="31" max="31" width="13.7109375" style="298" customWidth="1"/>
    <col min="32" max="32" width="3.5703125" customWidth="1"/>
    <col min="33" max="33" width="4.140625" customWidth="1"/>
    <col min="34" max="34" width="3.7109375" customWidth="1"/>
    <col min="35" max="35" width="19.5703125" customWidth="1"/>
    <col min="36" max="36" width="19.140625" customWidth="1"/>
    <col min="37" max="37" width="4" customWidth="1"/>
    <col min="38" max="38" width="7.7109375" style="338" customWidth="1"/>
    <col min="39" max="39" width="22" style="326" customWidth="1"/>
    <col min="40" max="40" width="7.7109375" style="338" customWidth="1"/>
    <col min="41" max="41" width="22" style="326" customWidth="1"/>
    <col min="42" max="42" width="8.7109375" style="350" customWidth="1"/>
    <col min="43" max="43" width="24.28515625" style="326" customWidth="1"/>
    <col min="44" max="44" width="6" style="338" customWidth="1"/>
    <col min="45" max="45" width="23.85546875" style="240" customWidth="1"/>
    <col min="46" max="46" width="8.85546875" style="240" customWidth="1"/>
    <col min="47" max="50" width="9.42578125" style="240" customWidth="1"/>
    <col min="51" max="51" width="7" style="240" customWidth="1"/>
    <col min="52" max="52" width="7.28515625" customWidth="1"/>
    <col min="53" max="53" width="15" customWidth="1"/>
    <col min="54" max="54" width="11.7109375" customWidth="1"/>
    <col min="55" max="55" width="10" customWidth="1"/>
    <col min="56" max="56" width="11.42578125" style="298"/>
    <col min="57" max="57" width="27.42578125" style="298" customWidth="1"/>
    <col min="58" max="59" width="11.42578125" style="341"/>
    <col min="60" max="60" width="11.7109375" style="334" customWidth="1"/>
    <col min="61" max="61" width="11.42578125" style="251"/>
    <col min="62" max="62" width="11.7109375" style="251" customWidth="1"/>
    <col min="63" max="63" width="10" customWidth="1"/>
    <col min="65" max="65" width="27.42578125" customWidth="1"/>
    <col min="68" max="68" width="11.7109375" style="326" customWidth="1"/>
  </cols>
  <sheetData>
    <row r="1" spans="1:71" ht="26.25" thickBot="1">
      <c r="A1" s="210"/>
      <c r="B1" s="20">
        <v>1</v>
      </c>
      <c r="C1" s="232" t="s">
        <v>0</v>
      </c>
      <c r="D1" s="233"/>
      <c r="E1" s="233"/>
      <c r="F1" s="234"/>
      <c r="G1" s="234"/>
      <c r="H1" s="233"/>
      <c r="I1" s="233"/>
      <c r="J1" s="234"/>
      <c r="K1" s="234"/>
      <c r="L1" s="233"/>
      <c r="M1" s="233"/>
      <c r="N1" s="234"/>
      <c r="O1" s="234"/>
      <c r="P1" s="210">
        <f t="shared" ref="P1:P64" si="0">(D1+F1+H1+J1+L1+N1)-(E1+G1+I1+K1+M1+O1)</f>
        <v>0</v>
      </c>
      <c r="Q1" s="20">
        <f t="shared" ref="Q1:Q64" si="1">COUNTIF(D1,13)+COUNTIF(F1,13)+COUNTIF(H1,13)+COUNTIF(J1,13)+COUNTIF(L1,13)+COUNTIF(N1,13)</f>
        <v>0</v>
      </c>
      <c r="R1" s="235">
        <f>P130</f>
        <v>0</v>
      </c>
      <c r="Y1" s="236"/>
      <c r="Z1" s="237" t="s">
        <v>68</v>
      </c>
      <c r="AA1" s="237"/>
      <c r="AB1" s="237"/>
      <c r="AC1" s="237"/>
      <c r="AD1" s="237"/>
      <c r="AE1" s="236"/>
      <c r="AI1" s="238" t="s">
        <v>69</v>
      </c>
      <c r="AJ1" s="239" t="s">
        <v>70</v>
      </c>
      <c r="AK1" s="240"/>
      <c r="AL1" s="241">
        <v>1</v>
      </c>
      <c r="AM1" s="242" t="s">
        <v>0</v>
      </c>
      <c r="AN1" s="243">
        <v>1</v>
      </c>
      <c r="AO1" s="244" t="s">
        <v>0</v>
      </c>
      <c r="AP1" s="245">
        <v>27</v>
      </c>
      <c r="AQ1" s="246" t="s">
        <v>61</v>
      </c>
      <c r="AR1" s="247">
        <v>41</v>
      </c>
      <c r="AS1" s="248" t="s">
        <v>35</v>
      </c>
      <c r="AT1" s="249"/>
      <c r="AU1" s="248"/>
      <c r="BA1" s="250"/>
      <c r="BB1" s="236"/>
      <c r="BC1" s="237" t="s">
        <v>71</v>
      </c>
      <c r="BD1" s="237"/>
      <c r="BE1" s="237"/>
      <c r="BF1" s="237"/>
      <c r="BG1" s="237"/>
      <c r="BH1" s="236"/>
      <c r="BJ1" s="252"/>
      <c r="BK1" s="253" t="s">
        <v>72</v>
      </c>
      <c r="BL1" s="253"/>
      <c r="BM1" s="253"/>
      <c r="BN1" s="253"/>
      <c r="BO1" s="253"/>
      <c r="BP1" s="254"/>
      <c r="BS1">
        <v>1</v>
      </c>
    </row>
    <row r="2" spans="1:71" ht="18.75" thickBot="1">
      <c r="A2" s="210"/>
      <c r="B2" s="255">
        <v>2</v>
      </c>
      <c r="C2" s="256" t="s">
        <v>1</v>
      </c>
      <c r="D2" s="233"/>
      <c r="E2" s="233"/>
      <c r="F2" s="234"/>
      <c r="G2" s="234"/>
      <c r="H2" s="233"/>
      <c r="I2" s="233"/>
      <c r="J2" s="234"/>
      <c r="K2" s="234"/>
      <c r="L2" s="233"/>
      <c r="M2" s="233"/>
      <c r="N2" s="234"/>
      <c r="O2" s="234"/>
      <c r="P2" s="210">
        <f t="shared" si="0"/>
        <v>0</v>
      </c>
      <c r="Q2" s="255">
        <f t="shared" si="1"/>
        <v>0</v>
      </c>
      <c r="Y2" s="236"/>
      <c r="Z2" s="257"/>
      <c r="AA2" s="258" t="s">
        <v>73</v>
      </c>
      <c r="AB2" s="259" t="s">
        <v>74</v>
      </c>
      <c r="AC2" s="260" t="s">
        <v>75</v>
      </c>
      <c r="AD2" s="260" t="s">
        <v>76</v>
      </c>
      <c r="AE2" s="236"/>
      <c r="AG2">
        <f>[1]tirage!G4</f>
        <v>26</v>
      </c>
      <c r="AI2" s="261">
        <v>52</v>
      </c>
      <c r="AJ2" s="262">
        <v>26</v>
      </c>
      <c r="AK2" s="240"/>
      <c r="AL2" s="241">
        <v>2</v>
      </c>
      <c r="AM2" s="242" t="s">
        <v>1</v>
      </c>
      <c r="AN2" s="243">
        <v>2</v>
      </c>
      <c r="AO2" s="244" t="s">
        <v>1</v>
      </c>
      <c r="AP2" s="245">
        <v>28</v>
      </c>
      <c r="AQ2" s="246" t="s">
        <v>32</v>
      </c>
      <c r="AR2" s="247">
        <v>42</v>
      </c>
      <c r="AS2" s="248" t="s">
        <v>55</v>
      </c>
      <c r="AT2" s="249"/>
      <c r="AU2" s="263"/>
      <c r="AV2" s="263"/>
      <c r="AW2" s="263"/>
      <c r="AX2" s="263"/>
      <c r="AY2" s="263"/>
      <c r="AZ2" s="264"/>
      <c r="BA2" s="265"/>
      <c r="BB2" s="264"/>
      <c r="BC2" s="266"/>
      <c r="BD2" s="267"/>
      <c r="BE2" s="268"/>
      <c r="BF2" s="269"/>
      <c r="BG2" s="269"/>
      <c r="BH2" s="264"/>
      <c r="BI2" s="270"/>
      <c r="BJ2" s="264"/>
      <c r="BK2" s="266"/>
      <c r="BL2" s="267"/>
      <c r="BM2" s="268"/>
      <c r="BN2" s="269"/>
      <c r="BO2" s="271"/>
      <c r="BP2" s="254"/>
      <c r="BS2">
        <v>2</v>
      </c>
    </row>
    <row r="3" spans="1:71" ht="18.75" thickBot="1">
      <c r="A3" s="28"/>
      <c r="B3" s="272">
        <v>3</v>
      </c>
      <c r="C3" s="273" t="s">
        <v>3</v>
      </c>
      <c r="D3" s="233"/>
      <c r="E3" s="233"/>
      <c r="F3" s="234"/>
      <c r="G3" s="234"/>
      <c r="H3" s="233"/>
      <c r="I3" s="233"/>
      <c r="J3" s="234"/>
      <c r="K3" s="234"/>
      <c r="L3" s="233"/>
      <c r="M3" s="233"/>
      <c r="N3" s="234"/>
      <c r="O3" s="234"/>
      <c r="P3" s="210">
        <f t="shared" si="0"/>
        <v>0</v>
      </c>
      <c r="Q3" s="274">
        <f t="shared" si="1"/>
        <v>0</v>
      </c>
      <c r="W3" s="275" t="s">
        <v>77</v>
      </c>
      <c r="Y3" s="236"/>
      <c r="Z3" s="276">
        <v>1</v>
      </c>
      <c r="AA3" s="277">
        <v>1</v>
      </c>
      <c r="AB3" s="278" t="str">
        <f ca="1">INDIRECT("c1")</f>
        <v>CHRISTIAN LEBARS</v>
      </c>
      <c r="AC3" s="279">
        <f ca="1">INDIRECT("q1")</f>
        <v>0</v>
      </c>
      <c r="AD3" s="279">
        <f ca="1">INDIRECT("p1")</f>
        <v>0</v>
      </c>
      <c r="AE3" s="236"/>
      <c r="AI3" s="238"/>
      <c r="AJ3" s="239" t="s">
        <v>78</v>
      </c>
      <c r="AK3" s="240"/>
      <c r="AL3" s="241">
        <v>3</v>
      </c>
      <c r="AM3" s="242" t="s">
        <v>3</v>
      </c>
      <c r="AN3" s="243">
        <v>3</v>
      </c>
      <c r="AO3" s="244" t="s">
        <v>3</v>
      </c>
      <c r="AP3" s="245">
        <v>29</v>
      </c>
      <c r="AQ3" s="246" t="s">
        <v>51</v>
      </c>
      <c r="AR3" s="247">
        <v>43</v>
      </c>
      <c r="AS3" s="248" t="s">
        <v>44</v>
      </c>
      <c r="AT3" s="249"/>
      <c r="AU3" s="276">
        <v>1</v>
      </c>
      <c r="AV3" s="280">
        <v>3</v>
      </c>
      <c r="AW3" s="281" t="str">
        <f ca="1">INDIRECT("c3")</f>
        <v xml:space="preserve">THIERRY </v>
      </c>
      <c r="AX3" s="282">
        <f ca="1">INDIRECT("q3")</f>
        <v>0</v>
      </c>
      <c r="AY3" s="282">
        <f ca="1">INDIRECT("p3")</f>
        <v>0</v>
      </c>
      <c r="AZ3" s="264"/>
      <c r="BA3" s="265"/>
      <c r="BB3" s="264"/>
      <c r="BC3" s="277"/>
      <c r="BD3" s="283"/>
      <c r="BE3" s="278"/>
      <c r="BF3" s="279"/>
      <c r="BG3" s="279"/>
      <c r="BH3" s="266"/>
      <c r="BI3" s="270"/>
      <c r="BJ3" s="264"/>
      <c r="BK3" s="277"/>
      <c r="BL3" s="283"/>
      <c r="BM3" s="278"/>
      <c r="BN3" s="279"/>
      <c r="BO3" s="279"/>
      <c r="BP3" s="284"/>
      <c r="BS3">
        <v>3</v>
      </c>
    </row>
    <row r="4" spans="1:71" ht="18.75" thickBot="1">
      <c r="A4" s="28"/>
      <c r="B4" s="272">
        <v>4</v>
      </c>
      <c r="C4" s="273" t="s">
        <v>2</v>
      </c>
      <c r="D4" s="233"/>
      <c r="E4" s="233"/>
      <c r="F4" s="234"/>
      <c r="G4" s="234"/>
      <c r="H4" s="233"/>
      <c r="I4" s="233"/>
      <c r="J4" s="234"/>
      <c r="K4" s="234"/>
      <c r="L4" s="233"/>
      <c r="M4" s="233"/>
      <c r="N4" s="234"/>
      <c r="O4" s="234"/>
      <c r="P4" s="210">
        <f t="shared" si="0"/>
        <v>0</v>
      </c>
      <c r="Q4" s="274">
        <f t="shared" si="1"/>
        <v>0</v>
      </c>
      <c r="W4" s="285"/>
      <c r="Y4" s="236"/>
      <c r="Z4" s="276">
        <v>2</v>
      </c>
      <c r="AA4" s="280">
        <v>2</v>
      </c>
      <c r="AB4" s="281" t="str">
        <f ca="1">INDIRECT("c2")</f>
        <v>ROBERTE</v>
      </c>
      <c r="AC4" s="282">
        <f ca="1">INDIRECT("q2")</f>
        <v>0</v>
      </c>
      <c r="AD4" s="282">
        <f ca="1">INDIRECT("p2")</f>
        <v>0</v>
      </c>
      <c r="AE4" s="236"/>
      <c r="AI4" s="286"/>
      <c r="AJ4" s="287">
        <v>26</v>
      </c>
      <c r="AK4" s="240"/>
      <c r="AL4" s="241">
        <v>4</v>
      </c>
      <c r="AM4" s="242" t="s">
        <v>2</v>
      </c>
      <c r="AN4" s="243">
        <v>4</v>
      </c>
      <c r="AO4" s="244" t="s">
        <v>2</v>
      </c>
      <c r="AP4" s="245">
        <v>30</v>
      </c>
      <c r="AQ4" s="246" t="s">
        <v>57</v>
      </c>
      <c r="AR4" s="247">
        <v>44</v>
      </c>
      <c r="AS4" s="248" t="s">
        <v>47</v>
      </c>
      <c r="AT4" s="249"/>
      <c r="AU4" s="276">
        <v>2</v>
      </c>
      <c r="AV4" s="288">
        <v>27</v>
      </c>
      <c r="AW4" s="281" t="str">
        <f ca="1">INDIRECT("c27")</f>
        <v>MICHEL CHARLES</v>
      </c>
      <c r="AX4" s="282">
        <f ca="1">INDIRECT("q27")</f>
        <v>0</v>
      </c>
      <c r="AY4" s="282">
        <f ca="1">INDIRECT("p27")</f>
        <v>0</v>
      </c>
      <c r="AZ4" s="264"/>
      <c r="BA4" s="265"/>
      <c r="BB4" s="264"/>
      <c r="BC4" s="277"/>
      <c r="BD4" s="277"/>
      <c r="BE4" s="278"/>
      <c r="BF4" s="279"/>
      <c r="BG4" s="279"/>
      <c r="BH4" s="266"/>
      <c r="BI4" s="289"/>
      <c r="BJ4" s="264"/>
      <c r="BK4" s="277"/>
      <c r="BL4" s="283"/>
      <c r="BM4" s="278"/>
      <c r="BN4" s="279"/>
      <c r="BO4" s="279"/>
      <c r="BP4" s="284"/>
      <c r="BS4">
        <v>4</v>
      </c>
    </row>
    <row r="5" spans="1:71" ht="18.75" thickBot="1">
      <c r="A5" s="28"/>
      <c r="B5" s="272">
        <v>5</v>
      </c>
      <c r="C5" s="273" t="s">
        <v>12</v>
      </c>
      <c r="D5" s="233"/>
      <c r="E5" s="233"/>
      <c r="F5" s="234"/>
      <c r="G5" s="234"/>
      <c r="H5" s="233"/>
      <c r="I5" s="233"/>
      <c r="J5" s="234"/>
      <c r="K5" s="234"/>
      <c r="L5" s="233"/>
      <c r="M5" s="233"/>
      <c r="N5" s="234"/>
      <c r="O5" s="234"/>
      <c r="P5" s="210">
        <f t="shared" si="0"/>
        <v>0</v>
      </c>
      <c r="Q5" s="274">
        <f t="shared" si="1"/>
        <v>0</v>
      </c>
      <c r="W5" s="285"/>
      <c r="Y5" s="236"/>
      <c r="Z5" s="276">
        <v>3</v>
      </c>
      <c r="AA5" s="290">
        <v>3</v>
      </c>
      <c r="AB5" s="291" t="str">
        <f ca="1">INDIRECT("c3")</f>
        <v xml:space="preserve">THIERRY </v>
      </c>
      <c r="AC5" s="292">
        <f ca="1">INDIRECT("q3")</f>
        <v>0</v>
      </c>
      <c r="AD5" s="292">
        <f ca="1">INDIRECT("p3")</f>
        <v>0</v>
      </c>
      <c r="AE5" s="236"/>
      <c r="AI5">
        <v>52</v>
      </c>
      <c r="AJ5" s="239" t="s">
        <v>79</v>
      </c>
      <c r="AK5" s="240"/>
      <c r="AL5" s="241">
        <v>5</v>
      </c>
      <c r="AM5" s="242" t="s">
        <v>12</v>
      </c>
      <c r="AN5" s="243">
        <v>5</v>
      </c>
      <c r="AO5" s="244" t="s">
        <v>12</v>
      </c>
      <c r="AP5" s="245">
        <v>31</v>
      </c>
      <c r="AQ5" s="246" t="s">
        <v>39</v>
      </c>
      <c r="AR5" s="247">
        <v>45</v>
      </c>
      <c r="AS5" s="248" t="s">
        <v>38</v>
      </c>
      <c r="AT5" s="249"/>
      <c r="AU5" s="276">
        <v>3</v>
      </c>
      <c r="AV5" s="288">
        <v>47</v>
      </c>
      <c r="AW5" s="281" t="str">
        <f ca="1">INDIRECT("c47")</f>
        <v>HERMAN</v>
      </c>
      <c r="AX5" s="282">
        <f ca="1">INDIRECT("q47")</f>
        <v>0</v>
      </c>
      <c r="AY5" s="282">
        <f ca="1">INDIRECT("p47")</f>
        <v>0</v>
      </c>
      <c r="AZ5" s="264"/>
      <c r="BA5" s="265"/>
      <c r="BB5" s="264"/>
      <c r="BC5" s="277"/>
      <c r="BD5" s="283"/>
      <c r="BE5" s="278"/>
      <c r="BF5" s="279"/>
      <c r="BG5" s="279"/>
      <c r="BH5" s="266"/>
      <c r="BI5" s="289"/>
      <c r="BJ5" s="264"/>
      <c r="BK5" s="277"/>
      <c r="BL5" s="283"/>
      <c r="BM5" s="278"/>
      <c r="BN5" s="279"/>
      <c r="BO5" s="279"/>
      <c r="BP5" s="284"/>
      <c r="BS5">
        <v>5</v>
      </c>
    </row>
    <row r="6" spans="1:71" ht="18.75" thickBot="1">
      <c r="A6" s="28"/>
      <c r="B6" s="293">
        <v>6</v>
      </c>
      <c r="C6" s="256" t="s">
        <v>19</v>
      </c>
      <c r="D6" s="233"/>
      <c r="E6" s="233"/>
      <c r="F6" s="234"/>
      <c r="G6" s="234"/>
      <c r="H6" s="233"/>
      <c r="I6" s="233"/>
      <c r="J6" s="234"/>
      <c r="K6" s="234"/>
      <c r="L6" s="233"/>
      <c r="M6" s="233"/>
      <c r="N6" s="234"/>
      <c r="O6" s="234"/>
      <c r="P6" s="210">
        <f t="shared" si="0"/>
        <v>0</v>
      </c>
      <c r="Q6" s="255">
        <f t="shared" si="1"/>
        <v>0</v>
      </c>
      <c r="R6" s="294"/>
      <c r="S6" s="295"/>
      <c r="W6" s="285"/>
      <c r="Y6" s="236"/>
      <c r="Z6" s="276">
        <v>4</v>
      </c>
      <c r="AA6" s="290">
        <v>4</v>
      </c>
      <c r="AB6" s="291" t="str">
        <f ca="1">INDIRECT("c4")</f>
        <v>COLETTE</v>
      </c>
      <c r="AC6" s="292">
        <f ca="1">INDIRECT("q4")</f>
        <v>0</v>
      </c>
      <c r="AD6" s="292">
        <f ca="1">INDIRECT("p4")</f>
        <v>0</v>
      </c>
      <c r="AE6" s="236"/>
      <c r="AJ6" s="296">
        <v>0</v>
      </c>
      <c r="AK6" s="240"/>
      <c r="AL6" s="241">
        <v>6</v>
      </c>
      <c r="AM6" s="242" t="s">
        <v>19</v>
      </c>
      <c r="AN6" s="243">
        <v>6</v>
      </c>
      <c r="AO6" s="244" t="s">
        <v>19</v>
      </c>
      <c r="AP6" s="245">
        <v>32</v>
      </c>
      <c r="AQ6" s="246" t="s">
        <v>54</v>
      </c>
      <c r="AR6" s="247">
        <v>46</v>
      </c>
      <c r="AS6" s="248" t="s">
        <v>48</v>
      </c>
      <c r="AT6" s="249"/>
      <c r="AU6" s="276">
        <v>4</v>
      </c>
      <c r="AV6" s="280">
        <v>2</v>
      </c>
      <c r="AW6" s="281" t="str">
        <f ca="1">INDIRECT("c2")</f>
        <v>ROBERTE</v>
      </c>
      <c r="AX6" s="282">
        <f ca="1">INDIRECT("q2")</f>
        <v>0</v>
      </c>
      <c r="AY6" s="282">
        <f ca="1">INDIRECT("p2")</f>
        <v>0</v>
      </c>
      <c r="AZ6" s="264"/>
      <c r="BA6" s="265"/>
      <c r="BB6" s="264"/>
      <c r="BC6" s="277"/>
      <c r="BD6" s="283"/>
      <c r="BE6" s="278"/>
      <c r="BF6" s="279"/>
      <c r="BG6" s="279"/>
      <c r="BH6" s="266"/>
      <c r="BI6" s="289"/>
      <c r="BJ6" s="264"/>
      <c r="BK6" s="277"/>
      <c r="BL6" s="283"/>
      <c r="BM6" s="278"/>
      <c r="BN6" s="279"/>
      <c r="BO6" s="279"/>
      <c r="BP6" s="284"/>
      <c r="BS6">
        <v>6</v>
      </c>
    </row>
    <row r="7" spans="1:71" ht="18.75" thickBot="1">
      <c r="A7" s="28"/>
      <c r="B7" s="293">
        <v>7</v>
      </c>
      <c r="C7" s="256" t="s">
        <v>16</v>
      </c>
      <c r="D7" s="233"/>
      <c r="E7" s="233"/>
      <c r="F7" s="234"/>
      <c r="G7" s="234"/>
      <c r="H7" s="233"/>
      <c r="I7" s="233"/>
      <c r="J7" s="234"/>
      <c r="K7" s="234"/>
      <c r="L7" s="233"/>
      <c r="M7" s="233"/>
      <c r="N7" s="234"/>
      <c r="O7" s="234"/>
      <c r="P7" s="210">
        <f t="shared" si="0"/>
        <v>0</v>
      </c>
      <c r="Q7" s="255">
        <f t="shared" si="1"/>
        <v>0</v>
      </c>
      <c r="R7" s="294"/>
      <c r="S7" s="295"/>
      <c r="W7" s="285"/>
      <c r="Y7" s="236"/>
      <c r="Z7" s="276">
        <v>5</v>
      </c>
      <c r="AA7" s="290">
        <v>5</v>
      </c>
      <c r="AB7" s="291" t="str">
        <f ca="1">INDIRECT("c5")</f>
        <v>PASCALE VALERIE</v>
      </c>
      <c r="AC7" s="292">
        <f ca="1">INDIRECT("q5")</f>
        <v>0</v>
      </c>
      <c r="AD7" s="292">
        <f ca="1">INDIRECT("p5")</f>
        <v>0</v>
      </c>
      <c r="AE7" s="236"/>
      <c r="AI7" s="297">
        <f>AI2+AI4</f>
        <v>52</v>
      </c>
      <c r="AJ7" s="297">
        <f>AJ2+AJ4+AJ6</f>
        <v>52</v>
      </c>
      <c r="AK7" s="240"/>
      <c r="AL7" s="241">
        <v>7</v>
      </c>
      <c r="AM7" s="242" t="s">
        <v>16</v>
      </c>
      <c r="AN7" s="243">
        <v>7</v>
      </c>
      <c r="AO7" s="244" t="s">
        <v>16</v>
      </c>
      <c r="AP7" s="245">
        <v>33</v>
      </c>
      <c r="AQ7" s="246" t="s">
        <v>26</v>
      </c>
      <c r="AR7" s="247">
        <v>47</v>
      </c>
      <c r="AS7" s="248" t="s">
        <v>60</v>
      </c>
      <c r="AT7" s="249"/>
      <c r="AU7" s="276">
        <v>5</v>
      </c>
      <c r="AV7" s="288">
        <v>28</v>
      </c>
      <c r="AW7" s="281" t="str">
        <f ca="1">INDIRECT("c28")</f>
        <v>JOSIANE ODILE</v>
      </c>
      <c r="AX7" s="282">
        <f ca="1">INDIRECT("q28")</f>
        <v>0</v>
      </c>
      <c r="AY7" s="282">
        <f ca="1">INDIRECT("p28")</f>
        <v>0</v>
      </c>
      <c r="AZ7" s="264"/>
      <c r="BA7" s="265"/>
      <c r="BB7" s="264"/>
      <c r="BC7" s="277"/>
      <c r="BD7" s="283"/>
      <c r="BE7" s="278"/>
      <c r="BF7" s="279"/>
      <c r="BG7" s="279"/>
      <c r="BH7" s="266"/>
      <c r="BI7" s="270"/>
      <c r="BJ7" s="264"/>
      <c r="BK7" s="277"/>
      <c r="BL7" s="283"/>
      <c r="BM7" s="278"/>
      <c r="BN7" s="279"/>
      <c r="BO7" s="279"/>
      <c r="BP7" s="284"/>
      <c r="BS7">
        <v>7</v>
      </c>
    </row>
    <row r="8" spans="1:71">
      <c r="A8" s="28"/>
      <c r="B8" s="28">
        <v>8</v>
      </c>
      <c r="C8" s="232" t="s">
        <v>23</v>
      </c>
      <c r="D8" s="233"/>
      <c r="E8" s="233"/>
      <c r="F8" s="234"/>
      <c r="G8" s="234"/>
      <c r="H8" s="233"/>
      <c r="I8" s="233"/>
      <c r="J8" s="234"/>
      <c r="K8" s="234"/>
      <c r="L8" s="233"/>
      <c r="M8" s="233"/>
      <c r="N8" s="234"/>
      <c r="O8" s="234"/>
      <c r="P8" s="210">
        <f t="shared" si="0"/>
        <v>0</v>
      </c>
      <c r="Q8" s="20">
        <f t="shared" si="1"/>
        <v>0</v>
      </c>
      <c r="R8" s="294"/>
      <c r="S8" s="295"/>
      <c r="W8" s="285"/>
      <c r="Y8" s="236"/>
      <c r="Z8" s="276">
        <v>6</v>
      </c>
      <c r="AA8" s="280">
        <v>6</v>
      </c>
      <c r="AB8" s="281" t="str">
        <f ca="1">INDIRECT("c6")</f>
        <v>DRAPEAU SERGE</v>
      </c>
      <c r="AC8" s="282">
        <f ca="1">INDIRECT("q6")</f>
        <v>0</v>
      </c>
      <c r="AD8" s="282">
        <f ca="1">INDIRECT("p6")</f>
        <v>0</v>
      </c>
      <c r="AE8" s="236"/>
      <c r="AI8" s="298"/>
      <c r="AK8" s="240"/>
      <c r="AL8" s="241">
        <v>8</v>
      </c>
      <c r="AM8" s="242" t="s">
        <v>23</v>
      </c>
      <c r="AN8" s="243">
        <v>8</v>
      </c>
      <c r="AO8" s="244" t="s">
        <v>23</v>
      </c>
      <c r="AP8" s="245">
        <v>34</v>
      </c>
      <c r="AQ8" s="246" t="s">
        <v>34</v>
      </c>
      <c r="AR8" s="247">
        <v>48</v>
      </c>
      <c r="AS8" s="248" t="s">
        <v>59</v>
      </c>
      <c r="AT8" s="249"/>
      <c r="AU8" s="276">
        <v>6</v>
      </c>
      <c r="AV8" s="288">
        <v>42</v>
      </c>
      <c r="AW8" s="281" t="str">
        <f ca="1">INDIRECT("c42")</f>
        <v>PATRICK FLORENCE</v>
      </c>
      <c r="AX8" s="282">
        <f ca="1">INDIRECT("q42")</f>
        <v>0</v>
      </c>
      <c r="AY8" s="282">
        <f ca="1">INDIRECT("p42")</f>
        <v>0</v>
      </c>
      <c r="AZ8" s="264"/>
      <c r="BA8" s="265"/>
      <c r="BB8" s="264"/>
      <c r="BC8" s="277"/>
      <c r="BD8" s="283"/>
      <c r="BE8" s="278"/>
      <c r="BF8" s="279"/>
      <c r="BG8" s="279"/>
      <c r="BH8" s="266"/>
      <c r="BI8" s="270"/>
      <c r="BJ8" s="264"/>
      <c r="BK8" s="277"/>
      <c r="BL8" s="277"/>
      <c r="BM8" s="278"/>
      <c r="BN8" s="279"/>
      <c r="BO8" s="279"/>
      <c r="BP8" s="284"/>
      <c r="BS8">
        <v>8</v>
      </c>
    </row>
    <row r="9" spans="1:71">
      <c r="A9" s="28"/>
      <c r="B9" s="272">
        <v>9</v>
      </c>
      <c r="C9" s="273" t="s">
        <v>20</v>
      </c>
      <c r="D9" s="233"/>
      <c r="E9" s="233"/>
      <c r="F9" s="234"/>
      <c r="G9" s="234"/>
      <c r="H9" s="233"/>
      <c r="I9" s="233"/>
      <c r="J9" s="234"/>
      <c r="K9" s="234"/>
      <c r="L9" s="233"/>
      <c r="M9" s="233"/>
      <c r="N9" s="234"/>
      <c r="O9" s="234"/>
      <c r="P9" s="210">
        <f t="shared" si="0"/>
        <v>0</v>
      </c>
      <c r="Q9" s="274">
        <f t="shared" si="1"/>
        <v>0</v>
      </c>
      <c r="R9" s="294"/>
      <c r="Y9" s="236"/>
      <c r="Z9" s="276">
        <v>7</v>
      </c>
      <c r="AA9" s="280">
        <v>7</v>
      </c>
      <c r="AB9" s="281" t="str">
        <f ca="1">INDIRECT("c7")</f>
        <v>HUBERT DEDE</v>
      </c>
      <c r="AC9" s="282">
        <f ca="1">INDIRECT("q7")</f>
        <v>0</v>
      </c>
      <c r="AD9" s="282">
        <f ca="1">INDIRECT("p7")</f>
        <v>0</v>
      </c>
      <c r="AE9" s="236"/>
      <c r="AI9" s="298"/>
      <c r="AK9" s="240"/>
      <c r="AL9" s="241">
        <v>9</v>
      </c>
      <c r="AM9" s="242" t="s">
        <v>20</v>
      </c>
      <c r="AN9" s="243">
        <v>9</v>
      </c>
      <c r="AO9" s="244" t="s">
        <v>20</v>
      </c>
      <c r="AP9" s="245">
        <v>35</v>
      </c>
      <c r="AQ9" s="246" t="s">
        <v>29</v>
      </c>
      <c r="AR9" s="247">
        <v>49</v>
      </c>
      <c r="AS9" s="248" t="s">
        <v>49</v>
      </c>
      <c r="AT9" s="249"/>
      <c r="AU9" s="276">
        <v>7</v>
      </c>
      <c r="AV9" s="288">
        <v>51</v>
      </c>
      <c r="AW9" s="281" t="str">
        <f ca="1">INDIRECT("c51")</f>
        <v>BEAUDOUIN</v>
      </c>
      <c r="AX9" s="282">
        <f ca="1">INDIRECT("q51")</f>
        <v>0</v>
      </c>
      <c r="AY9" s="282">
        <f ca="1">INDIRECT("p51")</f>
        <v>0</v>
      </c>
      <c r="AZ9" s="264"/>
      <c r="BA9" s="265"/>
      <c r="BB9" s="264"/>
      <c r="BC9" s="277"/>
      <c r="BD9" s="283"/>
      <c r="BE9" s="278"/>
      <c r="BF9" s="279"/>
      <c r="BG9" s="279"/>
      <c r="BH9" s="266"/>
      <c r="BI9" s="270"/>
      <c r="BJ9" s="264"/>
      <c r="BK9" s="277"/>
      <c r="BL9" s="283"/>
      <c r="BM9" s="278"/>
      <c r="BN9" s="279"/>
      <c r="BO9" s="279"/>
      <c r="BP9" s="284"/>
      <c r="BS9">
        <v>9</v>
      </c>
    </row>
    <row r="10" spans="1:71">
      <c r="A10" s="28"/>
      <c r="B10" s="293">
        <v>10</v>
      </c>
      <c r="C10" s="256" t="s">
        <v>33</v>
      </c>
      <c r="D10" s="233"/>
      <c r="E10" s="233"/>
      <c r="F10" s="234"/>
      <c r="G10" s="234"/>
      <c r="H10" s="233"/>
      <c r="I10" s="233"/>
      <c r="J10" s="234"/>
      <c r="K10" s="234"/>
      <c r="L10" s="233"/>
      <c r="M10" s="233"/>
      <c r="N10" s="234"/>
      <c r="O10" s="234"/>
      <c r="P10" s="210">
        <f t="shared" si="0"/>
        <v>0</v>
      </c>
      <c r="Q10" s="255">
        <f t="shared" si="1"/>
        <v>0</v>
      </c>
      <c r="R10" s="294"/>
      <c r="W10" s="299" t="s">
        <v>80</v>
      </c>
      <c r="Y10" s="236"/>
      <c r="Z10" s="276">
        <v>8</v>
      </c>
      <c r="AA10" s="277">
        <v>8</v>
      </c>
      <c r="AB10" s="278" t="str">
        <f ca="1">INDIRECT("c8")</f>
        <v>JEAN NOEL - G G</v>
      </c>
      <c r="AC10" s="279">
        <f ca="1">INDIRECT("q8")</f>
        <v>0</v>
      </c>
      <c r="AD10" s="279">
        <f ca="1">INDIRECT("p8")</f>
        <v>0</v>
      </c>
      <c r="AE10" s="236"/>
      <c r="AG10" s="240"/>
      <c r="AI10" s="298"/>
      <c r="AJ10">
        <f>AJ2+AJ4</f>
        <v>52</v>
      </c>
      <c r="AK10" s="240"/>
      <c r="AL10" s="241">
        <v>10</v>
      </c>
      <c r="AM10" s="242" t="s">
        <v>33</v>
      </c>
      <c r="AN10" s="243">
        <v>10</v>
      </c>
      <c r="AO10" s="244" t="s">
        <v>33</v>
      </c>
      <c r="AP10" s="245">
        <v>36</v>
      </c>
      <c r="AQ10" s="246" t="s">
        <v>45</v>
      </c>
      <c r="AR10" s="247">
        <v>50</v>
      </c>
      <c r="AS10" s="248" t="s">
        <v>62</v>
      </c>
      <c r="AT10" s="249"/>
      <c r="AU10" s="276">
        <v>8</v>
      </c>
      <c r="AV10" s="288">
        <v>33</v>
      </c>
      <c r="AW10" s="281" t="str">
        <f ca="1">INDIRECT("c33")</f>
        <v>SERGE MARTIAL</v>
      </c>
      <c r="AX10" s="282">
        <f ca="1">INDIRECT("q33")</f>
        <v>0</v>
      </c>
      <c r="AY10" s="282">
        <f ca="1">INDIRECT("p33")</f>
        <v>0</v>
      </c>
      <c r="AZ10" s="264"/>
      <c r="BA10" s="265"/>
      <c r="BB10" s="264"/>
      <c r="BC10" s="277"/>
      <c r="BD10" s="283"/>
      <c r="BE10" s="278"/>
      <c r="BF10" s="279"/>
      <c r="BG10" s="279"/>
      <c r="BH10" s="266"/>
      <c r="BI10" s="270"/>
      <c r="BJ10" s="264"/>
      <c r="BK10" s="277"/>
      <c r="BL10" s="277"/>
      <c r="BM10" s="278"/>
      <c r="BN10" s="279"/>
      <c r="BO10" s="279"/>
      <c r="BP10" s="284"/>
      <c r="BS10">
        <v>10</v>
      </c>
    </row>
    <row r="11" spans="1:71">
      <c r="A11" s="28"/>
      <c r="B11" s="272">
        <v>11</v>
      </c>
      <c r="C11" s="273" t="s">
        <v>17</v>
      </c>
      <c r="D11" s="233"/>
      <c r="E11" s="233"/>
      <c r="F11" s="234"/>
      <c r="G11" s="234"/>
      <c r="H11" s="233"/>
      <c r="I11" s="233"/>
      <c r="J11" s="234"/>
      <c r="K11" s="234"/>
      <c r="L11" s="233"/>
      <c r="M11" s="233"/>
      <c r="N11" s="234"/>
      <c r="O11" s="234"/>
      <c r="P11" s="210">
        <f t="shared" si="0"/>
        <v>0</v>
      </c>
      <c r="Q11" s="274">
        <f t="shared" si="1"/>
        <v>0</v>
      </c>
      <c r="R11" s="294"/>
      <c r="W11" s="236"/>
      <c r="Y11" s="236"/>
      <c r="Z11" s="276">
        <v>9</v>
      </c>
      <c r="AA11" s="290">
        <v>9</v>
      </c>
      <c r="AB11" s="291" t="str">
        <f ca="1">INDIRECT("c9")</f>
        <v>JEAN CLAUDE BEBEL</v>
      </c>
      <c r="AC11" s="292">
        <f ca="1">INDIRECT("q9")</f>
        <v>0</v>
      </c>
      <c r="AD11" s="292">
        <f ca="1">INDIRECT("p9")</f>
        <v>0</v>
      </c>
      <c r="AE11" s="236"/>
      <c r="AG11" s="240"/>
      <c r="AI11" s="298"/>
      <c r="AK11" s="240"/>
      <c r="AL11" s="241">
        <v>11</v>
      </c>
      <c r="AM11" s="242" t="s">
        <v>17</v>
      </c>
      <c r="AN11" s="243">
        <v>11</v>
      </c>
      <c r="AO11" s="244" t="s">
        <v>17</v>
      </c>
      <c r="AP11" s="245">
        <v>37</v>
      </c>
      <c r="AQ11" s="246" t="s">
        <v>40</v>
      </c>
      <c r="AR11" s="247">
        <v>51</v>
      </c>
      <c r="AS11" s="248" t="s">
        <v>37</v>
      </c>
      <c r="AT11" s="249"/>
      <c r="AU11" s="276">
        <v>9</v>
      </c>
      <c r="AV11" s="288">
        <v>39</v>
      </c>
      <c r="AW11" s="281" t="str">
        <f ca="1">INDIRECT("c39")</f>
        <v>LOLO GEGE</v>
      </c>
      <c r="AX11" s="282">
        <f ca="1">INDIRECT("q39")</f>
        <v>0</v>
      </c>
      <c r="AY11" s="282">
        <f ca="1">INDIRECT("p39")</f>
        <v>0</v>
      </c>
      <c r="AZ11" s="264"/>
      <c r="BA11" s="265"/>
      <c r="BB11" s="264"/>
      <c r="BC11" s="277"/>
      <c r="BD11" s="277"/>
      <c r="BE11" s="278"/>
      <c r="BF11" s="279"/>
      <c r="BG11" s="279"/>
      <c r="BH11" s="266"/>
      <c r="BI11" s="270"/>
      <c r="BJ11" s="264"/>
      <c r="BK11" s="277"/>
      <c r="BL11" s="277"/>
      <c r="BM11" s="278"/>
      <c r="BN11" s="279"/>
      <c r="BO11" s="279"/>
      <c r="BP11" s="284"/>
      <c r="BS11">
        <v>11</v>
      </c>
    </row>
    <row r="12" spans="1:71">
      <c r="A12" s="28"/>
      <c r="B12" s="272">
        <v>12</v>
      </c>
      <c r="C12" s="273" t="s">
        <v>28</v>
      </c>
      <c r="D12" s="233"/>
      <c r="E12" s="233"/>
      <c r="F12" s="234"/>
      <c r="G12" s="234"/>
      <c r="H12" s="233"/>
      <c r="I12" s="233"/>
      <c r="J12" s="234"/>
      <c r="K12" s="234"/>
      <c r="L12" s="233"/>
      <c r="M12" s="233"/>
      <c r="N12" s="234"/>
      <c r="O12" s="234"/>
      <c r="P12" s="210">
        <f t="shared" si="0"/>
        <v>0</v>
      </c>
      <c r="Q12" s="274">
        <f t="shared" si="1"/>
        <v>0</v>
      </c>
      <c r="R12" s="294"/>
      <c r="W12" s="236"/>
      <c r="Y12" s="236"/>
      <c r="Z12" s="276">
        <v>10</v>
      </c>
      <c r="AA12" s="280">
        <v>10</v>
      </c>
      <c r="AB12" s="281" t="str">
        <f ca="1">INDIRECT("c10")</f>
        <v>DIDIER ALAIN</v>
      </c>
      <c r="AC12" s="282">
        <f ca="1">INDIRECT("q10")</f>
        <v>0</v>
      </c>
      <c r="AD12" s="282">
        <f ca="1">INDIRECT("p10")</f>
        <v>0</v>
      </c>
      <c r="AE12" s="236"/>
      <c r="AI12" s="298"/>
      <c r="AK12" s="240"/>
      <c r="AL12" s="241">
        <v>12</v>
      </c>
      <c r="AM12" s="242" t="s">
        <v>28</v>
      </c>
      <c r="AN12" s="243">
        <v>12</v>
      </c>
      <c r="AO12" s="244" t="s">
        <v>28</v>
      </c>
      <c r="AP12" s="245">
        <v>38</v>
      </c>
      <c r="AQ12" s="246" t="s">
        <v>56</v>
      </c>
      <c r="AR12" s="247">
        <v>52</v>
      </c>
      <c r="AS12" s="248" t="s">
        <v>58</v>
      </c>
      <c r="AT12" s="249"/>
      <c r="AU12" s="276">
        <v>10</v>
      </c>
      <c r="AV12" s="288">
        <v>16</v>
      </c>
      <c r="AW12" s="281" t="str">
        <f ca="1">INDIRECT("c16")</f>
        <v xml:space="preserve">JACKY JEAN CLAUDE </v>
      </c>
      <c r="AX12" s="282">
        <f ca="1">INDIRECT("q16")</f>
        <v>0</v>
      </c>
      <c r="AY12" s="282">
        <f ca="1">INDIRECT("p16")</f>
        <v>0</v>
      </c>
      <c r="AZ12" s="264"/>
      <c r="BA12" s="265"/>
      <c r="BB12" s="264"/>
      <c r="BC12" s="277"/>
      <c r="BD12" s="283"/>
      <c r="BE12" s="278"/>
      <c r="BF12" s="279"/>
      <c r="BG12" s="279"/>
      <c r="BH12" s="266"/>
      <c r="BI12" s="270"/>
      <c r="BJ12" s="264"/>
      <c r="BK12" s="277"/>
      <c r="BL12" s="283"/>
      <c r="BM12" s="278"/>
      <c r="BN12" s="279"/>
      <c r="BO12" s="279"/>
      <c r="BP12" s="284"/>
      <c r="BS12">
        <v>12</v>
      </c>
    </row>
    <row r="13" spans="1:71">
      <c r="A13" s="28"/>
      <c r="B13" s="272">
        <v>13</v>
      </c>
      <c r="C13" s="273" t="s">
        <v>25</v>
      </c>
      <c r="D13" s="233"/>
      <c r="E13" s="233"/>
      <c r="F13" s="234"/>
      <c r="G13" s="234"/>
      <c r="H13" s="233"/>
      <c r="I13" s="233"/>
      <c r="J13" s="234"/>
      <c r="K13" s="234"/>
      <c r="L13" s="233"/>
      <c r="M13" s="233"/>
      <c r="N13" s="234"/>
      <c r="O13" s="234"/>
      <c r="P13" s="210">
        <f t="shared" si="0"/>
        <v>0</v>
      </c>
      <c r="Q13" s="274">
        <f t="shared" si="1"/>
        <v>0</v>
      </c>
      <c r="R13" s="294"/>
      <c r="W13" s="236"/>
      <c r="Y13" s="236"/>
      <c r="Z13" s="300">
        <v>11</v>
      </c>
      <c r="AA13" s="301">
        <v>11</v>
      </c>
      <c r="AB13" s="291" t="str">
        <f ca="1">INDIRECT("c11")</f>
        <v>JOSETTE  ROGER</v>
      </c>
      <c r="AC13" s="292">
        <f ca="1">INDIRECT("q11")</f>
        <v>0</v>
      </c>
      <c r="AD13" s="292">
        <f ca="1">INDIRECT("p11")</f>
        <v>0</v>
      </c>
      <c r="AE13" s="236"/>
      <c r="AI13" s="298"/>
      <c r="AK13" s="240"/>
      <c r="AL13" s="302">
        <v>13</v>
      </c>
      <c r="AM13" s="303" t="s">
        <v>25</v>
      </c>
      <c r="AN13" s="304">
        <v>13</v>
      </c>
      <c r="AO13" s="305" t="s">
        <v>25</v>
      </c>
      <c r="AP13" s="306">
        <v>39</v>
      </c>
      <c r="AQ13" s="307" t="s">
        <v>50</v>
      </c>
      <c r="AR13" s="247"/>
      <c r="AS13" s="248"/>
      <c r="AT13" s="249"/>
      <c r="AU13" s="300">
        <v>11</v>
      </c>
      <c r="AV13" s="288">
        <v>24</v>
      </c>
      <c r="AW13" s="281" t="str">
        <f ca="1">INDIRECT("C24")</f>
        <v>PACO FRANCOIS</v>
      </c>
      <c r="AX13" s="282">
        <f ca="1">INDIRECT("q24")</f>
        <v>0</v>
      </c>
      <c r="AY13" s="282">
        <f ca="1">INDIRECT("p24")</f>
        <v>0</v>
      </c>
      <c r="AZ13" s="264"/>
      <c r="BA13" s="265"/>
      <c r="BB13" s="264"/>
      <c r="BC13" s="283"/>
      <c r="BD13" s="283"/>
      <c r="BE13" s="278"/>
      <c r="BF13" s="279"/>
      <c r="BG13" s="279"/>
      <c r="BH13" s="266"/>
      <c r="BI13" s="270"/>
      <c r="BJ13" s="264"/>
      <c r="BK13" s="283"/>
      <c r="BL13" s="283"/>
      <c r="BM13" s="278"/>
      <c r="BN13" s="279"/>
      <c r="BO13" s="279"/>
      <c r="BP13" s="284"/>
      <c r="BS13">
        <v>13</v>
      </c>
    </row>
    <row r="14" spans="1:71">
      <c r="A14" s="28"/>
      <c r="B14" s="28">
        <v>14</v>
      </c>
      <c r="C14" s="232" t="s">
        <v>5</v>
      </c>
      <c r="D14" s="233"/>
      <c r="E14" s="233"/>
      <c r="F14" s="234"/>
      <c r="G14" s="234"/>
      <c r="H14" s="233"/>
      <c r="I14" s="233"/>
      <c r="J14" s="234"/>
      <c r="K14" s="234"/>
      <c r="L14" s="233"/>
      <c r="M14" s="233"/>
      <c r="N14" s="234"/>
      <c r="O14" s="234"/>
      <c r="P14" s="210">
        <f t="shared" si="0"/>
        <v>0</v>
      </c>
      <c r="Q14" s="20">
        <f t="shared" si="1"/>
        <v>0</v>
      </c>
      <c r="R14" s="294"/>
      <c r="W14" s="236"/>
      <c r="Y14" s="236"/>
      <c r="Z14" s="300">
        <v>12</v>
      </c>
      <c r="AA14" s="301">
        <v>12</v>
      </c>
      <c r="AB14" s="291" t="str">
        <f ca="1">INDIRECT("c12")</f>
        <v>MICHEL DEDE</v>
      </c>
      <c r="AC14" s="292">
        <f ca="1">INDIRECT("q12")</f>
        <v>0</v>
      </c>
      <c r="AD14" s="292">
        <f ca="1">INDIRECT("p12")</f>
        <v>0</v>
      </c>
      <c r="AE14" s="236"/>
      <c r="AJ14" s="308"/>
      <c r="AK14" s="309"/>
      <c r="AL14" s="241">
        <v>14</v>
      </c>
      <c r="AM14" s="242" t="s">
        <v>5</v>
      </c>
      <c r="AN14" s="243">
        <v>14</v>
      </c>
      <c r="AO14" s="244" t="s">
        <v>5</v>
      </c>
      <c r="AP14" s="245">
        <v>40</v>
      </c>
      <c r="AQ14" s="246" t="s">
        <v>53</v>
      </c>
      <c r="AR14" s="247"/>
      <c r="AS14" s="248"/>
      <c r="AT14" s="249"/>
      <c r="AU14" s="300">
        <v>12</v>
      </c>
      <c r="AV14" s="288">
        <v>12</v>
      </c>
      <c r="AW14" s="281" t="str">
        <f ca="1">INDIRECT("c12")</f>
        <v>MICHEL DEDE</v>
      </c>
      <c r="AX14" s="282">
        <f ca="1">INDIRECT("q12")</f>
        <v>0</v>
      </c>
      <c r="AY14" s="282">
        <f ca="1">INDIRECT("p12")</f>
        <v>0</v>
      </c>
      <c r="AZ14" s="264"/>
      <c r="BA14" s="265"/>
      <c r="BB14" s="264"/>
      <c r="BC14" s="283"/>
      <c r="BD14" s="283"/>
      <c r="BE14" s="278"/>
      <c r="BF14" s="279"/>
      <c r="BG14" s="279"/>
      <c r="BH14" s="266"/>
      <c r="BI14" s="270"/>
      <c r="BJ14" s="264"/>
      <c r="BK14" s="283"/>
      <c r="BL14" s="283"/>
      <c r="BM14" s="278"/>
      <c r="BN14" s="279"/>
      <c r="BO14" s="279"/>
      <c r="BP14" s="284"/>
      <c r="BS14">
        <v>14</v>
      </c>
    </row>
    <row r="15" spans="1:71">
      <c r="A15" s="28"/>
      <c r="B15" s="272">
        <v>15</v>
      </c>
      <c r="C15" s="273" t="s">
        <v>4</v>
      </c>
      <c r="D15" s="233"/>
      <c r="E15" s="233"/>
      <c r="F15" s="234"/>
      <c r="G15" s="234"/>
      <c r="H15" s="233"/>
      <c r="I15" s="233"/>
      <c r="J15" s="234"/>
      <c r="K15" s="234"/>
      <c r="L15" s="233"/>
      <c r="M15" s="233"/>
      <c r="N15" s="234"/>
      <c r="O15" s="234"/>
      <c r="P15" s="210">
        <f t="shared" si="0"/>
        <v>0</v>
      </c>
      <c r="Q15" s="274">
        <f t="shared" si="1"/>
        <v>0</v>
      </c>
      <c r="R15" s="294"/>
      <c r="W15" s="236"/>
      <c r="Y15" s="236"/>
      <c r="Z15" s="300">
        <v>13</v>
      </c>
      <c r="AA15" s="301">
        <v>13</v>
      </c>
      <c r="AB15" s="291" t="str">
        <f ca="1">INDIRECT("c13")</f>
        <v>MONIQUE JESUS</v>
      </c>
      <c r="AC15" s="292">
        <f ca="1">INDIRECT("q13")</f>
        <v>0</v>
      </c>
      <c r="AD15" s="292">
        <f ca="1">INDIRECT("p13")</f>
        <v>0</v>
      </c>
      <c r="AE15" s="236"/>
      <c r="AK15" s="240"/>
      <c r="AL15" s="241">
        <v>15</v>
      </c>
      <c r="AM15" s="242" t="s">
        <v>4</v>
      </c>
      <c r="AN15" s="243">
        <v>15</v>
      </c>
      <c r="AO15" s="244" t="s">
        <v>4</v>
      </c>
      <c r="AP15" s="245">
        <v>41</v>
      </c>
      <c r="AQ15" s="246" t="s">
        <v>35</v>
      </c>
      <c r="AR15" s="247"/>
      <c r="AS15" s="248"/>
      <c r="AT15" s="249"/>
      <c r="AU15" s="300">
        <v>13</v>
      </c>
      <c r="AV15" s="301">
        <v>37</v>
      </c>
      <c r="AW15" s="291" t="str">
        <f ca="1">INDIRECT("c37")</f>
        <v>DOMINIQUE CHRISTIAN</v>
      </c>
      <c r="AX15" s="292">
        <f ca="1">INDIRECT("q37")</f>
        <v>0</v>
      </c>
      <c r="AY15" s="292">
        <f ca="1">INDIRECT("p37")</f>
        <v>0</v>
      </c>
      <c r="AZ15" s="264"/>
      <c r="BA15" s="265"/>
      <c r="BB15" s="264"/>
      <c r="BC15" s="283"/>
      <c r="BD15" s="283"/>
      <c r="BE15" s="278"/>
      <c r="BF15" s="279"/>
      <c r="BG15" s="279"/>
      <c r="BH15" s="266"/>
      <c r="BI15" s="270"/>
      <c r="BJ15" s="264"/>
      <c r="BK15" s="283"/>
      <c r="BL15" s="277"/>
      <c r="BM15" s="278"/>
      <c r="BN15" s="279"/>
      <c r="BO15" s="279"/>
      <c r="BP15" s="284"/>
      <c r="BS15">
        <v>15</v>
      </c>
    </row>
    <row r="16" spans="1:71">
      <c r="A16" s="28"/>
      <c r="B16" s="28">
        <v>16</v>
      </c>
      <c r="C16" s="232" t="s">
        <v>36</v>
      </c>
      <c r="D16" s="233"/>
      <c r="E16" s="233"/>
      <c r="F16" s="234"/>
      <c r="G16" s="234"/>
      <c r="H16" s="233"/>
      <c r="I16" s="233"/>
      <c r="J16" s="234"/>
      <c r="K16" s="234"/>
      <c r="L16" s="233"/>
      <c r="M16" s="233"/>
      <c r="N16" s="234"/>
      <c r="O16" s="234"/>
      <c r="P16" s="210">
        <f t="shared" si="0"/>
        <v>0</v>
      </c>
      <c r="Q16" s="20">
        <f t="shared" si="1"/>
        <v>0</v>
      </c>
      <c r="R16" s="294"/>
      <c r="W16" s="236"/>
      <c r="Y16" s="236"/>
      <c r="Z16" s="300">
        <v>14</v>
      </c>
      <c r="AA16" s="283">
        <v>14</v>
      </c>
      <c r="AB16" s="278" t="str">
        <f ca="1">INDIRECT("c14")</f>
        <v>ABDEL ZORRO</v>
      </c>
      <c r="AC16" s="279">
        <f ca="1">INDIRECT("q14")</f>
        <v>0</v>
      </c>
      <c r="AD16" s="279">
        <f ca="1">INDIRECT("p14")</f>
        <v>0</v>
      </c>
      <c r="AE16" s="236"/>
      <c r="AK16" s="240"/>
      <c r="AL16" s="241">
        <v>16</v>
      </c>
      <c r="AM16" s="242" t="s">
        <v>36</v>
      </c>
      <c r="AN16" s="243">
        <v>16</v>
      </c>
      <c r="AO16" s="244" t="s">
        <v>36</v>
      </c>
      <c r="AP16" s="245">
        <v>42</v>
      </c>
      <c r="AQ16" s="246" t="s">
        <v>55</v>
      </c>
      <c r="AR16" s="247"/>
      <c r="AS16" s="248"/>
      <c r="AT16" s="249"/>
      <c r="AU16" s="300">
        <v>14</v>
      </c>
      <c r="AV16" s="301">
        <v>40</v>
      </c>
      <c r="AW16" s="291" t="str">
        <f ca="1">INDIRECT("c40")</f>
        <v>CHRISTIAN DANIELLE</v>
      </c>
      <c r="AX16" s="292">
        <f ca="1">INDIRECT("q40")</f>
        <v>0</v>
      </c>
      <c r="AY16" s="292">
        <f ca="1">INDIRECT("p40")</f>
        <v>0</v>
      </c>
      <c r="AZ16" s="264"/>
      <c r="BA16" s="265"/>
      <c r="BB16" s="264"/>
      <c r="BC16" s="283"/>
      <c r="BD16" s="283"/>
      <c r="BE16" s="278"/>
      <c r="BF16" s="279"/>
      <c r="BG16" s="279"/>
      <c r="BH16" s="266"/>
      <c r="BI16" s="270"/>
      <c r="BJ16" s="264"/>
      <c r="BK16" s="283"/>
      <c r="BL16" s="283"/>
      <c r="BM16" s="278"/>
      <c r="BN16" s="279"/>
      <c r="BO16" s="279"/>
      <c r="BP16" s="284"/>
      <c r="BS16">
        <v>16</v>
      </c>
    </row>
    <row r="17" spans="1:71">
      <c r="A17" s="28"/>
      <c r="B17" s="28">
        <v>17</v>
      </c>
      <c r="C17" s="232" t="s">
        <v>21</v>
      </c>
      <c r="D17" s="233"/>
      <c r="E17" s="233"/>
      <c r="F17" s="234"/>
      <c r="G17" s="234"/>
      <c r="H17" s="233"/>
      <c r="I17" s="233"/>
      <c r="J17" s="234"/>
      <c r="K17" s="234"/>
      <c r="L17" s="233"/>
      <c r="M17" s="233"/>
      <c r="N17" s="234"/>
      <c r="O17" s="234"/>
      <c r="P17" s="210">
        <f t="shared" si="0"/>
        <v>0</v>
      </c>
      <c r="Q17" s="20">
        <f t="shared" si="1"/>
        <v>0</v>
      </c>
      <c r="R17" s="294"/>
      <c r="Y17" s="236"/>
      <c r="Z17" s="300">
        <v>15</v>
      </c>
      <c r="AA17" s="301">
        <v>15</v>
      </c>
      <c r="AB17" s="291" t="str">
        <f ca="1">INDIRECT("c15")</f>
        <v>MARYVONNE JACQUES</v>
      </c>
      <c r="AC17" s="292">
        <f ca="1">INDIRECT("q15")</f>
        <v>0</v>
      </c>
      <c r="AD17" s="292">
        <f ca="1">INDIRECT("p15")</f>
        <v>0</v>
      </c>
      <c r="AE17" s="236"/>
      <c r="AI17" s="310" t="s">
        <v>81</v>
      </c>
      <c r="AK17" s="240"/>
      <c r="AL17" s="241">
        <v>17</v>
      </c>
      <c r="AM17" s="242" t="s">
        <v>21</v>
      </c>
      <c r="AN17" s="243">
        <v>17</v>
      </c>
      <c r="AO17" s="244" t="s">
        <v>21</v>
      </c>
      <c r="AP17" s="245">
        <v>43</v>
      </c>
      <c r="AQ17" s="246" t="s">
        <v>44</v>
      </c>
      <c r="AR17" s="247"/>
      <c r="AS17" s="248"/>
      <c r="AT17" s="249"/>
      <c r="AU17" s="300">
        <v>15</v>
      </c>
      <c r="AV17" s="301">
        <v>49</v>
      </c>
      <c r="AW17" s="291" t="str">
        <f ca="1">INDIRECT("c49")</f>
        <v>OLIVIER</v>
      </c>
      <c r="AX17" s="292">
        <f ca="1">INDIRECT("q49")</f>
        <v>0</v>
      </c>
      <c r="AY17" s="292">
        <f ca="1">INDIRECT("p49")</f>
        <v>0</v>
      </c>
      <c r="AZ17" s="264"/>
      <c r="BA17" s="265"/>
      <c r="BB17" s="264"/>
      <c r="BC17" s="283"/>
      <c r="BD17" s="283"/>
      <c r="BE17" s="278"/>
      <c r="BF17" s="279"/>
      <c r="BG17" s="279"/>
      <c r="BH17" s="266"/>
      <c r="BI17" s="270"/>
      <c r="BJ17" s="264"/>
      <c r="BK17" s="283"/>
      <c r="BL17" s="283"/>
      <c r="BM17" s="278"/>
      <c r="BN17" s="279"/>
      <c r="BO17" s="279"/>
      <c r="BP17" s="284"/>
      <c r="BS17">
        <v>17</v>
      </c>
    </row>
    <row r="18" spans="1:71">
      <c r="A18" s="28"/>
      <c r="B18" s="272">
        <v>18</v>
      </c>
      <c r="C18" s="273" t="s">
        <v>46</v>
      </c>
      <c r="D18" s="233"/>
      <c r="E18" s="233"/>
      <c r="F18" s="234"/>
      <c r="G18" s="234"/>
      <c r="H18" s="233"/>
      <c r="I18" s="233"/>
      <c r="J18" s="234"/>
      <c r="K18" s="234"/>
      <c r="L18" s="233"/>
      <c r="M18" s="233"/>
      <c r="N18" s="234"/>
      <c r="O18" s="234"/>
      <c r="P18" s="210">
        <f t="shared" si="0"/>
        <v>0</v>
      </c>
      <c r="Q18" s="274">
        <f t="shared" si="1"/>
        <v>0</v>
      </c>
      <c r="R18" s="294"/>
      <c r="W18" s="311" t="s">
        <v>82</v>
      </c>
      <c r="Y18" s="236"/>
      <c r="Z18" s="300">
        <v>16</v>
      </c>
      <c r="AA18" s="283">
        <v>16</v>
      </c>
      <c r="AB18" s="278" t="str">
        <f ca="1">INDIRECT("c16")</f>
        <v xml:space="preserve">JACKY JEAN CLAUDE </v>
      </c>
      <c r="AC18" s="279">
        <f ca="1">INDIRECT("q16")</f>
        <v>0</v>
      </c>
      <c r="AD18" s="279">
        <f ca="1">INDIRECT("p16")</f>
        <v>0</v>
      </c>
      <c r="AE18" s="236"/>
      <c r="AI18" s="240"/>
      <c r="AK18" s="240"/>
      <c r="AL18" s="241">
        <v>18</v>
      </c>
      <c r="AM18" s="242" t="s">
        <v>46</v>
      </c>
      <c r="AN18" s="243">
        <v>18</v>
      </c>
      <c r="AO18" s="244" t="s">
        <v>46</v>
      </c>
      <c r="AP18" s="245">
        <v>44</v>
      </c>
      <c r="AQ18" s="246" t="s">
        <v>47</v>
      </c>
      <c r="AR18" s="247"/>
      <c r="AS18" s="248"/>
      <c r="AT18" s="249"/>
      <c r="AU18" s="300">
        <v>16</v>
      </c>
      <c r="AV18" s="301">
        <v>19</v>
      </c>
      <c r="AW18" s="291" t="str">
        <f ca="1">INDIRECT("c19")</f>
        <v>PIERRICK LILI</v>
      </c>
      <c r="AX18" s="292">
        <f ca="1">INDIRECT("q19")</f>
        <v>0</v>
      </c>
      <c r="AY18" s="292">
        <f ca="1">INDIRECT("p19")</f>
        <v>0</v>
      </c>
      <c r="AZ18" s="264"/>
      <c r="BA18" s="265"/>
      <c r="BB18" s="264"/>
      <c r="BC18" s="283"/>
      <c r="BD18" s="283"/>
      <c r="BE18" s="278"/>
      <c r="BF18" s="279"/>
      <c r="BG18" s="279"/>
      <c r="BH18" s="266"/>
      <c r="BI18" s="270"/>
      <c r="BJ18" s="264"/>
      <c r="BK18" s="283"/>
      <c r="BL18" s="283"/>
      <c r="BM18" s="278"/>
      <c r="BN18" s="279"/>
      <c r="BO18" s="279"/>
      <c r="BP18" s="284"/>
      <c r="BS18">
        <v>18</v>
      </c>
    </row>
    <row r="19" spans="1:71">
      <c r="A19" s="28"/>
      <c r="B19" s="293">
        <v>19</v>
      </c>
      <c r="C19" s="256" t="s">
        <v>22</v>
      </c>
      <c r="D19" s="233"/>
      <c r="E19" s="233"/>
      <c r="F19" s="234"/>
      <c r="G19" s="234"/>
      <c r="H19" s="233"/>
      <c r="I19" s="233"/>
      <c r="J19" s="234"/>
      <c r="K19" s="234"/>
      <c r="L19" s="233"/>
      <c r="M19" s="233"/>
      <c r="N19" s="234"/>
      <c r="O19" s="234"/>
      <c r="P19" s="210">
        <f t="shared" si="0"/>
        <v>0</v>
      </c>
      <c r="Q19" s="255">
        <f t="shared" si="1"/>
        <v>0</v>
      </c>
      <c r="R19" s="298"/>
      <c r="W19" s="252"/>
      <c r="Y19" s="236"/>
      <c r="Z19" s="300">
        <v>17</v>
      </c>
      <c r="AA19" s="283">
        <v>17</v>
      </c>
      <c r="AB19" s="278" t="str">
        <f ca="1">INDIRECT("c17")</f>
        <v>THIERRY SEBASTIEN</v>
      </c>
      <c r="AC19" s="279">
        <f ca="1">INDIRECT("q17")</f>
        <v>0</v>
      </c>
      <c r="AD19" s="279">
        <f ca="1">INDIRECT("p17")</f>
        <v>0</v>
      </c>
      <c r="AE19" s="236"/>
      <c r="AK19" s="240"/>
      <c r="AL19" s="241">
        <v>19</v>
      </c>
      <c r="AM19" s="242" t="s">
        <v>22</v>
      </c>
      <c r="AN19" s="243">
        <v>19</v>
      </c>
      <c r="AO19" s="244" t="s">
        <v>22</v>
      </c>
      <c r="AP19" s="245">
        <v>45</v>
      </c>
      <c r="AQ19" s="246" t="s">
        <v>38</v>
      </c>
      <c r="AR19" s="247"/>
      <c r="AS19" s="248"/>
      <c r="AT19" s="249"/>
      <c r="AU19" s="300">
        <v>17</v>
      </c>
      <c r="AV19" s="301">
        <v>29</v>
      </c>
      <c r="AW19" s="291" t="str">
        <f ca="1">INDIRECT("c29")</f>
        <v>PATRICK PIERRE</v>
      </c>
      <c r="AX19" s="292">
        <f ca="1">INDIRECT("q29")</f>
        <v>0</v>
      </c>
      <c r="AY19" s="292">
        <f ca="1">INDIRECT("p29")</f>
        <v>0</v>
      </c>
      <c r="AZ19" s="264"/>
      <c r="BA19" s="265"/>
      <c r="BB19" s="264"/>
      <c r="BC19" s="283"/>
      <c r="BD19" s="283"/>
      <c r="BE19" s="278"/>
      <c r="BF19" s="279"/>
      <c r="BG19" s="279"/>
      <c r="BH19" s="266"/>
      <c r="BI19" s="270"/>
      <c r="BJ19" s="264"/>
      <c r="BK19" s="283"/>
      <c r="BL19" s="277"/>
      <c r="BM19" s="278"/>
      <c r="BN19" s="279"/>
      <c r="BO19" s="279"/>
      <c r="BP19" s="284"/>
      <c r="BS19">
        <v>19</v>
      </c>
    </row>
    <row r="20" spans="1:71">
      <c r="A20" s="28"/>
      <c r="B20" s="272">
        <v>20</v>
      </c>
      <c r="C20" s="273" t="s">
        <v>18</v>
      </c>
      <c r="D20" s="233"/>
      <c r="E20" s="233"/>
      <c r="F20" s="234"/>
      <c r="G20" s="234"/>
      <c r="H20" s="233"/>
      <c r="I20" s="233"/>
      <c r="J20" s="234"/>
      <c r="K20" s="234"/>
      <c r="L20" s="233"/>
      <c r="M20" s="233"/>
      <c r="N20" s="234"/>
      <c r="O20" s="234"/>
      <c r="P20" s="210">
        <f t="shared" si="0"/>
        <v>0</v>
      </c>
      <c r="Q20" s="274">
        <f t="shared" si="1"/>
        <v>0</v>
      </c>
      <c r="W20" s="252"/>
      <c r="Y20" s="236"/>
      <c r="Z20" s="300">
        <v>18</v>
      </c>
      <c r="AA20" s="301">
        <v>18</v>
      </c>
      <c r="AB20" s="291" t="str">
        <f ca="1">INDIRECT("c18")</f>
        <v>HUARD BOUSSERON</v>
      </c>
      <c r="AC20" s="292">
        <f ca="1">INDIRECT("q18")</f>
        <v>0</v>
      </c>
      <c r="AD20" s="292">
        <f ca="1">INDIRECT("p18")</f>
        <v>0</v>
      </c>
      <c r="AE20" s="236"/>
      <c r="AK20" s="240"/>
      <c r="AL20" s="241">
        <v>20</v>
      </c>
      <c r="AM20" s="242" t="s">
        <v>18</v>
      </c>
      <c r="AN20" s="243">
        <v>20</v>
      </c>
      <c r="AO20" s="244" t="s">
        <v>18</v>
      </c>
      <c r="AP20" s="245">
        <v>46</v>
      </c>
      <c r="AQ20" s="246" t="s">
        <v>48</v>
      </c>
      <c r="AR20" s="247"/>
      <c r="AS20" s="248"/>
      <c r="AT20" s="249"/>
      <c r="AU20" s="300">
        <v>18</v>
      </c>
      <c r="AV20" s="301">
        <v>34</v>
      </c>
      <c r="AW20" s="291" t="str">
        <f ca="1">INDIRECT("c34")</f>
        <v>NONO BRUNO</v>
      </c>
      <c r="AX20" s="292">
        <f ca="1">INDIRECT("q34")</f>
        <v>0</v>
      </c>
      <c r="AY20" s="292">
        <f ca="1">INDIRECT("p34")</f>
        <v>0</v>
      </c>
      <c r="AZ20" s="264"/>
      <c r="BA20" s="265"/>
      <c r="BB20" s="264"/>
      <c r="BC20" s="283"/>
      <c r="BD20" s="277"/>
      <c r="BE20" s="278"/>
      <c r="BF20" s="279"/>
      <c r="BG20" s="279"/>
      <c r="BH20" s="266"/>
      <c r="BI20" s="270"/>
      <c r="BJ20" s="264"/>
      <c r="BK20" s="283"/>
      <c r="BL20" s="283"/>
      <c r="BM20" s="278"/>
      <c r="BN20" s="279"/>
      <c r="BO20" s="279"/>
      <c r="BP20" s="284"/>
      <c r="BS20">
        <v>20</v>
      </c>
    </row>
    <row r="21" spans="1:71">
      <c r="A21" s="28"/>
      <c r="B21" s="272">
        <v>21</v>
      </c>
      <c r="C21" s="273" t="s">
        <v>13</v>
      </c>
      <c r="D21" s="233"/>
      <c r="E21" s="233"/>
      <c r="F21" s="234"/>
      <c r="G21" s="234"/>
      <c r="H21" s="233"/>
      <c r="I21" s="233"/>
      <c r="J21" s="234"/>
      <c r="K21" s="234"/>
      <c r="L21" s="233"/>
      <c r="M21" s="233"/>
      <c r="N21" s="234"/>
      <c r="O21" s="234"/>
      <c r="P21" s="210">
        <f t="shared" si="0"/>
        <v>0</v>
      </c>
      <c r="Q21" s="274">
        <f t="shared" si="1"/>
        <v>0</v>
      </c>
      <c r="W21" s="252"/>
      <c r="Y21" s="236"/>
      <c r="Z21" s="300">
        <v>19</v>
      </c>
      <c r="AA21" s="288">
        <v>19</v>
      </c>
      <c r="AB21" s="281" t="str">
        <f ca="1">INDIRECT("c19")</f>
        <v>PIERRICK LILI</v>
      </c>
      <c r="AC21" s="282">
        <f ca="1">INDIRECT("q19")</f>
        <v>0</v>
      </c>
      <c r="AD21" s="282">
        <f ca="1">INDIRECT("p19")</f>
        <v>0</v>
      </c>
      <c r="AE21" s="236"/>
      <c r="AH21" s="308"/>
      <c r="AI21" s="309"/>
      <c r="AK21" s="240"/>
      <c r="AL21" s="241">
        <v>21</v>
      </c>
      <c r="AM21" s="242" t="s">
        <v>13</v>
      </c>
      <c r="AN21" s="243">
        <v>21</v>
      </c>
      <c r="AO21" s="244" t="s">
        <v>13</v>
      </c>
      <c r="AP21" s="245">
        <v>47</v>
      </c>
      <c r="AQ21" s="246" t="s">
        <v>60</v>
      </c>
      <c r="AR21" s="247"/>
      <c r="AS21" s="248"/>
      <c r="AT21" s="249"/>
      <c r="AU21" s="300">
        <v>19</v>
      </c>
      <c r="AV21" s="301">
        <v>44</v>
      </c>
      <c r="AW21" s="291" t="str">
        <f ca="1">INDIRECT("c44")</f>
        <v>PATRICK ROGER</v>
      </c>
      <c r="AX21" s="292">
        <f ca="1">INDIRECT("q44")</f>
        <v>0</v>
      </c>
      <c r="AY21" s="292">
        <f ca="1">INDIRECT("p44")</f>
        <v>0</v>
      </c>
      <c r="AZ21" s="264"/>
      <c r="BA21" s="265"/>
      <c r="BB21" s="264"/>
      <c r="BC21" s="283"/>
      <c r="BD21" s="283"/>
      <c r="BE21" s="278"/>
      <c r="BF21" s="279"/>
      <c r="BG21" s="279"/>
      <c r="BH21" s="266"/>
      <c r="BI21" s="270"/>
      <c r="BJ21" s="264"/>
      <c r="BK21" s="283"/>
      <c r="BL21" s="283"/>
      <c r="BM21" s="278"/>
      <c r="BN21" s="279"/>
      <c r="BO21" s="279"/>
      <c r="BP21" s="284"/>
      <c r="BS21">
        <v>21</v>
      </c>
    </row>
    <row r="22" spans="1:71">
      <c r="A22" s="28"/>
      <c r="B22" s="272">
        <v>22</v>
      </c>
      <c r="C22" s="273" t="s">
        <v>41</v>
      </c>
      <c r="D22" s="233"/>
      <c r="E22" s="233"/>
      <c r="F22" s="234"/>
      <c r="G22" s="234"/>
      <c r="H22" s="233"/>
      <c r="I22" s="233"/>
      <c r="J22" s="234"/>
      <c r="K22" s="234"/>
      <c r="L22" s="233"/>
      <c r="M22" s="233"/>
      <c r="N22" s="234"/>
      <c r="O22" s="234"/>
      <c r="P22" s="210">
        <f t="shared" si="0"/>
        <v>0</v>
      </c>
      <c r="Q22" s="274">
        <f t="shared" si="1"/>
        <v>0</v>
      </c>
      <c r="R22" s="312"/>
      <c r="S22" s="312"/>
      <c r="T22" s="312"/>
      <c r="U22" s="312"/>
      <c r="W22" s="252"/>
      <c r="Y22" s="236"/>
      <c r="Z22" s="300">
        <v>20</v>
      </c>
      <c r="AA22" s="301">
        <v>20</v>
      </c>
      <c r="AB22" s="291" t="str">
        <f ca="1">INDIRECT("C20")</f>
        <v>TITI</v>
      </c>
      <c r="AC22" s="292">
        <f ca="1">INDIRECT("q20")</f>
        <v>0</v>
      </c>
      <c r="AD22" s="292">
        <f ca="1">INDIRECT("p20")</f>
        <v>0</v>
      </c>
      <c r="AE22" s="236"/>
      <c r="AH22" s="308"/>
      <c r="AI22" s="309"/>
      <c r="AK22" s="240"/>
      <c r="AL22" s="241">
        <v>22</v>
      </c>
      <c r="AM22" s="242" t="s">
        <v>41</v>
      </c>
      <c r="AN22" s="243">
        <v>22</v>
      </c>
      <c r="AO22" s="244" t="s">
        <v>41</v>
      </c>
      <c r="AP22" s="245">
        <v>48</v>
      </c>
      <c r="AQ22" s="246" t="s">
        <v>59</v>
      </c>
      <c r="AR22" s="247"/>
      <c r="AS22" s="248"/>
      <c r="AT22" s="249"/>
      <c r="AU22" s="300">
        <v>20</v>
      </c>
      <c r="AV22" s="301">
        <v>32</v>
      </c>
      <c r="AW22" s="291" t="str">
        <f ca="1">INDIRECT("c32")</f>
        <v>ANNIE BABETH</v>
      </c>
      <c r="AX22" s="292">
        <f ca="1">INDIRECT("q32")</f>
        <v>0</v>
      </c>
      <c r="AY22" s="292">
        <f ca="1">INDIRECT("p32")</f>
        <v>0</v>
      </c>
      <c r="AZ22" s="264"/>
      <c r="BA22" s="265"/>
      <c r="BB22" s="264"/>
      <c r="BC22" s="283"/>
      <c r="BD22" s="283"/>
      <c r="BE22" s="278"/>
      <c r="BF22" s="279"/>
      <c r="BG22" s="279"/>
      <c r="BH22" s="266"/>
      <c r="BI22" s="270"/>
      <c r="BJ22" s="264"/>
      <c r="BK22" s="283"/>
      <c r="BL22" s="277"/>
      <c r="BM22" s="278"/>
      <c r="BN22" s="279"/>
      <c r="BO22" s="279"/>
      <c r="BP22" s="284"/>
      <c r="BS22">
        <v>22</v>
      </c>
    </row>
    <row r="23" spans="1:71">
      <c r="A23" s="28"/>
      <c r="B23" s="293">
        <v>23</v>
      </c>
      <c r="C23" s="256" t="s">
        <v>31</v>
      </c>
      <c r="D23" s="233"/>
      <c r="E23" s="233"/>
      <c r="F23" s="234"/>
      <c r="G23" s="234"/>
      <c r="H23" s="233"/>
      <c r="I23" s="233"/>
      <c r="J23" s="234"/>
      <c r="K23" s="234"/>
      <c r="L23" s="233"/>
      <c r="M23" s="233"/>
      <c r="N23" s="234"/>
      <c r="O23" s="234"/>
      <c r="P23" s="210">
        <f t="shared" si="0"/>
        <v>0</v>
      </c>
      <c r="Q23" s="255">
        <f t="shared" si="1"/>
        <v>0</v>
      </c>
      <c r="R23" s="312"/>
      <c r="S23" s="312"/>
      <c r="T23" s="312"/>
      <c r="U23" s="312"/>
      <c r="W23" s="252"/>
      <c r="Y23" s="236"/>
      <c r="Z23" s="300">
        <v>21</v>
      </c>
      <c r="AA23" s="301">
        <v>21</v>
      </c>
      <c r="AB23" s="291" t="str">
        <f ca="1">INDIRECT("C21")</f>
        <v>THIERRY DOMINIQUE</v>
      </c>
      <c r="AC23" s="292">
        <f ca="1">INDIRECT("q21")</f>
        <v>0</v>
      </c>
      <c r="AD23" s="292">
        <f ca="1">INDIRECT("p21")</f>
        <v>0</v>
      </c>
      <c r="AE23" s="236"/>
      <c r="AK23" s="240"/>
      <c r="AL23" s="241">
        <v>23</v>
      </c>
      <c r="AM23" s="242" t="s">
        <v>31</v>
      </c>
      <c r="AN23" s="243">
        <v>23</v>
      </c>
      <c r="AO23" s="244" t="s">
        <v>31</v>
      </c>
      <c r="AP23" s="245">
        <v>49</v>
      </c>
      <c r="AQ23" s="246" t="s">
        <v>49</v>
      </c>
      <c r="AR23" s="247"/>
      <c r="AS23" s="248"/>
      <c r="AT23" s="249"/>
      <c r="AU23" s="300">
        <v>21</v>
      </c>
      <c r="AV23" s="290">
        <v>4</v>
      </c>
      <c r="AW23" s="291" t="str">
        <f ca="1">INDIRECT("c4")</f>
        <v>COLETTE</v>
      </c>
      <c r="AX23" s="292">
        <f ca="1">INDIRECT("q4")</f>
        <v>0</v>
      </c>
      <c r="AY23" s="292">
        <f ca="1">INDIRECT("p4")</f>
        <v>0</v>
      </c>
      <c r="AZ23" s="264"/>
      <c r="BA23" s="265"/>
      <c r="BB23" s="264"/>
      <c r="BC23" s="283"/>
      <c r="BD23" s="283"/>
      <c r="BE23" s="278"/>
      <c r="BF23" s="279"/>
      <c r="BG23" s="279"/>
      <c r="BH23" s="266"/>
      <c r="BI23" s="270"/>
      <c r="BJ23" s="264"/>
      <c r="BK23" s="283"/>
      <c r="BL23" s="283"/>
      <c r="BM23" s="278"/>
      <c r="BN23" s="279"/>
      <c r="BO23" s="279"/>
      <c r="BP23" s="284"/>
      <c r="BS23">
        <v>23</v>
      </c>
    </row>
    <row r="24" spans="1:71" ht="17.25" customHeight="1">
      <c r="A24" s="28"/>
      <c r="B24" s="272">
        <v>24</v>
      </c>
      <c r="C24" s="273" t="s">
        <v>43</v>
      </c>
      <c r="D24" s="233"/>
      <c r="E24" s="233"/>
      <c r="F24" s="234"/>
      <c r="G24" s="234"/>
      <c r="H24" s="233"/>
      <c r="I24" s="233"/>
      <c r="J24" s="234"/>
      <c r="K24" s="234"/>
      <c r="L24" s="233"/>
      <c r="M24" s="233"/>
      <c r="N24" s="234"/>
      <c r="O24" s="234"/>
      <c r="P24" s="210">
        <f t="shared" si="0"/>
        <v>0</v>
      </c>
      <c r="Q24" s="274">
        <f t="shared" si="1"/>
        <v>0</v>
      </c>
      <c r="R24" s="312"/>
      <c r="S24" s="312"/>
      <c r="T24" s="312"/>
      <c r="U24" s="312"/>
      <c r="W24" s="252"/>
      <c r="Y24" s="236"/>
      <c r="Z24" s="300">
        <v>22</v>
      </c>
      <c r="AA24" s="301">
        <v>22</v>
      </c>
      <c r="AB24" s="291" t="str">
        <f ca="1">INDIRECT("C22")</f>
        <v>OSCAR JACKY</v>
      </c>
      <c r="AC24" s="292">
        <f ca="1">INDIRECT("q22")</f>
        <v>0</v>
      </c>
      <c r="AD24" s="292">
        <f ca="1">INDIRECT("p22")</f>
        <v>0</v>
      </c>
      <c r="AE24" s="236"/>
      <c r="AG24" s="313"/>
      <c r="AK24" s="240"/>
      <c r="AL24" s="241">
        <v>24</v>
      </c>
      <c r="AM24" s="242" t="s">
        <v>43</v>
      </c>
      <c r="AN24" s="243">
        <v>24</v>
      </c>
      <c r="AO24" s="244" t="s">
        <v>43</v>
      </c>
      <c r="AP24" s="245">
        <v>50</v>
      </c>
      <c r="AQ24" s="246" t="s">
        <v>62</v>
      </c>
      <c r="AR24" s="247"/>
      <c r="AS24" s="248"/>
      <c r="AT24" s="249"/>
      <c r="AU24" s="300">
        <v>22</v>
      </c>
      <c r="AV24" s="301">
        <v>20</v>
      </c>
      <c r="AW24" s="291" t="str">
        <f ca="1">INDIRECT("C20")</f>
        <v>TITI</v>
      </c>
      <c r="AX24" s="292">
        <f ca="1">INDIRECT("q20")</f>
        <v>0</v>
      </c>
      <c r="AY24" s="292">
        <f ca="1">INDIRECT("p20")</f>
        <v>0</v>
      </c>
      <c r="AZ24" s="264"/>
      <c r="BA24" s="265"/>
      <c r="BB24" s="264"/>
      <c r="BC24" s="283"/>
      <c r="BD24" s="283"/>
      <c r="BE24" s="278"/>
      <c r="BF24" s="279"/>
      <c r="BG24" s="279"/>
      <c r="BH24" s="266"/>
      <c r="BI24" s="270"/>
      <c r="BJ24" s="264"/>
      <c r="BK24" s="283"/>
      <c r="BL24" s="283"/>
      <c r="BM24" s="278"/>
      <c r="BN24" s="279"/>
      <c r="BO24" s="279"/>
      <c r="BP24" s="284"/>
      <c r="BS24">
        <v>24</v>
      </c>
    </row>
    <row r="25" spans="1:71">
      <c r="A25" s="28"/>
      <c r="B25" s="293">
        <v>25</v>
      </c>
      <c r="C25" s="256" t="s">
        <v>30</v>
      </c>
      <c r="D25" s="233"/>
      <c r="E25" s="233"/>
      <c r="F25" s="234"/>
      <c r="G25" s="234"/>
      <c r="H25" s="233"/>
      <c r="I25" s="233"/>
      <c r="J25" s="234"/>
      <c r="K25" s="234"/>
      <c r="L25" s="233"/>
      <c r="M25" s="233"/>
      <c r="N25" s="234"/>
      <c r="O25" s="234"/>
      <c r="P25" s="210">
        <f t="shared" si="0"/>
        <v>0</v>
      </c>
      <c r="Q25" s="255">
        <f t="shared" si="1"/>
        <v>0</v>
      </c>
      <c r="R25" s="312"/>
      <c r="S25" s="312"/>
      <c r="T25" s="312"/>
      <c r="U25" s="312"/>
      <c r="W25" s="298"/>
      <c r="Y25" s="236"/>
      <c r="Z25" s="300">
        <v>23</v>
      </c>
      <c r="AA25" s="288">
        <v>23</v>
      </c>
      <c r="AB25" s="281" t="str">
        <f ca="1">INDIRECT("C23")</f>
        <v>JEAN PIERRE   JACKY</v>
      </c>
      <c r="AC25" s="282">
        <f ca="1">INDIRECT("q23")</f>
        <v>0</v>
      </c>
      <c r="AD25" s="282">
        <f ca="1">INDIRECT("p23")</f>
        <v>0</v>
      </c>
      <c r="AE25" s="236"/>
      <c r="AG25" s="314"/>
      <c r="AK25" s="240"/>
      <c r="AL25" s="241">
        <v>25</v>
      </c>
      <c r="AM25" s="242" t="s">
        <v>30</v>
      </c>
      <c r="AN25" s="243">
        <v>25</v>
      </c>
      <c r="AO25" s="244" t="s">
        <v>30</v>
      </c>
      <c r="AP25" s="245">
        <v>51</v>
      </c>
      <c r="AQ25" s="246" t="s">
        <v>37</v>
      </c>
      <c r="AR25" s="247"/>
      <c r="AS25" s="248"/>
      <c r="AT25" s="249"/>
      <c r="AU25" s="300">
        <v>23</v>
      </c>
      <c r="AV25" s="301">
        <v>17</v>
      </c>
      <c r="AW25" s="291" t="str">
        <f ca="1">INDIRECT("c17")</f>
        <v>THIERRY SEBASTIEN</v>
      </c>
      <c r="AX25" s="292">
        <f ca="1">INDIRECT("q17")</f>
        <v>0</v>
      </c>
      <c r="AY25" s="292">
        <f ca="1">INDIRECT("p17")</f>
        <v>0</v>
      </c>
      <c r="AZ25" s="264"/>
      <c r="BA25" s="265"/>
      <c r="BB25" s="264"/>
      <c r="BC25" s="283"/>
      <c r="BD25" s="283"/>
      <c r="BE25" s="278"/>
      <c r="BF25" s="279"/>
      <c r="BG25" s="279"/>
      <c r="BH25" s="266"/>
      <c r="BI25" s="270"/>
      <c r="BJ25" s="264"/>
      <c r="BK25" s="283"/>
      <c r="BL25" s="283"/>
      <c r="BM25" s="278"/>
      <c r="BN25" s="279"/>
      <c r="BO25" s="279"/>
      <c r="BP25" s="284"/>
      <c r="BS25">
        <v>25</v>
      </c>
    </row>
    <row r="26" spans="1:71">
      <c r="A26" s="28"/>
      <c r="B26" s="293">
        <v>26</v>
      </c>
      <c r="C26" s="256" t="s">
        <v>27</v>
      </c>
      <c r="D26" s="233"/>
      <c r="E26" s="233"/>
      <c r="F26" s="234"/>
      <c r="G26" s="234"/>
      <c r="H26" s="233"/>
      <c r="I26" s="233"/>
      <c r="J26" s="234"/>
      <c r="K26" s="234"/>
      <c r="L26" s="233"/>
      <c r="M26" s="233"/>
      <c r="N26" s="234"/>
      <c r="O26" s="234"/>
      <c r="P26" s="210">
        <f t="shared" si="0"/>
        <v>0</v>
      </c>
      <c r="Q26" s="255">
        <f t="shared" si="1"/>
        <v>0</v>
      </c>
      <c r="R26" s="312"/>
      <c r="S26" s="312"/>
      <c r="T26" s="312"/>
      <c r="U26" s="312"/>
      <c r="Y26" s="236"/>
      <c r="Z26" s="300">
        <v>24</v>
      </c>
      <c r="AA26" s="301">
        <v>24</v>
      </c>
      <c r="AB26" s="291" t="str">
        <f ca="1">INDIRECT("C24")</f>
        <v>PACO FRANCOIS</v>
      </c>
      <c r="AC26" s="292">
        <f ca="1">INDIRECT("q24")</f>
        <v>0</v>
      </c>
      <c r="AD26" s="292">
        <f ca="1">INDIRECT("p24")</f>
        <v>0</v>
      </c>
      <c r="AE26" s="236"/>
      <c r="AG26" s="314"/>
      <c r="AK26" s="240"/>
      <c r="AL26" s="241">
        <v>26</v>
      </c>
      <c r="AM26" s="242" t="s">
        <v>27</v>
      </c>
      <c r="AN26" s="243">
        <v>26</v>
      </c>
      <c r="AO26" s="244" t="s">
        <v>27</v>
      </c>
      <c r="AP26" s="245">
        <v>52</v>
      </c>
      <c r="AQ26" s="246" t="s">
        <v>58</v>
      </c>
      <c r="AR26" s="315"/>
      <c r="AS26" s="316"/>
      <c r="AT26" s="249"/>
      <c r="AU26" s="300">
        <v>24</v>
      </c>
      <c r="AV26" s="290">
        <v>1</v>
      </c>
      <c r="AW26" s="291" t="str">
        <f ca="1">INDIRECT("c1")</f>
        <v>CHRISTIAN LEBARS</v>
      </c>
      <c r="AX26" s="292">
        <f ca="1">INDIRECT("q1")</f>
        <v>0</v>
      </c>
      <c r="AY26" s="292">
        <f ca="1">INDIRECT("p1")</f>
        <v>0</v>
      </c>
      <c r="AZ26" s="264"/>
      <c r="BA26" s="265"/>
      <c r="BB26" s="264"/>
      <c r="BC26" s="283"/>
      <c r="BD26" s="277"/>
      <c r="BE26" s="278"/>
      <c r="BF26" s="279"/>
      <c r="BG26" s="279"/>
      <c r="BH26" s="266"/>
      <c r="BI26" s="270"/>
      <c r="BJ26" s="264"/>
      <c r="BK26" s="283"/>
      <c r="BL26" s="283"/>
      <c r="BM26" s="278"/>
      <c r="BN26" s="279"/>
      <c r="BO26" s="279"/>
      <c r="BP26" s="284"/>
      <c r="BS26">
        <v>26</v>
      </c>
    </row>
    <row r="27" spans="1:71">
      <c r="A27" s="28"/>
      <c r="B27" s="28">
        <v>27</v>
      </c>
      <c r="C27" s="232" t="s">
        <v>61</v>
      </c>
      <c r="D27" s="233"/>
      <c r="E27" s="233"/>
      <c r="F27" s="234"/>
      <c r="G27" s="234"/>
      <c r="H27" s="233"/>
      <c r="I27" s="233"/>
      <c r="J27" s="234"/>
      <c r="K27" s="234"/>
      <c r="L27" s="233"/>
      <c r="M27" s="233"/>
      <c r="N27" s="234"/>
      <c r="O27" s="234"/>
      <c r="P27" s="210">
        <f t="shared" si="0"/>
        <v>0</v>
      </c>
      <c r="Q27" s="20">
        <f t="shared" si="1"/>
        <v>0</v>
      </c>
      <c r="R27" s="312"/>
      <c r="S27" s="312"/>
      <c r="T27" s="312"/>
      <c r="U27" s="312"/>
      <c r="Y27" s="236"/>
      <c r="Z27" s="300">
        <v>25</v>
      </c>
      <c r="AA27" s="288">
        <v>25</v>
      </c>
      <c r="AB27" s="281" t="str">
        <f ca="1">INDIRECT("C25")</f>
        <v>PHILIPPE BABETTE</v>
      </c>
      <c r="AC27" s="282">
        <f ca="1">INDIRECT("q25")</f>
        <v>0</v>
      </c>
      <c r="AD27" s="282">
        <f ca="1">INDIRECT("p25")</f>
        <v>0</v>
      </c>
      <c r="AE27" s="236"/>
      <c r="AK27" s="240"/>
      <c r="AL27" s="241">
        <v>27</v>
      </c>
      <c r="AM27" s="242" t="s">
        <v>61</v>
      </c>
      <c r="AN27" s="243"/>
      <c r="AO27" s="244"/>
      <c r="AP27" s="245"/>
      <c r="AQ27" s="246"/>
      <c r="AR27" s="247"/>
      <c r="AS27" s="248"/>
      <c r="AT27" s="249"/>
      <c r="AU27" s="300">
        <v>25</v>
      </c>
      <c r="AV27" s="290">
        <v>7</v>
      </c>
      <c r="AW27" s="291" t="str">
        <f ca="1">INDIRECT("c7")</f>
        <v>HUBERT DEDE</v>
      </c>
      <c r="AX27" s="292">
        <f ca="1">INDIRECT("q7")</f>
        <v>0</v>
      </c>
      <c r="AY27" s="292">
        <f ca="1">INDIRECT("p7")</f>
        <v>0</v>
      </c>
      <c r="AZ27" s="264"/>
      <c r="BA27" s="265"/>
      <c r="BB27" s="264"/>
      <c r="BC27" s="283"/>
      <c r="BD27" s="283"/>
      <c r="BE27" s="278"/>
      <c r="BF27" s="279"/>
      <c r="BG27" s="279"/>
      <c r="BH27" s="266"/>
      <c r="BI27" s="270"/>
      <c r="BJ27" s="264"/>
      <c r="BK27" s="283"/>
      <c r="BL27" s="283"/>
      <c r="BM27" s="278"/>
      <c r="BN27" s="279"/>
      <c r="BO27" s="279"/>
      <c r="BP27" s="284"/>
      <c r="BS27">
        <v>27</v>
      </c>
    </row>
    <row r="28" spans="1:71">
      <c r="A28" s="118"/>
      <c r="B28" s="118">
        <v>28</v>
      </c>
      <c r="C28" s="232" t="s">
        <v>32</v>
      </c>
      <c r="D28" s="233"/>
      <c r="E28" s="233"/>
      <c r="F28" s="234"/>
      <c r="G28" s="234"/>
      <c r="H28" s="233"/>
      <c r="I28" s="233"/>
      <c r="J28" s="234"/>
      <c r="K28" s="234"/>
      <c r="L28" s="233"/>
      <c r="M28" s="233"/>
      <c r="N28" s="234"/>
      <c r="O28" s="234"/>
      <c r="P28" s="210">
        <f t="shared" si="0"/>
        <v>0</v>
      </c>
      <c r="Q28" s="20">
        <f t="shared" si="1"/>
        <v>0</v>
      </c>
      <c r="R28" s="312"/>
      <c r="S28" s="312"/>
      <c r="T28" s="312"/>
      <c r="U28" s="312"/>
      <c r="Y28" s="236"/>
      <c r="Z28" s="300">
        <v>26</v>
      </c>
      <c r="AA28" s="288">
        <v>26</v>
      </c>
      <c r="AB28" s="281" t="str">
        <f ca="1">INDIRECT("C26")</f>
        <v>FRANCOIS DOMINIQUE</v>
      </c>
      <c r="AC28" s="282">
        <f ca="1">INDIRECT("q26")</f>
        <v>0</v>
      </c>
      <c r="AD28" s="282">
        <f ca="1">INDIRECT("p26")</f>
        <v>0</v>
      </c>
      <c r="AE28" s="236"/>
      <c r="AK28" s="240"/>
      <c r="AL28" s="241">
        <v>28</v>
      </c>
      <c r="AM28" s="242" t="s">
        <v>32</v>
      </c>
      <c r="AN28" s="243"/>
      <c r="AO28" s="244"/>
      <c r="AP28" s="245"/>
      <c r="AQ28" s="246"/>
      <c r="AR28" s="247"/>
      <c r="AS28" s="248"/>
      <c r="AT28" s="249"/>
      <c r="AU28" s="300">
        <v>26</v>
      </c>
      <c r="AV28" s="301">
        <v>15</v>
      </c>
      <c r="AW28" s="291" t="str">
        <f ca="1">INDIRECT("c15")</f>
        <v>MARYVONNE JACQUES</v>
      </c>
      <c r="AX28" s="292">
        <f ca="1">INDIRECT("q15")</f>
        <v>0</v>
      </c>
      <c r="AY28" s="292">
        <f ca="1">INDIRECT("p15")</f>
        <v>0</v>
      </c>
      <c r="AZ28" s="264"/>
      <c r="BA28" s="265"/>
      <c r="BB28" s="264"/>
      <c r="BC28" s="283"/>
      <c r="BD28" s="283"/>
      <c r="BE28" s="278"/>
      <c r="BF28" s="279"/>
      <c r="BG28" s="279"/>
      <c r="BH28" s="266"/>
      <c r="BI28" s="270"/>
      <c r="BJ28" s="264"/>
      <c r="BK28" s="283"/>
      <c r="BL28" s="283"/>
      <c r="BM28" s="278"/>
      <c r="BN28" s="279"/>
      <c r="BO28" s="279"/>
      <c r="BP28" s="284"/>
      <c r="BS28">
        <v>28</v>
      </c>
    </row>
    <row r="29" spans="1:71">
      <c r="A29" s="118"/>
      <c r="B29" s="118">
        <v>29</v>
      </c>
      <c r="C29" s="232" t="s">
        <v>51</v>
      </c>
      <c r="D29" s="233"/>
      <c r="E29" s="233"/>
      <c r="F29" s="234"/>
      <c r="G29" s="234"/>
      <c r="H29" s="233"/>
      <c r="I29" s="233"/>
      <c r="J29" s="234"/>
      <c r="K29" s="234"/>
      <c r="L29" s="233"/>
      <c r="M29" s="233"/>
      <c r="N29" s="234"/>
      <c r="O29" s="234"/>
      <c r="P29" s="210">
        <f t="shared" si="0"/>
        <v>0</v>
      </c>
      <c r="Q29" s="20">
        <f t="shared" si="1"/>
        <v>0</v>
      </c>
      <c r="R29" s="312"/>
      <c r="S29" s="312"/>
      <c r="T29" s="312"/>
      <c r="U29" s="312"/>
      <c r="Y29" s="236"/>
      <c r="Z29" s="300">
        <v>27</v>
      </c>
      <c r="AA29" s="283">
        <v>27</v>
      </c>
      <c r="AB29" s="278" t="str">
        <f ca="1">INDIRECT("c27")</f>
        <v>MICHEL CHARLES</v>
      </c>
      <c r="AC29" s="279">
        <f ca="1">INDIRECT("q27")</f>
        <v>0</v>
      </c>
      <c r="AD29" s="279">
        <f ca="1">INDIRECT("p27")</f>
        <v>0</v>
      </c>
      <c r="AE29" s="236"/>
      <c r="AK29" s="240"/>
      <c r="AL29" s="241">
        <v>29</v>
      </c>
      <c r="AM29" s="242" t="s">
        <v>51</v>
      </c>
      <c r="AN29" s="243"/>
      <c r="AO29" s="244"/>
      <c r="AP29" s="245"/>
      <c r="AQ29" s="246"/>
      <c r="AR29" s="247"/>
      <c r="AS29" s="248"/>
      <c r="AT29" s="249"/>
      <c r="AU29" s="300">
        <v>27</v>
      </c>
      <c r="AV29" s="301">
        <v>31</v>
      </c>
      <c r="AW29" s="291" t="str">
        <f ca="1">INDIRECT("c31")</f>
        <v>VERO JEAN</v>
      </c>
      <c r="AX29" s="292">
        <f ca="1">INDIRECT("q31")</f>
        <v>0</v>
      </c>
      <c r="AY29" s="292">
        <f ca="1">INDIRECT("p31")</f>
        <v>0</v>
      </c>
      <c r="AZ29" s="264"/>
      <c r="BA29" s="265"/>
      <c r="BB29" s="264"/>
      <c r="BC29" s="283"/>
      <c r="BD29" s="277"/>
      <c r="BE29" s="278"/>
      <c r="BF29" s="279"/>
      <c r="BG29" s="279"/>
      <c r="BH29" s="266"/>
      <c r="BI29" s="270"/>
      <c r="BJ29" s="264"/>
      <c r="BK29" s="283"/>
      <c r="BL29" s="283"/>
      <c r="BM29" s="278"/>
      <c r="BN29" s="279"/>
      <c r="BO29" s="279"/>
      <c r="BP29" s="284"/>
      <c r="BS29">
        <v>29</v>
      </c>
    </row>
    <row r="30" spans="1:71">
      <c r="A30" s="118"/>
      <c r="B30" s="317">
        <v>30</v>
      </c>
      <c r="C30" s="273" t="s">
        <v>57</v>
      </c>
      <c r="D30" s="233"/>
      <c r="E30" s="233"/>
      <c r="F30" s="234"/>
      <c r="G30" s="234"/>
      <c r="H30" s="233"/>
      <c r="I30" s="233"/>
      <c r="J30" s="234"/>
      <c r="K30" s="234"/>
      <c r="L30" s="233"/>
      <c r="M30" s="233"/>
      <c r="N30" s="234"/>
      <c r="O30" s="234"/>
      <c r="P30" s="210">
        <f t="shared" si="0"/>
        <v>0</v>
      </c>
      <c r="Q30" s="274">
        <f t="shared" si="1"/>
        <v>0</v>
      </c>
      <c r="R30" s="312"/>
      <c r="S30" s="312"/>
      <c r="T30" s="312"/>
      <c r="U30" s="312"/>
      <c r="Y30" s="236"/>
      <c r="Z30" s="300">
        <v>28</v>
      </c>
      <c r="AA30" s="283">
        <v>28</v>
      </c>
      <c r="AB30" s="278" t="str">
        <f ca="1">INDIRECT("c28")</f>
        <v>JOSIANE ODILE</v>
      </c>
      <c r="AC30" s="279">
        <f ca="1">INDIRECT("q28")</f>
        <v>0</v>
      </c>
      <c r="AD30" s="279">
        <f ca="1">INDIRECT("p28")</f>
        <v>0</v>
      </c>
      <c r="AE30" s="236"/>
      <c r="AK30" s="240"/>
      <c r="AL30" s="241">
        <v>30</v>
      </c>
      <c r="AM30" s="242" t="s">
        <v>57</v>
      </c>
      <c r="AN30" s="243"/>
      <c r="AO30" s="244"/>
      <c r="AP30" s="245"/>
      <c r="AQ30" s="246"/>
      <c r="AR30" s="315"/>
      <c r="AS30" s="316"/>
      <c r="AT30" s="249"/>
      <c r="AU30" s="300">
        <v>28</v>
      </c>
      <c r="AV30" s="301">
        <v>38</v>
      </c>
      <c r="AW30" s="291" t="str">
        <f ca="1">INDIRECT("c38")</f>
        <v>CHRISTIAN JEAN PIERRE</v>
      </c>
      <c r="AX30" s="292">
        <f ca="1">INDIRECT("q38")</f>
        <v>0</v>
      </c>
      <c r="AY30" s="292">
        <f ca="1">INDIRECT("p38")</f>
        <v>0</v>
      </c>
      <c r="AZ30" s="264"/>
      <c r="BA30" s="265"/>
      <c r="BB30" s="264"/>
      <c r="BC30" s="283"/>
      <c r="BD30" s="283"/>
      <c r="BE30" s="278"/>
      <c r="BF30" s="279"/>
      <c r="BG30" s="279"/>
      <c r="BH30" s="266"/>
      <c r="BI30" s="270"/>
      <c r="BJ30" s="264"/>
      <c r="BK30" s="283"/>
      <c r="BL30" s="283"/>
      <c r="BM30" s="278"/>
      <c r="BN30" s="279"/>
      <c r="BO30" s="279"/>
      <c r="BP30" s="284"/>
      <c r="BS30">
        <v>30</v>
      </c>
    </row>
    <row r="31" spans="1:71">
      <c r="A31" s="118"/>
      <c r="B31" s="317">
        <v>31</v>
      </c>
      <c r="C31" s="273" t="s">
        <v>39</v>
      </c>
      <c r="D31" s="233"/>
      <c r="E31" s="233"/>
      <c r="F31" s="234"/>
      <c r="G31" s="234"/>
      <c r="H31" s="233"/>
      <c r="I31" s="233"/>
      <c r="J31" s="234"/>
      <c r="K31" s="234"/>
      <c r="L31" s="233"/>
      <c r="M31" s="233"/>
      <c r="N31" s="234"/>
      <c r="O31" s="234"/>
      <c r="P31" s="210">
        <f t="shared" si="0"/>
        <v>0</v>
      </c>
      <c r="Q31" s="274">
        <f t="shared" si="1"/>
        <v>0</v>
      </c>
      <c r="R31" s="312"/>
      <c r="S31" s="312"/>
      <c r="T31" s="312"/>
      <c r="U31" s="312"/>
      <c r="Y31" s="236"/>
      <c r="Z31" s="300">
        <v>29</v>
      </c>
      <c r="AA31" s="283">
        <v>29</v>
      </c>
      <c r="AB31" s="278" t="str">
        <f ca="1">INDIRECT("c29")</f>
        <v>PATRICK PIERRE</v>
      </c>
      <c r="AC31" s="279">
        <f ca="1">INDIRECT("q29")</f>
        <v>0</v>
      </c>
      <c r="AD31" s="279">
        <f ca="1">INDIRECT("p29")</f>
        <v>0</v>
      </c>
      <c r="AE31" s="236"/>
      <c r="AK31" s="240"/>
      <c r="AL31" s="241">
        <v>31</v>
      </c>
      <c r="AM31" s="242" t="s">
        <v>39</v>
      </c>
      <c r="AN31" s="243"/>
      <c r="AO31" s="244"/>
      <c r="AP31" s="245"/>
      <c r="AQ31" s="246"/>
      <c r="AR31" s="247"/>
      <c r="AS31" s="248"/>
      <c r="AT31" s="249"/>
      <c r="AU31" s="300">
        <v>29</v>
      </c>
      <c r="AV31" s="301">
        <v>21</v>
      </c>
      <c r="AW31" s="291" t="str">
        <f ca="1">INDIRECT("C21")</f>
        <v>THIERRY DOMINIQUE</v>
      </c>
      <c r="AX31" s="292">
        <f ca="1">INDIRECT("q21")</f>
        <v>0</v>
      </c>
      <c r="AY31" s="292">
        <f ca="1">INDIRECT("p21")</f>
        <v>0</v>
      </c>
      <c r="AZ31" s="264"/>
      <c r="BA31" s="265"/>
      <c r="BB31" s="264"/>
      <c r="BC31" s="283"/>
      <c r="BD31" s="283"/>
      <c r="BE31" s="278"/>
      <c r="BF31" s="279"/>
      <c r="BG31" s="279"/>
      <c r="BH31" s="266"/>
      <c r="BI31" s="270"/>
      <c r="BJ31" s="264"/>
      <c r="BK31" s="283"/>
      <c r="BL31" s="283"/>
      <c r="BM31" s="278"/>
      <c r="BN31" s="279"/>
      <c r="BO31" s="279"/>
      <c r="BP31" s="284"/>
      <c r="BS31">
        <v>31</v>
      </c>
    </row>
    <row r="32" spans="1:71">
      <c r="A32" s="118"/>
      <c r="B32" s="118">
        <v>32</v>
      </c>
      <c r="C32" s="232" t="s">
        <v>54</v>
      </c>
      <c r="D32" s="233"/>
      <c r="E32" s="233"/>
      <c r="F32" s="234"/>
      <c r="G32" s="234"/>
      <c r="H32" s="233"/>
      <c r="I32" s="233"/>
      <c r="J32" s="234"/>
      <c r="K32" s="234"/>
      <c r="L32" s="233"/>
      <c r="M32" s="233"/>
      <c r="N32" s="234"/>
      <c r="O32" s="234"/>
      <c r="P32" s="210">
        <f t="shared" si="0"/>
        <v>0</v>
      </c>
      <c r="Q32" s="20">
        <f t="shared" si="1"/>
        <v>0</v>
      </c>
      <c r="R32" s="312"/>
      <c r="S32" s="312"/>
      <c r="T32" s="312"/>
      <c r="U32" s="312"/>
      <c r="Y32" s="236"/>
      <c r="Z32" s="300">
        <v>30</v>
      </c>
      <c r="AA32" s="301">
        <v>30</v>
      </c>
      <c r="AB32" s="291" t="str">
        <f ca="1">INDIRECT("c30")</f>
        <v>JEAN LUC POLO</v>
      </c>
      <c r="AC32" s="292">
        <f ca="1">INDIRECT("q30")</f>
        <v>0</v>
      </c>
      <c r="AD32" s="292">
        <f ca="1">INDIRECT("p30")</f>
        <v>0</v>
      </c>
      <c r="AE32" s="236"/>
      <c r="AK32" s="240"/>
      <c r="AL32" s="302">
        <v>32</v>
      </c>
      <c r="AM32" s="303" t="s">
        <v>54</v>
      </c>
      <c r="AN32" s="304"/>
      <c r="AO32" s="305"/>
      <c r="AP32" s="306"/>
      <c r="AQ32" s="307"/>
      <c r="AR32" s="247"/>
      <c r="AS32" s="248"/>
      <c r="AT32" s="249"/>
      <c r="AU32" s="300">
        <v>30</v>
      </c>
      <c r="AV32" s="301">
        <v>41</v>
      </c>
      <c r="AW32" s="291" t="str">
        <f ca="1">INDIRECT("c41")</f>
        <v>ALAIN ALCIDE</v>
      </c>
      <c r="AX32" s="292">
        <f ca="1">INDIRECT("q41")</f>
        <v>0</v>
      </c>
      <c r="AY32" s="292">
        <f ca="1">INDIRECT("p41")</f>
        <v>0</v>
      </c>
      <c r="AZ32" s="264"/>
      <c r="BA32" s="265"/>
      <c r="BB32" s="264"/>
      <c r="BC32" s="283"/>
      <c r="BD32" s="283"/>
      <c r="BE32" s="278"/>
      <c r="BF32" s="279"/>
      <c r="BG32" s="279"/>
      <c r="BH32" s="266"/>
      <c r="BI32" s="270"/>
      <c r="BJ32" s="264"/>
      <c r="BK32" s="283"/>
      <c r="BL32" s="283"/>
      <c r="BM32" s="278"/>
      <c r="BN32" s="279"/>
      <c r="BO32" s="279"/>
      <c r="BP32" s="284"/>
      <c r="BS32">
        <v>32</v>
      </c>
    </row>
    <row r="33" spans="1:71">
      <c r="A33" s="118"/>
      <c r="B33" s="118">
        <v>33</v>
      </c>
      <c r="C33" s="232" t="s">
        <v>26</v>
      </c>
      <c r="D33" s="233"/>
      <c r="E33" s="233"/>
      <c r="F33" s="234"/>
      <c r="G33" s="234"/>
      <c r="H33" s="233"/>
      <c r="I33" s="233"/>
      <c r="J33" s="234"/>
      <c r="K33" s="234"/>
      <c r="L33" s="233"/>
      <c r="M33" s="233"/>
      <c r="N33" s="234"/>
      <c r="O33" s="234"/>
      <c r="P33" s="210">
        <f t="shared" si="0"/>
        <v>0</v>
      </c>
      <c r="Q33" s="20">
        <f t="shared" si="1"/>
        <v>0</v>
      </c>
      <c r="R33" s="312"/>
      <c r="S33" s="312"/>
      <c r="T33" s="312"/>
      <c r="U33" s="312"/>
      <c r="Y33" s="236"/>
      <c r="Z33" s="300">
        <v>31</v>
      </c>
      <c r="AA33" s="301">
        <v>31</v>
      </c>
      <c r="AB33" s="291" t="str">
        <f ca="1">INDIRECT("c31")</f>
        <v>VERO JEAN</v>
      </c>
      <c r="AC33" s="292">
        <f ca="1">INDIRECT("q31")</f>
        <v>0</v>
      </c>
      <c r="AD33" s="292">
        <f ca="1">INDIRECT("p31")</f>
        <v>0</v>
      </c>
      <c r="AE33" s="236"/>
      <c r="AK33" s="240"/>
      <c r="AL33" s="241">
        <v>33</v>
      </c>
      <c r="AM33" s="242" t="s">
        <v>26</v>
      </c>
      <c r="AN33" s="243"/>
      <c r="AO33" s="244"/>
      <c r="AP33" s="245"/>
      <c r="AQ33" s="246"/>
      <c r="AR33" s="247"/>
      <c r="AS33" s="248"/>
      <c r="AT33" s="249"/>
      <c r="AU33" s="300">
        <v>31</v>
      </c>
      <c r="AV33" s="301">
        <v>25</v>
      </c>
      <c r="AW33" s="291" t="str">
        <f ca="1">INDIRECT("C25")</f>
        <v>PHILIPPE BABETTE</v>
      </c>
      <c r="AX33" s="292">
        <f ca="1">INDIRECT("q25")</f>
        <v>0</v>
      </c>
      <c r="AY33" s="292">
        <f ca="1">INDIRECT("p25")</f>
        <v>0</v>
      </c>
      <c r="AZ33" s="264"/>
      <c r="BA33" s="265"/>
      <c r="BB33" s="264"/>
      <c r="BC33" s="283"/>
      <c r="BD33" s="283"/>
      <c r="BE33" s="278"/>
      <c r="BF33" s="279"/>
      <c r="BG33" s="279"/>
      <c r="BH33" s="266"/>
      <c r="BI33" s="270"/>
      <c r="BJ33" s="264"/>
      <c r="BK33" s="283"/>
      <c r="BL33" s="283"/>
      <c r="BM33" s="278"/>
      <c r="BN33" s="279"/>
      <c r="BO33" s="279"/>
      <c r="BP33" s="284"/>
      <c r="BS33">
        <v>33</v>
      </c>
    </row>
    <row r="34" spans="1:71">
      <c r="A34" s="118"/>
      <c r="B34" s="317">
        <v>34</v>
      </c>
      <c r="C34" s="273" t="s">
        <v>34</v>
      </c>
      <c r="D34" s="233"/>
      <c r="E34" s="233"/>
      <c r="F34" s="234"/>
      <c r="G34" s="234"/>
      <c r="H34" s="233"/>
      <c r="I34" s="233"/>
      <c r="J34" s="234"/>
      <c r="K34" s="234"/>
      <c r="L34" s="233"/>
      <c r="M34" s="233"/>
      <c r="N34" s="234"/>
      <c r="O34" s="234"/>
      <c r="P34" s="210">
        <f t="shared" si="0"/>
        <v>0</v>
      </c>
      <c r="Q34" s="274">
        <f t="shared" si="1"/>
        <v>0</v>
      </c>
      <c r="R34" s="312"/>
      <c r="S34" s="312"/>
      <c r="T34" s="312"/>
      <c r="U34" s="312"/>
      <c r="Y34" s="236"/>
      <c r="Z34" s="300">
        <v>32</v>
      </c>
      <c r="AA34" s="283">
        <v>32</v>
      </c>
      <c r="AB34" s="278" t="str">
        <f ca="1">INDIRECT("c32")</f>
        <v>ANNIE BABETH</v>
      </c>
      <c r="AC34" s="279">
        <f ca="1">INDIRECT("q32")</f>
        <v>0</v>
      </c>
      <c r="AD34" s="279">
        <f ca="1">INDIRECT("p32")</f>
        <v>0</v>
      </c>
      <c r="AE34" s="236"/>
      <c r="AK34" s="240"/>
      <c r="AL34" s="241">
        <v>34</v>
      </c>
      <c r="AM34" s="242" t="s">
        <v>34</v>
      </c>
      <c r="AN34" s="243"/>
      <c r="AO34" s="244"/>
      <c r="AP34" s="245"/>
      <c r="AQ34" s="246"/>
      <c r="AR34" s="247"/>
      <c r="AS34" s="248"/>
      <c r="AT34" s="249"/>
      <c r="AU34" s="300">
        <v>32</v>
      </c>
      <c r="AV34" s="290">
        <v>5</v>
      </c>
      <c r="AW34" s="291" t="str">
        <f ca="1">INDIRECT("c5")</f>
        <v>PASCALE VALERIE</v>
      </c>
      <c r="AX34" s="292">
        <f ca="1">INDIRECT("q5")</f>
        <v>0</v>
      </c>
      <c r="AY34" s="292">
        <f ca="1">INDIRECT("p5")</f>
        <v>0</v>
      </c>
      <c r="AZ34" s="264"/>
      <c r="BA34" s="265"/>
      <c r="BB34" s="264"/>
      <c r="BC34" s="283"/>
      <c r="BD34" s="283"/>
      <c r="BE34" s="278"/>
      <c r="BF34" s="279"/>
      <c r="BG34" s="279"/>
      <c r="BH34" s="266"/>
      <c r="BI34" s="270"/>
      <c r="BJ34" s="264"/>
      <c r="BK34" s="283"/>
      <c r="BL34" s="283"/>
      <c r="BM34" s="278"/>
      <c r="BN34" s="279"/>
      <c r="BO34" s="279"/>
      <c r="BP34" s="284"/>
      <c r="BS34">
        <v>34</v>
      </c>
    </row>
    <row r="35" spans="1:71">
      <c r="A35" s="118"/>
      <c r="B35" s="118">
        <v>35</v>
      </c>
      <c r="C35" s="232" t="s">
        <v>29</v>
      </c>
      <c r="D35" s="233"/>
      <c r="E35" s="233"/>
      <c r="F35" s="234"/>
      <c r="G35" s="234"/>
      <c r="H35" s="233"/>
      <c r="I35" s="233"/>
      <c r="J35" s="234"/>
      <c r="K35" s="234"/>
      <c r="L35" s="233"/>
      <c r="M35" s="233"/>
      <c r="N35" s="234"/>
      <c r="O35" s="234"/>
      <c r="P35" s="210">
        <f t="shared" si="0"/>
        <v>0</v>
      </c>
      <c r="Q35" s="20">
        <f t="shared" si="1"/>
        <v>0</v>
      </c>
      <c r="R35" s="312"/>
      <c r="S35" s="312"/>
      <c r="T35" s="312"/>
      <c r="U35" s="312"/>
      <c r="Y35" s="236"/>
      <c r="Z35" s="300">
        <v>33</v>
      </c>
      <c r="AA35" s="283">
        <v>33</v>
      </c>
      <c r="AB35" s="278" t="str">
        <f ca="1">INDIRECT("c33")</f>
        <v>SERGE MARTIAL</v>
      </c>
      <c r="AC35" s="279">
        <f ca="1">INDIRECT("q33")</f>
        <v>0</v>
      </c>
      <c r="AD35" s="279">
        <f ca="1">INDIRECT("p33")</f>
        <v>0</v>
      </c>
      <c r="AE35" s="236"/>
      <c r="AK35" s="240"/>
      <c r="AL35" s="241">
        <v>35</v>
      </c>
      <c r="AM35" s="242" t="s">
        <v>29</v>
      </c>
      <c r="AN35" s="243"/>
      <c r="AO35" s="244"/>
      <c r="AP35" s="245"/>
      <c r="AQ35" s="246"/>
      <c r="AR35" s="247"/>
      <c r="AS35" s="248"/>
      <c r="AT35" s="249"/>
      <c r="AU35" s="300">
        <v>33</v>
      </c>
      <c r="AV35" s="290">
        <v>6</v>
      </c>
      <c r="AW35" s="291" t="str">
        <f ca="1">INDIRECT("c6")</f>
        <v>DRAPEAU SERGE</v>
      </c>
      <c r="AX35" s="292">
        <f ca="1">INDIRECT("q6")</f>
        <v>0</v>
      </c>
      <c r="AY35" s="292">
        <f ca="1">INDIRECT("p6")</f>
        <v>0</v>
      </c>
      <c r="AZ35" s="173"/>
      <c r="BA35" s="265"/>
      <c r="BB35" s="264"/>
      <c r="BC35" s="318"/>
      <c r="BD35" s="318"/>
      <c r="BE35" s="319"/>
      <c r="BF35" s="320"/>
      <c r="BG35" s="320"/>
      <c r="BH35" s="266"/>
      <c r="BI35" s="270"/>
      <c r="BJ35" s="264"/>
      <c r="BK35" s="283"/>
      <c r="BL35" s="283"/>
      <c r="BM35" s="278"/>
      <c r="BN35" s="279"/>
      <c r="BO35" s="321"/>
      <c r="BP35" s="284"/>
      <c r="BS35">
        <v>35</v>
      </c>
    </row>
    <row r="36" spans="1:71">
      <c r="A36" s="118"/>
      <c r="B36" s="317">
        <v>36</v>
      </c>
      <c r="C36" s="273" t="s">
        <v>45</v>
      </c>
      <c r="D36" s="233"/>
      <c r="E36" s="233"/>
      <c r="F36" s="234"/>
      <c r="G36" s="234"/>
      <c r="H36" s="233"/>
      <c r="I36" s="233"/>
      <c r="J36" s="234"/>
      <c r="K36" s="234"/>
      <c r="L36" s="233"/>
      <c r="M36" s="233"/>
      <c r="N36" s="234"/>
      <c r="O36" s="234"/>
      <c r="P36" s="210">
        <f t="shared" si="0"/>
        <v>0</v>
      </c>
      <c r="Q36" s="274">
        <f t="shared" si="1"/>
        <v>0</v>
      </c>
      <c r="R36" s="312"/>
      <c r="S36" s="312"/>
      <c r="T36" s="312"/>
      <c r="U36" s="312"/>
      <c r="Y36" s="236"/>
      <c r="Z36" s="300">
        <v>34</v>
      </c>
      <c r="AA36" s="301">
        <v>34</v>
      </c>
      <c r="AB36" s="291" t="str">
        <f ca="1">INDIRECT("c34")</f>
        <v>NONO BRUNO</v>
      </c>
      <c r="AC36" s="292">
        <f ca="1">INDIRECT("q34")</f>
        <v>0</v>
      </c>
      <c r="AD36" s="292">
        <f ca="1">INDIRECT("p34")</f>
        <v>0</v>
      </c>
      <c r="AE36" s="236"/>
      <c r="AK36" s="240"/>
      <c r="AL36" s="241">
        <v>36</v>
      </c>
      <c r="AM36" s="242" t="s">
        <v>45</v>
      </c>
      <c r="AN36" s="243"/>
      <c r="AO36" s="244"/>
      <c r="AP36" s="245"/>
      <c r="AQ36" s="246"/>
      <c r="AR36" s="247"/>
      <c r="AS36" s="248"/>
      <c r="AT36" s="249"/>
      <c r="AU36" s="300">
        <v>34</v>
      </c>
      <c r="AV36" s="301">
        <v>13</v>
      </c>
      <c r="AW36" s="291" t="str">
        <f ca="1">INDIRECT("c13")</f>
        <v>MONIQUE JESUS</v>
      </c>
      <c r="AX36" s="292">
        <f ca="1">INDIRECT("q13")</f>
        <v>0</v>
      </c>
      <c r="AY36" s="292">
        <f ca="1">INDIRECT("p13")</f>
        <v>0</v>
      </c>
      <c r="AZ36" s="173"/>
      <c r="BA36" s="265"/>
      <c r="BB36" s="264"/>
      <c r="BC36" s="322"/>
      <c r="BD36" s="322"/>
      <c r="BE36" s="323"/>
      <c r="BF36" s="324"/>
      <c r="BG36" s="324"/>
      <c r="BH36" s="266"/>
      <c r="BI36" s="270"/>
      <c r="BJ36" s="264"/>
      <c r="BK36" s="283"/>
      <c r="BL36" s="283"/>
      <c r="BM36" s="278"/>
      <c r="BN36" s="279"/>
      <c r="BO36" s="321"/>
      <c r="BP36" s="325"/>
      <c r="BS36">
        <v>36</v>
      </c>
    </row>
    <row r="37" spans="1:71">
      <c r="A37" s="118"/>
      <c r="B37" s="118">
        <v>37</v>
      </c>
      <c r="C37" s="232" t="s">
        <v>40</v>
      </c>
      <c r="D37" s="233"/>
      <c r="E37" s="233"/>
      <c r="F37" s="234"/>
      <c r="G37" s="234"/>
      <c r="H37" s="233"/>
      <c r="I37" s="233"/>
      <c r="J37" s="234"/>
      <c r="K37" s="234"/>
      <c r="L37" s="233"/>
      <c r="M37" s="233"/>
      <c r="N37" s="234"/>
      <c r="O37" s="234"/>
      <c r="P37" s="210">
        <f t="shared" si="0"/>
        <v>0</v>
      </c>
      <c r="Q37" s="20">
        <f t="shared" si="1"/>
        <v>0</v>
      </c>
      <c r="R37" s="312"/>
      <c r="S37" s="312"/>
      <c r="T37" s="312"/>
      <c r="U37" s="312"/>
      <c r="Y37" s="236"/>
      <c r="Z37" s="300">
        <v>35</v>
      </c>
      <c r="AA37" s="283">
        <v>35</v>
      </c>
      <c r="AB37" s="278" t="str">
        <f ca="1">INDIRECT("c35")</f>
        <v>EASIO CHRISTIAN</v>
      </c>
      <c r="AC37" s="279">
        <f ca="1">INDIRECT("q35")</f>
        <v>0</v>
      </c>
      <c r="AD37" s="279">
        <f ca="1">INDIRECT("p35")</f>
        <v>0</v>
      </c>
      <c r="AE37" s="236"/>
      <c r="AK37" s="240"/>
      <c r="AL37" s="241">
        <v>37</v>
      </c>
      <c r="AM37" s="242" t="s">
        <v>40</v>
      </c>
      <c r="AN37" s="243"/>
      <c r="AO37" s="244"/>
      <c r="AP37" s="245"/>
      <c r="AQ37" s="246"/>
      <c r="AR37" s="247"/>
      <c r="AS37" s="248"/>
      <c r="AT37" s="249"/>
      <c r="AU37" s="300">
        <v>35</v>
      </c>
      <c r="AV37" s="301">
        <v>43</v>
      </c>
      <c r="AW37" s="291" t="str">
        <f ca="1">INDIRECT("c43")</f>
        <v>DAVID MICHEL</v>
      </c>
      <c r="AX37" s="292">
        <f ca="1">INDIRECT("q43")</f>
        <v>0</v>
      </c>
      <c r="AY37" s="292">
        <f ca="1">INDIRECT("p43")</f>
        <v>0</v>
      </c>
      <c r="AZ37" s="173"/>
      <c r="BA37" s="265"/>
      <c r="BB37" s="264"/>
      <c r="BC37" s="322"/>
      <c r="BD37" s="322"/>
      <c r="BE37" s="323"/>
      <c r="BF37" s="324"/>
      <c r="BG37" s="324"/>
      <c r="BH37" s="266"/>
      <c r="BI37" s="270"/>
      <c r="BJ37" s="270"/>
      <c r="BK37" s="264"/>
      <c r="BL37" s="264"/>
      <c r="BM37" s="264"/>
      <c r="BN37" s="264"/>
      <c r="BO37" s="264"/>
      <c r="BS37">
        <v>37</v>
      </c>
    </row>
    <row r="38" spans="1:71">
      <c r="A38" s="118"/>
      <c r="B38" s="317">
        <v>38</v>
      </c>
      <c r="C38" s="273" t="s">
        <v>56</v>
      </c>
      <c r="D38" s="233"/>
      <c r="E38" s="233"/>
      <c r="F38" s="234"/>
      <c r="G38" s="234"/>
      <c r="H38" s="233"/>
      <c r="I38" s="233"/>
      <c r="J38" s="234"/>
      <c r="K38" s="234"/>
      <c r="L38" s="233"/>
      <c r="M38" s="233"/>
      <c r="N38" s="234"/>
      <c r="O38" s="234"/>
      <c r="P38" s="210">
        <f t="shared" si="0"/>
        <v>0</v>
      </c>
      <c r="Q38" s="274">
        <f t="shared" si="1"/>
        <v>0</v>
      </c>
      <c r="R38" s="312"/>
      <c r="S38" s="312"/>
      <c r="T38" s="312"/>
      <c r="U38" s="312"/>
      <c r="Y38" s="236"/>
      <c r="Z38" s="300">
        <v>36</v>
      </c>
      <c r="AA38" s="301">
        <v>36</v>
      </c>
      <c r="AB38" s="291" t="str">
        <f ca="1">INDIRECT("c36")</f>
        <v>BOUBOU GEGE</v>
      </c>
      <c r="AC38" s="292">
        <f ca="1">INDIRECT("q36")</f>
        <v>0</v>
      </c>
      <c r="AD38" s="292">
        <f ca="1">INDIRECT("p36")</f>
        <v>0</v>
      </c>
      <c r="AE38" s="236"/>
      <c r="AK38" s="240"/>
      <c r="AL38" s="241">
        <v>38</v>
      </c>
      <c r="AM38" s="242" t="s">
        <v>56</v>
      </c>
      <c r="AN38" s="243"/>
      <c r="AO38" s="244"/>
      <c r="AP38" s="245"/>
      <c r="AQ38" s="246"/>
      <c r="AR38" s="247"/>
      <c r="AS38" s="248"/>
      <c r="AT38" s="249"/>
      <c r="AU38" s="300">
        <v>36</v>
      </c>
      <c r="AV38" s="301">
        <v>46</v>
      </c>
      <c r="AW38" s="291" t="str">
        <f ca="1">INDIRECT("c46")</f>
        <v xml:space="preserve">SERGE  </v>
      </c>
      <c r="AX38" s="292">
        <f ca="1">INDIRECT("q46")</f>
        <v>0</v>
      </c>
      <c r="AY38" s="292">
        <f ca="1">INDIRECT("p46")</f>
        <v>0</v>
      </c>
      <c r="AZ38" s="173"/>
      <c r="BA38" s="265"/>
      <c r="BB38" s="264"/>
      <c r="BC38" s="322"/>
      <c r="BD38" s="327"/>
      <c r="BE38" s="323"/>
      <c r="BF38" s="324"/>
      <c r="BG38" s="324"/>
      <c r="BH38" s="266"/>
      <c r="BI38" s="270"/>
      <c r="BJ38" s="270"/>
      <c r="BK38" s="264"/>
      <c r="BL38" s="264"/>
      <c r="BM38" s="264"/>
      <c r="BN38" s="264"/>
      <c r="BO38" s="264"/>
      <c r="BS38">
        <v>38</v>
      </c>
    </row>
    <row r="39" spans="1:71">
      <c r="A39" s="118"/>
      <c r="B39" s="317">
        <v>39</v>
      </c>
      <c r="C39" s="273" t="s">
        <v>50</v>
      </c>
      <c r="D39" s="233"/>
      <c r="E39" s="233"/>
      <c r="F39" s="234"/>
      <c r="G39" s="234"/>
      <c r="H39" s="233"/>
      <c r="I39" s="233"/>
      <c r="J39" s="234"/>
      <c r="K39" s="234"/>
      <c r="L39" s="233"/>
      <c r="M39" s="233"/>
      <c r="N39" s="234"/>
      <c r="O39" s="234"/>
      <c r="P39" s="210">
        <f t="shared" si="0"/>
        <v>0</v>
      </c>
      <c r="Q39" s="274">
        <f t="shared" si="1"/>
        <v>0</v>
      </c>
      <c r="R39" s="312"/>
      <c r="S39" s="312"/>
      <c r="T39" s="312"/>
      <c r="U39" s="312"/>
      <c r="Y39" s="236"/>
      <c r="Z39" s="300">
        <v>37</v>
      </c>
      <c r="AA39" s="283">
        <v>37</v>
      </c>
      <c r="AB39" s="278" t="str">
        <f ca="1">INDIRECT("c37")</f>
        <v>DOMINIQUE CHRISTIAN</v>
      </c>
      <c r="AC39" s="279">
        <f ca="1">INDIRECT("q37")</f>
        <v>0</v>
      </c>
      <c r="AD39" s="279">
        <f ca="1">INDIRECT("p37")</f>
        <v>0</v>
      </c>
      <c r="AE39" s="236"/>
      <c r="AK39" s="240"/>
      <c r="AL39" s="241">
        <v>39</v>
      </c>
      <c r="AM39" s="242" t="s">
        <v>50</v>
      </c>
      <c r="AN39" s="243"/>
      <c r="AO39" s="244"/>
      <c r="AP39" s="245"/>
      <c r="AQ39" s="246"/>
      <c r="AR39" s="247"/>
      <c r="AS39" s="248"/>
      <c r="AT39" s="249"/>
      <c r="AU39" s="300">
        <v>37</v>
      </c>
      <c r="AV39" s="301">
        <v>50</v>
      </c>
      <c r="AW39" s="291" t="str">
        <f ca="1">INDIRECT("c50")</f>
        <v>FLORENTIN</v>
      </c>
      <c r="AX39" s="292">
        <f ca="1">INDIRECT("q50")</f>
        <v>0</v>
      </c>
      <c r="AY39" s="292">
        <f ca="1">INDIRECT("p50")</f>
        <v>0</v>
      </c>
      <c r="AZ39" s="173"/>
      <c r="BA39" s="265"/>
      <c r="BB39" s="264"/>
      <c r="BC39" s="322"/>
      <c r="BD39" s="322"/>
      <c r="BE39" s="323"/>
      <c r="BF39" s="324"/>
      <c r="BG39" s="324"/>
      <c r="BH39" s="266"/>
      <c r="BI39" s="270"/>
      <c r="BJ39" s="270"/>
      <c r="BK39" s="264"/>
      <c r="BL39" s="264"/>
      <c r="BM39" s="264"/>
      <c r="BN39" s="264"/>
      <c r="BO39" s="264"/>
      <c r="BS39">
        <v>39</v>
      </c>
    </row>
    <row r="40" spans="1:71">
      <c r="A40" s="118"/>
      <c r="B40" s="118">
        <v>40</v>
      </c>
      <c r="C40" s="232" t="s">
        <v>53</v>
      </c>
      <c r="D40" s="233"/>
      <c r="E40" s="233"/>
      <c r="F40" s="234"/>
      <c r="G40" s="234"/>
      <c r="H40" s="233"/>
      <c r="I40" s="233"/>
      <c r="J40" s="234"/>
      <c r="K40" s="234"/>
      <c r="L40" s="233"/>
      <c r="M40" s="233"/>
      <c r="N40" s="234"/>
      <c r="O40" s="234"/>
      <c r="P40" s="210">
        <f t="shared" si="0"/>
        <v>0</v>
      </c>
      <c r="Q40" s="20">
        <f t="shared" si="1"/>
        <v>0</v>
      </c>
      <c r="R40" s="312"/>
      <c r="S40" s="312"/>
      <c r="T40" s="312"/>
      <c r="U40" s="312"/>
      <c r="Y40" s="236"/>
      <c r="Z40" s="300">
        <v>38</v>
      </c>
      <c r="AA40" s="301">
        <v>38</v>
      </c>
      <c r="AB40" s="291" t="str">
        <f ca="1">INDIRECT("c38")</f>
        <v>CHRISTIAN JEAN PIERRE</v>
      </c>
      <c r="AC40" s="292">
        <f ca="1">INDIRECT("q38")</f>
        <v>0</v>
      </c>
      <c r="AD40" s="292">
        <f ca="1">INDIRECT("p38")</f>
        <v>0</v>
      </c>
      <c r="AE40" s="236"/>
      <c r="AK40" s="240"/>
      <c r="AL40" s="241">
        <v>40</v>
      </c>
      <c r="AM40" s="242" t="s">
        <v>53</v>
      </c>
      <c r="AN40" s="243"/>
      <c r="AO40" s="244"/>
      <c r="AP40" s="245"/>
      <c r="AQ40" s="246"/>
      <c r="AR40" s="247"/>
      <c r="AS40" s="248"/>
      <c r="AT40" s="249"/>
      <c r="AU40" s="300">
        <v>38</v>
      </c>
      <c r="AV40" s="290">
        <v>8</v>
      </c>
      <c r="AW40" s="291" t="str">
        <f ca="1">INDIRECT("c8")</f>
        <v>JEAN NOEL - G G</v>
      </c>
      <c r="AX40" s="292">
        <f ca="1">INDIRECT("q8")</f>
        <v>0</v>
      </c>
      <c r="AY40" s="292">
        <f ca="1">INDIRECT("p8")</f>
        <v>0</v>
      </c>
      <c r="AZ40" s="264"/>
      <c r="BA40" s="265"/>
      <c r="BB40" s="264"/>
      <c r="BC40" s="322"/>
      <c r="BD40" s="322"/>
      <c r="BE40" s="323"/>
      <c r="BF40" s="324"/>
      <c r="BG40" s="324"/>
      <c r="BH40" s="266"/>
      <c r="BI40" s="270"/>
      <c r="BJ40" s="270"/>
      <c r="BK40" s="264"/>
      <c r="BL40" s="264"/>
      <c r="BM40" s="264"/>
      <c r="BN40" s="264"/>
      <c r="BO40" s="264"/>
      <c r="BS40">
        <v>40</v>
      </c>
    </row>
    <row r="41" spans="1:71">
      <c r="A41" s="118"/>
      <c r="B41" s="118">
        <v>41</v>
      </c>
      <c r="C41" s="232" t="s">
        <v>35</v>
      </c>
      <c r="D41" s="233"/>
      <c r="E41" s="233"/>
      <c r="F41" s="234"/>
      <c r="G41" s="234"/>
      <c r="H41" s="233"/>
      <c r="I41" s="233"/>
      <c r="J41" s="234"/>
      <c r="K41" s="234"/>
      <c r="L41" s="233"/>
      <c r="M41" s="233"/>
      <c r="N41" s="234"/>
      <c r="O41" s="234"/>
      <c r="P41" s="210">
        <f t="shared" si="0"/>
        <v>0</v>
      </c>
      <c r="Q41" s="20">
        <f t="shared" si="1"/>
        <v>0</v>
      </c>
      <c r="R41" s="312"/>
      <c r="S41" s="312"/>
      <c r="T41" s="312"/>
      <c r="U41" s="312"/>
      <c r="Y41" s="236"/>
      <c r="Z41" s="300">
        <v>39</v>
      </c>
      <c r="AA41" s="301">
        <v>39</v>
      </c>
      <c r="AB41" s="291" t="str">
        <f ca="1">INDIRECT("c39")</f>
        <v>LOLO GEGE</v>
      </c>
      <c r="AC41" s="292">
        <f ca="1">INDIRECT("q39")</f>
        <v>0</v>
      </c>
      <c r="AD41" s="292">
        <f ca="1">INDIRECT("p39")</f>
        <v>0</v>
      </c>
      <c r="AE41" s="236"/>
      <c r="AK41" s="240"/>
      <c r="AL41" s="241">
        <v>41</v>
      </c>
      <c r="AM41" s="242" t="s">
        <v>35</v>
      </c>
      <c r="AN41" s="243"/>
      <c r="AO41" s="244"/>
      <c r="AP41" s="245"/>
      <c r="AQ41" s="246"/>
      <c r="AR41" s="247"/>
      <c r="AS41" s="248"/>
      <c r="AT41" s="249"/>
      <c r="AU41" s="300">
        <v>39</v>
      </c>
      <c r="AV41" s="301">
        <v>22</v>
      </c>
      <c r="AW41" s="291" t="str">
        <f ca="1">INDIRECT("C22")</f>
        <v>OSCAR JACKY</v>
      </c>
      <c r="AX41" s="292">
        <f ca="1">INDIRECT("q22")</f>
        <v>0</v>
      </c>
      <c r="AY41" s="292">
        <f ca="1">INDIRECT("p22")</f>
        <v>0</v>
      </c>
      <c r="AZ41" s="264"/>
      <c r="BA41" s="265"/>
      <c r="BB41" s="264"/>
      <c r="BC41" s="322"/>
      <c r="BD41" s="322"/>
      <c r="BE41" s="323"/>
      <c r="BF41" s="324"/>
      <c r="BG41" s="324"/>
      <c r="BH41" s="266"/>
      <c r="BI41" s="270"/>
      <c r="BJ41" s="270"/>
      <c r="BK41" s="264"/>
      <c r="BL41" s="264"/>
      <c r="BM41" s="264"/>
      <c r="BN41" s="264"/>
      <c r="BO41" s="264"/>
      <c r="BS41">
        <v>41</v>
      </c>
    </row>
    <row r="42" spans="1:71">
      <c r="A42" s="118"/>
      <c r="B42" s="118">
        <v>42</v>
      </c>
      <c r="C42" s="232" t="s">
        <v>55</v>
      </c>
      <c r="D42" s="233"/>
      <c r="E42" s="233"/>
      <c r="F42" s="234"/>
      <c r="G42" s="234"/>
      <c r="H42" s="233"/>
      <c r="I42" s="233"/>
      <c r="J42" s="234"/>
      <c r="K42" s="234"/>
      <c r="L42" s="233"/>
      <c r="M42" s="233"/>
      <c r="N42" s="234"/>
      <c r="O42" s="234"/>
      <c r="P42" s="210">
        <f t="shared" si="0"/>
        <v>0</v>
      </c>
      <c r="Q42" s="20">
        <f t="shared" si="1"/>
        <v>0</v>
      </c>
      <c r="R42" s="312"/>
      <c r="S42" s="312"/>
      <c r="T42" s="312"/>
      <c r="U42" s="312"/>
      <c r="Y42" s="236"/>
      <c r="Z42" s="300">
        <v>40</v>
      </c>
      <c r="AA42" s="283">
        <v>40</v>
      </c>
      <c r="AB42" s="278" t="str">
        <f ca="1">INDIRECT("c40")</f>
        <v>CHRISTIAN DANIELLE</v>
      </c>
      <c r="AC42" s="279">
        <f ca="1">INDIRECT("q40")</f>
        <v>0</v>
      </c>
      <c r="AD42" s="279">
        <f ca="1">INDIRECT("p40")</f>
        <v>0</v>
      </c>
      <c r="AE42" s="236"/>
      <c r="AK42" s="240"/>
      <c r="AL42" s="241">
        <v>42</v>
      </c>
      <c r="AM42" s="242" t="s">
        <v>55</v>
      </c>
      <c r="AN42" s="243"/>
      <c r="AO42" s="244"/>
      <c r="AP42" s="245"/>
      <c r="AQ42" s="246"/>
      <c r="AR42" s="247"/>
      <c r="AS42" s="248"/>
      <c r="AT42" s="249"/>
      <c r="AU42" s="300">
        <v>40</v>
      </c>
      <c r="AV42" s="301">
        <v>14</v>
      </c>
      <c r="AW42" s="291" t="str">
        <f ca="1">INDIRECT("c14")</f>
        <v>ABDEL ZORRO</v>
      </c>
      <c r="AX42" s="292">
        <f ca="1">INDIRECT("q14")</f>
        <v>0</v>
      </c>
      <c r="AY42" s="292">
        <f ca="1">INDIRECT("p14")</f>
        <v>0</v>
      </c>
      <c r="AZ42" s="264"/>
      <c r="BA42" s="265"/>
      <c r="BB42" s="264"/>
      <c r="BC42" s="322"/>
      <c r="BD42" s="322"/>
      <c r="BE42" s="323"/>
      <c r="BF42" s="324"/>
      <c r="BG42" s="324"/>
      <c r="BH42" s="266"/>
      <c r="BI42" s="270"/>
      <c r="BJ42" s="270"/>
      <c r="BK42" s="264"/>
      <c r="BL42" s="264"/>
      <c r="BM42" s="264"/>
      <c r="BN42" s="264"/>
      <c r="BO42" s="264"/>
      <c r="BS42">
        <v>42</v>
      </c>
    </row>
    <row r="43" spans="1:71">
      <c r="A43" s="118"/>
      <c r="B43" s="118">
        <v>43</v>
      </c>
      <c r="C43" s="232" t="s">
        <v>44</v>
      </c>
      <c r="D43" s="233"/>
      <c r="E43" s="233"/>
      <c r="F43" s="234"/>
      <c r="G43" s="234"/>
      <c r="H43" s="233"/>
      <c r="I43" s="233"/>
      <c r="J43" s="234"/>
      <c r="K43" s="234"/>
      <c r="L43" s="233"/>
      <c r="M43" s="233"/>
      <c r="N43" s="234"/>
      <c r="O43" s="234"/>
      <c r="P43" s="210">
        <f t="shared" si="0"/>
        <v>0</v>
      </c>
      <c r="Q43" s="20">
        <f t="shared" si="1"/>
        <v>0</v>
      </c>
      <c r="R43" s="312"/>
      <c r="S43" s="312"/>
      <c r="T43" s="312"/>
      <c r="U43" s="312"/>
      <c r="Y43" s="236"/>
      <c r="Z43" s="300">
        <v>41</v>
      </c>
      <c r="AA43" s="283">
        <v>41</v>
      </c>
      <c r="AB43" s="278" t="str">
        <f ca="1">INDIRECT("c41")</f>
        <v>ALAIN ALCIDE</v>
      </c>
      <c r="AC43" s="279">
        <f ca="1">INDIRECT("q41")</f>
        <v>0</v>
      </c>
      <c r="AD43" s="279">
        <f ca="1">INDIRECT("p41")</f>
        <v>0</v>
      </c>
      <c r="AE43" s="236"/>
      <c r="AK43" s="240"/>
      <c r="AL43" s="241">
        <v>43</v>
      </c>
      <c r="AM43" s="242" t="s">
        <v>44</v>
      </c>
      <c r="AN43" s="243"/>
      <c r="AO43" s="244"/>
      <c r="AP43" s="245"/>
      <c r="AQ43" s="246"/>
      <c r="AR43" s="247"/>
      <c r="AS43" s="248"/>
      <c r="AT43" s="249"/>
      <c r="AU43" s="300">
        <v>41</v>
      </c>
      <c r="AV43" s="283">
        <v>26</v>
      </c>
      <c r="AW43" s="278" t="str">
        <f ca="1">INDIRECT("C26")</f>
        <v>FRANCOIS DOMINIQUE</v>
      </c>
      <c r="AX43" s="279">
        <f ca="1">INDIRECT("q26")</f>
        <v>0</v>
      </c>
      <c r="AY43" s="279">
        <f ca="1">INDIRECT("p26")</f>
        <v>0</v>
      </c>
      <c r="AZ43" s="264"/>
      <c r="BA43" s="265"/>
      <c r="BB43" s="264"/>
      <c r="BC43" s="322"/>
      <c r="BD43" s="322"/>
      <c r="BE43" s="323"/>
      <c r="BF43" s="324"/>
      <c r="BG43" s="324"/>
      <c r="BH43" s="266"/>
      <c r="BI43" s="270"/>
      <c r="BJ43" s="270"/>
      <c r="BK43" s="264"/>
      <c r="BL43" s="264"/>
      <c r="BM43" s="264"/>
      <c r="BN43" s="264"/>
      <c r="BO43" s="264"/>
      <c r="BS43">
        <v>43</v>
      </c>
    </row>
    <row r="44" spans="1:71">
      <c r="A44" s="118"/>
      <c r="B44" s="317">
        <v>44</v>
      </c>
      <c r="C44" s="273" t="s">
        <v>47</v>
      </c>
      <c r="D44" s="233"/>
      <c r="E44" s="233"/>
      <c r="F44" s="234"/>
      <c r="G44" s="234"/>
      <c r="H44" s="233"/>
      <c r="I44" s="233"/>
      <c r="J44" s="234"/>
      <c r="K44" s="234"/>
      <c r="L44" s="233"/>
      <c r="M44" s="233"/>
      <c r="N44" s="234"/>
      <c r="O44" s="234"/>
      <c r="P44" s="210">
        <f t="shared" si="0"/>
        <v>0</v>
      </c>
      <c r="Q44" s="274">
        <f t="shared" si="1"/>
        <v>0</v>
      </c>
      <c r="R44" s="312"/>
      <c r="S44" s="312"/>
      <c r="T44" s="312"/>
      <c r="U44" s="312"/>
      <c r="Y44" s="236"/>
      <c r="Z44" s="300">
        <v>42</v>
      </c>
      <c r="AA44" s="283">
        <v>42</v>
      </c>
      <c r="AB44" s="278" t="str">
        <f ca="1">INDIRECT("c42")</f>
        <v>PATRICK FLORENCE</v>
      </c>
      <c r="AC44" s="279">
        <f ca="1">INDIRECT("q42")</f>
        <v>0</v>
      </c>
      <c r="AD44" s="279">
        <f ca="1">INDIRECT("p42")</f>
        <v>0</v>
      </c>
      <c r="AE44" s="236"/>
      <c r="AK44" s="240"/>
      <c r="AL44" s="241">
        <v>44</v>
      </c>
      <c r="AM44" s="242" t="s">
        <v>47</v>
      </c>
      <c r="AN44" s="243"/>
      <c r="AO44" s="244"/>
      <c r="AP44" s="245"/>
      <c r="AQ44" s="246"/>
      <c r="AR44" s="247"/>
      <c r="AS44" s="248"/>
      <c r="AT44" s="249"/>
      <c r="AU44" s="300">
        <v>42</v>
      </c>
      <c r="AV44" s="283">
        <v>11</v>
      </c>
      <c r="AW44" s="278" t="str">
        <f ca="1">INDIRECT("c11")</f>
        <v>JOSETTE  ROGER</v>
      </c>
      <c r="AX44" s="279">
        <f ca="1">INDIRECT("q11")</f>
        <v>0</v>
      </c>
      <c r="AY44" s="279">
        <f ca="1">INDIRECT("p11")</f>
        <v>0</v>
      </c>
      <c r="AZ44" s="264"/>
      <c r="BA44" s="265"/>
      <c r="BB44" s="264"/>
      <c r="BC44" s="322"/>
      <c r="BD44" s="322"/>
      <c r="BE44" s="323"/>
      <c r="BF44" s="324"/>
      <c r="BG44" s="324"/>
      <c r="BH44" s="266"/>
      <c r="BI44" s="270"/>
      <c r="BJ44" s="270"/>
      <c r="BK44" s="264"/>
      <c r="BL44" s="264"/>
      <c r="BM44" s="264"/>
      <c r="BN44" s="264"/>
      <c r="BO44" s="264"/>
      <c r="BS44">
        <v>44</v>
      </c>
    </row>
    <row r="45" spans="1:71">
      <c r="A45" s="118"/>
      <c r="B45" s="317">
        <v>45</v>
      </c>
      <c r="C45" s="328" t="s">
        <v>38</v>
      </c>
      <c r="D45" s="233"/>
      <c r="E45" s="233"/>
      <c r="F45" s="234"/>
      <c r="G45" s="234"/>
      <c r="H45" s="233"/>
      <c r="I45" s="233"/>
      <c r="J45" s="234"/>
      <c r="K45" s="234"/>
      <c r="L45" s="233"/>
      <c r="M45" s="233"/>
      <c r="N45" s="234"/>
      <c r="O45" s="234"/>
      <c r="P45" s="210">
        <f t="shared" si="0"/>
        <v>0</v>
      </c>
      <c r="Q45" s="274">
        <f t="shared" si="1"/>
        <v>0</v>
      </c>
      <c r="R45" s="312"/>
      <c r="S45" s="312"/>
      <c r="T45" s="312"/>
      <c r="U45" s="312"/>
      <c r="Y45" s="236"/>
      <c r="Z45" s="300">
        <v>43</v>
      </c>
      <c r="AA45" s="283">
        <v>43</v>
      </c>
      <c r="AB45" s="278" t="str">
        <f ca="1">INDIRECT("c43")</f>
        <v>DAVID MICHEL</v>
      </c>
      <c r="AC45" s="279">
        <f ca="1">INDIRECT("q43")</f>
        <v>0</v>
      </c>
      <c r="AD45" s="279">
        <f ca="1">INDIRECT("p43")</f>
        <v>0</v>
      </c>
      <c r="AE45" s="236"/>
      <c r="AK45" s="240"/>
      <c r="AL45" s="241">
        <v>45</v>
      </c>
      <c r="AM45" s="242" t="s">
        <v>38</v>
      </c>
      <c r="AN45" s="243"/>
      <c r="AO45" s="244"/>
      <c r="AP45" s="245"/>
      <c r="AQ45" s="246"/>
      <c r="AR45" s="247"/>
      <c r="AS45" s="248"/>
      <c r="AT45" s="249"/>
      <c r="AU45" s="300">
        <v>43</v>
      </c>
      <c r="AV45" s="283">
        <v>18</v>
      </c>
      <c r="AW45" s="278" t="str">
        <f ca="1">INDIRECT("c18")</f>
        <v>HUARD BOUSSERON</v>
      </c>
      <c r="AX45" s="279">
        <f ca="1">INDIRECT("q18")</f>
        <v>0</v>
      </c>
      <c r="AY45" s="279">
        <f ca="1">INDIRECT("p18")</f>
        <v>0</v>
      </c>
      <c r="AZ45" s="264"/>
      <c r="BA45" s="265"/>
      <c r="BB45" s="264"/>
      <c r="BC45" s="322"/>
      <c r="BD45" s="322"/>
      <c r="BE45" s="323"/>
      <c r="BF45" s="324"/>
      <c r="BG45" s="324"/>
      <c r="BH45" s="266"/>
      <c r="BI45" s="270"/>
      <c r="BJ45" s="270"/>
      <c r="BK45" s="264"/>
      <c r="BL45" s="264"/>
      <c r="BM45" s="264"/>
      <c r="BN45" s="264"/>
      <c r="BO45" s="264"/>
      <c r="BS45">
        <v>45</v>
      </c>
    </row>
    <row r="46" spans="1:71">
      <c r="A46" s="118"/>
      <c r="B46" s="118">
        <v>46</v>
      </c>
      <c r="C46" s="329" t="s">
        <v>48</v>
      </c>
      <c r="D46" s="233"/>
      <c r="E46" s="233"/>
      <c r="F46" s="234"/>
      <c r="G46" s="234"/>
      <c r="H46" s="233"/>
      <c r="I46" s="233"/>
      <c r="J46" s="234"/>
      <c r="K46" s="234"/>
      <c r="L46" s="233"/>
      <c r="M46" s="233"/>
      <c r="N46" s="234"/>
      <c r="O46" s="234"/>
      <c r="P46" s="210">
        <f t="shared" si="0"/>
        <v>0</v>
      </c>
      <c r="Q46" s="20">
        <f t="shared" si="1"/>
        <v>0</v>
      </c>
      <c r="R46" s="312"/>
      <c r="S46" s="312"/>
      <c r="T46" s="312"/>
      <c r="U46" s="312"/>
      <c r="Y46" s="236"/>
      <c r="Z46" s="300">
        <v>44</v>
      </c>
      <c r="AA46" s="301">
        <v>44</v>
      </c>
      <c r="AB46" s="291" t="str">
        <f ca="1">INDIRECT("c44")</f>
        <v>PATRICK ROGER</v>
      </c>
      <c r="AC46" s="292">
        <f ca="1">INDIRECT("q44")</f>
        <v>0</v>
      </c>
      <c r="AD46" s="292">
        <f ca="1">INDIRECT("p44")</f>
        <v>0</v>
      </c>
      <c r="AE46" s="236"/>
      <c r="AK46" s="240"/>
      <c r="AL46" s="241">
        <v>46</v>
      </c>
      <c r="AM46" s="242" t="s">
        <v>48</v>
      </c>
      <c r="AN46" s="243"/>
      <c r="AO46" s="244"/>
      <c r="AP46" s="245"/>
      <c r="AQ46" s="246"/>
      <c r="AR46" s="247"/>
      <c r="AS46" s="248"/>
      <c r="AT46" s="249"/>
      <c r="AU46" s="300">
        <v>44</v>
      </c>
      <c r="AV46" s="277">
        <v>9</v>
      </c>
      <c r="AW46" s="278" t="str">
        <f ca="1">INDIRECT("c9")</f>
        <v>JEAN CLAUDE BEBEL</v>
      </c>
      <c r="AX46" s="279">
        <f ca="1">INDIRECT("q9")</f>
        <v>0</v>
      </c>
      <c r="AY46" s="279">
        <f ca="1">INDIRECT("p9")</f>
        <v>0</v>
      </c>
      <c r="AZ46" s="264"/>
      <c r="BA46" s="265"/>
      <c r="BB46" s="264"/>
      <c r="BC46" s="322"/>
      <c r="BD46" s="327"/>
      <c r="BE46" s="323"/>
      <c r="BF46" s="324"/>
      <c r="BG46" s="324"/>
      <c r="BH46" s="266"/>
      <c r="BI46" s="270"/>
      <c r="BJ46" s="270"/>
      <c r="BK46" s="264"/>
      <c r="BL46" s="264"/>
      <c r="BM46" s="264"/>
      <c r="BN46" s="264"/>
      <c r="BO46" s="264"/>
      <c r="BS46">
        <v>46</v>
      </c>
    </row>
    <row r="47" spans="1:71">
      <c r="A47" s="118"/>
      <c r="B47" s="317">
        <v>47</v>
      </c>
      <c r="C47" s="328" t="s">
        <v>60</v>
      </c>
      <c r="D47" s="233"/>
      <c r="E47" s="233"/>
      <c r="F47" s="234"/>
      <c r="G47" s="234"/>
      <c r="H47" s="233"/>
      <c r="I47" s="233"/>
      <c r="J47" s="234"/>
      <c r="K47" s="234"/>
      <c r="L47" s="233"/>
      <c r="M47" s="233"/>
      <c r="N47" s="234"/>
      <c r="O47" s="234"/>
      <c r="P47" s="210">
        <f t="shared" si="0"/>
        <v>0</v>
      </c>
      <c r="Q47" s="274">
        <f t="shared" si="1"/>
        <v>0</v>
      </c>
      <c r="R47" s="312"/>
      <c r="S47" s="312"/>
      <c r="T47" s="312"/>
      <c r="U47" s="312"/>
      <c r="Y47" s="236"/>
      <c r="Z47" s="300">
        <v>45</v>
      </c>
      <c r="AA47" s="301">
        <v>45</v>
      </c>
      <c r="AB47" s="291" t="str">
        <f ca="1">INDIRECT("c45")</f>
        <v>RENAUD</v>
      </c>
      <c r="AC47" s="292">
        <f ca="1">INDIRECT("q45")</f>
        <v>0</v>
      </c>
      <c r="AD47" s="292">
        <f ca="1">INDIRECT("p45")</f>
        <v>0</v>
      </c>
      <c r="AE47" s="236"/>
      <c r="AK47" s="240"/>
      <c r="AL47" s="241">
        <v>47</v>
      </c>
      <c r="AM47" s="242" t="s">
        <v>60</v>
      </c>
      <c r="AN47" s="243"/>
      <c r="AO47" s="244"/>
      <c r="AP47" s="245"/>
      <c r="AQ47" s="246"/>
      <c r="AR47" s="247"/>
      <c r="AS47" s="248"/>
      <c r="AT47" s="249"/>
      <c r="AU47" s="300">
        <v>45</v>
      </c>
      <c r="AV47" s="283">
        <v>23</v>
      </c>
      <c r="AW47" s="278" t="str">
        <f ca="1">INDIRECT("C23")</f>
        <v>JEAN PIERRE   JACKY</v>
      </c>
      <c r="AX47" s="279">
        <f ca="1">INDIRECT("q23")</f>
        <v>0</v>
      </c>
      <c r="AY47" s="279">
        <f ca="1">INDIRECT("p23")</f>
        <v>0</v>
      </c>
      <c r="AZ47" s="264"/>
      <c r="BA47" s="265"/>
      <c r="BB47" s="264"/>
      <c r="BC47" s="322"/>
      <c r="BD47" s="322"/>
      <c r="BE47" s="323"/>
      <c r="BF47" s="324"/>
      <c r="BG47" s="324"/>
      <c r="BH47" s="266"/>
      <c r="BI47" s="270"/>
      <c r="BJ47" s="270"/>
      <c r="BK47" s="264"/>
      <c r="BL47" s="264"/>
      <c r="BM47" s="264"/>
      <c r="BN47" s="264"/>
      <c r="BO47" s="264"/>
      <c r="BS47">
        <v>47</v>
      </c>
    </row>
    <row r="48" spans="1:71">
      <c r="A48" s="118"/>
      <c r="B48" s="118">
        <v>48</v>
      </c>
      <c r="C48" s="329" t="s">
        <v>59</v>
      </c>
      <c r="D48" s="233"/>
      <c r="E48" s="233"/>
      <c r="F48" s="234"/>
      <c r="G48" s="234"/>
      <c r="H48" s="233"/>
      <c r="I48" s="233"/>
      <c r="J48" s="234"/>
      <c r="K48" s="234"/>
      <c r="L48" s="233"/>
      <c r="M48" s="233"/>
      <c r="N48" s="234"/>
      <c r="O48" s="234"/>
      <c r="P48" s="210">
        <f t="shared" si="0"/>
        <v>0</v>
      </c>
      <c r="Q48" s="20">
        <f t="shared" si="1"/>
        <v>0</v>
      </c>
      <c r="R48" s="312"/>
      <c r="S48" s="312"/>
      <c r="T48" s="312"/>
      <c r="U48" s="312"/>
      <c r="Y48" s="236"/>
      <c r="Z48" s="300">
        <v>46</v>
      </c>
      <c r="AA48" s="283">
        <v>46</v>
      </c>
      <c r="AB48" s="278" t="str">
        <f ca="1">INDIRECT("c46")</f>
        <v xml:space="preserve">SERGE  </v>
      </c>
      <c r="AC48" s="279">
        <f ca="1">INDIRECT("q46")</f>
        <v>0</v>
      </c>
      <c r="AD48" s="279">
        <f ca="1">INDIRECT("p46")</f>
        <v>0</v>
      </c>
      <c r="AE48" s="236"/>
      <c r="AK48" s="240"/>
      <c r="AL48" s="241">
        <v>48</v>
      </c>
      <c r="AM48" s="242" t="s">
        <v>59</v>
      </c>
      <c r="AN48" s="243"/>
      <c r="AO48" s="244"/>
      <c r="AP48" s="245"/>
      <c r="AQ48" s="246"/>
      <c r="AR48" s="247"/>
      <c r="AS48" s="248"/>
      <c r="AT48" s="249"/>
      <c r="AU48" s="300">
        <v>46</v>
      </c>
      <c r="AV48" s="283">
        <v>36</v>
      </c>
      <c r="AW48" s="278" t="str">
        <f ca="1">INDIRECT("c36")</f>
        <v>BOUBOU GEGE</v>
      </c>
      <c r="AX48" s="279">
        <f ca="1">INDIRECT("q36")</f>
        <v>0</v>
      </c>
      <c r="AY48" s="279">
        <f ca="1">INDIRECT("p36")</f>
        <v>0</v>
      </c>
      <c r="AZ48" s="264"/>
      <c r="BA48" s="265"/>
      <c r="BB48" s="264"/>
      <c r="BC48" s="322"/>
      <c r="BD48" s="322"/>
      <c r="BE48" s="323"/>
      <c r="BF48" s="324"/>
      <c r="BG48" s="324"/>
      <c r="BH48" s="266"/>
      <c r="BI48" s="270"/>
      <c r="BJ48" s="270"/>
      <c r="BK48" s="264"/>
      <c r="BL48" s="264"/>
      <c r="BM48" s="264"/>
      <c r="BN48" s="264"/>
      <c r="BO48" s="264"/>
      <c r="BS48">
        <v>48</v>
      </c>
    </row>
    <row r="49" spans="1:71">
      <c r="A49" s="118"/>
      <c r="B49" s="317">
        <v>49</v>
      </c>
      <c r="C49" s="328" t="s">
        <v>49</v>
      </c>
      <c r="D49" s="233"/>
      <c r="E49" s="233"/>
      <c r="F49" s="234"/>
      <c r="G49" s="234"/>
      <c r="H49" s="233"/>
      <c r="I49" s="233"/>
      <c r="J49" s="234"/>
      <c r="K49" s="234"/>
      <c r="L49" s="233"/>
      <c r="M49" s="233"/>
      <c r="N49" s="234"/>
      <c r="O49" s="234"/>
      <c r="P49" s="210">
        <f t="shared" si="0"/>
        <v>0</v>
      </c>
      <c r="Q49" s="274">
        <f t="shared" si="1"/>
        <v>0</v>
      </c>
      <c r="R49" s="312"/>
      <c r="S49" s="312"/>
      <c r="T49" s="312"/>
      <c r="U49" s="312"/>
      <c r="Y49" s="236"/>
      <c r="Z49" s="300">
        <v>47</v>
      </c>
      <c r="AA49" s="301">
        <v>47</v>
      </c>
      <c r="AB49" s="291" t="str">
        <f ca="1">INDIRECT("c47")</f>
        <v>HERMAN</v>
      </c>
      <c r="AC49" s="292">
        <f ca="1">INDIRECT("q47")</f>
        <v>0</v>
      </c>
      <c r="AD49" s="292">
        <f ca="1">INDIRECT("p47")</f>
        <v>0</v>
      </c>
      <c r="AE49" s="236"/>
      <c r="AK49" s="240"/>
      <c r="AL49" s="241">
        <v>49</v>
      </c>
      <c r="AM49" s="242" t="s">
        <v>49</v>
      </c>
      <c r="AN49" s="243"/>
      <c r="AO49" s="244"/>
      <c r="AP49" s="245"/>
      <c r="AQ49" s="246"/>
      <c r="AR49" s="247"/>
      <c r="AS49" s="248"/>
      <c r="AT49" s="249"/>
      <c r="AU49" s="300">
        <v>47</v>
      </c>
      <c r="AV49" s="283">
        <v>45</v>
      </c>
      <c r="AW49" s="278" t="str">
        <f ca="1">INDIRECT("c45")</f>
        <v>RENAUD</v>
      </c>
      <c r="AX49" s="279">
        <f ca="1">INDIRECT("q45")</f>
        <v>0</v>
      </c>
      <c r="AY49" s="279">
        <f ca="1">INDIRECT("p45")</f>
        <v>0</v>
      </c>
      <c r="AZ49" s="264"/>
      <c r="BA49" s="265"/>
      <c r="BB49" s="264"/>
      <c r="BC49" s="322"/>
      <c r="BD49" s="322"/>
      <c r="BE49" s="323"/>
      <c r="BF49" s="324"/>
      <c r="BG49" s="324"/>
      <c r="BH49" s="266"/>
      <c r="BI49" s="270"/>
      <c r="BJ49" s="270"/>
      <c r="BK49" s="264"/>
      <c r="BL49" s="264"/>
      <c r="BM49" s="264"/>
      <c r="BN49" s="264"/>
      <c r="BO49" s="264"/>
      <c r="BS49">
        <v>49</v>
      </c>
    </row>
    <row r="50" spans="1:71">
      <c r="A50" s="118"/>
      <c r="B50" s="118">
        <v>50</v>
      </c>
      <c r="C50" s="329" t="s">
        <v>62</v>
      </c>
      <c r="D50" s="233"/>
      <c r="E50" s="233"/>
      <c r="F50" s="234"/>
      <c r="G50" s="234"/>
      <c r="H50" s="233"/>
      <c r="I50" s="233"/>
      <c r="J50" s="234"/>
      <c r="K50" s="234"/>
      <c r="L50" s="233"/>
      <c r="M50" s="233"/>
      <c r="N50" s="234"/>
      <c r="O50" s="234"/>
      <c r="P50" s="210">
        <f t="shared" si="0"/>
        <v>0</v>
      </c>
      <c r="Q50" s="20">
        <f t="shared" si="1"/>
        <v>0</v>
      </c>
      <c r="R50" s="312"/>
      <c r="S50" s="312"/>
      <c r="T50" s="312"/>
      <c r="U50" s="312"/>
      <c r="Y50" s="236"/>
      <c r="Z50" s="300">
        <v>48</v>
      </c>
      <c r="AA50" s="283">
        <v>48</v>
      </c>
      <c r="AB50" s="278" t="str">
        <f ca="1">INDIRECT("c48")</f>
        <v>LUC</v>
      </c>
      <c r="AC50" s="279">
        <f ca="1">INDIRECT("q48")</f>
        <v>0</v>
      </c>
      <c r="AD50" s="279">
        <f ca="1">INDIRECT("p48")</f>
        <v>0</v>
      </c>
      <c r="AE50" s="236"/>
      <c r="AK50" s="240"/>
      <c r="AL50" s="241">
        <v>50</v>
      </c>
      <c r="AM50" s="242" t="s">
        <v>62</v>
      </c>
      <c r="AN50" s="243"/>
      <c r="AO50" s="244"/>
      <c r="AP50" s="245"/>
      <c r="AQ50" s="246"/>
      <c r="AR50" s="247"/>
      <c r="AS50" s="248"/>
      <c r="AT50" s="249"/>
      <c r="AU50" s="300">
        <v>48</v>
      </c>
      <c r="AV50" s="277">
        <v>10</v>
      </c>
      <c r="AW50" s="278" t="str">
        <f ca="1">INDIRECT("c10")</f>
        <v>DIDIER ALAIN</v>
      </c>
      <c r="AX50" s="279">
        <f ca="1">INDIRECT("q10")</f>
        <v>0</v>
      </c>
      <c r="AY50" s="279">
        <f ca="1">INDIRECT("p10")</f>
        <v>0</v>
      </c>
      <c r="AZ50" s="264"/>
      <c r="BA50" s="265"/>
      <c r="BB50" s="264"/>
      <c r="BC50" s="322"/>
      <c r="BD50" s="322"/>
      <c r="BE50" s="323"/>
      <c r="BF50" s="324"/>
      <c r="BG50" s="324"/>
      <c r="BH50" s="266"/>
      <c r="BI50" s="270"/>
      <c r="BJ50" s="270"/>
      <c r="BK50" s="264"/>
      <c r="BL50" s="264"/>
      <c r="BM50" s="264"/>
      <c r="BN50" s="264"/>
      <c r="BO50" s="264"/>
      <c r="BS50">
        <v>50</v>
      </c>
    </row>
    <row r="51" spans="1:71">
      <c r="A51" s="118"/>
      <c r="B51" s="118">
        <v>51</v>
      </c>
      <c r="C51" s="329" t="s">
        <v>37</v>
      </c>
      <c r="D51" s="233"/>
      <c r="E51" s="233"/>
      <c r="F51" s="234"/>
      <c r="G51" s="234"/>
      <c r="H51" s="233"/>
      <c r="I51" s="233"/>
      <c r="J51" s="234"/>
      <c r="K51" s="234"/>
      <c r="L51" s="233"/>
      <c r="M51" s="233"/>
      <c r="N51" s="234"/>
      <c r="O51" s="234"/>
      <c r="P51" s="210">
        <f t="shared" si="0"/>
        <v>0</v>
      </c>
      <c r="Q51" s="20">
        <f t="shared" si="1"/>
        <v>0</v>
      </c>
      <c r="R51" s="312"/>
      <c r="S51" s="312"/>
      <c r="T51" s="312"/>
      <c r="U51" s="312"/>
      <c r="Y51" s="236"/>
      <c r="Z51" s="300">
        <v>49</v>
      </c>
      <c r="AA51" s="301">
        <v>49</v>
      </c>
      <c r="AB51" s="291" t="str">
        <f ca="1">INDIRECT("c49")</f>
        <v>OLIVIER</v>
      </c>
      <c r="AC51" s="292">
        <f ca="1">INDIRECT("q49")</f>
        <v>0</v>
      </c>
      <c r="AD51" s="292">
        <f ca="1">INDIRECT("p49")</f>
        <v>0</v>
      </c>
      <c r="AE51" s="236"/>
      <c r="AK51" s="240"/>
      <c r="AL51" s="241">
        <v>51</v>
      </c>
      <c r="AM51" s="242" t="s">
        <v>37</v>
      </c>
      <c r="AN51" s="243"/>
      <c r="AO51" s="244"/>
      <c r="AP51" s="245"/>
      <c r="AQ51" s="246"/>
      <c r="AR51" s="247"/>
      <c r="AS51" s="248"/>
      <c r="AT51" s="249"/>
      <c r="AU51" s="300">
        <v>49</v>
      </c>
      <c r="AV51" s="283">
        <v>30</v>
      </c>
      <c r="AW51" s="278" t="str">
        <f ca="1">INDIRECT("c30")</f>
        <v>JEAN LUC POLO</v>
      </c>
      <c r="AX51" s="279">
        <f ca="1">INDIRECT("q30")</f>
        <v>0</v>
      </c>
      <c r="AY51" s="279">
        <f ca="1">INDIRECT("p30")</f>
        <v>0</v>
      </c>
      <c r="AZ51" s="264"/>
      <c r="BA51" s="265"/>
      <c r="BB51" s="264"/>
      <c r="BC51" s="322"/>
      <c r="BD51" s="322"/>
      <c r="BE51" s="323"/>
      <c r="BF51" s="324"/>
      <c r="BG51" s="324"/>
      <c r="BH51" s="266"/>
      <c r="BI51" s="270"/>
      <c r="BJ51" s="270"/>
      <c r="BK51" s="264"/>
      <c r="BL51" s="264"/>
      <c r="BM51" s="264"/>
      <c r="BN51" s="264"/>
      <c r="BO51" s="264"/>
      <c r="BS51">
        <v>51</v>
      </c>
    </row>
    <row r="52" spans="1:71">
      <c r="A52" s="118"/>
      <c r="B52" s="118">
        <v>52</v>
      </c>
      <c r="C52" s="329" t="s">
        <v>58</v>
      </c>
      <c r="D52" s="233"/>
      <c r="E52" s="233"/>
      <c r="F52" s="234"/>
      <c r="G52" s="234"/>
      <c r="H52" s="233"/>
      <c r="I52" s="233"/>
      <c r="J52" s="234"/>
      <c r="K52" s="234"/>
      <c r="L52" s="233"/>
      <c r="M52" s="233"/>
      <c r="N52" s="234"/>
      <c r="O52" s="234"/>
      <c r="P52" s="210">
        <f t="shared" si="0"/>
        <v>0</v>
      </c>
      <c r="Q52" s="20">
        <f t="shared" si="1"/>
        <v>0</v>
      </c>
      <c r="R52" s="312"/>
      <c r="S52" s="312"/>
      <c r="T52" s="312"/>
      <c r="U52" s="312"/>
      <c r="Y52" s="236"/>
      <c r="Z52" s="300">
        <v>50</v>
      </c>
      <c r="AA52" s="283">
        <v>50</v>
      </c>
      <c r="AB52" s="278" t="str">
        <f ca="1">INDIRECT("c50")</f>
        <v>FLORENTIN</v>
      </c>
      <c r="AC52" s="279">
        <f ca="1">INDIRECT("q50")</f>
        <v>0</v>
      </c>
      <c r="AD52" s="279">
        <f ca="1">INDIRECT("p50")</f>
        <v>0</v>
      </c>
      <c r="AE52" s="236"/>
      <c r="AK52" s="240"/>
      <c r="AL52" s="241">
        <v>52</v>
      </c>
      <c r="AM52" s="242" t="s">
        <v>58</v>
      </c>
      <c r="AN52" s="243"/>
      <c r="AO52" s="244"/>
      <c r="AP52" s="245"/>
      <c r="AQ52" s="246"/>
      <c r="AR52" s="247"/>
      <c r="AS52" s="248"/>
      <c r="AT52" s="249"/>
      <c r="AU52" s="300">
        <v>50</v>
      </c>
      <c r="AV52" s="283">
        <v>35</v>
      </c>
      <c r="AW52" s="278" t="str">
        <f ca="1">INDIRECT("c35")</f>
        <v>EASIO CHRISTIAN</v>
      </c>
      <c r="AX52" s="279">
        <f ca="1">INDIRECT("q35")</f>
        <v>0</v>
      </c>
      <c r="AY52" s="279">
        <f ca="1">INDIRECT("p35")</f>
        <v>0</v>
      </c>
      <c r="AZ52" s="264"/>
      <c r="BA52" s="265"/>
      <c r="BB52" s="264"/>
      <c r="BC52" s="322"/>
      <c r="BD52" s="322"/>
      <c r="BE52" s="323"/>
      <c r="BF52" s="324"/>
      <c r="BG52" s="324"/>
      <c r="BH52" s="266"/>
      <c r="BI52" s="270"/>
      <c r="BJ52" s="270"/>
      <c r="BK52" s="264"/>
      <c r="BL52" s="264"/>
      <c r="BM52" s="264"/>
      <c r="BN52" s="264"/>
      <c r="BO52" s="264"/>
      <c r="BS52">
        <v>52</v>
      </c>
    </row>
    <row r="53" spans="1:71">
      <c r="A53" s="118"/>
      <c r="B53" s="118">
        <v>53</v>
      </c>
      <c r="C53" s="329" t="s">
        <v>83</v>
      </c>
      <c r="D53" s="233"/>
      <c r="E53" s="233"/>
      <c r="F53" s="234"/>
      <c r="G53" s="234"/>
      <c r="H53" s="233"/>
      <c r="I53" s="233"/>
      <c r="J53" s="234"/>
      <c r="K53" s="234"/>
      <c r="L53" s="233"/>
      <c r="M53" s="233"/>
      <c r="N53" s="234"/>
      <c r="O53" s="234"/>
      <c r="P53" s="210">
        <f t="shared" si="0"/>
        <v>0</v>
      </c>
      <c r="Q53" s="20">
        <f t="shared" si="1"/>
        <v>0</v>
      </c>
      <c r="R53" s="312"/>
      <c r="S53" s="312"/>
      <c r="T53" s="312"/>
      <c r="U53" s="312"/>
      <c r="Y53" s="236"/>
      <c r="Z53" s="300">
        <v>51</v>
      </c>
      <c r="AA53" s="283">
        <v>51</v>
      </c>
      <c r="AB53" s="278" t="str">
        <f ca="1">INDIRECT("c51")</f>
        <v>BEAUDOUIN</v>
      </c>
      <c r="AC53" s="279">
        <f ca="1">INDIRECT("q51")</f>
        <v>0</v>
      </c>
      <c r="AD53" s="279">
        <f ca="1">INDIRECT("p51")</f>
        <v>0</v>
      </c>
      <c r="AE53" s="236"/>
      <c r="AK53" s="240"/>
      <c r="AL53" s="241"/>
      <c r="AM53" s="242"/>
      <c r="AN53" s="243"/>
      <c r="AO53" s="244"/>
      <c r="AP53" s="245"/>
      <c r="AQ53" s="246"/>
      <c r="AR53" s="247"/>
      <c r="AS53" s="248"/>
      <c r="AT53" s="249"/>
      <c r="AU53" s="300">
        <v>51</v>
      </c>
      <c r="AV53" s="283">
        <v>52</v>
      </c>
      <c r="AW53" s="278" t="str">
        <f ca="1">INDIRECT("c52")</f>
        <v>ABEL</v>
      </c>
      <c r="AX53" s="279">
        <f ca="1">INDIRECT("q52")</f>
        <v>0</v>
      </c>
      <c r="AY53" s="279">
        <f ca="1">INDIRECT("p52")</f>
        <v>0</v>
      </c>
      <c r="BA53" s="250"/>
      <c r="BB53" s="298"/>
      <c r="BC53" s="330"/>
      <c r="BD53" s="331"/>
      <c r="BE53" s="332"/>
      <c r="BF53" s="333"/>
      <c r="BG53" s="333"/>
      <c r="BS53">
        <v>53</v>
      </c>
    </row>
    <row r="54" spans="1:71">
      <c r="A54" s="118"/>
      <c r="B54" s="118">
        <v>54</v>
      </c>
      <c r="C54" s="329" t="s">
        <v>84</v>
      </c>
      <c r="D54" s="233"/>
      <c r="E54" s="233"/>
      <c r="F54" s="234"/>
      <c r="G54" s="234"/>
      <c r="H54" s="233"/>
      <c r="I54" s="233"/>
      <c r="J54" s="234"/>
      <c r="K54" s="234"/>
      <c r="L54" s="233"/>
      <c r="M54" s="233"/>
      <c r="N54" s="234"/>
      <c r="O54" s="234"/>
      <c r="P54" s="210">
        <f t="shared" si="0"/>
        <v>0</v>
      </c>
      <c r="Q54" s="20">
        <f t="shared" si="1"/>
        <v>0</v>
      </c>
      <c r="R54" s="312"/>
      <c r="S54" s="312"/>
      <c r="T54" s="312"/>
      <c r="U54" s="312"/>
      <c r="Y54" s="236"/>
      <c r="Z54" s="300">
        <v>52</v>
      </c>
      <c r="AA54" s="283">
        <v>52</v>
      </c>
      <c r="AB54" s="278" t="str">
        <f ca="1">INDIRECT("c52")</f>
        <v>ABEL</v>
      </c>
      <c r="AC54" s="279">
        <f ca="1">INDIRECT("q52")</f>
        <v>0</v>
      </c>
      <c r="AD54" s="279">
        <f ca="1">INDIRECT("p52")</f>
        <v>0</v>
      </c>
      <c r="AE54" s="236"/>
      <c r="AK54" s="240"/>
      <c r="AL54" s="241"/>
      <c r="AM54" s="242"/>
      <c r="AN54" s="243"/>
      <c r="AO54" s="244"/>
      <c r="AP54" s="245"/>
      <c r="AQ54" s="246"/>
      <c r="AR54" s="247"/>
      <c r="AS54" s="248"/>
      <c r="AT54" s="249"/>
      <c r="AU54" s="300">
        <v>52</v>
      </c>
      <c r="AV54" s="283">
        <v>48</v>
      </c>
      <c r="AW54" s="278" t="str">
        <f ca="1">INDIRECT("c48")</f>
        <v>LUC</v>
      </c>
      <c r="AX54" s="279">
        <f ca="1">INDIRECT("q48")</f>
        <v>0</v>
      </c>
      <c r="AY54" s="279">
        <f ca="1">INDIRECT("p48")</f>
        <v>0</v>
      </c>
      <c r="BA54" s="250"/>
      <c r="BB54" s="298"/>
      <c r="BC54" s="330"/>
      <c r="BD54" s="330"/>
      <c r="BE54" s="332"/>
      <c r="BF54" s="333"/>
      <c r="BG54" s="333"/>
      <c r="BS54">
        <v>54</v>
      </c>
    </row>
    <row r="55" spans="1:71">
      <c r="A55" s="118"/>
      <c r="B55" s="118">
        <v>55</v>
      </c>
      <c r="C55" s="329" t="s">
        <v>85</v>
      </c>
      <c r="D55" s="233"/>
      <c r="E55" s="233"/>
      <c r="F55" s="234"/>
      <c r="G55" s="234"/>
      <c r="H55" s="233"/>
      <c r="I55" s="233"/>
      <c r="J55" s="234"/>
      <c r="K55" s="234"/>
      <c r="L55" s="233"/>
      <c r="M55" s="233"/>
      <c r="N55" s="234"/>
      <c r="O55" s="234"/>
      <c r="P55" s="210">
        <f t="shared" si="0"/>
        <v>0</v>
      </c>
      <c r="Q55" s="20">
        <f t="shared" si="1"/>
        <v>0</v>
      </c>
      <c r="R55" s="312"/>
      <c r="S55" s="312"/>
      <c r="T55" s="312"/>
      <c r="U55" s="312"/>
      <c r="Y55" s="236"/>
      <c r="Z55" s="300">
        <v>53</v>
      </c>
      <c r="AA55" s="283">
        <v>53</v>
      </c>
      <c r="AB55" s="278" t="str">
        <f ca="1">INDIRECT("c53")</f>
        <v>AURELIEN</v>
      </c>
      <c r="AC55" s="279">
        <f ca="1">INDIRECT("q53")</f>
        <v>0</v>
      </c>
      <c r="AD55" s="279">
        <f ca="1">INDIRECT("p53")</f>
        <v>0</v>
      </c>
      <c r="AE55" s="236"/>
      <c r="AK55" s="240"/>
      <c r="AL55" s="241"/>
      <c r="AM55" s="242"/>
      <c r="AN55" s="243"/>
      <c r="AO55" s="244"/>
      <c r="AP55" s="245"/>
      <c r="AQ55" s="246"/>
      <c r="AR55" s="315"/>
      <c r="AS55" s="316"/>
      <c r="AT55" s="249"/>
      <c r="AU55" s="316"/>
      <c r="AV55" s="309"/>
      <c r="AW55" s="309"/>
      <c r="AX55" s="309"/>
      <c r="BA55" s="250"/>
      <c r="BB55" s="298"/>
      <c r="BC55" s="330"/>
      <c r="BD55" s="330"/>
      <c r="BE55" s="332"/>
      <c r="BF55" s="333"/>
      <c r="BG55" s="333"/>
      <c r="BS55">
        <v>55</v>
      </c>
    </row>
    <row r="56" spans="1:71">
      <c r="A56" s="118"/>
      <c r="B56" s="118">
        <v>56</v>
      </c>
      <c r="C56" s="329" t="s">
        <v>86</v>
      </c>
      <c r="D56" s="233"/>
      <c r="E56" s="233"/>
      <c r="F56" s="234"/>
      <c r="G56" s="234"/>
      <c r="H56" s="233"/>
      <c r="I56" s="233"/>
      <c r="J56" s="234"/>
      <c r="K56" s="234"/>
      <c r="L56" s="233"/>
      <c r="M56" s="233"/>
      <c r="N56" s="234"/>
      <c r="O56" s="234"/>
      <c r="P56" s="210">
        <f t="shared" si="0"/>
        <v>0</v>
      </c>
      <c r="Q56" s="20">
        <f t="shared" si="1"/>
        <v>0</v>
      </c>
      <c r="R56" s="312"/>
      <c r="S56" s="312"/>
      <c r="T56" s="312"/>
      <c r="U56" s="312"/>
      <c r="Y56" s="236"/>
      <c r="Z56" s="300">
        <v>54</v>
      </c>
      <c r="AA56" s="283">
        <v>54</v>
      </c>
      <c r="AB56" s="278" t="str">
        <f ca="1">INDIRECT("c54")</f>
        <v>DAMIEN</v>
      </c>
      <c r="AC56" s="279">
        <f ca="1">INDIRECT("q54")</f>
        <v>0</v>
      </c>
      <c r="AD56" s="279">
        <f ca="1">INDIRECT("p54")</f>
        <v>0</v>
      </c>
      <c r="AE56" s="236"/>
      <c r="AK56" s="240"/>
      <c r="AL56" s="241"/>
      <c r="AM56" s="242"/>
      <c r="AN56" s="243"/>
      <c r="AO56" s="244"/>
      <c r="AP56" s="245"/>
      <c r="AQ56" s="246"/>
      <c r="AR56" s="247"/>
      <c r="AS56" s="248"/>
      <c r="AT56" s="249"/>
      <c r="AU56" s="316"/>
      <c r="AV56" s="335"/>
      <c r="AW56" s="335"/>
      <c r="AX56" s="335"/>
      <c r="BA56" s="250"/>
      <c r="BB56" s="298"/>
      <c r="BC56" s="330"/>
      <c r="BD56" s="331"/>
      <c r="BE56" s="332"/>
      <c r="BF56" s="333"/>
      <c r="BG56" s="333"/>
      <c r="BS56">
        <v>56</v>
      </c>
    </row>
    <row r="57" spans="1:71">
      <c r="A57" s="118"/>
      <c r="B57" s="118">
        <v>57</v>
      </c>
      <c r="C57" s="329" t="s">
        <v>87</v>
      </c>
      <c r="D57" s="233"/>
      <c r="E57" s="233"/>
      <c r="F57" s="234"/>
      <c r="G57" s="234"/>
      <c r="H57" s="233"/>
      <c r="I57" s="233"/>
      <c r="J57" s="234"/>
      <c r="K57" s="234"/>
      <c r="L57" s="233"/>
      <c r="M57" s="233"/>
      <c r="N57" s="234"/>
      <c r="O57" s="234"/>
      <c r="P57" s="210">
        <f t="shared" si="0"/>
        <v>0</v>
      </c>
      <c r="Q57" s="20">
        <f t="shared" si="1"/>
        <v>0</v>
      </c>
      <c r="R57" s="312"/>
      <c r="S57" s="312"/>
      <c r="T57" s="312"/>
      <c r="U57" s="312"/>
      <c r="Y57" s="236"/>
      <c r="Z57" s="300">
        <v>55</v>
      </c>
      <c r="AA57" s="283">
        <v>55</v>
      </c>
      <c r="AB57" s="278" t="str">
        <f ca="1">INDIRECT("c55")</f>
        <v>GREGOIRE</v>
      </c>
      <c r="AC57" s="279">
        <f ca="1">INDIRECT("q55")</f>
        <v>0</v>
      </c>
      <c r="AD57" s="279">
        <f ca="1">INDIRECT("p55")</f>
        <v>0</v>
      </c>
      <c r="AE57" s="236"/>
      <c r="AK57" s="240"/>
      <c r="AL57" s="241"/>
      <c r="AM57" s="242"/>
      <c r="AN57" s="243"/>
      <c r="AO57" s="244"/>
      <c r="AP57" s="245"/>
      <c r="AQ57" s="246"/>
      <c r="AR57" s="247"/>
      <c r="AS57" s="248"/>
      <c r="AT57" s="249"/>
      <c r="AU57" s="248"/>
      <c r="AV57" s="336"/>
      <c r="AW57" s="336"/>
      <c r="AX57" s="336"/>
      <c r="BA57" s="250"/>
      <c r="BB57" s="298"/>
      <c r="BC57" s="330"/>
      <c r="BD57" s="330"/>
      <c r="BE57" s="332"/>
      <c r="BF57" s="333"/>
      <c r="BG57" s="333"/>
      <c r="BS57">
        <v>57</v>
      </c>
    </row>
    <row r="58" spans="1:71">
      <c r="A58" s="118"/>
      <c r="B58" s="118">
        <v>58</v>
      </c>
      <c r="C58" s="329" t="s">
        <v>88</v>
      </c>
      <c r="D58" s="233"/>
      <c r="E58" s="233"/>
      <c r="F58" s="234"/>
      <c r="G58" s="234"/>
      <c r="H58" s="233"/>
      <c r="I58" s="233"/>
      <c r="J58" s="234"/>
      <c r="K58" s="234"/>
      <c r="L58" s="233"/>
      <c r="M58" s="233"/>
      <c r="N58" s="234"/>
      <c r="O58" s="234"/>
      <c r="P58" s="210">
        <f t="shared" si="0"/>
        <v>0</v>
      </c>
      <c r="Q58" s="20">
        <f t="shared" si="1"/>
        <v>0</v>
      </c>
      <c r="R58" s="312"/>
      <c r="S58" s="312"/>
      <c r="T58" s="312"/>
      <c r="U58" s="312"/>
      <c r="Y58" s="236"/>
      <c r="Z58" s="300">
        <v>56</v>
      </c>
      <c r="AA58" s="283">
        <v>56</v>
      </c>
      <c r="AB58" s="278" t="str">
        <f ca="1">INDIRECT("c56")</f>
        <v xml:space="preserve">RENE  </v>
      </c>
      <c r="AC58" s="279">
        <f ca="1">INDIRECT("q56")</f>
        <v>0</v>
      </c>
      <c r="AD58" s="279">
        <f ca="1">INDIRECT("p56")</f>
        <v>0</v>
      </c>
      <c r="AE58" s="236"/>
      <c r="AK58" s="240"/>
      <c r="AL58" s="241"/>
      <c r="AM58" s="242"/>
      <c r="AN58" s="243"/>
      <c r="AO58" s="244"/>
      <c r="AP58" s="245"/>
      <c r="AQ58" s="246"/>
      <c r="AR58" s="247"/>
      <c r="AS58" s="248"/>
      <c r="AT58" s="249"/>
      <c r="AU58" s="248"/>
      <c r="AV58" s="336"/>
      <c r="AW58" s="336"/>
      <c r="AX58" s="336"/>
      <c r="BA58" s="250"/>
      <c r="BB58" s="298"/>
      <c r="BC58" s="330"/>
      <c r="BD58" s="330"/>
      <c r="BE58" s="332"/>
      <c r="BF58" s="333"/>
      <c r="BG58" s="333"/>
      <c r="BS58">
        <v>58</v>
      </c>
    </row>
    <row r="59" spans="1:71">
      <c r="A59" s="118"/>
      <c r="B59" s="118">
        <v>59</v>
      </c>
      <c r="C59" s="329" t="s">
        <v>89</v>
      </c>
      <c r="D59" s="233"/>
      <c r="E59" s="233"/>
      <c r="F59" s="234"/>
      <c r="G59" s="234"/>
      <c r="H59" s="233"/>
      <c r="I59" s="233"/>
      <c r="J59" s="234"/>
      <c r="K59" s="234"/>
      <c r="L59" s="233"/>
      <c r="M59" s="233"/>
      <c r="N59" s="234"/>
      <c r="O59" s="234"/>
      <c r="P59" s="210">
        <f t="shared" si="0"/>
        <v>0</v>
      </c>
      <c r="Q59" s="20">
        <f t="shared" si="1"/>
        <v>0</v>
      </c>
      <c r="R59" s="312"/>
      <c r="S59" s="312"/>
      <c r="T59" s="312"/>
      <c r="U59" s="312"/>
      <c r="Y59" s="236"/>
      <c r="Z59" s="300">
        <v>57</v>
      </c>
      <c r="AA59" s="283">
        <v>57</v>
      </c>
      <c r="AB59" s="278" t="str">
        <f ca="1">INDIRECT("c57")</f>
        <v>ARSENE</v>
      </c>
      <c r="AC59" s="279">
        <f ca="1">INDIRECT("q57")</f>
        <v>0</v>
      </c>
      <c r="AD59" s="279">
        <f ca="1">INDIRECT("p57")</f>
        <v>0</v>
      </c>
      <c r="AE59" s="236"/>
      <c r="AK59" s="240"/>
      <c r="AL59" s="241"/>
      <c r="AM59" s="242"/>
      <c r="AN59" s="243"/>
      <c r="AO59" s="244"/>
      <c r="AP59" s="245"/>
      <c r="AQ59" s="246"/>
      <c r="AR59" s="247"/>
      <c r="AS59" s="248"/>
      <c r="AT59" s="249"/>
      <c r="AU59" s="248"/>
      <c r="AV59" s="336"/>
      <c r="AW59" s="336"/>
      <c r="AX59" s="336"/>
      <c r="BA59" s="250"/>
      <c r="BB59" s="298"/>
      <c r="BC59" s="330"/>
      <c r="BD59" s="330"/>
      <c r="BE59" s="332"/>
      <c r="BF59" s="333"/>
      <c r="BG59" s="333"/>
      <c r="BS59">
        <v>59</v>
      </c>
    </row>
    <row r="60" spans="1:71">
      <c r="A60" s="118"/>
      <c r="B60" s="118">
        <v>60</v>
      </c>
      <c r="C60" s="329" t="s">
        <v>90</v>
      </c>
      <c r="D60" s="233"/>
      <c r="E60" s="233"/>
      <c r="F60" s="234"/>
      <c r="G60" s="234"/>
      <c r="H60" s="233"/>
      <c r="I60" s="233"/>
      <c r="J60" s="234"/>
      <c r="K60" s="234"/>
      <c r="L60" s="233"/>
      <c r="M60" s="233"/>
      <c r="N60" s="234"/>
      <c r="O60" s="234"/>
      <c r="P60" s="210">
        <f t="shared" si="0"/>
        <v>0</v>
      </c>
      <c r="Q60" s="20">
        <f t="shared" si="1"/>
        <v>0</v>
      </c>
      <c r="R60" s="312"/>
      <c r="S60" s="312"/>
      <c r="T60" s="312"/>
      <c r="U60" s="312"/>
      <c r="Y60" s="236"/>
      <c r="Z60" s="300">
        <v>58</v>
      </c>
      <c r="AA60" s="283">
        <v>58</v>
      </c>
      <c r="AB60" s="278" t="str">
        <f ca="1">INDIRECT("c58")</f>
        <v>FRANCIS</v>
      </c>
      <c r="AC60" s="279">
        <f ca="1">INDIRECT("q58")</f>
        <v>0</v>
      </c>
      <c r="AD60" s="279">
        <f ca="1">INDIRECT("p58")</f>
        <v>0</v>
      </c>
      <c r="AE60" s="236"/>
      <c r="AK60" s="240"/>
      <c r="AL60" s="241"/>
      <c r="AM60" s="242"/>
      <c r="AN60" s="243"/>
      <c r="AO60" s="244"/>
      <c r="AP60" s="245"/>
      <c r="AQ60" s="246"/>
      <c r="AR60" s="247"/>
      <c r="AS60" s="248"/>
      <c r="AT60" s="249"/>
      <c r="AU60" s="248"/>
      <c r="AV60" s="336">
        <v>58</v>
      </c>
      <c r="AW60" s="336"/>
      <c r="AX60" s="336"/>
      <c r="BA60" s="250"/>
      <c r="BB60" s="298"/>
      <c r="BC60" s="330"/>
      <c r="BD60" s="330"/>
      <c r="BE60" s="332"/>
      <c r="BF60" s="333"/>
      <c r="BG60" s="333"/>
      <c r="BS60">
        <v>60</v>
      </c>
    </row>
    <row r="61" spans="1:71">
      <c r="A61" s="118"/>
      <c r="B61" s="118">
        <v>61</v>
      </c>
      <c r="C61" s="329" t="s">
        <v>91</v>
      </c>
      <c r="D61" s="233"/>
      <c r="E61" s="233"/>
      <c r="F61" s="234"/>
      <c r="G61" s="234"/>
      <c r="H61" s="233"/>
      <c r="I61" s="233"/>
      <c r="J61" s="234"/>
      <c r="K61" s="234"/>
      <c r="L61" s="233"/>
      <c r="M61" s="233"/>
      <c r="N61" s="234"/>
      <c r="O61" s="234"/>
      <c r="P61" s="210">
        <f t="shared" si="0"/>
        <v>0</v>
      </c>
      <c r="Q61" s="20">
        <f t="shared" si="1"/>
        <v>0</v>
      </c>
      <c r="R61" s="312"/>
      <c r="S61" s="312"/>
      <c r="T61" s="312"/>
      <c r="U61" s="312"/>
      <c r="Y61" s="236"/>
      <c r="Z61" s="300">
        <v>59</v>
      </c>
      <c r="AA61" s="283">
        <v>59</v>
      </c>
      <c r="AB61" s="278" t="str">
        <f ca="1">INDIRECT("c59")</f>
        <v>NADEGE</v>
      </c>
      <c r="AC61" s="279">
        <f ca="1">INDIRECT("q59")</f>
        <v>0</v>
      </c>
      <c r="AD61" s="279">
        <f ca="1">INDIRECT("p59")</f>
        <v>0</v>
      </c>
      <c r="AE61" s="236"/>
      <c r="AK61" s="240"/>
      <c r="AL61" s="241"/>
      <c r="AM61" s="242"/>
      <c r="AN61" s="243"/>
      <c r="AO61" s="244"/>
      <c r="AP61" s="245"/>
      <c r="AQ61" s="246"/>
      <c r="AR61" s="247"/>
      <c r="AS61" s="248"/>
      <c r="AT61" s="249"/>
      <c r="AU61" s="248"/>
      <c r="AV61" s="336"/>
      <c r="AW61" s="336"/>
      <c r="AX61" s="336"/>
      <c r="BA61" s="250"/>
      <c r="BB61" s="298"/>
      <c r="BC61" s="330"/>
      <c r="BD61" s="330"/>
      <c r="BE61" s="332"/>
      <c r="BF61" s="333"/>
      <c r="BG61" s="333"/>
      <c r="BS61">
        <v>61</v>
      </c>
    </row>
    <row r="62" spans="1:71">
      <c r="A62" s="118"/>
      <c r="B62" s="118">
        <v>62</v>
      </c>
      <c r="C62" s="329" t="s">
        <v>92</v>
      </c>
      <c r="D62" s="233"/>
      <c r="E62" s="233"/>
      <c r="F62" s="234"/>
      <c r="G62" s="234"/>
      <c r="H62" s="233"/>
      <c r="I62" s="233"/>
      <c r="J62" s="234"/>
      <c r="K62" s="234"/>
      <c r="L62" s="233"/>
      <c r="M62" s="233"/>
      <c r="N62" s="234"/>
      <c r="O62" s="234"/>
      <c r="P62" s="210">
        <f t="shared" si="0"/>
        <v>0</v>
      </c>
      <c r="Q62" s="20">
        <f t="shared" si="1"/>
        <v>0</v>
      </c>
      <c r="R62" s="312"/>
      <c r="S62" s="312"/>
      <c r="T62" s="312"/>
      <c r="U62" s="312"/>
      <c r="Y62" s="236"/>
      <c r="Z62" s="300">
        <v>60</v>
      </c>
      <c r="AA62" s="283">
        <v>60</v>
      </c>
      <c r="AB62" s="278" t="str">
        <f ca="1">INDIRECT("c60")</f>
        <v>EDITH</v>
      </c>
      <c r="AC62" s="279">
        <f ca="1">INDIRECT("q60")</f>
        <v>0</v>
      </c>
      <c r="AD62" s="279">
        <f ca="1">INDIRECT("p60")</f>
        <v>0</v>
      </c>
      <c r="AE62" s="236"/>
      <c r="AK62" s="240"/>
      <c r="AL62" s="241"/>
      <c r="AM62" s="242"/>
      <c r="AN62" s="243"/>
      <c r="AO62" s="244"/>
      <c r="AP62" s="245"/>
      <c r="AQ62" s="246"/>
      <c r="AR62" s="247"/>
      <c r="AS62" s="248"/>
      <c r="AT62" s="249"/>
      <c r="AU62" s="248"/>
      <c r="AV62" s="336"/>
      <c r="AW62" s="336"/>
      <c r="AX62" s="336"/>
      <c r="BA62" s="250"/>
      <c r="BB62" s="298"/>
      <c r="BC62" s="330"/>
      <c r="BD62" s="330"/>
      <c r="BE62" s="332"/>
      <c r="BF62" s="333"/>
      <c r="BG62" s="333"/>
      <c r="BS62">
        <v>62</v>
      </c>
    </row>
    <row r="63" spans="1:71">
      <c r="A63" s="118"/>
      <c r="B63" s="118">
        <v>63</v>
      </c>
      <c r="C63" s="329" t="s">
        <v>93</v>
      </c>
      <c r="D63" s="233"/>
      <c r="E63" s="233"/>
      <c r="F63" s="234"/>
      <c r="G63" s="234"/>
      <c r="H63" s="233"/>
      <c r="I63" s="233"/>
      <c r="J63" s="234"/>
      <c r="K63" s="234"/>
      <c r="L63" s="233"/>
      <c r="M63" s="233"/>
      <c r="N63" s="234"/>
      <c r="O63" s="234"/>
      <c r="P63" s="210">
        <f t="shared" si="0"/>
        <v>0</v>
      </c>
      <c r="Q63" s="20">
        <f t="shared" si="1"/>
        <v>0</v>
      </c>
      <c r="R63" s="312"/>
      <c r="S63" s="312"/>
      <c r="T63" s="312"/>
      <c r="U63" s="312"/>
      <c r="Y63" s="236"/>
      <c r="Z63" s="300">
        <v>61</v>
      </c>
      <c r="AA63" s="283">
        <v>61</v>
      </c>
      <c r="AB63" s="278" t="str">
        <f ca="1">INDIRECT("C61")</f>
        <v>COME</v>
      </c>
      <c r="AC63" s="279">
        <f ca="1">INDIRECT("q61")</f>
        <v>0</v>
      </c>
      <c r="AD63" s="279">
        <f ca="1">INDIRECT("p61")</f>
        <v>0</v>
      </c>
      <c r="AE63" s="236"/>
      <c r="AK63" s="240"/>
      <c r="AL63" s="241"/>
      <c r="AM63" s="242"/>
      <c r="AN63" s="243"/>
      <c r="AO63" s="244"/>
      <c r="AP63" s="245"/>
      <c r="AQ63" s="246"/>
      <c r="AR63" s="247"/>
      <c r="AS63" s="248"/>
      <c r="AT63" s="249"/>
      <c r="AU63" s="248"/>
      <c r="AV63" s="336"/>
      <c r="AW63" s="336"/>
      <c r="AX63" s="336"/>
      <c r="BA63" s="250"/>
      <c r="BB63" s="298"/>
      <c r="BC63" s="330"/>
      <c r="BD63" s="330"/>
      <c r="BE63" s="332"/>
      <c r="BF63" s="333"/>
      <c r="BG63" s="333"/>
      <c r="BS63">
        <v>63</v>
      </c>
    </row>
    <row r="64" spans="1:71">
      <c r="A64" s="118"/>
      <c r="B64" s="118">
        <v>64</v>
      </c>
      <c r="C64" s="329" t="s">
        <v>94</v>
      </c>
      <c r="D64" s="233"/>
      <c r="E64" s="233"/>
      <c r="F64" s="234"/>
      <c r="G64" s="234"/>
      <c r="H64" s="233"/>
      <c r="I64" s="233"/>
      <c r="J64" s="234"/>
      <c r="K64" s="234"/>
      <c r="L64" s="233"/>
      <c r="M64" s="233"/>
      <c r="N64" s="234"/>
      <c r="O64" s="234"/>
      <c r="P64" s="210">
        <f t="shared" si="0"/>
        <v>0</v>
      </c>
      <c r="Q64" s="20">
        <f t="shared" si="1"/>
        <v>0</v>
      </c>
      <c r="R64" s="312"/>
      <c r="S64" s="312"/>
      <c r="T64" s="312"/>
      <c r="U64" s="312"/>
      <c r="Y64" s="236"/>
      <c r="Z64" s="300">
        <v>62</v>
      </c>
      <c r="AA64" s="283">
        <v>62</v>
      </c>
      <c r="AB64" s="278" t="str">
        <f ca="1">INDIRECT("C62")</f>
        <v>DIMITRI</v>
      </c>
      <c r="AC64" s="279">
        <f ca="1">INDIRECT("q62")</f>
        <v>0</v>
      </c>
      <c r="AD64" s="279">
        <f ca="1">INDIRECT("p62")</f>
        <v>0</v>
      </c>
      <c r="AE64" s="236"/>
      <c r="AK64" s="240"/>
      <c r="AL64" s="241"/>
      <c r="AM64" s="242"/>
      <c r="AN64" s="243"/>
      <c r="AO64" s="244"/>
      <c r="AP64" s="245"/>
      <c r="AQ64" s="246"/>
      <c r="AR64" s="247"/>
      <c r="AS64" s="248"/>
      <c r="AT64" s="249"/>
      <c r="AU64" s="248"/>
      <c r="AV64" s="336"/>
      <c r="AW64" s="336"/>
      <c r="AX64" s="336"/>
      <c r="BA64" s="250"/>
      <c r="BB64" s="298"/>
      <c r="BC64" s="330"/>
      <c r="BD64" s="330"/>
      <c r="BE64" s="332"/>
      <c r="BF64" s="333"/>
      <c r="BG64" s="333"/>
      <c r="BS64">
        <v>64</v>
      </c>
    </row>
    <row r="65" spans="1:71">
      <c r="A65" s="118"/>
      <c r="B65" s="118">
        <v>65</v>
      </c>
      <c r="C65" s="337" t="s">
        <v>95</v>
      </c>
      <c r="D65" s="233"/>
      <c r="E65" s="233"/>
      <c r="F65" s="234"/>
      <c r="G65" s="234"/>
      <c r="H65" s="233"/>
      <c r="I65" s="233"/>
      <c r="J65" s="234"/>
      <c r="K65" s="234"/>
      <c r="L65" s="233"/>
      <c r="M65" s="233"/>
      <c r="N65" s="234"/>
      <c r="O65" s="234"/>
      <c r="P65" s="210">
        <f t="shared" ref="P65:P128" si="2">(D65+F65+H65+J65+L65+N65)-(E65+G65+I65+K65+M65+O65)</f>
        <v>0</v>
      </c>
      <c r="Q65" s="20">
        <f t="shared" ref="Q65:Q128" si="3">COUNTIF(D65,13)+COUNTIF(F65,13)+COUNTIF(H65,13)+COUNTIF(J65,13)+COUNTIF(L65,13)+COUNTIF(N65,13)</f>
        <v>0</v>
      </c>
      <c r="R65" s="312"/>
      <c r="S65" s="312"/>
      <c r="T65" s="312"/>
      <c r="U65" s="312"/>
      <c r="Y65" s="236"/>
      <c r="Z65" s="300">
        <v>63</v>
      </c>
      <c r="AA65" s="283">
        <v>63</v>
      </c>
      <c r="AB65" s="278" t="str">
        <f ca="1">INDIRECT("C63")</f>
        <v>FIRMIN</v>
      </c>
      <c r="AC65" s="279">
        <f ca="1">INDIRECT("q63")</f>
        <v>0</v>
      </c>
      <c r="AD65" s="279">
        <f ca="1">INDIRECT("p63")</f>
        <v>0</v>
      </c>
      <c r="AE65" s="236"/>
      <c r="AK65" s="240"/>
      <c r="AL65" s="241"/>
      <c r="AM65" s="242"/>
      <c r="AO65" s="335"/>
      <c r="AP65" s="339"/>
      <c r="AQ65" s="335"/>
      <c r="AR65" s="340"/>
      <c r="AT65" s="338"/>
      <c r="AU65" s="309"/>
      <c r="AV65" s="309"/>
      <c r="AW65" s="309"/>
      <c r="AX65" s="309"/>
      <c r="BA65" s="250"/>
      <c r="BB65" s="298"/>
      <c r="BC65" s="330"/>
      <c r="BD65" s="330"/>
      <c r="BE65" s="332"/>
      <c r="BF65" s="333"/>
      <c r="BG65" s="333"/>
      <c r="BS65">
        <v>65</v>
      </c>
    </row>
    <row r="66" spans="1:71">
      <c r="A66" s="118"/>
      <c r="B66" s="118">
        <v>66</v>
      </c>
      <c r="C66" s="337" t="s">
        <v>96</v>
      </c>
      <c r="D66" s="233"/>
      <c r="E66" s="233"/>
      <c r="F66" s="234"/>
      <c r="G66" s="234"/>
      <c r="H66" s="233"/>
      <c r="I66" s="233"/>
      <c r="J66" s="234"/>
      <c r="K66" s="234"/>
      <c r="L66" s="233"/>
      <c r="M66" s="233"/>
      <c r="N66" s="234"/>
      <c r="O66" s="234"/>
      <c r="P66" s="210">
        <f t="shared" si="2"/>
        <v>0</v>
      </c>
      <c r="Q66" s="20">
        <f t="shared" si="3"/>
        <v>0</v>
      </c>
      <c r="R66" s="312"/>
      <c r="S66" s="312"/>
      <c r="T66" s="312"/>
      <c r="U66" s="312"/>
      <c r="Y66" s="236"/>
      <c r="Z66" s="300">
        <v>64</v>
      </c>
      <c r="AA66" s="283">
        <v>64</v>
      </c>
      <c r="AB66" s="278" t="str">
        <f ca="1">INDIRECT("C64")</f>
        <v>QUENTIN</v>
      </c>
      <c r="AC66" s="279">
        <f ca="1">INDIRECT("q64")</f>
        <v>0</v>
      </c>
      <c r="AD66" s="279">
        <f ca="1">INDIRECT("p64")</f>
        <v>0</v>
      </c>
      <c r="AE66" s="236"/>
      <c r="AK66" s="240"/>
      <c r="AL66" s="241"/>
      <c r="AM66" s="242"/>
      <c r="AO66" s="335"/>
      <c r="AP66" s="339"/>
      <c r="AQ66" s="335"/>
      <c r="AT66" s="338"/>
      <c r="AU66" s="309"/>
      <c r="AV66" s="309"/>
      <c r="AW66" s="309"/>
      <c r="AX66" s="309"/>
      <c r="AY66" s="335"/>
      <c r="BA66" s="250"/>
      <c r="BB66" s="298"/>
      <c r="BC66" s="330"/>
      <c r="BD66" s="330"/>
      <c r="BE66" s="332"/>
      <c r="BF66" s="333"/>
      <c r="BG66" s="333"/>
      <c r="BS66">
        <v>66</v>
      </c>
    </row>
    <row r="67" spans="1:71">
      <c r="A67" s="118"/>
      <c r="B67" s="118">
        <v>67</v>
      </c>
      <c r="C67" s="337" t="s">
        <v>97</v>
      </c>
      <c r="D67" s="233"/>
      <c r="E67" s="233"/>
      <c r="F67" s="234"/>
      <c r="G67" s="234"/>
      <c r="H67" s="233"/>
      <c r="I67" s="233"/>
      <c r="J67" s="234"/>
      <c r="K67" s="234"/>
      <c r="L67" s="233"/>
      <c r="M67" s="233"/>
      <c r="N67" s="234"/>
      <c r="O67" s="234"/>
      <c r="P67" s="210">
        <f t="shared" si="2"/>
        <v>0</v>
      </c>
      <c r="Q67" s="20">
        <f t="shared" si="3"/>
        <v>0</v>
      </c>
      <c r="R67" s="312"/>
      <c r="S67" s="312"/>
      <c r="T67" s="312"/>
      <c r="U67" s="312"/>
      <c r="Y67" s="236"/>
      <c r="Z67" s="300">
        <v>65</v>
      </c>
      <c r="AA67" s="283">
        <v>65</v>
      </c>
      <c r="AB67" s="278" t="str">
        <f ca="1">INDIRECT("C65")</f>
        <v>GEOFFROY</v>
      </c>
      <c r="AC67" s="279">
        <f ca="1">INDIRECT("q65")</f>
        <v>0</v>
      </c>
      <c r="AD67" s="279">
        <f ca="1">INDIRECT("p65")</f>
        <v>0</v>
      </c>
      <c r="AE67" s="236"/>
      <c r="AK67" s="240"/>
      <c r="AL67" s="241"/>
      <c r="AM67" s="242"/>
      <c r="AO67" s="335"/>
      <c r="AP67" s="339"/>
      <c r="AQ67" s="335"/>
      <c r="AT67" s="338"/>
      <c r="AU67" s="335"/>
      <c r="AV67" s="335"/>
      <c r="AW67" s="335"/>
      <c r="AX67" s="335"/>
      <c r="AY67" s="335"/>
      <c r="BA67" s="250"/>
      <c r="BB67" s="298"/>
      <c r="BC67" s="298"/>
      <c r="BE67" s="336"/>
      <c r="BS67">
        <v>67</v>
      </c>
    </row>
    <row r="68" spans="1:71">
      <c r="A68" s="118"/>
      <c r="B68" s="118">
        <v>68</v>
      </c>
      <c r="C68" s="337" t="s">
        <v>98</v>
      </c>
      <c r="D68" s="233"/>
      <c r="E68" s="233"/>
      <c r="F68" s="234"/>
      <c r="G68" s="234"/>
      <c r="H68" s="233"/>
      <c r="I68" s="233"/>
      <c r="J68" s="234"/>
      <c r="K68" s="234"/>
      <c r="L68" s="233"/>
      <c r="M68" s="233"/>
      <c r="N68" s="234"/>
      <c r="O68" s="234"/>
      <c r="P68" s="210">
        <f t="shared" si="2"/>
        <v>0</v>
      </c>
      <c r="Q68" s="20">
        <f t="shared" si="3"/>
        <v>0</v>
      </c>
      <c r="R68" s="312"/>
      <c r="S68" s="312"/>
      <c r="T68" s="312"/>
      <c r="U68" s="312"/>
      <c r="Y68" s="236"/>
      <c r="Z68" s="300">
        <v>66</v>
      </c>
      <c r="AA68" s="283">
        <v>66</v>
      </c>
      <c r="AB68" s="278" t="str">
        <f ca="1">INDIRECT("C66")</f>
        <v>FLORIAN</v>
      </c>
      <c r="AC68" s="279">
        <f ca="1">INDIRECT("q66")</f>
        <v>0</v>
      </c>
      <c r="AD68" s="279">
        <f ca="1">INDIRECT("p66")</f>
        <v>0</v>
      </c>
      <c r="AE68" s="236"/>
      <c r="AK68" s="240"/>
      <c r="AL68" s="241"/>
      <c r="AM68" s="302"/>
      <c r="AO68" s="340"/>
      <c r="AP68" s="340"/>
      <c r="AQ68" s="340"/>
      <c r="AT68" s="340"/>
      <c r="AY68" s="335"/>
      <c r="BA68" s="250"/>
      <c r="BB68" s="298"/>
      <c r="BC68" s="298"/>
      <c r="BE68" s="336"/>
      <c r="BS68">
        <v>68</v>
      </c>
    </row>
    <row r="69" spans="1:71">
      <c r="A69" s="118"/>
      <c r="B69" s="118">
        <v>69</v>
      </c>
      <c r="C69" s="337" t="s">
        <v>99</v>
      </c>
      <c r="D69" s="233"/>
      <c r="E69" s="233"/>
      <c r="F69" s="234"/>
      <c r="G69" s="234"/>
      <c r="H69" s="233"/>
      <c r="I69" s="233"/>
      <c r="J69" s="234"/>
      <c r="K69" s="234"/>
      <c r="L69" s="233"/>
      <c r="M69" s="233"/>
      <c r="N69" s="234"/>
      <c r="O69" s="234"/>
      <c r="P69" s="210">
        <f t="shared" si="2"/>
        <v>0</v>
      </c>
      <c r="Q69" s="20">
        <f t="shared" si="3"/>
        <v>0</v>
      </c>
      <c r="R69" s="312"/>
      <c r="S69" s="312"/>
      <c r="T69" s="312"/>
      <c r="U69" s="312"/>
      <c r="Y69" s="236"/>
      <c r="Z69" s="300">
        <v>67</v>
      </c>
      <c r="AA69" s="283">
        <v>67</v>
      </c>
      <c r="AB69" s="278" t="str">
        <f ca="1">INDIRECT("C67")</f>
        <v>YVONNICK</v>
      </c>
      <c r="AC69" s="279">
        <f ca="1">INDIRECT("q67")</f>
        <v>0</v>
      </c>
      <c r="AD69" s="279">
        <f ca="1">INDIRECT("p67")</f>
        <v>0</v>
      </c>
      <c r="AE69" s="236"/>
      <c r="AK69" s="240"/>
      <c r="AL69" s="241"/>
      <c r="AM69" s="242"/>
      <c r="AO69" s="335"/>
      <c r="AP69" s="339"/>
      <c r="AQ69" s="335"/>
      <c r="AT69" s="340"/>
      <c r="BA69" s="250"/>
      <c r="BB69" s="298"/>
      <c r="BC69" s="298"/>
      <c r="BE69" s="336"/>
      <c r="BS69">
        <v>69</v>
      </c>
    </row>
    <row r="70" spans="1:71">
      <c r="A70" s="118"/>
      <c r="B70" s="173">
        <v>70</v>
      </c>
      <c r="C70" s="337" t="s">
        <v>100</v>
      </c>
      <c r="D70" s="233"/>
      <c r="E70" s="233"/>
      <c r="F70" s="234"/>
      <c r="G70" s="234"/>
      <c r="H70" s="233"/>
      <c r="I70" s="233"/>
      <c r="J70" s="234"/>
      <c r="K70" s="234"/>
      <c r="L70" s="233"/>
      <c r="M70" s="233"/>
      <c r="N70" s="234"/>
      <c r="O70" s="234"/>
      <c r="P70" s="210">
        <f t="shared" si="2"/>
        <v>0</v>
      </c>
      <c r="Q70" s="20">
        <f t="shared" si="3"/>
        <v>0</v>
      </c>
      <c r="R70" s="312"/>
      <c r="S70" s="312"/>
      <c r="T70" s="312"/>
      <c r="U70" s="312"/>
      <c r="Y70" s="236"/>
      <c r="Z70" s="300">
        <v>68</v>
      </c>
      <c r="AA70" s="283">
        <v>68</v>
      </c>
      <c r="AB70" s="278" t="str">
        <f ca="1">INDIRECT("C68")</f>
        <v>BRICE</v>
      </c>
      <c r="AC70" s="279">
        <f ca="1">INDIRECT("q68")</f>
        <v>0</v>
      </c>
      <c r="AD70" s="279">
        <f ca="1">INDIRECT("p68")</f>
        <v>0</v>
      </c>
      <c r="AE70" s="236"/>
      <c r="AK70" s="240"/>
      <c r="AL70" s="342"/>
      <c r="AM70" s="242"/>
      <c r="AN70" s="194"/>
      <c r="AO70" s="309"/>
      <c r="AP70" s="308"/>
      <c r="AQ70" s="309"/>
      <c r="AR70" s="343"/>
      <c r="AT70" s="340"/>
      <c r="BA70" s="250"/>
      <c r="BB70" s="298"/>
      <c r="BC70" s="298"/>
      <c r="BE70" s="336"/>
      <c r="BS70">
        <v>70</v>
      </c>
    </row>
    <row r="71" spans="1:71">
      <c r="A71" s="118"/>
      <c r="B71" s="173">
        <v>71</v>
      </c>
      <c r="C71" s="337" t="s">
        <v>101</v>
      </c>
      <c r="D71" s="233"/>
      <c r="E71" s="233"/>
      <c r="F71" s="234"/>
      <c r="G71" s="234"/>
      <c r="H71" s="233"/>
      <c r="I71" s="233"/>
      <c r="J71" s="234"/>
      <c r="K71" s="234"/>
      <c r="L71" s="233"/>
      <c r="M71" s="233"/>
      <c r="N71" s="234"/>
      <c r="O71" s="234"/>
      <c r="P71" s="210">
        <f t="shared" si="2"/>
        <v>0</v>
      </c>
      <c r="Q71" s="20">
        <f t="shared" si="3"/>
        <v>0</v>
      </c>
      <c r="R71" s="312"/>
      <c r="S71" s="312"/>
      <c r="T71" s="312"/>
      <c r="U71" s="312"/>
      <c r="Y71" s="236"/>
      <c r="Z71" s="300">
        <v>69</v>
      </c>
      <c r="AA71" s="283">
        <v>69</v>
      </c>
      <c r="AB71" s="278" t="str">
        <f ca="1">INDIRECT("C69")</f>
        <v>ALBERT</v>
      </c>
      <c r="AC71" s="279">
        <f ca="1">INDIRECT("q69")</f>
        <v>0</v>
      </c>
      <c r="AD71" s="279">
        <f ca="1">INDIRECT("p69")</f>
        <v>0</v>
      </c>
      <c r="AE71" s="236"/>
      <c r="AK71" s="240"/>
      <c r="AL71" s="342"/>
      <c r="AM71" s="242"/>
      <c r="AN71" s="194"/>
      <c r="AO71" s="309"/>
      <c r="AP71" s="308"/>
      <c r="AQ71" s="309"/>
      <c r="AR71" s="343"/>
      <c r="BA71" s="250"/>
      <c r="BB71" s="298"/>
      <c r="BC71" s="298"/>
      <c r="BE71" s="336"/>
      <c r="BS71">
        <v>71</v>
      </c>
    </row>
    <row r="72" spans="1:71">
      <c r="A72" s="118"/>
      <c r="B72" s="173">
        <v>72</v>
      </c>
      <c r="C72" s="337" t="s">
        <v>102</v>
      </c>
      <c r="D72" s="233"/>
      <c r="E72" s="233"/>
      <c r="F72" s="234"/>
      <c r="G72" s="234"/>
      <c r="H72" s="233"/>
      <c r="I72" s="233"/>
      <c r="J72" s="234"/>
      <c r="K72" s="234"/>
      <c r="L72" s="233"/>
      <c r="M72" s="233"/>
      <c r="N72" s="234"/>
      <c r="O72" s="234"/>
      <c r="P72" s="210">
        <f t="shared" si="2"/>
        <v>0</v>
      </c>
      <c r="Q72" s="20">
        <f t="shared" si="3"/>
        <v>0</v>
      </c>
      <c r="R72" s="312"/>
      <c r="S72" s="312"/>
      <c r="T72" s="312"/>
      <c r="U72" s="312"/>
      <c r="Y72" s="236"/>
      <c r="Z72" s="300">
        <v>70</v>
      </c>
      <c r="AA72" s="283">
        <v>70</v>
      </c>
      <c r="AB72" s="278" t="str">
        <f ca="1">INDIRECT("C70")</f>
        <v>TANGUY</v>
      </c>
      <c r="AC72" s="279">
        <f ca="1">INDIRECT("q70")</f>
        <v>0</v>
      </c>
      <c r="AD72" s="279">
        <f ca="1">INDIRECT("p70")</f>
        <v>0</v>
      </c>
      <c r="AE72" s="236"/>
      <c r="AK72" s="240"/>
      <c r="AL72" s="342"/>
      <c r="AM72" s="242"/>
      <c r="AN72" s="194"/>
      <c r="AO72" s="309"/>
      <c r="AP72" s="308"/>
      <c r="AQ72" s="309"/>
      <c r="AR72" s="344"/>
      <c r="BA72" s="250"/>
      <c r="BB72" s="298"/>
      <c r="BC72" s="298"/>
      <c r="BE72" s="336"/>
      <c r="BS72">
        <v>72</v>
      </c>
    </row>
    <row r="73" spans="1:71">
      <c r="A73" s="118"/>
      <c r="B73" s="173">
        <v>73</v>
      </c>
      <c r="C73" s="337" t="s">
        <v>103</v>
      </c>
      <c r="D73" s="233"/>
      <c r="E73" s="233"/>
      <c r="F73" s="234"/>
      <c r="G73" s="234"/>
      <c r="H73" s="233"/>
      <c r="I73" s="233"/>
      <c r="J73" s="234"/>
      <c r="K73" s="234"/>
      <c r="L73" s="233"/>
      <c r="M73" s="233"/>
      <c r="N73" s="234"/>
      <c r="O73" s="234"/>
      <c r="P73" s="210">
        <f t="shared" si="2"/>
        <v>0</v>
      </c>
      <c r="Q73" s="20">
        <f t="shared" si="3"/>
        <v>0</v>
      </c>
      <c r="R73" s="312"/>
      <c r="S73" s="312"/>
      <c r="T73" s="312"/>
      <c r="U73" s="312"/>
      <c r="Y73" s="236"/>
      <c r="Z73" s="300">
        <v>71</v>
      </c>
      <c r="AA73" s="283">
        <v>71</v>
      </c>
      <c r="AB73" s="278" t="str">
        <f ca="1">INDIRECT("C71")</f>
        <v>JIMMY</v>
      </c>
      <c r="AC73" s="279">
        <f ca="1">INDIRECT("q71")</f>
        <v>0</v>
      </c>
      <c r="AD73" s="279">
        <f ca="1">INDIRECT("p71")</f>
        <v>0</v>
      </c>
      <c r="AE73" s="236"/>
      <c r="AK73" s="240"/>
      <c r="AL73" s="342"/>
      <c r="AM73" s="242"/>
      <c r="AN73" s="194"/>
      <c r="AO73" s="309"/>
      <c r="AP73" s="308"/>
      <c r="AQ73" s="309"/>
      <c r="AR73" s="344"/>
      <c r="BA73" s="250"/>
      <c r="BB73" s="298"/>
      <c r="BC73" s="298"/>
      <c r="BE73" s="336"/>
      <c r="BS73">
        <v>73</v>
      </c>
    </row>
    <row r="74" spans="1:71">
      <c r="A74" s="118"/>
      <c r="B74" s="118">
        <v>74</v>
      </c>
      <c r="C74" s="337" t="s">
        <v>104</v>
      </c>
      <c r="D74" s="233"/>
      <c r="E74" s="233"/>
      <c r="F74" s="234"/>
      <c r="G74" s="234"/>
      <c r="H74" s="233"/>
      <c r="I74" s="233"/>
      <c r="J74" s="234"/>
      <c r="K74" s="234"/>
      <c r="L74" s="233"/>
      <c r="M74" s="233"/>
      <c r="N74" s="234"/>
      <c r="O74" s="234"/>
      <c r="P74" s="210">
        <f t="shared" si="2"/>
        <v>0</v>
      </c>
      <c r="Q74" s="20">
        <f t="shared" si="3"/>
        <v>0</v>
      </c>
      <c r="R74" s="312"/>
      <c r="S74" s="312"/>
      <c r="T74" s="312"/>
      <c r="U74" s="312"/>
      <c r="Y74" s="236"/>
      <c r="Z74" s="300">
        <v>72</v>
      </c>
      <c r="AA74" s="283">
        <v>72</v>
      </c>
      <c r="AB74" s="278" t="str">
        <f ca="1">INDIRECT("C72")</f>
        <v>DELPHINE</v>
      </c>
      <c r="AC74" s="279">
        <f ca="1">INDIRECT("q72")</f>
        <v>0</v>
      </c>
      <c r="AD74" s="279">
        <f ca="1">INDIRECT("p72")</f>
        <v>0</v>
      </c>
      <c r="AE74" s="236"/>
      <c r="AK74" s="240"/>
      <c r="AL74" s="342"/>
      <c r="AM74" s="242"/>
      <c r="AN74" s="194"/>
      <c r="AO74" s="309"/>
      <c r="AP74" s="308"/>
      <c r="AQ74" s="309"/>
      <c r="AR74" s="340"/>
      <c r="BA74" s="250"/>
      <c r="BB74" s="298"/>
      <c r="BC74" s="298"/>
      <c r="BE74" s="336"/>
      <c r="BS74">
        <v>74</v>
      </c>
    </row>
    <row r="75" spans="1:71">
      <c r="A75" s="118"/>
      <c r="B75" s="173">
        <v>75</v>
      </c>
      <c r="C75" s="337" t="s">
        <v>105</v>
      </c>
      <c r="D75" s="233"/>
      <c r="E75" s="233"/>
      <c r="F75" s="234"/>
      <c r="G75" s="234"/>
      <c r="H75" s="233"/>
      <c r="I75" s="233"/>
      <c r="J75" s="234"/>
      <c r="K75" s="234"/>
      <c r="L75" s="233"/>
      <c r="M75" s="233"/>
      <c r="N75" s="234"/>
      <c r="O75" s="234"/>
      <c r="P75" s="210">
        <f t="shared" si="2"/>
        <v>0</v>
      </c>
      <c r="Q75" s="20">
        <f t="shared" si="3"/>
        <v>0</v>
      </c>
      <c r="R75" s="312"/>
      <c r="S75" s="312"/>
      <c r="T75" s="312"/>
      <c r="U75" s="312"/>
      <c r="Y75" s="236"/>
      <c r="Z75" s="300">
        <v>73</v>
      </c>
      <c r="AA75" s="283">
        <v>73</v>
      </c>
      <c r="AB75" s="278" t="str">
        <f ca="1">INDIRECT("C73")</f>
        <v>EDMOND</v>
      </c>
      <c r="AC75" s="279">
        <f ca="1">INDIRECT("q73")</f>
        <v>0</v>
      </c>
      <c r="AD75" s="279">
        <f ca="1">INDIRECT("p73")</f>
        <v>0</v>
      </c>
      <c r="AE75" s="236"/>
      <c r="AK75" s="240"/>
      <c r="AL75" s="342"/>
      <c r="AM75" s="242"/>
      <c r="AN75" s="194"/>
      <c r="AO75" s="309"/>
      <c r="AP75" s="308"/>
      <c r="AQ75" s="309"/>
      <c r="AR75" s="340"/>
      <c r="BA75" s="250"/>
      <c r="BC75" s="298"/>
      <c r="BE75" s="336"/>
      <c r="BS75">
        <v>75</v>
      </c>
    </row>
    <row r="76" spans="1:71">
      <c r="A76" s="118"/>
      <c r="B76" s="173">
        <v>76</v>
      </c>
      <c r="C76" s="337" t="s">
        <v>106</v>
      </c>
      <c r="D76" s="233"/>
      <c r="E76" s="233"/>
      <c r="F76" s="234"/>
      <c r="G76" s="234"/>
      <c r="H76" s="233"/>
      <c r="I76" s="233"/>
      <c r="J76" s="234"/>
      <c r="K76" s="234"/>
      <c r="L76" s="233"/>
      <c r="M76" s="233"/>
      <c r="N76" s="234"/>
      <c r="O76" s="234"/>
      <c r="P76" s="210">
        <f t="shared" si="2"/>
        <v>0</v>
      </c>
      <c r="Q76" s="20">
        <f t="shared" si="3"/>
        <v>0</v>
      </c>
      <c r="R76" s="312"/>
      <c r="S76" s="312"/>
      <c r="T76" s="312"/>
      <c r="U76" s="312"/>
      <c r="Y76" s="236"/>
      <c r="Z76" s="300">
        <v>74</v>
      </c>
      <c r="AA76" s="283">
        <v>74</v>
      </c>
      <c r="AB76" s="278" t="str">
        <f ca="1">INDIRECT("C74")</f>
        <v>GERALD</v>
      </c>
      <c r="AC76" s="279">
        <f ca="1">INDIRECT("q74")</f>
        <v>0</v>
      </c>
      <c r="AD76" s="279">
        <f ca="1">INDIRECT("p74")</f>
        <v>0</v>
      </c>
      <c r="AE76" s="236"/>
      <c r="AK76" s="240"/>
      <c r="AL76" s="342"/>
      <c r="AM76" s="242"/>
      <c r="AN76" s="194"/>
      <c r="AO76" s="309"/>
      <c r="AP76" s="308"/>
      <c r="AQ76" s="309"/>
      <c r="AR76" s="340"/>
      <c r="BA76" s="250"/>
      <c r="BC76" s="298"/>
      <c r="BE76" s="336"/>
      <c r="BS76">
        <v>76</v>
      </c>
    </row>
    <row r="77" spans="1:71">
      <c r="A77" s="118"/>
      <c r="B77" s="118">
        <v>77</v>
      </c>
      <c r="C77" s="337" t="s">
        <v>107</v>
      </c>
      <c r="D77" s="233"/>
      <c r="E77" s="233"/>
      <c r="F77" s="234"/>
      <c r="G77" s="234"/>
      <c r="H77" s="233"/>
      <c r="I77" s="233"/>
      <c r="J77" s="234"/>
      <c r="K77" s="234"/>
      <c r="L77" s="233"/>
      <c r="M77" s="233"/>
      <c r="N77" s="234"/>
      <c r="O77" s="234"/>
      <c r="P77" s="210">
        <f t="shared" si="2"/>
        <v>0</v>
      </c>
      <c r="Q77" s="20">
        <f t="shared" si="3"/>
        <v>0</v>
      </c>
      <c r="R77" s="312"/>
      <c r="S77" s="312"/>
      <c r="T77" s="312"/>
      <c r="U77" s="312"/>
      <c r="Y77" s="236"/>
      <c r="Z77" s="300">
        <v>75</v>
      </c>
      <c r="AA77" s="283">
        <v>75</v>
      </c>
      <c r="AB77" s="278" t="str">
        <f ca="1">INDIRECT("C75")</f>
        <v>NICOLAS</v>
      </c>
      <c r="AC77" s="279">
        <f ca="1">INDIRECT("q75")</f>
        <v>0</v>
      </c>
      <c r="AD77" s="279">
        <f ca="1">INDIRECT("p75")</f>
        <v>0</v>
      </c>
      <c r="AE77" s="236"/>
      <c r="AK77" s="240"/>
      <c r="AL77" s="342"/>
      <c r="AM77" s="242"/>
      <c r="AN77" s="194"/>
      <c r="AO77" s="309"/>
      <c r="AP77" s="308"/>
      <c r="AQ77" s="309"/>
      <c r="AR77" s="340"/>
      <c r="BA77" s="250"/>
      <c r="BC77" s="298"/>
      <c r="BE77" s="336"/>
      <c r="BS77">
        <v>77</v>
      </c>
    </row>
    <row r="78" spans="1:71">
      <c r="A78" s="210"/>
      <c r="B78" s="20">
        <v>78</v>
      </c>
      <c r="C78" s="337" t="s">
        <v>108</v>
      </c>
      <c r="D78" s="233"/>
      <c r="E78" s="233"/>
      <c r="F78" s="234"/>
      <c r="G78" s="234"/>
      <c r="H78" s="233"/>
      <c r="I78" s="233"/>
      <c r="J78" s="234"/>
      <c r="K78" s="234"/>
      <c r="L78" s="233"/>
      <c r="M78" s="233"/>
      <c r="N78" s="234"/>
      <c r="O78" s="234"/>
      <c r="P78" s="210">
        <f t="shared" si="2"/>
        <v>0</v>
      </c>
      <c r="Q78" s="20">
        <f t="shared" si="3"/>
        <v>0</v>
      </c>
      <c r="R78" s="312"/>
      <c r="S78" s="312"/>
      <c r="T78" s="312"/>
      <c r="U78" s="312"/>
      <c r="Y78" s="236"/>
      <c r="Z78" s="300">
        <v>76</v>
      </c>
      <c r="AA78" s="283">
        <v>76</v>
      </c>
      <c r="AB78" s="278" t="str">
        <f ca="1">INDIRECT("C76")</f>
        <v>AMBROISE</v>
      </c>
      <c r="AC78" s="279">
        <f ca="1">INDIRECT("q76")</f>
        <v>0</v>
      </c>
      <c r="AD78" s="279">
        <f ca="1">INDIRECT("p76")</f>
        <v>0</v>
      </c>
      <c r="AE78" s="236"/>
      <c r="AK78" s="240"/>
      <c r="AL78" s="241"/>
      <c r="AM78" s="242"/>
      <c r="AO78" s="335"/>
      <c r="AP78" s="339"/>
      <c r="AQ78" s="335"/>
      <c r="AR78" s="344"/>
      <c r="BA78" s="250"/>
      <c r="BC78" s="298"/>
      <c r="BE78" s="336"/>
      <c r="BS78">
        <v>78</v>
      </c>
    </row>
    <row r="79" spans="1:71">
      <c r="A79" s="210"/>
      <c r="B79" s="20">
        <v>79</v>
      </c>
      <c r="C79" s="337" t="s">
        <v>109</v>
      </c>
      <c r="D79" s="233"/>
      <c r="E79" s="233"/>
      <c r="F79" s="234"/>
      <c r="G79" s="234"/>
      <c r="H79" s="233"/>
      <c r="I79" s="233"/>
      <c r="J79" s="234"/>
      <c r="K79" s="234"/>
      <c r="L79" s="233"/>
      <c r="M79" s="233"/>
      <c r="N79" s="234"/>
      <c r="O79" s="234"/>
      <c r="P79" s="210">
        <f t="shared" si="2"/>
        <v>0</v>
      </c>
      <c r="Q79" s="20">
        <f t="shared" si="3"/>
        <v>0</v>
      </c>
      <c r="R79" s="312"/>
      <c r="S79" s="312"/>
      <c r="T79" s="312"/>
      <c r="U79" s="312"/>
      <c r="Y79" s="236"/>
      <c r="Z79" s="300">
        <v>77</v>
      </c>
      <c r="AA79" s="283">
        <v>77</v>
      </c>
      <c r="AB79" s="278" t="str">
        <f ca="1">INDIRECT("C77")</f>
        <v>DANIEL</v>
      </c>
      <c r="AC79" s="279">
        <f ca="1">INDIRECT("q77")</f>
        <v>0</v>
      </c>
      <c r="AD79" s="279">
        <f ca="1">INDIRECT("p77")</f>
        <v>0</v>
      </c>
      <c r="AE79" s="236"/>
      <c r="AK79" s="240"/>
      <c r="AL79" s="241"/>
      <c r="AM79" s="242"/>
      <c r="AO79" s="335"/>
      <c r="AP79" s="339"/>
      <c r="AQ79" s="335"/>
      <c r="AR79" s="344"/>
      <c r="BA79" s="250"/>
      <c r="BC79" s="298"/>
      <c r="BE79" s="336"/>
      <c r="BS79">
        <v>79</v>
      </c>
    </row>
    <row r="80" spans="1:71">
      <c r="A80" s="210"/>
      <c r="B80" s="20">
        <v>80</v>
      </c>
      <c r="C80" s="337" t="s">
        <v>110</v>
      </c>
      <c r="D80" s="233"/>
      <c r="E80" s="233"/>
      <c r="F80" s="234"/>
      <c r="G80" s="234"/>
      <c r="H80" s="233"/>
      <c r="I80" s="233"/>
      <c r="J80" s="234"/>
      <c r="K80" s="234"/>
      <c r="L80" s="233"/>
      <c r="M80" s="233"/>
      <c r="N80" s="234"/>
      <c r="O80" s="234"/>
      <c r="P80" s="210">
        <f t="shared" si="2"/>
        <v>0</v>
      </c>
      <c r="Q80" s="20">
        <f t="shared" si="3"/>
        <v>0</v>
      </c>
      <c r="R80" s="312"/>
      <c r="S80" s="312"/>
      <c r="T80" s="312"/>
      <c r="U80" s="312"/>
      <c r="Y80" s="236"/>
      <c r="Z80" s="300">
        <v>78</v>
      </c>
      <c r="AA80" s="283">
        <v>78</v>
      </c>
      <c r="AB80" s="278" t="str">
        <f ca="1">INDIRECT("C78")</f>
        <v>GAEL</v>
      </c>
      <c r="AC80" s="279">
        <f ca="1">INDIRECT("q78")</f>
        <v>0</v>
      </c>
      <c r="AD80" s="279">
        <f ca="1">INDIRECT("p78")</f>
        <v>0</v>
      </c>
      <c r="AE80" s="236"/>
      <c r="AK80" s="240"/>
      <c r="AL80" s="241"/>
      <c r="AM80" s="242"/>
      <c r="AO80" s="335"/>
      <c r="AP80" s="339"/>
      <c r="AQ80" s="335"/>
      <c r="AR80" s="340"/>
      <c r="BA80" s="250"/>
      <c r="BC80" s="298"/>
      <c r="BE80" s="336"/>
      <c r="BS80">
        <v>80</v>
      </c>
    </row>
    <row r="81" spans="1:71">
      <c r="A81" s="210"/>
      <c r="B81" s="20">
        <v>81</v>
      </c>
      <c r="C81" s="337" t="s">
        <v>111</v>
      </c>
      <c r="D81" s="233"/>
      <c r="E81" s="233"/>
      <c r="F81" s="234"/>
      <c r="G81" s="234"/>
      <c r="H81" s="233"/>
      <c r="I81" s="233"/>
      <c r="J81" s="234"/>
      <c r="K81" s="234"/>
      <c r="L81" s="233"/>
      <c r="M81" s="233"/>
      <c r="N81" s="234"/>
      <c r="O81" s="234"/>
      <c r="P81" s="210">
        <f t="shared" si="2"/>
        <v>0</v>
      </c>
      <c r="Q81" s="20">
        <f t="shared" si="3"/>
        <v>0</v>
      </c>
      <c r="R81" s="312"/>
      <c r="S81" s="312"/>
      <c r="T81" s="312"/>
      <c r="U81" s="312"/>
      <c r="Y81" s="236"/>
      <c r="Z81" s="300">
        <v>79</v>
      </c>
      <c r="AA81" s="283">
        <v>79</v>
      </c>
      <c r="AB81" s="278" t="str">
        <f ca="1">INDIRECT("C79")</f>
        <v>GATIEN</v>
      </c>
      <c r="AC81" s="279">
        <f ca="1">INDIRECT("q79")</f>
        <v>0</v>
      </c>
      <c r="AD81" s="279">
        <f ca="1">INDIRECT("p79")</f>
        <v>0</v>
      </c>
      <c r="AE81" s="236"/>
      <c r="AK81" s="240"/>
      <c r="AL81" s="241"/>
      <c r="AM81" s="242"/>
      <c r="AO81" s="335"/>
      <c r="AP81" s="339"/>
      <c r="AQ81" s="335"/>
      <c r="AR81" s="340"/>
      <c r="BA81" s="250"/>
      <c r="BC81" s="298"/>
      <c r="BE81" s="336"/>
      <c r="BS81">
        <v>81</v>
      </c>
    </row>
    <row r="82" spans="1:71">
      <c r="A82" s="210"/>
      <c r="B82" s="20">
        <v>82</v>
      </c>
      <c r="C82" s="337" t="s">
        <v>112</v>
      </c>
      <c r="D82" s="233"/>
      <c r="E82" s="233"/>
      <c r="F82" s="234"/>
      <c r="G82" s="234"/>
      <c r="H82" s="233"/>
      <c r="I82" s="233"/>
      <c r="J82" s="234"/>
      <c r="K82" s="234"/>
      <c r="L82" s="233"/>
      <c r="M82" s="233"/>
      <c r="N82" s="234"/>
      <c r="O82" s="234"/>
      <c r="P82" s="210">
        <f t="shared" si="2"/>
        <v>0</v>
      </c>
      <c r="Q82" s="20">
        <f t="shared" si="3"/>
        <v>0</v>
      </c>
      <c r="R82" s="312"/>
      <c r="S82" s="312"/>
      <c r="T82" s="312"/>
      <c r="U82" s="312"/>
      <c r="Y82" s="236"/>
      <c r="Z82" s="300">
        <v>80</v>
      </c>
      <c r="AA82" s="283">
        <v>80</v>
      </c>
      <c r="AB82" s="278" t="str">
        <f ca="1">INDIRECT("C80")</f>
        <v>LUCIE</v>
      </c>
      <c r="AC82" s="279">
        <f ca="1">INDIRECT("q80")</f>
        <v>0</v>
      </c>
      <c r="AD82" s="279">
        <f ca="1">INDIRECT("p80")</f>
        <v>0</v>
      </c>
      <c r="AE82" s="236"/>
      <c r="AK82" s="240"/>
      <c r="AL82" s="241"/>
      <c r="AM82" s="242"/>
      <c r="AO82" s="335"/>
      <c r="AP82" s="339"/>
      <c r="AQ82" s="335"/>
      <c r="AR82" s="340"/>
      <c r="BA82" s="250"/>
      <c r="BC82" s="298"/>
      <c r="BS82">
        <v>82</v>
      </c>
    </row>
    <row r="83" spans="1:71">
      <c r="A83" s="210"/>
      <c r="B83" s="20">
        <v>83</v>
      </c>
      <c r="C83" s="337" t="s">
        <v>113</v>
      </c>
      <c r="D83" s="233"/>
      <c r="E83" s="233"/>
      <c r="F83" s="234"/>
      <c r="G83" s="234"/>
      <c r="H83" s="233"/>
      <c r="I83" s="233"/>
      <c r="J83" s="234"/>
      <c r="K83" s="234"/>
      <c r="L83" s="233"/>
      <c r="M83" s="233"/>
      <c r="N83" s="234"/>
      <c r="O83" s="234"/>
      <c r="P83" s="210">
        <f t="shared" si="2"/>
        <v>0</v>
      </c>
      <c r="Q83" s="20">
        <f t="shared" si="3"/>
        <v>0</v>
      </c>
      <c r="R83" s="312"/>
      <c r="S83" s="312"/>
      <c r="T83" s="312"/>
      <c r="U83" s="312"/>
      <c r="Y83" s="236"/>
      <c r="Z83" s="300">
        <v>81</v>
      </c>
      <c r="AA83" s="283">
        <v>81</v>
      </c>
      <c r="AB83" s="278" t="str">
        <f ca="1">INDIRECT("C81")</f>
        <v>THEOPHILE</v>
      </c>
      <c r="AC83" s="279">
        <f ca="1">INDIRECT("q81")</f>
        <v>0</v>
      </c>
      <c r="AD83" s="279">
        <f ca="1">INDIRECT("p81")</f>
        <v>0</v>
      </c>
      <c r="AE83" s="236"/>
      <c r="AK83" s="240"/>
      <c r="AL83" s="241"/>
      <c r="AM83" s="242"/>
      <c r="AO83" s="335"/>
      <c r="AP83" s="339"/>
      <c r="AQ83" s="335"/>
      <c r="AR83" s="340"/>
      <c r="BA83" s="250"/>
      <c r="BC83" s="298"/>
      <c r="BS83">
        <v>83</v>
      </c>
    </row>
    <row r="84" spans="1:71">
      <c r="A84" s="210"/>
      <c r="B84" s="20">
        <v>84</v>
      </c>
      <c r="C84" s="337" t="s">
        <v>114</v>
      </c>
      <c r="D84" s="233"/>
      <c r="E84" s="233"/>
      <c r="F84" s="234"/>
      <c r="G84" s="234"/>
      <c r="H84" s="233"/>
      <c r="I84" s="233"/>
      <c r="J84" s="234"/>
      <c r="K84" s="234"/>
      <c r="L84" s="233"/>
      <c r="M84" s="233"/>
      <c r="N84" s="234"/>
      <c r="O84" s="234"/>
      <c r="P84" s="210">
        <f t="shared" si="2"/>
        <v>0</v>
      </c>
      <c r="Q84" s="20">
        <f t="shared" si="3"/>
        <v>0</v>
      </c>
      <c r="R84" s="312"/>
      <c r="S84" s="312"/>
      <c r="T84" s="312"/>
      <c r="U84" s="312"/>
      <c r="Y84" s="236"/>
      <c r="Z84" s="300">
        <v>82</v>
      </c>
      <c r="AA84" s="283">
        <v>82</v>
      </c>
      <c r="AB84" s="278" t="str">
        <f ca="1">INDIRECT("C82")</f>
        <v>URBAIN</v>
      </c>
      <c r="AC84" s="279">
        <f ca="1">INDIRECT("q82")</f>
        <v>0</v>
      </c>
      <c r="AD84" s="279">
        <f ca="1">INDIRECT("p82")</f>
        <v>0</v>
      </c>
      <c r="AE84" s="236"/>
      <c r="AK84" s="240"/>
      <c r="AL84" s="241"/>
      <c r="AM84" s="242"/>
      <c r="AO84" s="335"/>
      <c r="AP84" s="339"/>
      <c r="AQ84" s="335"/>
      <c r="AR84" s="340"/>
      <c r="BA84" s="250"/>
      <c r="BC84" s="298"/>
      <c r="BS84">
        <v>84</v>
      </c>
    </row>
    <row r="85" spans="1:71">
      <c r="A85" s="210"/>
      <c r="B85" s="20">
        <v>85</v>
      </c>
      <c r="C85" s="337" t="s">
        <v>115</v>
      </c>
      <c r="D85" s="233"/>
      <c r="E85" s="233"/>
      <c r="F85" s="234"/>
      <c r="G85" s="234"/>
      <c r="H85" s="233"/>
      <c r="I85" s="233"/>
      <c r="J85" s="234"/>
      <c r="K85" s="234"/>
      <c r="L85" s="233"/>
      <c r="M85" s="233"/>
      <c r="N85" s="234"/>
      <c r="O85" s="234"/>
      <c r="P85" s="210">
        <f t="shared" si="2"/>
        <v>0</v>
      </c>
      <c r="Q85" s="20">
        <f t="shared" si="3"/>
        <v>0</v>
      </c>
      <c r="R85" s="312"/>
      <c r="S85" s="312"/>
      <c r="T85" s="312"/>
      <c r="U85" s="312"/>
      <c r="Y85" s="236"/>
      <c r="Z85" s="300">
        <v>83</v>
      </c>
      <c r="AA85" s="283">
        <v>83</v>
      </c>
      <c r="AB85" s="278" t="str">
        <f ca="1">INDIRECT("C83")</f>
        <v>ETIENNE</v>
      </c>
      <c r="AC85" s="279">
        <f ca="1">INDIRECT("q83")</f>
        <v>0</v>
      </c>
      <c r="AD85" s="279">
        <f ca="1">INDIRECT("p83")</f>
        <v>0</v>
      </c>
      <c r="AE85" s="236"/>
      <c r="AK85" s="240"/>
      <c r="AL85" s="241"/>
      <c r="AM85" s="242"/>
      <c r="AO85" s="335"/>
      <c r="AP85" s="339"/>
      <c r="AQ85" s="335"/>
      <c r="AR85" s="340"/>
      <c r="BA85" s="250"/>
      <c r="BC85" s="298"/>
      <c r="BS85">
        <v>85</v>
      </c>
    </row>
    <row r="86" spans="1:71">
      <c r="A86" s="210"/>
      <c r="B86" s="20">
        <v>86</v>
      </c>
      <c r="C86" s="337" t="s">
        <v>116</v>
      </c>
      <c r="D86" s="233"/>
      <c r="E86" s="233"/>
      <c r="F86" s="234"/>
      <c r="G86" s="234"/>
      <c r="H86" s="233"/>
      <c r="I86" s="233"/>
      <c r="J86" s="234"/>
      <c r="K86" s="234"/>
      <c r="L86" s="233"/>
      <c r="M86" s="233"/>
      <c r="N86" s="234"/>
      <c r="O86" s="234"/>
      <c r="P86" s="210">
        <f t="shared" si="2"/>
        <v>0</v>
      </c>
      <c r="Q86" s="20">
        <f t="shared" si="3"/>
        <v>0</v>
      </c>
      <c r="R86" s="312"/>
      <c r="S86" s="312"/>
      <c r="T86" s="312"/>
      <c r="U86" s="312"/>
      <c r="Y86" s="236"/>
      <c r="Z86" s="300">
        <v>84</v>
      </c>
      <c r="AA86" s="283">
        <v>84</v>
      </c>
      <c r="AB86" s="278" t="str">
        <f ca="1">INDIRECT("C84")</f>
        <v>BASILE</v>
      </c>
      <c r="AC86" s="279">
        <f ca="1">INDIRECT("q84")</f>
        <v>0</v>
      </c>
      <c r="AD86" s="279">
        <f ca="1">INDIRECT("p84")</f>
        <v>0</v>
      </c>
      <c r="AE86" s="236"/>
      <c r="AK86" s="240"/>
      <c r="AL86" s="241"/>
      <c r="AM86" s="242"/>
      <c r="AO86" s="335"/>
      <c r="AP86" s="339"/>
      <c r="AQ86" s="335"/>
      <c r="AR86" s="340"/>
      <c r="BA86" s="250"/>
      <c r="BC86" s="298"/>
      <c r="BS86">
        <v>86</v>
      </c>
    </row>
    <row r="87" spans="1:71">
      <c r="A87" s="210"/>
      <c r="B87" s="20">
        <v>87</v>
      </c>
      <c r="C87" s="337" t="s">
        <v>117</v>
      </c>
      <c r="D87" s="233"/>
      <c r="E87" s="233"/>
      <c r="F87" s="234"/>
      <c r="G87" s="234"/>
      <c r="H87" s="233"/>
      <c r="I87" s="233"/>
      <c r="J87" s="234"/>
      <c r="K87" s="234"/>
      <c r="L87" s="233"/>
      <c r="M87" s="233"/>
      <c r="N87" s="234"/>
      <c r="O87" s="234"/>
      <c r="P87" s="210">
        <f t="shared" si="2"/>
        <v>0</v>
      </c>
      <c r="Q87" s="20">
        <f t="shared" si="3"/>
        <v>0</v>
      </c>
      <c r="R87" s="312"/>
      <c r="S87" s="312"/>
      <c r="T87" s="312"/>
      <c r="U87" s="312"/>
      <c r="Y87" s="236"/>
      <c r="Z87" s="300">
        <v>85</v>
      </c>
      <c r="AA87" s="283">
        <v>85</v>
      </c>
      <c r="AB87" s="278" t="str">
        <f ca="1">INDIRECT("C85")</f>
        <v>RAYMOND</v>
      </c>
      <c r="AC87" s="279">
        <f ca="1">INDIRECT("q85")</f>
        <v>0</v>
      </c>
      <c r="AD87" s="279">
        <f ca="1">INDIRECT("p85")</f>
        <v>0</v>
      </c>
      <c r="AE87" s="236"/>
      <c r="AK87" s="240"/>
      <c r="AL87" s="241"/>
      <c r="AM87" s="242"/>
      <c r="AO87" s="335"/>
      <c r="AP87" s="339"/>
      <c r="AQ87" s="335"/>
      <c r="AR87" s="340"/>
      <c r="BA87" s="250"/>
      <c r="BC87" s="298"/>
      <c r="BS87">
        <v>87</v>
      </c>
    </row>
    <row r="88" spans="1:71">
      <c r="A88" s="210"/>
      <c r="B88" s="20">
        <v>88</v>
      </c>
      <c r="C88" s="337" t="s">
        <v>118</v>
      </c>
      <c r="D88" s="233"/>
      <c r="E88" s="233"/>
      <c r="F88" s="234"/>
      <c r="G88" s="234"/>
      <c r="H88" s="233"/>
      <c r="I88" s="233"/>
      <c r="J88" s="234"/>
      <c r="K88" s="234"/>
      <c r="L88" s="233"/>
      <c r="M88" s="233"/>
      <c r="N88" s="234"/>
      <c r="O88" s="234"/>
      <c r="P88" s="210">
        <f t="shared" si="2"/>
        <v>0</v>
      </c>
      <c r="Q88" s="20">
        <f t="shared" si="3"/>
        <v>0</v>
      </c>
      <c r="R88" s="312"/>
      <c r="S88" s="312"/>
      <c r="T88" s="312"/>
      <c r="U88" s="312"/>
      <c r="Y88" s="236"/>
      <c r="Z88" s="300">
        <v>86</v>
      </c>
      <c r="AA88" s="283">
        <v>86</v>
      </c>
      <c r="AB88" s="278" t="str">
        <f ca="1">INDIRECT("C86")</f>
        <v>LUCIEN</v>
      </c>
      <c r="AC88" s="279">
        <f ca="1">INDIRECT("q86")</f>
        <v>0</v>
      </c>
      <c r="AD88" s="279">
        <f ca="1">INDIRECT("p86")</f>
        <v>0</v>
      </c>
      <c r="AE88" s="236"/>
      <c r="AK88" s="240"/>
      <c r="AL88" s="241"/>
      <c r="AM88" s="242"/>
      <c r="AO88" s="335"/>
      <c r="AP88" s="339"/>
      <c r="AQ88" s="335"/>
      <c r="AR88" s="340"/>
      <c r="BA88" s="250"/>
      <c r="BC88" s="298"/>
      <c r="BS88">
        <v>88</v>
      </c>
    </row>
    <row r="89" spans="1:71">
      <c r="A89" s="210"/>
      <c r="B89" s="20">
        <v>89</v>
      </c>
      <c r="C89" s="337" t="s">
        <v>119</v>
      </c>
      <c r="D89" s="233"/>
      <c r="E89" s="233"/>
      <c r="F89" s="234"/>
      <c r="G89" s="234"/>
      <c r="H89" s="233"/>
      <c r="I89" s="233"/>
      <c r="J89" s="234"/>
      <c r="K89" s="234"/>
      <c r="L89" s="233"/>
      <c r="M89" s="233"/>
      <c r="N89" s="234"/>
      <c r="O89" s="234"/>
      <c r="P89" s="210">
        <f t="shared" si="2"/>
        <v>0</v>
      </c>
      <c r="Q89" s="20">
        <f t="shared" si="3"/>
        <v>0</v>
      </c>
      <c r="R89" s="312"/>
      <c r="S89" s="312"/>
      <c r="T89" s="312"/>
      <c r="U89" s="312"/>
      <c r="Y89" s="236"/>
      <c r="Z89" s="300">
        <v>87</v>
      </c>
      <c r="AA89" s="283">
        <v>87</v>
      </c>
      <c r="AB89" s="278" t="str">
        <f ca="1">INDIRECT("C87")</f>
        <v>GUILLAUME</v>
      </c>
      <c r="AC89" s="279">
        <f ca="1">INDIRECT("q87")</f>
        <v>0</v>
      </c>
      <c r="AD89" s="279">
        <f ca="1">INDIRECT("p87")</f>
        <v>0</v>
      </c>
      <c r="AE89" s="236"/>
      <c r="AK89" s="240"/>
      <c r="AL89" s="241"/>
      <c r="AM89" s="242"/>
      <c r="AO89" s="335"/>
      <c r="AP89" s="339"/>
      <c r="AQ89" s="335"/>
      <c r="AR89" s="340"/>
      <c r="BA89" s="250"/>
      <c r="BC89" s="298"/>
      <c r="BS89">
        <v>89</v>
      </c>
    </row>
    <row r="90" spans="1:71">
      <c r="A90" s="210"/>
      <c r="B90" s="20">
        <v>90</v>
      </c>
      <c r="C90" s="337" t="s">
        <v>120</v>
      </c>
      <c r="D90" s="233"/>
      <c r="E90" s="233"/>
      <c r="F90" s="234"/>
      <c r="G90" s="234"/>
      <c r="H90" s="233"/>
      <c r="I90" s="233"/>
      <c r="J90" s="234"/>
      <c r="K90" s="234"/>
      <c r="L90" s="233"/>
      <c r="M90" s="233"/>
      <c r="N90" s="234"/>
      <c r="O90" s="234"/>
      <c r="P90" s="210">
        <f t="shared" si="2"/>
        <v>0</v>
      </c>
      <c r="Q90" s="20">
        <f t="shared" si="3"/>
        <v>0</v>
      </c>
      <c r="R90" s="312"/>
      <c r="S90" s="312"/>
      <c r="T90" s="312"/>
      <c r="U90" s="312"/>
      <c r="Y90" s="236"/>
      <c r="Z90" s="300">
        <v>88</v>
      </c>
      <c r="AA90" s="283">
        <v>88</v>
      </c>
      <c r="AB90" s="278" t="str">
        <f ca="1">INDIRECT("C88")</f>
        <v>VINCENT</v>
      </c>
      <c r="AC90" s="279">
        <f ca="1">INDIRECT("q88")</f>
        <v>0</v>
      </c>
      <c r="AD90" s="279">
        <f ca="1">INDIRECT("p88")</f>
        <v>0</v>
      </c>
      <c r="AE90" s="236"/>
      <c r="AK90" s="240"/>
      <c r="AL90" s="241"/>
      <c r="AM90" s="242"/>
      <c r="AO90" s="335"/>
      <c r="AP90" s="339"/>
      <c r="AQ90" s="335"/>
      <c r="AR90" s="340"/>
      <c r="BA90" s="250"/>
      <c r="BC90" s="298"/>
      <c r="BS90">
        <v>90</v>
      </c>
    </row>
    <row r="91" spans="1:71">
      <c r="A91" s="210"/>
      <c r="B91" s="20">
        <v>91</v>
      </c>
      <c r="C91" s="337" t="s">
        <v>121</v>
      </c>
      <c r="D91" s="233"/>
      <c r="E91" s="233"/>
      <c r="F91" s="234"/>
      <c r="G91" s="234"/>
      <c r="H91" s="233"/>
      <c r="I91" s="233"/>
      <c r="J91" s="234"/>
      <c r="K91" s="234"/>
      <c r="L91" s="233"/>
      <c r="M91" s="233"/>
      <c r="N91" s="234"/>
      <c r="O91" s="234"/>
      <c r="P91" s="210">
        <f t="shared" si="2"/>
        <v>0</v>
      </c>
      <c r="Q91" s="20">
        <f t="shared" si="3"/>
        <v>0</v>
      </c>
      <c r="Y91" s="236"/>
      <c r="Z91" s="300">
        <v>89</v>
      </c>
      <c r="AA91" s="283">
        <v>89</v>
      </c>
      <c r="AB91" s="278" t="str">
        <f ca="1">INDIRECT("C89")</f>
        <v>BERNARD</v>
      </c>
      <c r="AC91" s="279">
        <f ca="1">INDIRECT("q89")</f>
        <v>0</v>
      </c>
      <c r="AD91" s="279">
        <f ca="1">INDIRECT("p89")</f>
        <v>0</v>
      </c>
      <c r="AE91" s="236"/>
      <c r="AK91" s="240"/>
      <c r="AL91" s="241"/>
      <c r="AM91" s="242"/>
      <c r="AO91" s="335"/>
      <c r="AP91" s="339"/>
      <c r="AQ91" s="335"/>
      <c r="AR91" s="340"/>
      <c r="BA91" s="250"/>
      <c r="BC91" s="298"/>
      <c r="BS91">
        <v>91</v>
      </c>
    </row>
    <row r="92" spans="1:71">
      <c r="A92" s="210"/>
      <c r="B92" s="20">
        <v>92</v>
      </c>
      <c r="C92" s="337" t="s">
        <v>122</v>
      </c>
      <c r="D92" s="233"/>
      <c r="E92" s="233"/>
      <c r="F92" s="234"/>
      <c r="G92" s="234"/>
      <c r="H92" s="233"/>
      <c r="I92" s="233"/>
      <c r="J92" s="234"/>
      <c r="K92" s="234"/>
      <c r="L92" s="233"/>
      <c r="M92" s="233"/>
      <c r="N92" s="234"/>
      <c r="O92" s="234"/>
      <c r="P92" s="210">
        <f t="shared" si="2"/>
        <v>0</v>
      </c>
      <c r="Q92" s="20">
        <f t="shared" si="3"/>
        <v>0</v>
      </c>
      <c r="Y92" s="236"/>
      <c r="Z92" s="300">
        <v>90</v>
      </c>
      <c r="AA92" s="283">
        <v>90</v>
      </c>
      <c r="AB92" s="278" t="str">
        <f ca="1">INDIRECT("C90")</f>
        <v>VALENTIN</v>
      </c>
      <c r="AC92" s="279">
        <f ca="1">INDIRECT("q90")</f>
        <v>0</v>
      </c>
      <c r="AD92" s="279">
        <f ca="1">INDIRECT("p90")</f>
        <v>0</v>
      </c>
      <c r="AE92" s="236"/>
      <c r="AK92" s="240"/>
      <c r="AL92" s="241"/>
      <c r="AM92" s="242"/>
      <c r="AO92" s="335"/>
      <c r="AP92" s="339"/>
      <c r="AQ92" s="335"/>
      <c r="AR92" s="340"/>
      <c r="BA92" s="250"/>
      <c r="BC92" s="298"/>
      <c r="BS92">
        <v>92</v>
      </c>
    </row>
    <row r="93" spans="1:71">
      <c r="A93" s="210"/>
      <c r="B93" s="20">
        <v>93</v>
      </c>
      <c r="C93" s="337" t="s">
        <v>123</v>
      </c>
      <c r="D93" s="233"/>
      <c r="E93" s="233"/>
      <c r="F93" s="234"/>
      <c r="G93" s="234"/>
      <c r="H93" s="233"/>
      <c r="I93" s="233"/>
      <c r="J93" s="234"/>
      <c r="K93" s="234"/>
      <c r="L93" s="233"/>
      <c r="M93" s="233"/>
      <c r="N93" s="234"/>
      <c r="O93" s="234"/>
      <c r="P93" s="210">
        <f t="shared" si="2"/>
        <v>0</v>
      </c>
      <c r="Q93" s="20">
        <f t="shared" si="3"/>
        <v>0</v>
      </c>
      <c r="Y93" s="236"/>
      <c r="Z93" s="300">
        <v>91</v>
      </c>
      <c r="AA93" s="283">
        <v>91</v>
      </c>
      <c r="AB93" s="278" t="str">
        <f ca="1">INDIRECT("C91")</f>
        <v>VALERIE</v>
      </c>
      <c r="AC93" s="279">
        <f ca="1">INDIRECT("q91")</f>
        <v>0</v>
      </c>
      <c r="AD93" s="279">
        <f ca="1">INDIRECT("p91")</f>
        <v>0</v>
      </c>
      <c r="AE93" s="236"/>
      <c r="AK93" s="240"/>
      <c r="AL93" s="241"/>
      <c r="AM93" s="242"/>
      <c r="AO93" s="335"/>
      <c r="AP93" s="339"/>
      <c r="AQ93" s="335"/>
      <c r="AR93" s="340"/>
      <c r="BA93" s="250"/>
      <c r="BC93" s="298"/>
      <c r="BS93">
        <v>93</v>
      </c>
    </row>
    <row r="94" spans="1:71">
      <c r="A94" s="210"/>
      <c r="B94" s="20">
        <v>94</v>
      </c>
      <c r="C94" s="337" t="s">
        <v>124</v>
      </c>
      <c r="D94" s="233"/>
      <c r="E94" s="233"/>
      <c r="F94" s="234"/>
      <c r="G94" s="234"/>
      <c r="H94" s="233"/>
      <c r="I94" s="233"/>
      <c r="J94" s="234"/>
      <c r="K94" s="234"/>
      <c r="L94" s="233"/>
      <c r="M94" s="233"/>
      <c r="N94" s="234"/>
      <c r="O94" s="234"/>
      <c r="P94" s="210">
        <f t="shared" si="2"/>
        <v>0</v>
      </c>
      <c r="Q94" s="20">
        <f t="shared" si="3"/>
        <v>0</v>
      </c>
      <c r="Y94" s="236"/>
      <c r="Z94" s="300">
        <v>92</v>
      </c>
      <c r="AA94" s="283">
        <v>92</v>
      </c>
      <c r="AB94" s="278" t="str">
        <f ca="1">INDIRECT("C92")</f>
        <v>ROMAIN</v>
      </c>
      <c r="AC94" s="279">
        <f ca="1">INDIRECT("q92")</f>
        <v>0</v>
      </c>
      <c r="AD94" s="279">
        <f ca="1">INDIRECT("p92")</f>
        <v>0</v>
      </c>
      <c r="AE94" s="236"/>
      <c r="AK94" s="240"/>
      <c r="AL94" s="241"/>
      <c r="AM94" s="242"/>
      <c r="AO94" s="335"/>
      <c r="AP94" s="339"/>
      <c r="AQ94" s="335"/>
      <c r="AR94" s="340"/>
      <c r="BA94" s="250"/>
      <c r="BC94" s="298"/>
      <c r="BS94">
        <v>94</v>
      </c>
    </row>
    <row r="95" spans="1:71">
      <c r="A95" s="210"/>
      <c r="B95" s="20">
        <v>95</v>
      </c>
      <c r="C95" s="337" t="s">
        <v>125</v>
      </c>
      <c r="D95" s="233"/>
      <c r="E95" s="233"/>
      <c r="F95" s="234"/>
      <c r="G95" s="234"/>
      <c r="H95" s="233"/>
      <c r="I95" s="233"/>
      <c r="J95" s="234"/>
      <c r="K95" s="234"/>
      <c r="L95" s="233"/>
      <c r="M95" s="233"/>
      <c r="N95" s="234"/>
      <c r="O95" s="234"/>
      <c r="P95" s="210">
        <f t="shared" si="2"/>
        <v>0</v>
      </c>
      <c r="Q95" s="20">
        <f t="shared" si="3"/>
        <v>0</v>
      </c>
      <c r="Y95" s="236"/>
      <c r="Z95" s="300">
        <v>93</v>
      </c>
      <c r="AA95" s="283">
        <v>93</v>
      </c>
      <c r="AB95" s="278" t="str">
        <f ca="1">INDIRECT("C93")</f>
        <v>JOSEPH</v>
      </c>
      <c r="AC95" s="279">
        <f ca="1">INDIRECT("q93")</f>
        <v>0</v>
      </c>
      <c r="AD95" s="279">
        <f ca="1">INDIRECT("p93")</f>
        <v>0</v>
      </c>
      <c r="AE95" s="236"/>
      <c r="AK95" s="240"/>
      <c r="AL95" s="241"/>
      <c r="AM95" s="242"/>
      <c r="AO95" s="335"/>
      <c r="AP95" s="339"/>
      <c r="AQ95" s="335"/>
      <c r="AR95" s="340"/>
      <c r="BA95" s="250"/>
      <c r="BC95" s="298"/>
      <c r="BS95">
        <v>95</v>
      </c>
    </row>
    <row r="96" spans="1:71">
      <c r="A96" s="210"/>
      <c r="B96" s="20">
        <v>96</v>
      </c>
      <c r="C96" s="337" t="s">
        <v>126</v>
      </c>
      <c r="D96" s="233"/>
      <c r="E96" s="233"/>
      <c r="F96" s="234"/>
      <c r="G96" s="234"/>
      <c r="H96" s="233"/>
      <c r="I96" s="233"/>
      <c r="J96" s="234"/>
      <c r="K96" s="234"/>
      <c r="L96" s="233"/>
      <c r="M96" s="233"/>
      <c r="N96" s="234"/>
      <c r="O96" s="234"/>
      <c r="P96" s="210">
        <f t="shared" si="2"/>
        <v>0</v>
      </c>
      <c r="Q96" s="20">
        <f t="shared" si="3"/>
        <v>0</v>
      </c>
      <c r="Y96" s="236"/>
      <c r="Z96" s="300">
        <v>94</v>
      </c>
      <c r="AA96" s="283">
        <v>94</v>
      </c>
      <c r="AB96" s="278" t="str">
        <f ca="1">INDIRECT("C94")</f>
        <v>HUGUES</v>
      </c>
      <c r="AC96" s="279">
        <f ca="1">INDIRECT("q94")</f>
        <v>0</v>
      </c>
      <c r="AD96" s="279">
        <f ca="1">INDIRECT("p94")</f>
        <v>0</v>
      </c>
      <c r="AE96" s="236"/>
      <c r="AK96" s="240"/>
      <c r="AL96" s="241"/>
      <c r="AM96" s="242"/>
      <c r="AO96" s="335"/>
      <c r="AP96" s="339"/>
      <c r="AQ96" s="335"/>
      <c r="AR96" s="340"/>
      <c r="BA96" s="250"/>
      <c r="BC96" s="298"/>
      <c r="BS96">
        <v>96</v>
      </c>
    </row>
    <row r="97" spans="1:71">
      <c r="A97" s="210"/>
      <c r="B97" s="20">
        <v>97</v>
      </c>
      <c r="C97" s="337" t="s">
        <v>127</v>
      </c>
      <c r="D97" s="233"/>
      <c r="E97" s="233"/>
      <c r="F97" s="234"/>
      <c r="G97" s="234"/>
      <c r="H97" s="233"/>
      <c r="I97" s="233"/>
      <c r="J97" s="234"/>
      <c r="K97" s="234"/>
      <c r="L97" s="233"/>
      <c r="M97" s="233"/>
      <c r="N97" s="234"/>
      <c r="O97" s="234"/>
      <c r="P97" s="210">
        <f t="shared" si="2"/>
        <v>0</v>
      </c>
      <c r="Q97" s="20">
        <f t="shared" si="3"/>
        <v>0</v>
      </c>
      <c r="Y97" s="236"/>
      <c r="Z97" s="300">
        <v>95</v>
      </c>
      <c r="AA97" s="283">
        <v>95</v>
      </c>
      <c r="AB97" s="278" t="str">
        <f ca="1">INDIRECT("C95")</f>
        <v>RICHARD</v>
      </c>
      <c r="AC97" s="279">
        <f ca="1">INDIRECT("q95")</f>
        <v>0</v>
      </c>
      <c r="AD97" s="279">
        <f ca="1">INDIRECT("p95")</f>
        <v>0</v>
      </c>
      <c r="AE97" s="236"/>
      <c r="AK97" s="240"/>
      <c r="AL97" s="241"/>
      <c r="AM97" s="242"/>
      <c r="AO97" s="335"/>
      <c r="AP97" s="339"/>
      <c r="AQ97" s="335"/>
      <c r="AR97" s="340"/>
      <c r="BA97" s="250"/>
      <c r="BC97" s="298"/>
      <c r="BS97">
        <v>97</v>
      </c>
    </row>
    <row r="98" spans="1:71">
      <c r="A98" s="210"/>
      <c r="B98" s="20">
        <v>98</v>
      </c>
      <c r="C98" s="337" t="s">
        <v>128</v>
      </c>
      <c r="D98" s="233"/>
      <c r="E98" s="233"/>
      <c r="F98" s="234"/>
      <c r="G98" s="234"/>
      <c r="H98" s="233"/>
      <c r="I98" s="233"/>
      <c r="J98" s="234"/>
      <c r="K98" s="234"/>
      <c r="L98" s="233"/>
      <c r="M98" s="233"/>
      <c r="N98" s="234"/>
      <c r="O98" s="234"/>
      <c r="P98" s="210">
        <f t="shared" si="2"/>
        <v>0</v>
      </c>
      <c r="Q98" s="20">
        <f t="shared" si="3"/>
        <v>0</v>
      </c>
      <c r="Y98" s="236"/>
      <c r="Z98" s="300">
        <v>96</v>
      </c>
      <c r="AA98" s="283">
        <v>96</v>
      </c>
      <c r="AB98" s="278" t="str">
        <f ca="1">INDIRECT("C96")</f>
        <v>GAUTIER</v>
      </c>
      <c r="AC98" s="279">
        <f ca="1">INDIRECT("q96")</f>
        <v>0</v>
      </c>
      <c r="AD98" s="279">
        <f ca="1">INDIRECT("p96")</f>
        <v>0</v>
      </c>
      <c r="AE98" s="236"/>
      <c r="AK98" s="240"/>
      <c r="AL98" s="241"/>
      <c r="AM98" s="242"/>
      <c r="AO98" s="335"/>
      <c r="AP98" s="339"/>
      <c r="AQ98" s="335"/>
      <c r="AR98" s="340"/>
      <c r="BA98" s="250"/>
      <c r="BC98" s="298"/>
      <c r="BS98">
        <v>98</v>
      </c>
    </row>
    <row r="99" spans="1:71">
      <c r="A99" s="210"/>
      <c r="B99" s="20">
        <v>99</v>
      </c>
      <c r="C99" s="337" t="s">
        <v>129</v>
      </c>
      <c r="D99" s="233"/>
      <c r="E99" s="233"/>
      <c r="F99" s="234"/>
      <c r="G99" s="234"/>
      <c r="H99" s="233"/>
      <c r="I99" s="233"/>
      <c r="J99" s="234"/>
      <c r="K99" s="234"/>
      <c r="L99" s="233"/>
      <c r="M99" s="233"/>
      <c r="N99" s="234"/>
      <c r="O99" s="234"/>
      <c r="P99" s="210">
        <f t="shared" si="2"/>
        <v>0</v>
      </c>
      <c r="Q99" s="20">
        <f t="shared" si="3"/>
        <v>0</v>
      </c>
      <c r="Y99" s="236"/>
      <c r="Z99" s="300">
        <v>97</v>
      </c>
      <c r="AA99" s="283">
        <v>97</v>
      </c>
      <c r="AB99" s="278" t="str">
        <f ca="1">INDIRECT("C97")</f>
        <v>MATTHIAS</v>
      </c>
      <c r="AC99" s="279">
        <f ca="1">INDIRECT("q97")</f>
        <v>0</v>
      </c>
      <c r="AD99" s="279">
        <f ca="1">INDIRECT("p97")</f>
        <v>0</v>
      </c>
      <c r="AE99" s="236"/>
      <c r="AK99" s="240"/>
      <c r="AL99" s="241"/>
      <c r="AM99" s="242"/>
      <c r="AO99" s="335"/>
      <c r="AP99" s="339"/>
      <c r="AQ99" s="335"/>
      <c r="AR99" s="340"/>
      <c r="BA99" s="250"/>
      <c r="BC99" s="298"/>
      <c r="BS99">
        <v>99</v>
      </c>
    </row>
    <row r="100" spans="1:71">
      <c r="A100" s="210"/>
      <c r="B100" s="20">
        <v>100</v>
      </c>
      <c r="C100" s="337" t="s">
        <v>130</v>
      </c>
      <c r="D100" s="233"/>
      <c r="E100" s="233"/>
      <c r="F100" s="234"/>
      <c r="G100" s="234"/>
      <c r="H100" s="233"/>
      <c r="I100" s="233"/>
      <c r="J100" s="234"/>
      <c r="K100" s="234"/>
      <c r="L100" s="233"/>
      <c r="M100" s="233"/>
      <c r="N100" s="234"/>
      <c r="O100" s="234"/>
      <c r="P100" s="210">
        <f t="shared" si="2"/>
        <v>0</v>
      </c>
      <c r="Q100" s="20">
        <f t="shared" si="3"/>
        <v>0</v>
      </c>
      <c r="Y100" s="236"/>
      <c r="Z100" s="300">
        <v>98</v>
      </c>
      <c r="AA100" s="283">
        <v>98</v>
      </c>
      <c r="AB100" s="278" t="str">
        <f ca="1">INDIRECT("C98")</f>
        <v>STANISLAS</v>
      </c>
      <c r="AC100" s="279">
        <f ca="1">INDIRECT("q98")</f>
        <v>0</v>
      </c>
      <c r="AD100" s="279">
        <f ca="1">INDIRECT("p98")</f>
        <v>0</v>
      </c>
      <c r="AE100" s="236"/>
      <c r="AK100" s="240"/>
      <c r="AL100" s="241"/>
      <c r="AM100" s="242"/>
      <c r="AO100" s="335"/>
      <c r="AP100" s="339"/>
      <c r="AQ100" s="335"/>
      <c r="AR100" s="340"/>
      <c r="BA100" s="250"/>
      <c r="BC100" s="298"/>
      <c r="BS100">
        <v>100</v>
      </c>
    </row>
    <row r="101" spans="1:71">
      <c r="A101" s="210"/>
      <c r="B101" s="20">
        <v>101</v>
      </c>
      <c r="C101" s="337" t="s">
        <v>131</v>
      </c>
      <c r="D101" s="233"/>
      <c r="E101" s="233"/>
      <c r="F101" s="234"/>
      <c r="G101" s="234"/>
      <c r="H101" s="233"/>
      <c r="I101" s="233"/>
      <c r="J101" s="234"/>
      <c r="K101" s="234"/>
      <c r="L101" s="233"/>
      <c r="M101" s="233"/>
      <c r="N101" s="234"/>
      <c r="O101" s="234"/>
      <c r="P101" s="210">
        <f t="shared" si="2"/>
        <v>0</v>
      </c>
      <c r="Q101" s="20">
        <f t="shared" si="3"/>
        <v>0</v>
      </c>
      <c r="Y101" s="236"/>
      <c r="Z101" s="300">
        <v>99</v>
      </c>
      <c r="AA101" s="283">
        <v>99</v>
      </c>
      <c r="AB101" s="278" t="str">
        <f ca="1">INDIRECT("C99")</f>
        <v>ROLANDE</v>
      </c>
      <c r="AC101" s="279">
        <f ca="1">INDIRECT("q99")</f>
        <v>0</v>
      </c>
      <c r="AD101" s="279">
        <f ca="1">INDIRECT("p99")</f>
        <v>0</v>
      </c>
      <c r="AE101" s="236"/>
      <c r="AK101" s="240"/>
      <c r="AL101" s="241"/>
      <c r="AM101" s="242"/>
      <c r="AO101" s="335"/>
      <c r="AP101" s="339"/>
      <c r="AQ101" s="335"/>
      <c r="AR101" s="340"/>
      <c r="BA101" s="250"/>
      <c r="BC101" s="298"/>
    </row>
    <row r="102" spans="1:71">
      <c r="A102" s="210"/>
      <c r="B102" s="20">
        <v>102</v>
      </c>
      <c r="C102" s="337" t="s">
        <v>132</v>
      </c>
      <c r="D102" s="233"/>
      <c r="E102" s="233"/>
      <c r="F102" s="234"/>
      <c r="G102" s="234"/>
      <c r="H102" s="233"/>
      <c r="I102" s="233"/>
      <c r="J102" s="234"/>
      <c r="K102" s="234"/>
      <c r="L102" s="233"/>
      <c r="M102" s="233"/>
      <c r="N102" s="234"/>
      <c r="O102" s="234"/>
      <c r="P102" s="210">
        <f t="shared" si="2"/>
        <v>0</v>
      </c>
      <c r="Q102" s="20">
        <f t="shared" si="3"/>
        <v>0</v>
      </c>
      <c r="Y102" s="236"/>
      <c r="Z102" s="300">
        <v>100</v>
      </c>
      <c r="AA102" s="283">
        <v>100</v>
      </c>
      <c r="AB102" s="278" t="str">
        <f ca="1">INDIRECT("C100")</f>
        <v>CONSTANTIN</v>
      </c>
      <c r="AC102" s="279">
        <f ca="1">INDIRECT("q100")</f>
        <v>0</v>
      </c>
      <c r="AD102" s="279">
        <f ca="1">INDIRECT("p100")</f>
        <v>0</v>
      </c>
      <c r="AE102" s="236"/>
      <c r="AK102" s="240"/>
      <c r="AL102" s="241"/>
      <c r="AM102" s="242"/>
      <c r="AO102" s="335"/>
      <c r="AP102" s="339"/>
      <c r="AQ102" s="335"/>
      <c r="AR102" s="340"/>
      <c r="BA102" s="250"/>
      <c r="BC102" s="298"/>
    </row>
    <row r="103" spans="1:71">
      <c r="A103" s="210"/>
      <c r="B103" s="20">
        <v>103</v>
      </c>
      <c r="C103" s="337" t="s">
        <v>133</v>
      </c>
      <c r="D103" s="233"/>
      <c r="E103" s="233"/>
      <c r="F103" s="234"/>
      <c r="G103" s="234"/>
      <c r="H103" s="233"/>
      <c r="I103" s="233"/>
      <c r="J103" s="234"/>
      <c r="K103" s="234"/>
      <c r="L103" s="233"/>
      <c r="M103" s="233"/>
      <c r="N103" s="234"/>
      <c r="O103" s="234"/>
      <c r="P103" s="210">
        <f t="shared" si="2"/>
        <v>0</v>
      </c>
      <c r="Q103" s="20">
        <f t="shared" si="3"/>
        <v>0</v>
      </c>
      <c r="Y103" s="236"/>
      <c r="Z103" s="300">
        <v>101</v>
      </c>
      <c r="AA103" s="283">
        <v>101</v>
      </c>
      <c r="AB103" s="278" t="str">
        <f ca="1">INDIRECT("C101")</f>
        <v>HONORE</v>
      </c>
      <c r="AC103" s="279">
        <f ca="1">INDIRECT("q101")</f>
        <v>0</v>
      </c>
      <c r="AD103" s="279">
        <f ca="1">INDIRECT("p101")</f>
        <v>0</v>
      </c>
      <c r="AE103" s="236"/>
      <c r="AK103" s="240"/>
      <c r="AL103" s="241"/>
      <c r="AM103" s="242"/>
      <c r="AO103" s="335"/>
      <c r="AP103" s="339"/>
      <c r="AQ103" s="335"/>
      <c r="AR103" s="340"/>
      <c r="BA103" s="250"/>
      <c r="BC103" s="298"/>
    </row>
    <row r="104" spans="1:71">
      <c r="A104" s="210"/>
      <c r="B104" s="20">
        <v>104</v>
      </c>
      <c r="C104" s="345" t="s">
        <v>134</v>
      </c>
      <c r="D104" s="233"/>
      <c r="E104" s="233"/>
      <c r="F104" s="234"/>
      <c r="G104" s="234"/>
      <c r="H104" s="233"/>
      <c r="I104" s="233"/>
      <c r="J104" s="234"/>
      <c r="K104" s="234"/>
      <c r="L104" s="233"/>
      <c r="M104" s="233"/>
      <c r="N104" s="234"/>
      <c r="O104" s="234"/>
      <c r="P104" s="210">
        <f t="shared" si="2"/>
        <v>0</v>
      </c>
      <c r="Q104" s="20">
        <f t="shared" si="3"/>
        <v>0</v>
      </c>
      <c r="Y104" s="236"/>
      <c r="Z104" s="300">
        <v>102</v>
      </c>
      <c r="AA104" s="283">
        <v>102</v>
      </c>
      <c r="AB104" s="278" t="str">
        <f ca="1">INDIRECT("C102")</f>
        <v>DONATIEN</v>
      </c>
      <c r="AC104" s="279">
        <f ca="1">INDIRECT("q102")</f>
        <v>0</v>
      </c>
      <c r="AD104" s="279">
        <f ca="1">INDIRECT("p102")</f>
        <v>0</v>
      </c>
      <c r="AE104" s="236"/>
      <c r="AK104" s="240"/>
      <c r="AL104" s="241"/>
      <c r="AM104" s="242"/>
      <c r="AO104" s="335"/>
      <c r="AP104" s="339"/>
      <c r="AQ104" s="335"/>
      <c r="AR104" s="340"/>
      <c r="BA104" s="250"/>
      <c r="BC104" s="298"/>
    </row>
    <row r="105" spans="1:71">
      <c r="A105" s="210"/>
      <c r="B105" s="20">
        <v>105</v>
      </c>
      <c r="C105" s="345" t="s">
        <v>135</v>
      </c>
      <c r="D105" s="233"/>
      <c r="E105" s="233"/>
      <c r="F105" s="234"/>
      <c r="G105" s="234"/>
      <c r="H105" s="233"/>
      <c r="I105" s="233"/>
      <c r="J105" s="234"/>
      <c r="K105" s="234"/>
      <c r="L105" s="233"/>
      <c r="M105" s="233"/>
      <c r="N105" s="234"/>
      <c r="O105" s="234"/>
      <c r="P105" s="210">
        <f t="shared" si="2"/>
        <v>0</v>
      </c>
      <c r="Q105" s="20">
        <f t="shared" si="3"/>
        <v>0</v>
      </c>
      <c r="Y105" s="236"/>
      <c r="Z105" s="300">
        <v>103</v>
      </c>
      <c r="AA105" s="283">
        <v>103</v>
      </c>
      <c r="AB105" s="278" t="str">
        <f ca="1">INDIRECT("C103")</f>
        <v>GERMAIN</v>
      </c>
      <c r="AC105" s="279">
        <f ca="1">INDIRECT("q103")</f>
        <v>0</v>
      </c>
      <c r="AD105" s="279">
        <f ca="1">INDIRECT("p103")</f>
        <v>0</v>
      </c>
      <c r="AE105" s="236"/>
      <c r="AK105" s="240"/>
      <c r="AL105" s="241"/>
      <c r="AM105" s="242"/>
      <c r="AO105" s="335"/>
      <c r="AP105" s="339"/>
      <c r="AQ105" s="335"/>
      <c r="AR105" s="340"/>
      <c r="BA105" s="250"/>
      <c r="BC105" s="298"/>
    </row>
    <row r="106" spans="1:71">
      <c r="A106" s="210"/>
      <c r="B106" s="20">
        <v>106</v>
      </c>
      <c r="C106" s="345" t="s">
        <v>136</v>
      </c>
      <c r="D106" s="233"/>
      <c r="E106" s="233"/>
      <c r="F106" s="234"/>
      <c r="G106" s="234"/>
      <c r="H106" s="233"/>
      <c r="I106" s="233"/>
      <c r="J106" s="234"/>
      <c r="K106" s="234"/>
      <c r="L106" s="233"/>
      <c r="M106" s="233"/>
      <c r="N106" s="234"/>
      <c r="O106" s="234"/>
      <c r="P106" s="210">
        <f t="shared" si="2"/>
        <v>0</v>
      </c>
      <c r="Q106" s="20">
        <f t="shared" si="3"/>
        <v>0</v>
      </c>
      <c r="Y106" s="236"/>
      <c r="Z106" s="300">
        <v>104</v>
      </c>
      <c r="AA106" s="283">
        <v>104</v>
      </c>
      <c r="AB106" s="278" t="str">
        <f ca="1">INDIRECT("C104")</f>
        <v>RODRIGUE</v>
      </c>
      <c r="AC106" s="279">
        <f ca="1">INDIRECT("q104")</f>
        <v>0</v>
      </c>
      <c r="AD106" s="279">
        <f ca="1">INDIRECT("p104")</f>
        <v>0</v>
      </c>
      <c r="AE106" s="236"/>
      <c r="AK106" s="240"/>
      <c r="AL106" s="241"/>
      <c r="AM106" s="242"/>
      <c r="AO106" s="335"/>
      <c r="AP106" s="339"/>
      <c r="AQ106" s="335"/>
      <c r="AR106" s="340"/>
      <c r="BA106" s="250"/>
      <c r="BC106" s="298"/>
    </row>
    <row r="107" spans="1:71">
      <c r="A107" s="210"/>
      <c r="B107" s="20">
        <v>107</v>
      </c>
      <c r="C107" s="345" t="s">
        <v>137</v>
      </c>
      <c r="D107" s="233"/>
      <c r="E107" s="233"/>
      <c r="F107" s="234"/>
      <c r="G107" s="234"/>
      <c r="H107" s="233"/>
      <c r="I107" s="233"/>
      <c r="J107" s="234"/>
      <c r="K107" s="234"/>
      <c r="L107" s="233"/>
      <c r="M107" s="233"/>
      <c r="N107" s="234"/>
      <c r="O107" s="234"/>
      <c r="P107" s="210">
        <f t="shared" si="2"/>
        <v>0</v>
      </c>
      <c r="Q107" s="20">
        <f t="shared" si="3"/>
        <v>0</v>
      </c>
      <c r="Y107" s="236"/>
      <c r="Z107" s="300">
        <v>105</v>
      </c>
      <c r="AA107" s="283">
        <v>105</v>
      </c>
      <c r="AB107" s="278" t="str">
        <f ca="1">INDIRECT("C105")</f>
        <v>CYRILL</v>
      </c>
      <c r="AC107" s="279">
        <f ca="1">INDIRECT("q105")</f>
        <v>0</v>
      </c>
      <c r="AD107" s="279">
        <f ca="1">INDIRECT("p105")</f>
        <v>0</v>
      </c>
      <c r="AE107" s="236"/>
      <c r="AK107" s="240"/>
      <c r="AL107" s="241"/>
      <c r="AM107" s="242"/>
      <c r="AO107" s="335"/>
      <c r="AP107" s="339"/>
      <c r="AQ107" s="335"/>
      <c r="AR107" s="340"/>
      <c r="BA107" s="250"/>
      <c r="BC107" s="298"/>
    </row>
    <row r="108" spans="1:71">
      <c r="A108" s="210"/>
      <c r="B108" s="20">
        <v>108</v>
      </c>
      <c r="C108" s="345" t="s">
        <v>138</v>
      </c>
      <c r="D108" s="233"/>
      <c r="E108" s="233"/>
      <c r="F108" s="234"/>
      <c r="G108" s="234"/>
      <c r="H108" s="233"/>
      <c r="I108" s="233"/>
      <c r="J108" s="234"/>
      <c r="K108" s="234"/>
      <c r="L108" s="233"/>
      <c r="M108" s="233"/>
      <c r="N108" s="234"/>
      <c r="O108" s="234"/>
      <c r="P108" s="210">
        <f t="shared" si="2"/>
        <v>0</v>
      </c>
      <c r="Q108" s="20">
        <f t="shared" si="3"/>
        <v>0</v>
      </c>
      <c r="Y108" s="236"/>
      <c r="Z108" s="300">
        <v>106</v>
      </c>
      <c r="AA108" s="283">
        <v>106</v>
      </c>
      <c r="AB108" s="278" t="str">
        <f ca="1">INDIRECT("C106")</f>
        <v>LOUISE</v>
      </c>
      <c r="AC108" s="279">
        <f ca="1">INDIRECT("q106")</f>
        <v>0</v>
      </c>
      <c r="AD108" s="279">
        <f ca="1">INDIRECT("p106")</f>
        <v>0</v>
      </c>
      <c r="AE108" s="236"/>
      <c r="AK108" s="240"/>
      <c r="AL108" s="241"/>
      <c r="AM108" s="242"/>
      <c r="AO108" s="335"/>
      <c r="AP108" s="339"/>
      <c r="AQ108" s="335"/>
      <c r="AR108" s="340"/>
      <c r="BA108" s="250"/>
      <c r="BC108" s="298"/>
    </row>
    <row r="109" spans="1:71">
      <c r="A109" s="210"/>
      <c r="B109" s="20">
        <v>109</v>
      </c>
      <c r="C109" s="345" t="s">
        <v>139</v>
      </c>
      <c r="D109" s="233"/>
      <c r="E109" s="233"/>
      <c r="F109" s="234"/>
      <c r="G109" s="234"/>
      <c r="H109" s="233"/>
      <c r="I109" s="233"/>
      <c r="J109" s="234"/>
      <c r="K109" s="234"/>
      <c r="L109" s="233"/>
      <c r="M109" s="233"/>
      <c r="N109" s="234"/>
      <c r="O109" s="234"/>
      <c r="P109" s="210">
        <f t="shared" si="2"/>
        <v>0</v>
      </c>
      <c r="Q109" s="20">
        <f t="shared" si="3"/>
        <v>0</v>
      </c>
      <c r="Y109" s="236"/>
      <c r="Z109" s="300">
        <v>107</v>
      </c>
      <c r="AA109" s="283">
        <v>107</v>
      </c>
      <c r="AB109" s="278" t="str">
        <f ca="1">INDIRECT("C107")</f>
        <v>GONTRAN</v>
      </c>
      <c r="AC109" s="279">
        <f ca="1">INDIRECT("q107")</f>
        <v>0</v>
      </c>
      <c r="AD109" s="279">
        <f ca="1">INDIRECT("p107")</f>
        <v>0</v>
      </c>
      <c r="AE109" s="236"/>
      <c r="AK109" s="240"/>
      <c r="AL109" s="241"/>
      <c r="AM109" s="242"/>
      <c r="AO109" s="335"/>
      <c r="AP109" s="339"/>
      <c r="AQ109" s="335"/>
      <c r="AR109" s="340"/>
      <c r="BA109" s="250"/>
      <c r="BC109" s="298"/>
    </row>
    <row r="110" spans="1:71">
      <c r="A110" s="210"/>
      <c r="B110" s="20">
        <v>110</v>
      </c>
      <c r="C110" s="345" t="s">
        <v>140</v>
      </c>
      <c r="D110" s="233"/>
      <c r="E110" s="233"/>
      <c r="F110" s="234"/>
      <c r="G110" s="234"/>
      <c r="H110" s="233"/>
      <c r="I110" s="233"/>
      <c r="J110" s="234"/>
      <c r="K110" s="234"/>
      <c r="L110" s="233"/>
      <c r="M110" s="233"/>
      <c r="N110" s="234"/>
      <c r="O110" s="234"/>
      <c r="P110" s="210">
        <f t="shared" si="2"/>
        <v>0</v>
      </c>
      <c r="Q110" s="20">
        <f t="shared" si="3"/>
        <v>0</v>
      </c>
      <c r="Y110" s="236"/>
      <c r="Z110" s="300">
        <v>108</v>
      </c>
      <c r="AA110" s="283">
        <v>108</v>
      </c>
      <c r="AB110" s="278" t="str">
        <f ca="1">INDIRECT("C108")</f>
        <v>ISIDORE</v>
      </c>
      <c r="AC110" s="279">
        <f ca="1">INDIRECT("q108")</f>
        <v>0</v>
      </c>
      <c r="AD110" s="279">
        <f ca="1">INDIRECT("p108")</f>
        <v>0</v>
      </c>
      <c r="AE110" s="236"/>
      <c r="AK110" s="240"/>
      <c r="AL110" s="241"/>
      <c r="AM110" s="242"/>
      <c r="AO110" s="335"/>
      <c r="AP110" s="339"/>
      <c r="AQ110" s="335"/>
      <c r="AR110" s="340"/>
      <c r="BA110" s="250"/>
      <c r="BC110" s="298"/>
    </row>
    <row r="111" spans="1:71">
      <c r="A111" s="210"/>
      <c r="B111" s="20">
        <v>111</v>
      </c>
      <c r="C111" s="345" t="s">
        <v>141</v>
      </c>
      <c r="D111" s="233"/>
      <c r="E111" s="233"/>
      <c r="F111" s="234"/>
      <c r="G111" s="234"/>
      <c r="H111" s="233"/>
      <c r="I111" s="233"/>
      <c r="J111" s="234"/>
      <c r="K111" s="234"/>
      <c r="L111" s="233"/>
      <c r="M111" s="233"/>
      <c r="N111" s="234"/>
      <c r="O111" s="234"/>
      <c r="P111" s="210">
        <f t="shared" si="2"/>
        <v>0</v>
      </c>
      <c r="Q111" s="20">
        <f t="shared" si="3"/>
        <v>0</v>
      </c>
      <c r="Y111" s="236"/>
      <c r="Z111" s="300">
        <v>109</v>
      </c>
      <c r="AA111" s="283">
        <v>109</v>
      </c>
      <c r="AB111" s="278" t="str">
        <f ca="1">INDIRECT("C109")</f>
        <v>MARCELLIN</v>
      </c>
      <c r="AC111" s="279">
        <f ca="1">INDIRECT("q109")</f>
        <v>0</v>
      </c>
      <c r="AD111" s="279">
        <f ca="1">INDIRECT("p109")</f>
        <v>0</v>
      </c>
      <c r="AE111" s="236"/>
      <c r="AK111" s="240"/>
      <c r="AL111" s="241"/>
      <c r="AM111" s="242"/>
      <c r="AO111" s="335"/>
      <c r="AP111" s="339"/>
      <c r="AQ111" s="335"/>
      <c r="AR111" s="340"/>
      <c r="BA111" s="250"/>
      <c r="BC111" s="298"/>
    </row>
    <row r="112" spans="1:71">
      <c r="A112" s="210"/>
      <c r="B112" s="20">
        <v>112</v>
      </c>
      <c r="C112" s="345" t="s">
        <v>142</v>
      </c>
      <c r="D112" s="233"/>
      <c r="E112" s="233"/>
      <c r="F112" s="234"/>
      <c r="G112" s="234"/>
      <c r="H112" s="233"/>
      <c r="I112" s="233"/>
      <c r="J112" s="234"/>
      <c r="K112" s="234"/>
      <c r="L112" s="233"/>
      <c r="M112" s="233"/>
      <c r="N112" s="234"/>
      <c r="O112" s="234"/>
      <c r="P112" s="210">
        <f t="shared" si="2"/>
        <v>0</v>
      </c>
      <c r="Q112" s="20">
        <f t="shared" si="3"/>
        <v>0</v>
      </c>
      <c r="Y112" s="236"/>
      <c r="Z112" s="277">
        <v>110</v>
      </c>
      <c r="AA112" s="283">
        <v>110</v>
      </c>
      <c r="AB112" s="278" t="str">
        <f ca="1">INDIRECT("C110")</f>
        <v>ANICET</v>
      </c>
      <c r="AC112" s="279">
        <f ca="1">INDIRECT("q110")</f>
        <v>0</v>
      </c>
      <c r="AD112" s="279">
        <f ca="1">INDIRECT("p110")</f>
        <v>0</v>
      </c>
      <c r="AE112" s="236"/>
      <c r="AK112" s="240"/>
      <c r="AL112" s="241"/>
      <c r="AM112" s="242"/>
      <c r="AO112" s="335"/>
      <c r="AP112" s="339"/>
      <c r="AQ112" s="335"/>
      <c r="AR112" s="340"/>
      <c r="BA112" s="250"/>
      <c r="BC112" s="298"/>
    </row>
    <row r="113" spans="1:55">
      <c r="A113" s="210"/>
      <c r="B113" s="20">
        <v>113</v>
      </c>
      <c r="C113" s="345" t="s">
        <v>143</v>
      </c>
      <c r="D113" s="233"/>
      <c r="E113" s="233"/>
      <c r="F113" s="234"/>
      <c r="G113" s="234"/>
      <c r="H113" s="233"/>
      <c r="I113" s="233"/>
      <c r="J113" s="234"/>
      <c r="K113" s="234"/>
      <c r="L113" s="233"/>
      <c r="M113" s="233"/>
      <c r="N113" s="234"/>
      <c r="O113" s="234"/>
      <c r="P113" s="210">
        <f t="shared" si="2"/>
        <v>0</v>
      </c>
      <c r="Q113" s="20">
        <f t="shared" si="3"/>
        <v>0</v>
      </c>
      <c r="Y113" s="236"/>
      <c r="Z113" s="277">
        <v>111</v>
      </c>
      <c r="AA113" s="277">
        <v>111</v>
      </c>
      <c r="AB113" s="278" t="str">
        <f ca="1">INDIRECT("C111")</f>
        <v>SOLANGE</v>
      </c>
      <c r="AC113" s="279">
        <f ca="1">INDIRECT("q111")</f>
        <v>0</v>
      </c>
      <c r="AD113" s="279">
        <f ca="1">INDIRECT("p111")</f>
        <v>0</v>
      </c>
      <c r="AE113" s="236"/>
      <c r="AK113" s="240"/>
      <c r="AL113" s="241"/>
      <c r="AM113" s="242"/>
      <c r="AO113" s="335"/>
      <c r="AP113" s="339"/>
      <c r="AQ113" s="335"/>
      <c r="AR113" s="340"/>
      <c r="BA113" s="250"/>
      <c r="BC113" s="298"/>
    </row>
    <row r="114" spans="1:55">
      <c r="A114" s="210"/>
      <c r="B114" s="20">
        <v>114</v>
      </c>
      <c r="C114" s="345" t="s">
        <v>144</v>
      </c>
      <c r="D114" s="233"/>
      <c r="E114" s="233"/>
      <c r="F114" s="234"/>
      <c r="G114" s="234"/>
      <c r="H114" s="233"/>
      <c r="I114" s="233"/>
      <c r="J114" s="234"/>
      <c r="K114" s="234"/>
      <c r="L114" s="233"/>
      <c r="M114" s="233"/>
      <c r="N114" s="234"/>
      <c r="O114" s="234"/>
      <c r="P114" s="210">
        <f t="shared" si="2"/>
        <v>0</v>
      </c>
      <c r="Q114" s="20">
        <f t="shared" si="3"/>
        <v>0</v>
      </c>
      <c r="Y114" s="236"/>
      <c r="Z114" s="277">
        <v>112</v>
      </c>
      <c r="AA114" s="277">
        <v>112</v>
      </c>
      <c r="AB114" s="278" t="str">
        <f ca="1">INDIRECT("C112")</f>
        <v>AYMAR</v>
      </c>
      <c r="AC114" s="279">
        <f ca="1">INDIRECT("q112")</f>
        <v>0</v>
      </c>
      <c r="AD114" s="279">
        <f ca="1">INDIRECT("p112")</f>
        <v>0</v>
      </c>
      <c r="AE114" s="236"/>
      <c r="AK114" s="240"/>
      <c r="AL114" s="241"/>
      <c r="AM114" s="242"/>
      <c r="AO114" s="335"/>
      <c r="AP114" s="339"/>
      <c r="AQ114" s="335"/>
      <c r="AR114" s="340"/>
      <c r="BA114" s="250"/>
      <c r="BC114" s="298"/>
    </row>
    <row r="115" spans="1:55">
      <c r="A115" s="210"/>
      <c r="B115" s="20">
        <v>115</v>
      </c>
      <c r="C115" s="345" t="s">
        <v>145</v>
      </c>
      <c r="D115" s="233"/>
      <c r="E115" s="233"/>
      <c r="F115" s="234"/>
      <c r="G115" s="234"/>
      <c r="H115" s="233"/>
      <c r="I115" s="233"/>
      <c r="J115" s="234"/>
      <c r="K115" s="234"/>
      <c r="L115" s="233"/>
      <c r="M115" s="233"/>
      <c r="N115" s="234"/>
      <c r="O115" s="234"/>
      <c r="P115" s="210">
        <f t="shared" si="2"/>
        <v>0</v>
      </c>
      <c r="Q115" s="20">
        <f t="shared" si="3"/>
        <v>0</v>
      </c>
      <c r="Y115" s="236"/>
      <c r="Z115" s="277">
        <v>113</v>
      </c>
      <c r="AA115" s="277">
        <v>113</v>
      </c>
      <c r="AB115" s="278" t="str">
        <f ca="1">INDIRECT("C113")</f>
        <v>NORBERT</v>
      </c>
      <c r="AC115" s="279">
        <f ca="1">INDIRECT("q113")</f>
        <v>0</v>
      </c>
      <c r="AD115" s="279">
        <f ca="1">INDIRECT("p113")</f>
        <v>0</v>
      </c>
      <c r="AE115" s="236"/>
      <c r="AK115" s="240"/>
      <c r="AL115" s="241"/>
      <c r="AM115" s="242"/>
      <c r="AO115" s="335"/>
      <c r="AP115" s="339"/>
      <c r="AQ115" s="335"/>
      <c r="AR115" s="340"/>
      <c r="BA115" s="250"/>
      <c r="BC115" s="298"/>
    </row>
    <row r="116" spans="1:55">
      <c r="A116" s="210"/>
      <c r="B116" s="20">
        <v>116</v>
      </c>
      <c r="C116" s="345" t="s">
        <v>146</v>
      </c>
      <c r="D116" s="233"/>
      <c r="E116" s="233"/>
      <c r="F116" s="234"/>
      <c r="G116" s="234"/>
      <c r="H116" s="233"/>
      <c r="I116" s="233"/>
      <c r="J116" s="234"/>
      <c r="K116" s="234"/>
      <c r="L116" s="233"/>
      <c r="M116" s="233"/>
      <c r="N116" s="234"/>
      <c r="O116" s="234"/>
      <c r="P116" s="210">
        <f t="shared" si="2"/>
        <v>0</v>
      </c>
      <c r="Q116" s="20">
        <f t="shared" si="3"/>
        <v>0</v>
      </c>
      <c r="Y116" s="236"/>
      <c r="Z116" s="277">
        <v>114</v>
      </c>
      <c r="AA116" s="277">
        <v>114</v>
      </c>
      <c r="AB116" s="278" t="str">
        <f ca="1">INDIRECT("C114")</f>
        <v>BARNABE</v>
      </c>
      <c r="AC116" s="279">
        <f ca="1">INDIRECT("q114")</f>
        <v>0</v>
      </c>
      <c r="AD116" s="279">
        <f ca="1">INDIRECT("p114")</f>
        <v>0</v>
      </c>
      <c r="AE116" s="236"/>
      <c r="AK116" s="240"/>
      <c r="AL116" s="241"/>
      <c r="AM116" s="242"/>
      <c r="AO116" s="335"/>
      <c r="AP116" s="339"/>
      <c r="AQ116" s="335"/>
      <c r="AR116" s="340"/>
      <c r="BA116" s="250"/>
      <c r="BC116" s="298"/>
    </row>
    <row r="117" spans="1:55">
      <c r="A117" s="210"/>
      <c r="B117" s="20">
        <v>117</v>
      </c>
      <c r="C117" s="345" t="s">
        <v>147</v>
      </c>
      <c r="D117" s="233"/>
      <c r="E117" s="233"/>
      <c r="F117" s="234"/>
      <c r="G117" s="234"/>
      <c r="H117" s="233"/>
      <c r="I117" s="233"/>
      <c r="J117" s="234"/>
      <c r="K117" s="234"/>
      <c r="L117" s="233"/>
      <c r="M117" s="233"/>
      <c r="N117" s="234"/>
      <c r="O117" s="234"/>
      <c r="P117" s="210">
        <f t="shared" si="2"/>
        <v>0</v>
      </c>
      <c r="Q117" s="20">
        <f t="shared" si="3"/>
        <v>0</v>
      </c>
      <c r="Y117" s="236"/>
      <c r="Z117" s="277">
        <v>115</v>
      </c>
      <c r="AA117" s="277">
        <v>115</v>
      </c>
      <c r="AB117" s="278" t="str">
        <f ca="1">INDIRECT("C115")</f>
        <v>LEON</v>
      </c>
      <c r="AC117" s="279">
        <f ca="1">INDIRECT("q115")</f>
        <v>0</v>
      </c>
      <c r="AD117" s="279">
        <f ca="1">INDIRECT("p115")</f>
        <v>0</v>
      </c>
      <c r="AE117" s="236"/>
      <c r="AK117" s="240"/>
      <c r="AL117" s="241"/>
      <c r="AM117" s="242"/>
      <c r="AO117" s="335"/>
      <c r="AP117" s="339"/>
      <c r="AQ117" s="335"/>
      <c r="AR117" s="340"/>
      <c r="BA117" s="250"/>
      <c r="BC117" s="298"/>
    </row>
    <row r="118" spans="1:55">
      <c r="A118" s="210"/>
      <c r="B118" s="20">
        <v>118</v>
      </c>
      <c r="C118" s="345" t="s">
        <v>148</v>
      </c>
      <c r="D118" s="233"/>
      <c r="E118" s="233"/>
      <c r="F118" s="234"/>
      <c r="G118" s="234"/>
      <c r="H118" s="233"/>
      <c r="I118" s="233"/>
      <c r="J118" s="234"/>
      <c r="K118" s="234"/>
      <c r="L118" s="233"/>
      <c r="M118" s="233"/>
      <c r="N118" s="234"/>
      <c r="O118" s="234"/>
      <c r="P118" s="210">
        <f t="shared" si="2"/>
        <v>0</v>
      </c>
      <c r="Q118" s="20">
        <f t="shared" si="3"/>
        <v>0</v>
      </c>
      <c r="Y118" s="236"/>
      <c r="Z118" s="277">
        <v>116</v>
      </c>
      <c r="AA118" s="277">
        <v>116</v>
      </c>
      <c r="AB118" s="278" t="str">
        <f ca="1">INDIRECT("C116")</f>
        <v>ALBAN</v>
      </c>
      <c r="AC118" s="279">
        <f ca="1">INDIRECT("q116")</f>
        <v>0</v>
      </c>
      <c r="AD118" s="279">
        <f ca="1">INDIRECT("p116")</f>
        <v>0</v>
      </c>
      <c r="AE118" s="236"/>
      <c r="AK118" s="240"/>
      <c r="AL118" s="241"/>
      <c r="AM118" s="242"/>
      <c r="AO118" s="335"/>
      <c r="AP118" s="339"/>
      <c r="AQ118" s="335"/>
      <c r="AR118" s="340"/>
      <c r="BA118" s="250"/>
      <c r="BC118" s="298"/>
    </row>
    <row r="119" spans="1:55">
      <c r="A119" s="210"/>
      <c r="B119" s="20">
        <v>119</v>
      </c>
      <c r="C119" s="345" t="s">
        <v>149</v>
      </c>
      <c r="D119" s="233"/>
      <c r="E119" s="233"/>
      <c r="F119" s="234"/>
      <c r="G119" s="234"/>
      <c r="H119" s="233"/>
      <c r="I119" s="233"/>
      <c r="J119" s="234"/>
      <c r="K119" s="234"/>
      <c r="L119" s="233"/>
      <c r="M119" s="233"/>
      <c r="N119" s="234"/>
      <c r="O119" s="234"/>
      <c r="P119" s="210">
        <f t="shared" si="2"/>
        <v>0</v>
      </c>
      <c r="Q119" s="20">
        <f t="shared" si="3"/>
        <v>0</v>
      </c>
      <c r="Y119" s="236"/>
      <c r="Z119" s="277">
        <v>117</v>
      </c>
      <c r="AA119" s="277">
        <v>117</v>
      </c>
      <c r="AB119" s="278" t="str">
        <f ca="1">INDIRECT("C117")</f>
        <v>PROSPER</v>
      </c>
      <c r="AC119" s="279">
        <f ca="1">INDIRECT("q117")</f>
        <v>0</v>
      </c>
      <c r="AD119" s="279">
        <f ca="1">INDIRECT("p117")</f>
        <v>0</v>
      </c>
      <c r="AE119" s="236"/>
      <c r="AK119" s="240"/>
      <c r="AL119" s="241"/>
      <c r="AM119" s="242"/>
      <c r="AO119" s="335"/>
      <c r="AP119" s="339"/>
      <c r="AQ119" s="335"/>
      <c r="AR119" s="340"/>
      <c r="BA119" s="250"/>
      <c r="BC119" s="298"/>
    </row>
    <row r="120" spans="1:55">
      <c r="A120" s="210"/>
      <c r="B120" s="20">
        <v>120</v>
      </c>
      <c r="C120" s="345" t="s">
        <v>150</v>
      </c>
      <c r="D120" s="233"/>
      <c r="E120" s="233"/>
      <c r="F120" s="234"/>
      <c r="G120" s="234"/>
      <c r="H120" s="233"/>
      <c r="I120" s="233"/>
      <c r="J120" s="234"/>
      <c r="K120" s="234"/>
      <c r="L120" s="233"/>
      <c r="M120" s="233"/>
      <c r="N120" s="234"/>
      <c r="O120" s="234"/>
      <c r="P120" s="210">
        <f t="shared" si="2"/>
        <v>0</v>
      </c>
      <c r="Q120" s="20">
        <f t="shared" si="3"/>
        <v>0</v>
      </c>
      <c r="Y120" s="236"/>
      <c r="Z120" s="277">
        <v>118</v>
      </c>
      <c r="AA120" s="277">
        <v>118</v>
      </c>
      <c r="AB120" s="278" t="str">
        <f ca="1">INDIRECT("C118")</f>
        <v>FERNAND</v>
      </c>
      <c r="AC120" s="279">
        <f ca="1">INDIRECT("q118")</f>
        <v>0</v>
      </c>
      <c r="AD120" s="279">
        <f ca="1">INDIRECT("p118")</f>
        <v>0</v>
      </c>
      <c r="AE120" s="236"/>
      <c r="AK120" s="240"/>
      <c r="AL120" s="241"/>
      <c r="AM120" s="242"/>
      <c r="AO120" s="335"/>
      <c r="AP120" s="339"/>
      <c r="AQ120" s="335"/>
      <c r="AR120" s="340"/>
      <c r="BA120" s="250"/>
      <c r="BC120" s="298"/>
    </row>
    <row r="121" spans="1:55">
      <c r="A121" s="210"/>
      <c r="B121" s="20">
        <v>121</v>
      </c>
      <c r="C121" s="345" t="s">
        <v>151</v>
      </c>
      <c r="D121" s="233"/>
      <c r="E121" s="233"/>
      <c r="F121" s="234"/>
      <c r="G121" s="234"/>
      <c r="H121" s="233"/>
      <c r="I121" s="233"/>
      <c r="J121" s="234"/>
      <c r="K121" s="234"/>
      <c r="L121" s="233"/>
      <c r="M121" s="233"/>
      <c r="N121" s="234"/>
      <c r="O121" s="234"/>
      <c r="P121" s="210">
        <f t="shared" si="2"/>
        <v>0</v>
      </c>
      <c r="Q121" s="20">
        <f t="shared" si="3"/>
        <v>0</v>
      </c>
      <c r="Y121" s="236"/>
      <c r="Z121" s="277">
        <v>119</v>
      </c>
      <c r="AA121" s="277">
        <v>119</v>
      </c>
      <c r="AB121" s="278" t="str">
        <f ca="1">INDIRECT("C119")</f>
        <v>MARTINIEN</v>
      </c>
      <c r="AC121" s="279">
        <f ca="1">INDIRECT("q119")</f>
        <v>0</v>
      </c>
      <c r="AD121" s="279">
        <f ca="1">INDIRECT("p119")</f>
        <v>0</v>
      </c>
      <c r="AE121" s="236"/>
      <c r="AK121" s="240"/>
      <c r="AL121" s="241"/>
      <c r="AM121" s="242"/>
      <c r="AO121" s="335"/>
      <c r="AP121" s="339"/>
      <c r="AQ121" s="335"/>
      <c r="AR121" s="340"/>
      <c r="BA121" s="250"/>
      <c r="BC121" s="298"/>
    </row>
    <row r="122" spans="1:55">
      <c r="A122" s="210"/>
      <c r="B122" s="20">
        <v>122</v>
      </c>
      <c r="C122" s="345" t="s">
        <v>152</v>
      </c>
      <c r="D122" s="233"/>
      <c r="E122" s="233"/>
      <c r="F122" s="234"/>
      <c r="G122" s="234"/>
      <c r="H122" s="233"/>
      <c r="I122" s="233"/>
      <c r="J122" s="234"/>
      <c r="K122" s="234"/>
      <c r="L122" s="233"/>
      <c r="M122" s="233"/>
      <c r="N122" s="234"/>
      <c r="O122" s="234"/>
      <c r="P122" s="210">
        <f t="shared" si="2"/>
        <v>0</v>
      </c>
      <c r="Q122" s="20">
        <f t="shared" si="3"/>
        <v>0</v>
      </c>
      <c r="Y122" s="236"/>
      <c r="Z122" s="277">
        <v>120</v>
      </c>
      <c r="AA122" s="277">
        <v>120</v>
      </c>
      <c r="AB122" s="278" t="str">
        <f ca="1">INDIRECT("C120")</f>
        <v>ELOI</v>
      </c>
      <c r="AC122" s="279">
        <f ca="1">INDIRECT("q120")</f>
        <v>0</v>
      </c>
      <c r="AD122" s="279">
        <f ca="1">INDIRECT("p120")</f>
        <v>0</v>
      </c>
      <c r="AE122" s="236"/>
      <c r="AK122" s="240"/>
      <c r="AL122" s="241"/>
      <c r="AM122" s="242"/>
      <c r="AO122" s="335"/>
      <c r="AP122" s="339"/>
      <c r="AQ122" s="335"/>
      <c r="AR122" s="340"/>
      <c r="BA122" s="250"/>
      <c r="BC122" s="298"/>
    </row>
    <row r="123" spans="1:55">
      <c r="A123" s="210"/>
      <c r="B123" s="20">
        <v>123</v>
      </c>
      <c r="C123" s="345" t="s">
        <v>153</v>
      </c>
      <c r="D123" s="233"/>
      <c r="E123" s="233"/>
      <c r="F123" s="234"/>
      <c r="G123" s="234"/>
      <c r="H123" s="233"/>
      <c r="I123" s="233"/>
      <c r="J123" s="234"/>
      <c r="K123" s="234"/>
      <c r="L123" s="233"/>
      <c r="M123" s="233"/>
      <c r="N123" s="234"/>
      <c r="O123" s="234"/>
      <c r="P123" s="210">
        <f t="shared" si="2"/>
        <v>0</v>
      </c>
      <c r="Q123" s="20">
        <f t="shared" si="3"/>
        <v>0</v>
      </c>
      <c r="Y123" s="236"/>
      <c r="Z123" s="277">
        <v>121</v>
      </c>
      <c r="AA123" s="277">
        <v>121</v>
      </c>
      <c r="AB123" s="278" t="str">
        <f ca="1">INDIRECT("C121")</f>
        <v>PETER</v>
      </c>
      <c r="AC123" s="279">
        <f ca="1">INDIRECT("q121")</f>
        <v>0</v>
      </c>
      <c r="AD123" s="279">
        <f ca="1">INDIRECT("p121")</f>
        <v>0</v>
      </c>
      <c r="AE123" s="236"/>
      <c r="AK123" s="240"/>
      <c r="AL123" s="241"/>
      <c r="AM123" s="242"/>
      <c r="AO123" s="335"/>
      <c r="AP123" s="339"/>
      <c r="AQ123" s="335"/>
      <c r="AR123" s="340"/>
      <c r="BA123" s="250"/>
      <c r="BC123" s="298"/>
    </row>
    <row r="124" spans="1:55">
      <c r="A124" s="210"/>
      <c r="B124" s="20">
        <v>124</v>
      </c>
      <c r="C124" s="345" t="s">
        <v>154</v>
      </c>
      <c r="D124" s="233"/>
      <c r="E124" s="233"/>
      <c r="F124" s="234"/>
      <c r="G124" s="234"/>
      <c r="H124" s="233"/>
      <c r="I124" s="233"/>
      <c r="J124" s="234"/>
      <c r="K124" s="234"/>
      <c r="L124" s="233"/>
      <c r="M124" s="233"/>
      <c r="N124" s="234"/>
      <c r="O124" s="234"/>
      <c r="P124" s="210">
        <f t="shared" si="2"/>
        <v>0</v>
      </c>
      <c r="Q124" s="20">
        <f t="shared" si="3"/>
        <v>0</v>
      </c>
      <c r="Y124" s="236"/>
      <c r="Z124" s="277">
        <v>122</v>
      </c>
      <c r="AA124" s="277">
        <v>122</v>
      </c>
      <c r="AB124" s="278" t="str">
        <f ca="1">INDIRECT("C122")</f>
        <v>JOHN</v>
      </c>
      <c r="AC124" s="279">
        <f ca="1">INDIRECT("q122")</f>
        <v>0</v>
      </c>
      <c r="AD124" s="279">
        <f ca="1">INDIRECT("p122")</f>
        <v>0</v>
      </c>
      <c r="AE124" s="236"/>
      <c r="AK124" s="240"/>
      <c r="AL124" s="241"/>
      <c r="AM124" s="242"/>
      <c r="AO124" s="335"/>
      <c r="AP124" s="339"/>
      <c r="AQ124" s="335"/>
      <c r="AR124" s="340"/>
      <c r="BA124" s="250"/>
      <c r="BC124" s="298"/>
    </row>
    <row r="125" spans="1:55">
      <c r="A125" s="210"/>
      <c r="B125" s="20">
        <v>125</v>
      </c>
      <c r="C125" s="345" t="s">
        <v>155</v>
      </c>
      <c r="D125" s="233"/>
      <c r="E125" s="233"/>
      <c r="F125" s="234"/>
      <c r="G125" s="234"/>
      <c r="H125" s="233"/>
      <c r="I125" s="233"/>
      <c r="J125" s="234"/>
      <c r="K125" s="234"/>
      <c r="L125" s="233"/>
      <c r="M125" s="233"/>
      <c r="N125" s="234"/>
      <c r="O125" s="234"/>
      <c r="P125" s="210">
        <f t="shared" si="2"/>
        <v>0</v>
      </c>
      <c r="Q125" s="20">
        <f t="shared" si="3"/>
        <v>0</v>
      </c>
      <c r="Y125" s="236"/>
      <c r="Z125" s="277">
        <v>123</v>
      </c>
      <c r="AA125" s="277">
        <v>123</v>
      </c>
      <c r="AB125" s="278" t="str">
        <f ca="1">INDIRECT("C123")</f>
        <v>AIME</v>
      </c>
      <c r="AC125" s="279">
        <f ca="1">INDIRECT("q123")</f>
        <v>0</v>
      </c>
      <c r="AD125" s="279">
        <f ca="1">INDIRECT("p123")</f>
        <v>0</v>
      </c>
      <c r="AE125" s="236"/>
      <c r="AK125" s="240"/>
      <c r="AL125" s="241"/>
      <c r="AM125" s="242"/>
      <c r="AO125" s="335"/>
      <c r="AP125" s="339"/>
      <c r="AQ125" s="335"/>
      <c r="AR125" s="340"/>
      <c r="BA125" s="250"/>
      <c r="BC125" s="298"/>
    </row>
    <row r="126" spans="1:55">
      <c r="A126" s="210"/>
      <c r="B126" s="20">
        <v>126</v>
      </c>
      <c r="C126" s="345" t="s">
        <v>156</v>
      </c>
      <c r="D126" s="233"/>
      <c r="E126" s="233"/>
      <c r="F126" s="234"/>
      <c r="G126" s="234"/>
      <c r="H126" s="233"/>
      <c r="I126" s="233"/>
      <c r="J126" s="234"/>
      <c r="K126" s="234"/>
      <c r="L126" s="233"/>
      <c r="M126" s="233"/>
      <c r="N126" s="234"/>
      <c r="O126" s="234"/>
      <c r="P126" s="210">
        <f t="shared" si="2"/>
        <v>0</v>
      </c>
      <c r="Q126" s="20">
        <f t="shared" si="3"/>
        <v>0</v>
      </c>
      <c r="Y126" s="236"/>
      <c r="Z126" s="277">
        <v>124</v>
      </c>
      <c r="AA126" s="277">
        <v>124</v>
      </c>
      <c r="AB126" s="278" t="str">
        <f ca="1">INDIRECT("C124")</f>
        <v>GINET</v>
      </c>
      <c r="AC126" s="279">
        <f ca="1">INDIRECT("q124")</f>
        <v>0</v>
      </c>
      <c r="AD126" s="279">
        <f ca="1">INDIRECT("p124")</f>
        <v>0</v>
      </c>
      <c r="AE126" s="236"/>
      <c r="AK126" s="240"/>
      <c r="AL126" s="241"/>
      <c r="AM126" s="242"/>
      <c r="AO126" s="335"/>
      <c r="AP126" s="339"/>
      <c r="AQ126" s="335"/>
      <c r="AR126" s="340"/>
      <c r="BA126" s="250"/>
      <c r="BC126" s="298"/>
    </row>
    <row r="127" spans="1:55">
      <c r="A127" s="210"/>
      <c r="B127" s="20">
        <v>127</v>
      </c>
      <c r="C127" s="345" t="s">
        <v>157</v>
      </c>
      <c r="D127" s="233"/>
      <c r="E127" s="233"/>
      <c r="F127" s="234"/>
      <c r="G127" s="234"/>
      <c r="H127" s="233"/>
      <c r="I127" s="233"/>
      <c r="J127" s="234"/>
      <c r="K127" s="234"/>
      <c r="L127" s="233"/>
      <c r="M127" s="233"/>
      <c r="N127" s="234"/>
      <c r="O127" s="234"/>
      <c r="P127" s="210">
        <f t="shared" si="2"/>
        <v>0</v>
      </c>
      <c r="Q127" s="20">
        <f t="shared" si="3"/>
        <v>0</v>
      </c>
      <c r="Y127" s="236"/>
      <c r="Z127" s="277">
        <v>125</v>
      </c>
      <c r="AA127" s="277">
        <v>125</v>
      </c>
      <c r="AB127" s="278" t="str">
        <f ca="1">INDIRECT("C125")</f>
        <v>JEAN JACQUES</v>
      </c>
      <c r="AC127" s="279">
        <f ca="1">INDIRECT("q125")</f>
        <v>0</v>
      </c>
      <c r="AD127" s="279">
        <f ca="1">INDIRECT("p125")</f>
        <v>0</v>
      </c>
      <c r="AE127" s="236"/>
      <c r="AK127" s="240"/>
      <c r="AL127" s="241"/>
      <c r="AM127" s="242"/>
      <c r="AO127" s="335"/>
      <c r="AP127" s="339"/>
      <c r="AQ127" s="335"/>
      <c r="AR127" s="340"/>
      <c r="BA127" s="250"/>
      <c r="BC127" s="298"/>
    </row>
    <row r="128" spans="1:55">
      <c r="A128" s="210"/>
      <c r="B128" s="20">
        <v>128</v>
      </c>
      <c r="C128" s="345" t="s">
        <v>158</v>
      </c>
      <c r="D128" s="233"/>
      <c r="E128" s="233"/>
      <c r="F128" s="234"/>
      <c r="G128" s="234"/>
      <c r="H128" s="233"/>
      <c r="I128" s="233"/>
      <c r="J128" s="234"/>
      <c r="K128" s="234"/>
      <c r="L128" s="233"/>
      <c r="M128" s="233"/>
      <c r="N128" s="234"/>
      <c r="O128" s="234"/>
      <c r="P128" s="210">
        <f t="shared" si="2"/>
        <v>0</v>
      </c>
      <c r="Q128" s="20">
        <f t="shared" si="3"/>
        <v>0</v>
      </c>
      <c r="Y128" s="236"/>
      <c r="Z128" s="277">
        <v>126</v>
      </c>
      <c r="AA128" s="277">
        <v>126</v>
      </c>
      <c r="AB128" s="278" t="str">
        <f ca="1">INDIRECT("C126")</f>
        <v>ROBERT</v>
      </c>
      <c r="AC128" s="279">
        <f ca="1">INDIRECT("q126")</f>
        <v>0</v>
      </c>
      <c r="AD128" s="279">
        <f ca="1">INDIRECT("p126")</f>
        <v>0</v>
      </c>
      <c r="AE128" s="236"/>
      <c r="AK128" s="240"/>
      <c r="AL128" s="241"/>
      <c r="AM128" s="242"/>
      <c r="AO128" s="335"/>
      <c r="AP128" s="339"/>
      <c r="AQ128" s="335"/>
      <c r="AR128" s="340"/>
      <c r="BA128" s="250"/>
      <c r="BC128" s="298"/>
    </row>
    <row r="129" spans="1:55">
      <c r="A129" s="210"/>
      <c r="B129" s="210"/>
      <c r="C129" s="346"/>
      <c r="D129" s="347">
        <f t="shared" ref="D129:O129" si="4">COUNTIF((D1:D128),13)</f>
        <v>0</v>
      </c>
      <c r="E129" s="347">
        <f t="shared" si="4"/>
        <v>0</v>
      </c>
      <c r="F129" s="347"/>
      <c r="G129" s="347"/>
      <c r="H129" s="348">
        <f>COUNTIF((H1:H128),13)</f>
        <v>0</v>
      </c>
      <c r="I129" s="349">
        <f t="shared" si="4"/>
        <v>0</v>
      </c>
      <c r="J129" s="349">
        <f t="shared" si="4"/>
        <v>0</v>
      </c>
      <c r="K129" s="349">
        <f t="shared" si="4"/>
        <v>0</v>
      </c>
      <c r="L129" s="349">
        <f t="shared" si="4"/>
        <v>0</v>
      </c>
      <c r="M129" s="349">
        <f t="shared" si="4"/>
        <v>0</v>
      </c>
      <c r="N129" s="349">
        <f t="shared" si="4"/>
        <v>0</v>
      </c>
      <c r="O129" s="349">
        <f t="shared" si="4"/>
        <v>0</v>
      </c>
      <c r="P129" s="349"/>
      <c r="Q129" s="349"/>
      <c r="Y129" s="236"/>
      <c r="Z129" s="277">
        <v>127</v>
      </c>
      <c r="AA129" s="277">
        <v>127</v>
      </c>
      <c r="AB129" s="278" t="str">
        <f ca="1">INDIRECT("C127")</f>
        <v>MICHEL</v>
      </c>
      <c r="AC129" s="279">
        <f ca="1">INDIRECT("q127")</f>
        <v>0</v>
      </c>
      <c r="AD129" s="279">
        <f ca="1">INDIRECT("p127")</f>
        <v>0</v>
      </c>
      <c r="AE129" s="236"/>
      <c r="AR129" s="351"/>
      <c r="BA129" s="250"/>
      <c r="BC129" s="298"/>
    </row>
    <row r="130" spans="1:55">
      <c r="A130" s="210"/>
      <c r="B130" s="210"/>
      <c r="C130" s="352"/>
      <c r="D130" s="347"/>
      <c r="E130" s="347"/>
      <c r="F130" s="347"/>
      <c r="G130" s="347"/>
      <c r="H130" s="347">
        <f>H129+I129</f>
        <v>0</v>
      </c>
      <c r="I130" s="349"/>
      <c r="J130" s="349">
        <f>J129+K129</f>
        <v>0</v>
      </c>
      <c r="K130" s="349"/>
      <c r="L130" s="349">
        <f>L129+M129</f>
        <v>0</v>
      </c>
      <c r="M130" s="349"/>
      <c r="N130" s="349">
        <f>N129+O129</f>
        <v>0</v>
      </c>
      <c r="O130" s="349"/>
      <c r="P130" s="349">
        <f>SUM(P1:P128)</f>
        <v>0</v>
      </c>
      <c r="Q130" s="349"/>
      <c r="Y130" s="236"/>
      <c r="Z130" s="277">
        <v>128</v>
      </c>
      <c r="AA130" s="277">
        <v>128</v>
      </c>
      <c r="AB130" s="278" t="str">
        <f ca="1">INDIRECT("C128")</f>
        <v>HENRI</v>
      </c>
      <c r="AC130" s="279">
        <f ca="1">INDIRECT("q128")</f>
        <v>0</v>
      </c>
      <c r="AD130" s="279">
        <f ca="1">INDIRECT("p128")</f>
        <v>0</v>
      </c>
      <c r="AE130" s="236"/>
      <c r="BA130" s="250"/>
      <c r="BC130" s="298"/>
    </row>
    <row r="131" spans="1:55">
      <c r="A131" s="210"/>
      <c r="B131" s="210"/>
      <c r="C131" s="352"/>
      <c r="D131" s="347">
        <f t="shared" ref="D131:O131" si="5">COUNTIF((D1:D128),11)</f>
        <v>0</v>
      </c>
      <c r="E131" s="347">
        <f t="shared" si="5"/>
        <v>0</v>
      </c>
      <c r="F131" s="347"/>
      <c r="G131" s="347"/>
      <c r="H131" s="347">
        <f t="shared" si="5"/>
        <v>0</v>
      </c>
      <c r="I131" s="349">
        <f t="shared" si="5"/>
        <v>0</v>
      </c>
      <c r="J131" s="349">
        <f t="shared" si="5"/>
        <v>0</v>
      </c>
      <c r="K131" s="349">
        <f t="shared" si="5"/>
        <v>0</v>
      </c>
      <c r="L131" s="349">
        <f t="shared" si="5"/>
        <v>0</v>
      </c>
      <c r="M131" s="349">
        <f t="shared" si="5"/>
        <v>0</v>
      </c>
      <c r="N131" s="349">
        <f t="shared" si="5"/>
        <v>0</v>
      </c>
      <c r="O131" s="349">
        <f t="shared" si="5"/>
        <v>0</v>
      </c>
      <c r="P131" s="349"/>
      <c r="Q131" s="349"/>
      <c r="AA131" s="277"/>
      <c r="AB131" s="278"/>
      <c r="AC131" s="278"/>
      <c r="AD131" s="278"/>
      <c r="BA131" s="250"/>
      <c r="BC131" s="298"/>
    </row>
    <row r="132" spans="1:55">
      <c r="A132" s="210"/>
      <c r="B132" s="210"/>
      <c r="C132" s="352"/>
      <c r="D132" s="347">
        <f t="shared" ref="D132:O132" si="6">COUNTIF((D1:D128),10)</f>
        <v>0</v>
      </c>
      <c r="E132" s="347">
        <f t="shared" si="6"/>
        <v>0</v>
      </c>
      <c r="F132" s="347"/>
      <c r="G132" s="347"/>
      <c r="H132" s="347">
        <f t="shared" si="6"/>
        <v>0</v>
      </c>
      <c r="I132" s="349">
        <f t="shared" si="6"/>
        <v>0</v>
      </c>
      <c r="J132" s="349">
        <f t="shared" si="6"/>
        <v>0</v>
      </c>
      <c r="K132" s="349">
        <f t="shared" si="6"/>
        <v>0</v>
      </c>
      <c r="L132" s="349">
        <f t="shared" si="6"/>
        <v>0</v>
      </c>
      <c r="M132" s="349">
        <f t="shared" si="6"/>
        <v>0</v>
      </c>
      <c r="N132" s="349">
        <f t="shared" si="6"/>
        <v>0</v>
      </c>
      <c r="O132" s="349">
        <f t="shared" si="6"/>
        <v>0</v>
      </c>
      <c r="P132" s="349"/>
      <c r="Q132" s="349"/>
      <c r="AA132" s="277"/>
      <c r="AB132" s="278"/>
      <c r="AC132" s="278"/>
      <c r="AD132" s="278"/>
      <c r="BA132" s="250"/>
      <c r="BC132" s="298"/>
    </row>
    <row r="133" spans="1:55">
      <c r="A133" s="210"/>
      <c r="B133" s="210"/>
      <c r="C133" s="352"/>
      <c r="D133" s="347">
        <f t="shared" ref="D133:O133" si="7">COUNTIF((D1:D128),9)</f>
        <v>0</v>
      </c>
      <c r="E133" s="347">
        <f t="shared" si="7"/>
        <v>0</v>
      </c>
      <c r="F133" s="347"/>
      <c r="G133" s="347"/>
      <c r="H133" s="347">
        <f t="shared" si="7"/>
        <v>0</v>
      </c>
      <c r="I133" s="349">
        <f t="shared" si="7"/>
        <v>0</v>
      </c>
      <c r="J133" s="349">
        <f t="shared" si="7"/>
        <v>0</v>
      </c>
      <c r="K133" s="349">
        <f t="shared" si="7"/>
        <v>0</v>
      </c>
      <c r="L133" s="349">
        <f t="shared" si="7"/>
        <v>0</v>
      </c>
      <c r="M133" s="349">
        <f t="shared" si="7"/>
        <v>0</v>
      </c>
      <c r="N133" s="349">
        <f t="shared" si="7"/>
        <v>0</v>
      </c>
      <c r="O133" s="349">
        <f t="shared" si="7"/>
        <v>0</v>
      </c>
      <c r="P133" s="349"/>
      <c r="Q133" s="349"/>
      <c r="AA133" s="277"/>
      <c r="AB133" s="278"/>
      <c r="AC133" s="278"/>
      <c r="AD133" s="278"/>
      <c r="BA133" s="250"/>
      <c r="BC133" s="298"/>
    </row>
    <row r="134" spans="1:55" ht="18.75">
      <c r="C134" s="352"/>
      <c r="D134" s="347">
        <f t="shared" ref="D134:O134" si="8">COUNTIF((D1:D128),7)</f>
        <v>0</v>
      </c>
      <c r="E134" s="347">
        <f t="shared" si="8"/>
        <v>0</v>
      </c>
      <c r="F134" s="347"/>
      <c r="G134" s="347"/>
      <c r="H134" s="347">
        <f t="shared" si="8"/>
        <v>0</v>
      </c>
      <c r="I134" s="349">
        <f t="shared" si="8"/>
        <v>0</v>
      </c>
      <c r="J134" s="349">
        <f t="shared" si="8"/>
        <v>0</v>
      </c>
      <c r="K134" s="349">
        <f t="shared" si="8"/>
        <v>0</v>
      </c>
      <c r="L134" s="349">
        <f t="shared" si="8"/>
        <v>0</v>
      </c>
      <c r="M134" s="349">
        <f t="shared" si="8"/>
        <v>0</v>
      </c>
      <c r="N134" s="349">
        <f t="shared" si="8"/>
        <v>0</v>
      </c>
      <c r="O134" s="349">
        <f t="shared" si="8"/>
        <v>0</v>
      </c>
      <c r="P134" s="349"/>
      <c r="Q134" s="349"/>
      <c r="W134" s="354"/>
      <c r="AA134" s="277"/>
      <c r="AB134" s="278"/>
      <c r="AC134" s="278"/>
      <c r="AD134" s="278"/>
      <c r="BA134" s="250"/>
      <c r="BC134" s="298"/>
    </row>
    <row r="135" spans="1:55" ht="18.75">
      <c r="C135" s="352"/>
      <c r="D135" s="347">
        <f t="shared" ref="D135:O135" si="9">COUNTIF((D1:D128),5)</f>
        <v>0</v>
      </c>
      <c r="E135" s="347">
        <f t="shared" si="9"/>
        <v>0</v>
      </c>
      <c r="F135" s="347"/>
      <c r="G135" s="347"/>
      <c r="H135" s="347">
        <f t="shared" si="9"/>
        <v>0</v>
      </c>
      <c r="I135" s="349">
        <f t="shared" si="9"/>
        <v>0</v>
      </c>
      <c r="J135" s="349">
        <f t="shared" si="9"/>
        <v>0</v>
      </c>
      <c r="K135" s="349">
        <f t="shared" si="9"/>
        <v>0</v>
      </c>
      <c r="L135" s="349">
        <f t="shared" si="9"/>
        <v>0</v>
      </c>
      <c r="M135" s="349">
        <f t="shared" si="9"/>
        <v>0</v>
      </c>
      <c r="N135" s="349">
        <f t="shared" si="9"/>
        <v>0</v>
      </c>
      <c r="O135" s="349">
        <f t="shared" si="9"/>
        <v>0</v>
      </c>
      <c r="P135" s="349"/>
      <c r="Q135" s="349"/>
      <c r="W135" s="354"/>
      <c r="AA135" s="277"/>
      <c r="AB135" s="278"/>
      <c r="AC135" s="278"/>
      <c r="AD135" s="278"/>
      <c r="BA135" s="250"/>
      <c r="BC135" s="298"/>
    </row>
    <row r="136" spans="1:55" ht="18.75">
      <c r="C136" s="352"/>
      <c r="D136" s="347">
        <f t="shared" ref="D136:O136" si="10">COUNTIF((D1:D128),3)</f>
        <v>0</v>
      </c>
      <c r="E136" s="347">
        <f t="shared" si="10"/>
        <v>0</v>
      </c>
      <c r="F136" s="347"/>
      <c r="G136" s="347"/>
      <c r="H136" s="347">
        <f t="shared" si="10"/>
        <v>0</v>
      </c>
      <c r="I136" s="349">
        <f t="shared" si="10"/>
        <v>0</v>
      </c>
      <c r="J136" s="349">
        <f t="shared" si="10"/>
        <v>0</v>
      </c>
      <c r="K136" s="349">
        <f t="shared" si="10"/>
        <v>0</v>
      </c>
      <c r="L136" s="349">
        <f t="shared" si="10"/>
        <v>0</v>
      </c>
      <c r="M136" s="349">
        <f t="shared" si="10"/>
        <v>0</v>
      </c>
      <c r="N136" s="349">
        <f t="shared" si="10"/>
        <v>0</v>
      </c>
      <c r="O136" s="349">
        <f t="shared" si="10"/>
        <v>0</v>
      </c>
      <c r="P136" s="349"/>
      <c r="Q136" s="349"/>
      <c r="S136" s="354"/>
      <c r="W136" s="354"/>
      <c r="AA136" s="277"/>
      <c r="AB136" s="278"/>
      <c r="AC136" s="278"/>
      <c r="AD136" s="278"/>
      <c r="BA136" s="250"/>
      <c r="BC136" s="298"/>
    </row>
    <row r="137" spans="1:55" ht="18.75">
      <c r="C137" s="352"/>
      <c r="S137" s="354"/>
      <c r="AA137" s="277"/>
      <c r="AB137" s="278"/>
      <c r="AC137" s="278"/>
      <c r="AD137" s="278"/>
      <c r="BA137" s="250"/>
      <c r="BC137" s="298"/>
    </row>
    <row r="138" spans="1:55">
      <c r="D138" s="356"/>
      <c r="E138" s="356"/>
      <c r="F138" s="356"/>
      <c r="G138" s="356"/>
      <c r="H138" s="356"/>
      <c r="I138" s="356"/>
      <c r="J138" s="356"/>
      <c r="K138" s="356"/>
      <c r="L138" s="356"/>
      <c r="M138" s="356"/>
      <c r="N138" s="356"/>
      <c r="O138" s="356"/>
    </row>
    <row r="139" spans="1:55">
      <c r="D139" s="356"/>
      <c r="E139" s="356"/>
      <c r="F139" s="356"/>
      <c r="G139" s="356"/>
      <c r="H139" s="356"/>
      <c r="I139" s="356"/>
      <c r="J139" s="356"/>
      <c r="K139" s="356"/>
      <c r="L139" s="356"/>
      <c r="M139" s="356"/>
      <c r="N139" s="356"/>
      <c r="O139" s="356"/>
    </row>
    <row r="140" spans="1:55">
      <c r="D140" s="356"/>
      <c r="E140" s="356"/>
      <c r="F140" s="356"/>
      <c r="G140" s="356"/>
      <c r="H140" s="356"/>
      <c r="I140" s="356"/>
      <c r="J140" s="356"/>
      <c r="K140" s="356"/>
      <c r="L140" s="356"/>
      <c r="M140" s="356"/>
      <c r="N140" s="356"/>
      <c r="O140" s="356"/>
    </row>
    <row r="141" spans="1:55">
      <c r="D141" s="356"/>
      <c r="E141" s="356"/>
      <c r="F141" s="356"/>
      <c r="G141" s="356"/>
      <c r="H141" s="356"/>
      <c r="I141" s="356"/>
      <c r="J141" s="356"/>
      <c r="K141" s="356"/>
      <c r="L141" s="356"/>
      <c r="M141" s="356"/>
      <c r="N141" s="356"/>
      <c r="O141" s="356"/>
    </row>
    <row r="142" spans="1:55">
      <c r="D142" s="356"/>
      <c r="E142" s="356"/>
      <c r="F142" s="356"/>
      <c r="G142" s="356"/>
      <c r="H142" s="356"/>
      <c r="I142" s="356"/>
      <c r="J142" s="356"/>
      <c r="K142" s="356"/>
      <c r="L142" s="356"/>
      <c r="M142" s="356"/>
      <c r="N142" s="356"/>
      <c r="O142" s="356"/>
    </row>
    <row r="143" spans="1:55">
      <c r="D143" s="356"/>
      <c r="E143" s="356"/>
      <c r="F143" s="356"/>
      <c r="G143" s="356"/>
      <c r="H143" s="356"/>
      <c r="I143" s="356"/>
      <c r="J143" s="356"/>
      <c r="K143" s="356"/>
      <c r="L143" s="356"/>
      <c r="M143" s="356"/>
      <c r="N143" s="356"/>
      <c r="O143" s="356"/>
    </row>
    <row r="144" spans="1:55">
      <c r="D144" s="356"/>
      <c r="E144" s="356"/>
      <c r="F144" s="356"/>
      <c r="G144" s="356"/>
      <c r="H144" s="356"/>
      <c r="I144" s="356"/>
      <c r="J144" s="356"/>
      <c r="K144" s="356"/>
      <c r="L144" s="356"/>
      <c r="M144" s="356"/>
      <c r="N144" s="356"/>
      <c r="O144" s="356"/>
    </row>
    <row r="201" spans="4:15">
      <c r="D201" s="356"/>
      <c r="E201" s="356"/>
      <c r="F201" s="356"/>
      <c r="G201" s="356"/>
      <c r="H201" s="356"/>
      <c r="I201" s="356"/>
      <c r="J201" s="356"/>
      <c r="K201" s="356"/>
      <c r="L201" s="356"/>
      <c r="M201" s="356"/>
      <c r="N201" s="356"/>
      <c r="O201" s="356"/>
    </row>
    <row r="202" spans="4:15">
      <c r="D202" s="356"/>
      <c r="E202" s="356"/>
      <c r="F202" s="356"/>
      <c r="G202" s="356"/>
      <c r="H202" s="356"/>
      <c r="I202" s="356"/>
      <c r="J202" s="356"/>
      <c r="K202" s="356"/>
      <c r="L202" s="356"/>
      <c r="M202" s="356"/>
      <c r="N202" s="356"/>
      <c r="O202" s="356"/>
    </row>
    <row r="203" spans="4:15">
      <c r="D203" s="356"/>
      <c r="E203" s="356"/>
      <c r="F203" s="356"/>
      <c r="G203" s="356"/>
      <c r="H203" s="356"/>
      <c r="I203" s="356"/>
      <c r="J203" s="356"/>
      <c r="K203" s="356"/>
      <c r="L203" s="356"/>
      <c r="M203" s="356"/>
      <c r="N203" s="356"/>
      <c r="O203" s="356"/>
    </row>
    <row r="204" spans="4:15">
      <c r="D204" s="356"/>
      <c r="E204" s="356"/>
      <c r="F204" s="356"/>
      <c r="G204" s="356"/>
      <c r="H204" s="356"/>
      <c r="I204" s="356"/>
      <c r="J204" s="356"/>
      <c r="K204" s="356"/>
      <c r="L204" s="356"/>
      <c r="M204" s="356"/>
      <c r="N204" s="356"/>
      <c r="O204" s="356"/>
    </row>
    <row r="205" spans="4:15">
      <c r="D205" s="356"/>
      <c r="E205" s="356"/>
      <c r="F205" s="356"/>
      <c r="G205" s="356"/>
      <c r="H205" s="356"/>
      <c r="I205" s="356"/>
      <c r="J205" s="356"/>
      <c r="K205" s="356"/>
      <c r="L205" s="356"/>
      <c r="M205" s="356"/>
      <c r="N205" s="356"/>
      <c r="O205" s="356"/>
    </row>
    <row r="206" spans="4:15">
      <c r="D206" s="356"/>
      <c r="E206" s="356"/>
      <c r="F206" s="356"/>
      <c r="G206" s="356"/>
      <c r="H206" s="356"/>
      <c r="I206" s="356"/>
      <c r="J206" s="356"/>
      <c r="K206" s="356"/>
      <c r="L206" s="356"/>
      <c r="M206" s="356"/>
      <c r="N206" s="356"/>
      <c r="O206" s="356"/>
    </row>
    <row r="207" spans="4:15">
      <c r="D207" s="356"/>
      <c r="E207" s="356"/>
      <c r="F207" s="356"/>
      <c r="G207" s="356"/>
      <c r="H207" s="356"/>
      <c r="I207" s="356"/>
      <c r="J207" s="356"/>
      <c r="K207" s="356"/>
      <c r="L207" s="356"/>
      <c r="M207" s="356"/>
      <c r="N207" s="356"/>
      <c r="O207" s="356"/>
    </row>
    <row r="208" spans="4:15">
      <c r="D208" s="356"/>
      <c r="E208" s="356"/>
      <c r="F208" s="356"/>
      <c r="G208" s="356"/>
      <c r="H208" s="356"/>
      <c r="I208" s="356"/>
      <c r="J208" s="356"/>
      <c r="K208" s="356"/>
      <c r="L208" s="356"/>
      <c r="M208" s="356"/>
      <c r="N208" s="356"/>
      <c r="O208" s="356"/>
    </row>
    <row r="209" spans="4:15">
      <c r="D209" s="356"/>
      <c r="E209" s="356"/>
      <c r="F209" s="356"/>
      <c r="G209" s="356"/>
      <c r="H209" s="356"/>
      <c r="I209" s="356"/>
      <c r="J209" s="356"/>
      <c r="K209" s="356"/>
      <c r="L209" s="356"/>
      <c r="M209" s="356"/>
      <c r="N209" s="356"/>
      <c r="O209" s="356"/>
    </row>
    <row r="210" spans="4:15">
      <c r="D210" s="356"/>
      <c r="E210" s="356"/>
      <c r="F210" s="356"/>
      <c r="G210" s="356"/>
      <c r="H210" s="356"/>
      <c r="I210" s="356"/>
      <c r="J210" s="356"/>
      <c r="K210" s="356"/>
      <c r="L210" s="356"/>
      <c r="M210" s="356"/>
      <c r="N210" s="356"/>
      <c r="O210" s="356"/>
    </row>
    <row r="211" spans="4:15">
      <c r="D211" s="356"/>
      <c r="E211" s="356"/>
      <c r="F211" s="356"/>
      <c r="G211" s="356"/>
      <c r="H211" s="356"/>
      <c r="I211" s="356"/>
      <c r="J211" s="356"/>
      <c r="K211" s="356"/>
      <c r="L211" s="356"/>
      <c r="M211" s="356"/>
      <c r="N211" s="356"/>
      <c r="O211" s="356"/>
    </row>
    <row r="212" spans="4:15">
      <c r="D212" s="356"/>
      <c r="E212" s="356"/>
      <c r="F212" s="356"/>
      <c r="G212" s="356"/>
      <c r="H212" s="356"/>
      <c r="I212" s="356"/>
      <c r="J212" s="356"/>
      <c r="K212" s="356"/>
      <c r="L212" s="356"/>
      <c r="M212" s="356"/>
      <c r="N212" s="356"/>
      <c r="O212" s="356"/>
    </row>
    <row r="213" spans="4:15">
      <c r="D213" s="356"/>
      <c r="E213" s="356"/>
      <c r="F213" s="356"/>
      <c r="G213" s="356"/>
      <c r="H213" s="356"/>
      <c r="I213" s="356"/>
      <c r="J213" s="356"/>
      <c r="K213" s="356"/>
      <c r="L213" s="356"/>
      <c r="M213" s="356"/>
      <c r="N213" s="356"/>
      <c r="O213" s="356"/>
    </row>
    <row r="214" spans="4:15">
      <c r="D214" s="356"/>
      <c r="E214" s="356"/>
      <c r="F214" s="356"/>
      <c r="G214" s="356"/>
      <c r="H214" s="356"/>
      <c r="I214" s="356"/>
      <c r="J214" s="356"/>
      <c r="K214" s="356"/>
      <c r="L214" s="356"/>
      <c r="M214" s="356"/>
      <c r="N214" s="356"/>
      <c r="O214" s="356"/>
    </row>
    <row r="215" spans="4:15">
      <c r="D215" s="356"/>
      <c r="E215" s="356"/>
      <c r="F215" s="356"/>
      <c r="G215" s="356"/>
      <c r="H215" s="356"/>
      <c r="I215" s="356"/>
      <c r="J215" s="356"/>
      <c r="K215" s="356"/>
      <c r="L215" s="356"/>
      <c r="M215" s="356"/>
      <c r="N215" s="356"/>
      <c r="O215" s="356"/>
    </row>
    <row r="216" spans="4:15">
      <c r="D216" s="356"/>
      <c r="E216" s="356"/>
      <c r="F216" s="356"/>
      <c r="G216" s="356"/>
      <c r="H216" s="356"/>
      <c r="I216" s="356"/>
      <c r="J216" s="356"/>
      <c r="K216" s="356"/>
      <c r="L216" s="356"/>
      <c r="M216" s="356"/>
      <c r="N216" s="356"/>
      <c r="O216" s="356"/>
    </row>
    <row r="217" spans="4:15">
      <c r="D217" s="356"/>
      <c r="E217" s="356"/>
      <c r="F217" s="356"/>
      <c r="G217" s="356"/>
      <c r="H217" s="356"/>
      <c r="I217" s="356"/>
      <c r="J217" s="356"/>
      <c r="K217" s="356"/>
      <c r="L217" s="356"/>
      <c r="M217" s="356"/>
      <c r="N217" s="356"/>
      <c r="O217" s="356"/>
    </row>
    <row r="218" spans="4:15">
      <c r="D218" s="356"/>
      <c r="E218" s="356"/>
      <c r="F218" s="356"/>
      <c r="G218" s="356"/>
      <c r="H218" s="356"/>
      <c r="I218" s="356"/>
      <c r="J218" s="356"/>
      <c r="K218" s="356"/>
      <c r="L218" s="356"/>
      <c r="M218" s="356"/>
      <c r="N218" s="356"/>
      <c r="O218" s="356"/>
    </row>
    <row r="219" spans="4:15">
      <c r="D219" s="356"/>
      <c r="E219" s="356"/>
      <c r="F219" s="356"/>
      <c r="G219" s="356"/>
      <c r="H219" s="356"/>
      <c r="I219" s="356"/>
      <c r="J219" s="356"/>
      <c r="K219" s="356"/>
      <c r="L219" s="356"/>
      <c r="M219" s="356"/>
      <c r="N219" s="356"/>
      <c r="O219" s="356"/>
    </row>
    <row r="220" spans="4:15">
      <c r="D220" s="356"/>
      <c r="E220" s="356"/>
      <c r="F220" s="356"/>
      <c r="G220" s="356"/>
      <c r="H220" s="356"/>
      <c r="I220" s="356"/>
      <c r="J220" s="356"/>
      <c r="K220" s="356"/>
      <c r="L220" s="356"/>
      <c r="M220" s="356"/>
      <c r="N220" s="356"/>
      <c r="O220" s="356"/>
    </row>
    <row r="221" spans="4:15">
      <c r="D221" s="356"/>
      <c r="E221" s="356"/>
      <c r="F221" s="356"/>
      <c r="G221" s="356"/>
      <c r="H221" s="356"/>
      <c r="I221" s="356"/>
      <c r="J221" s="356"/>
      <c r="K221" s="356"/>
      <c r="L221" s="356"/>
      <c r="M221" s="356"/>
      <c r="N221" s="356"/>
      <c r="O221" s="356"/>
    </row>
    <row r="222" spans="4:15">
      <c r="D222" s="356"/>
      <c r="E222" s="356"/>
      <c r="F222" s="356"/>
      <c r="G222" s="356"/>
      <c r="H222" s="356"/>
      <c r="I222" s="356"/>
      <c r="J222" s="356"/>
      <c r="K222" s="356"/>
      <c r="L222" s="356"/>
      <c r="M222" s="356"/>
      <c r="N222" s="356"/>
      <c r="O222" s="356"/>
    </row>
    <row r="223" spans="4:15">
      <c r="D223" s="356"/>
      <c r="E223" s="356"/>
      <c r="F223" s="356"/>
      <c r="G223" s="356"/>
      <c r="H223" s="356"/>
      <c r="I223" s="356"/>
      <c r="J223" s="356"/>
      <c r="K223" s="356"/>
      <c r="L223" s="356"/>
      <c r="M223" s="356"/>
      <c r="N223" s="356"/>
      <c r="O223" s="356"/>
    </row>
    <row r="224" spans="4:15">
      <c r="D224" s="356"/>
      <c r="E224" s="356"/>
      <c r="F224" s="356"/>
      <c r="G224" s="356"/>
      <c r="H224" s="356"/>
      <c r="I224" s="356"/>
      <c r="J224" s="356"/>
      <c r="K224" s="356"/>
      <c r="L224" s="356"/>
      <c r="M224" s="356"/>
      <c r="N224" s="356"/>
      <c r="O224" s="356"/>
    </row>
    <row r="225" spans="4:15">
      <c r="D225" s="356"/>
      <c r="E225" s="356"/>
      <c r="F225" s="356"/>
      <c r="G225" s="356"/>
      <c r="H225" s="356"/>
      <c r="I225" s="356"/>
      <c r="J225" s="356"/>
      <c r="K225" s="356"/>
      <c r="L225" s="356"/>
      <c r="M225" s="356"/>
      <c r="N225" s="356"/>
      <c r="O225" s="356"/>
    </row>
    <row r="226" spans="4:15">
      <c r="D226" s="356"/>
      <c r="E226" s="356"/>
      <c r="F226" s="356"/>
      <c r="G226" s="356"/>
      <c r="H226" s="356"/>
      <c r="I226" s="356"/>
      <c r="J226" s="356"/>
      <c r="K226" s="356"/>
      <c r="L226" s="356"/>
      <c r="M226" s="356"/>
      <c r="N226" s="356"/>
      <c r="O226" s="356"/>
    </row>
    <row r="227" spans="4:15">
      <c r="D227" s="356"/>
      <c r="E227" s="356"/>
      <c r="F227" s="356"/>
      <c r="G227" s="356"/>
      <c r="H227" s="356"/>
      <c r="I227" s="356"/>
      <c r="J227" s="356"/>
      <c r="K227" s="356"/>
      <c r="L227" s="356"/>
      <c r="M227" s="356"/>
      <c r="N227" s="356"/>
      <c r="O227" s="356"/>
    </row>
    <row r="228" spans="4:15">
      <c r="D228" s="356"/>
      <c r="E228" s="356"/>
      <c r="F228" s="356"/>
      <c r="G228" s="356"/>
      <c r="H228" s="356"/>
      <c r="I228" s="356"/>
      <c r="J228" s="356"/>
      <c r="K228" s="356"/>
      <c r="L228" s="356"/>
      <c r="M228" s="356"/>
      <c r="N228" s="356"/>
      <c r="O228" s="356"/>
    </row>
    <row r="229" spans="4:15">
      <c r="D229" s="356"/>
      <c r="E229" s="356"/>
      <c r="F229" s="356"/>
      <c r="G229" s="356"/>
      <c r="H229" s="356"/>
      <c r="I229" s="356"/>
      <c r="J229" s="356"/>
      <c r="K229" s="356"/>
      <c r="L229" s="356"/>
      <c r="M229" s="356"/>
      <c r="N229" s="356"/>
      <c r="O229" s="356"/>
    </row>
    <row r="230" spans="4:15">
      <c r="D230" s="356"/>
      <c r="E230" s="356"/>
      <c r="F230" s="356"/>
      <c r="G230" s="356"/>
      <c r="H230" s="356"/>
      <c r="I230" s="356"/>
      <c r="J230" s="356"/>
      <c r="K230" s="356"/>
      <c r="L230" s="356"/>
      <c r="M230" s="356"/>
      <c r="N230" s="356"/>
      <c r="O230" s="356"/>
    </row>
    <row r="231" spans="4:15">
      <c r="D231" s="356"/>
      <c r="E231" s="356"/>
      <c r="F231" s="356"/>
      <c r="G231" s="356"/>
      <c r="H231" s="356"/>
      <c r="I231" s="356"/>
      <c r="J231" s="356"/>
      <c r="K231" s="356"/>
      <c r="L231" s="356"/>
      <c r="M231" s="356"/>
      <c r="N231" s="356"/>
      <c r="O231" s="356"/>
    </row>
    <row r="232" spans="4:15">
      <c r="D232" s="356"/>
      <c r="E232" s="356"/>
      <c r="F232" s="356"/>
      <c r="G232" s="356"/>
      <c r="H232" s="356"/>
      <c r="I232" s="356"/>
      <c r="J232" s="356"/>
      <c r="K232" s="356"/>
      <c r="L232" s="356"/>
      <c r="M232" s="356"/>
      <c r="N232" s="356"/>
      <c r="O232" s="356"/>
    </row>
    <row r="233" spans="4:15">
      <c r="D233" s="356"/>
      <c r="E233" s="356"/>
      <c r="F233" s="356"/>
      <c r="G233" s="356"/>
      <c r="H233" s="356"/>
      <c r="I233" s="356"/>
      <c r="J233" s="356"/>
      <c r="K233" s="356"/>
      <c r="L233" s="356"/>
      <c r="M233" s="356"/>
      <c r="N233" s="356"/>
      <c r="O233" s="356"/>
    </row>
    <row r="234" spans="4:15">
      <c r="D234" s="356"/>
      <c r="E234" s="356"/>
      <c r="F234" s="356"/>
      <c r="G234" s="356"/>
      <c r="H234" s="356"/>
      <c r="I234" s="356"/>
      <c r="J234" s="356"/>
      <c r="K234" s="356"/>
      <c r="L234" s="356"/>
      <c r="M234" s="356"/>
      <c r="N234" s="356"/>
      <c r="O234" s="356"/>
    </row>
    <row r="235" spans="4:15">
      <c r="D235" s="356"/>
      <c r="E235" s="356"/>
      <c r="F235" s="356"/>
      <c r="G235" s="356"/>
      <c r="H235" s="356"/>
      <c r="I235" s="356"/>
      <c r="J235" s="356"/>
      <c r="K235" s="356"/>
      <c r="L235" s="356"/>
      <c r="M235" s="356"/>
      <c r="N235" s="356"/>
      <c r="O235" s="356"/>
    </row>
    <row r="236" spans="4:15">
      <c r="D236" s="356"/>
      <c r="E236" s="356"/>
      <c r="F236" s="356"/>
      <c r="G236" s="356"/>
      <c r="H236" s="356"/>
      <c r="I236" s="356"/>
      <c r="J236" s="356"/>
      <c r="K236" s="356"/>
      <c r="L236" s="356"/>
      <c r="M236" s="356"/>
      <c r="N236" s="356"/>
      <c r="O236" s="356"/>
    </row>
    <row r="237" spans="4:15">
      <c r="D237" s="356"/>
      <c r="E237" s="356"/>
      <c r="F237" s="356"/>
      <c r="G237" s="356"/>
      <c r="H237" s="356"/>
      <c r="I237" s="356"/>
      <c r="J237" s="356"/>
      <c r="K237" s="356"/>
      <c r="L237" s="356"/>
      <c r="M237" s="356"/>
      <c r="N237" s="356"/>
      <c r="O237" s="356"/>
    </row>
    <row r="238" spans="4:15">
      <c r="D238" s="356"/>
      <c r="E238" s="356"/>
      <c r="F238" s="356"/>
      <c r="G238" s="356"/>
      <c r="H238" s="356"/>
      <c r="I238" s="356"/>
      <c r="J238" s="356"/>
      <c r="K238" s="356"/>
      <c r="L238" s="356"/>
      <c r="M238" s="356"/>
      <c r="N238" s="356"/>
      <c r="O238" s="356"/>
    </row>
    <row r="239" spans="4:15">
      <c r="D239" s="356"/>
      <c r="E239" s="356"/>
      <c r="F239" s="356"/>
      <c r="G239" s="356"/>
      <c r="H239" s="356"/>
      <c r="I239" s="356"/>
      <c r="J239" s="356"/>
      <c r="K239" s="356"/>
      <c r="L239" s="356"/>
      <c r="M239" s="356"/>
      <c r="N239" s="356"/>
      <c r="O239" s="356"/>
    </row>
    <row r="240" spans="4:15">
      <c r="D240" s="356"/>
      <c r="E240" s="356"/>
      <c r="F240" s="356"/>
      <c r="G240" s="356"/>
      <c r="H240" s="356"/>
      <c r="I240" s="356"/>
      <c r="J240" s="356"/>
      <c r="K240" s="356"/>
      <c r="L240" s="356"/>
      <c r="M240" s="356"/>
      <c r="N240" s="356"/>
      <c r="O240" s="356"/>
    </row>
    <row r="241" spans="4:15">
      <c r="D241" s="356"/>
      <c r="E241" s="356"/>
      <c r="F241" s="356"/>
      <c r="G241" s="356"/>
      <c r="H241" s="356"/>
      <c r="I241" s="356"/>
      <c r="J241" s="356"/>
      <c r="K241" s="356"/>
      <c r="L241" s="356"/>
      <c r="M241" s="356"/>
      <c r="N241" s="356"/>
      <c r="O241" s="356"/>
    </row>
    <row r="242" spans="4:15">
      <c r="D242" s="356"/>
      <c r="E242" s="356"/>
      <c r="F242" s="356"/>
      <c r="G242" s="356"/>
      <c r="H242" s="356"/>
      <c r="I242" s="356"/>
      <c r="J242" s="356"/>
      <c r="K242" s="356"/>
      <c r="L242" s="356"/>
      <c r="M242" s="356"/>
      <c r="N242" s="356"/>
      <c r="O242" s="356"/>
    </row>
    <row r="243" spans="4:15">
      <c r="D243" s="356"/>
      <c r="E243" s="356"/>
      <c r="F243" s="356"/>
      <c r="G243" s="356"/>
      <c r="H243" s="356"/>
      <c r="I243" s="356"/>
      <c r="J243" s="356"/>
      <c r="K243" s="356"/>
      <c r="L243" s="356"/>
      <c r="M243" s="356"/>
      <c r="N243" s="356"/>
      <c r="O243" s="356"/>
    </row>
    <row r="244" spans="4:15">
      <c r="D244" s="356"/>
      <c r="E244" s="356"/>
      <c r="F244" s="356"/>
      <c r="G244" s="356"/>
      <c r="H244" s="356"/>
      <c r="I244" s="356"/>
      <c r="J244" s="356"/>
      <c r="K244" s="356"/>
      <c r="L244" s="356"/>
      <c r="M244" s="356"/>
      <c r="N244" s="356"/>
      <c r="O244" s="356"/>
    </row>
    <row r="245" spans="4:15">
      <c r="D245" s="356"/>
      <c r="E245" s="356"/>
      <c r="F245" s="356"/>
      <c r="G245" s="356"/>
      <c r="H245" s="356"/>
      <c r="I245" s="356"/>
      <c r="J245" s="356"/>
      <c r="K245" s="356"/>
      <c r="L245" s="356"/>
      <c r="M245" s="356"/>
      <c r="N245" s="356"/>
      <c r="O245" s="356"/>
    </row>
    <row r="246" spans="4:15">
      <c r="D246" s="356"/>
      <c r="E246" s="356"/>
      <c r="F246" s="356"/>
      <c r="G246" s="356"/>
      <c r="H246" s="356"/>
      <c r="I246" s="356"/>
      <c r="J246" s="356"/>
      <c r="K246" s="356"/>
      <c r="L246" s="356"/>
      <c r="M246" s="356"/>
      <c r="N246" s="356"/>
      <c r="O246" s="356"/>
    </row>
    <row r="247" spans="4:15">
      <c r="D247" s="356"/>
      <c r="E247" s="356"/>
      <c r="F247" s="356"/>
      <c r="G247" s="356"/>
      <c r="H247" s="356"/>
      <c r="I247" s="356"/>
      <c r="J247" s="356"/>
      <c r="K247" s="356"/>
      <c r="L247" s="356"/>
      <c r="M247" s="356"/>
      <c r="N247" s="356"/>
      <c r="O247" s="356"/>
    </row>
    <row r="248" spans="4:15">
      <c r="D248" s="356"/>
      <c r="E248" s="356"/>
      <c r="F248" s="356"/>
      <c r="G248" s="356"/>
      <c r="H248" s="356"/>
      <c r="I248" s="356"/>
      <c r="J248" s="356"/>
      <c r="K248" s="356"/>
      <c r="L248" s="356"/>
      <c r="M248" s="356"/>
      <c r="N248" s="356"/>
      <c r="O248" s="356"/>
    </row>
    <row r="249" spans="4:15">
      <c r="D249" s="356"/>
      <c r="E249" s="356"/>
      <c r="F249" s="356"/>
      <c r="G249" s="356"/>
      <c r="H249" s="356"/>
      <c r="I249" s="356"/>
      <c r="J249" s="356"/>
      <c r="K249" s="356"/>
      <c r="L249" s="356"/>
      <c r="M249" s="356"/>
      <c r="N249" s="356"/>
      <c r="O249" s="356"/>
    </row>
    <row r="250" spans="4:15">
      <c r="D250" s="356"/>
      <c r="E250" s="356"/>
      <c r="F250" s="356"/>
      <c r="G250" s="356"/>
      <c r="H250" s="356"/>
      <c r="I250" s="356"/>
      <c r="J250" s="356"/>
      <c r="K250" s="356"/>
      <c r="L250" s="356"/>
      <c r="M250" s="356"/>
      <c r="N250" s="356"/>
      <c r="O250" s="356"/>
    </row>
    <row r="251" spans="4:15">
      <c r="D251" s="356"/>
      <c r="E251" s="356"/>
      <c r="F251" s="356"/>
      <c r="G251" s="356"/>
      <c r="H251" s="356"/>
      <c r="I251" s="356"/>
      <c r="J251" s="356"/>
      <c r="K251" s="356"/>
      <c r="L251" s="356"/>
      <c r="M251" s="356"/>
      <c r="N251" s="356"/>
      <c r="O251" s="356"/>
    </row>
    <row r="252" spans="4:15">
      <c r="D252" s="356"/>
      <c r="E252" s="356"/>
      <c r="F252" s="356"/>
      <c r="G252" s="356"/>
      <c r="H252" s="356"/>
      <c r="I252" s="356"/>
      <c r="J252" s="356"/>
      <c r="K252" s="356"/>
      <c r="L252" s="356"/>
      <c r="M252" s="356"/>
      <c r="N252" s="356"/>
      <c r="O252" s="356"/>
    </row>
    <row r="253" spans="4:15">
      <c r="D253" s="356"/>
      <c r="E253" s="356"/>
      <c r="F253" s="356"/>
      <c r="G253" s="356"/>
      <c r="H253" s="356"/>
      <c r="I253" s="356"/>
      <c r="J253" s="356"/>
      <c r="K253" s="356"/>
      <c r="L253" s="356"/>
      <c r="M253" s="356"/>
      <c r="N253" s="356"/>
      <c r="O253" s="356"/>
    </row>
    <row r="254" spans="4:15">
      <c r="D254" s="356"/>
      <c r="E254" s="356"/>
      <c r="F254" s="356"/>
      <c r="G254" s="356"/>
      <c r="H254" s="356"/>
      <c r="I254" s="356"/>
      <c r="J254" s="356"/>
      <c r="K254" s="356"/>
      <c r="L254" s="356"/>
      <c r="M254" s="356"/>
      <c r="N254" s="356"/>
      <c r="O254" s="356"/>
    </row>
    <row r="255" spans="4:15">
      <c r="D255" s="356"/>
      <c r="E255" s="356"/>
      <c r="F255" s="356"/>
      <c r="G255" s="356"/>
      <c r="H255" s="356"/>
      <c r="I255" s="356"/>
      <c r="J255" s="356"/>
      <c r="K255" s="356"/>
      <c r="L255" s="356"/>
      <c r="M255" s="356"/>
      <c r="N255" s="356"/>
      <c r="O255" s="356"/>
    </row>
    <row r="256" spans="4:15">
      <c r="D256" s="356"/>
      <c r="E256" s="356"/>
      <c r="F256" s="356"/>
      <c r="G256" s="356"/>
      <c r="H256" s="356"/>
      <c r="I256" s="356"/>
      <c r="J256" s="356"/>
      <c r="K256" s="356"/>
      <c r="L256" s="356"/>
      <c r="M256" s="356"/>
      <c r="N256" s="356"/>
      <c r="O256" s="356"/>
    </row>
    <row r="257" spans="4:15">
      <c r="D257" s="356"/>
      <c r="E257" s="356"/>
      <c r="F257" s="356"/>
      <c r="G257" s="356"/>
      <c r="H257" s="356"/>
      <c r="I257" s="356"/>
      <c r="J257" s="356"/>
      <c r="K257" s="356"/>
      <c r="L257" s="356"/>
      <c r="M257" s="356"/>
      <c r="N257" s="356"/>
      <c r="O257" s="356"/>
    </row>
    <row r="258" spans="4:15">
      <c r="D258" s="356"/>
      <c r="E258" s="356"/>
      <c r="F258" s="356"/>
      <c r="G258" s="356"/>
      <c r="H258" s="356"/>
      <c r="I258" s="356"/>
      <c r="J258" s="356"/>
      <c r="K258" s="356"/>
      <c r="L258" s="356"/>
      <c r="M258" s="356"/>
      <c r="N258" s="356"/>
      <c r="O258" s="356"/>
    </row>
    <row r="259" spans="4:15">
      <c r="D259" s="356"/>
      <c r="E259" s="356"/>
      <c r="F259" s="356"/>
      <c r="G259" s="356"/>
      <c r="H259" s="356"/>
      <c r="I259" s="356"/>
      <c r="J259" s="356"/>
      <c r="K259" s="356"/>
      <c r="L259" s="356"/>
      <c r="M259" s="356"/>
      <c r="N259" s="356"/>
      <c r="O259" s="356"/>
    </row>
    <row r="260" spans="4:15">
      <c r="D260" s="356"/>
      <c r="E260" s="356"/>
      <c r="F260" s="356"/>
      <c r="G260" s="356"/>
      <c r="H260" s="356"/>
      <c r="I260" s="356"/>
      <c r="J260" s="356"/>
      <c r="K260" s="356"/>
      <c r="L260" s="356"/>
      <c r="M260" s="356"/>
      <c r="N260" s="356"/>
      <c r="O260" s="356"/>
    </row>
    <row r="261" spans="4:15">
      <c r="D261" s="356"/>
      <c r="E261" s="356"/>
      <c r="F261" s="356"/>
      <c r="G261" s="356"/>
      <c r="H261" s="356"/>
      <c r="I261" s="356"/>
      <c r="J261" s="356"/>
      <c r="K261" s="356"/>
      <c r="L261" s="356"/>
      <c r="M261" s="356"/>
      <c r="N261" s="356"/>
      <c r="O261" s="356"/>
    </row>
    <row r="262" spans="4:15">
      <c r="D262" s="356"/>
      <c r="E262" s="356"/>
      <c r="F262" s="356"/>
      <c r="G262" s="356"/>
      <c r="H262" s="356"/>
      <c r="I262" s="356"/>
      <c r="J262" s="356"/>
      <c r="K262" s="356"/>
      <c r="L262" s="356"/>
      <c r="M262" s="356"/>
      <c r="N262" s="356"/>
      <c r="O262" s="356"/>
    </row>
    <row r="263" spans="4:15">
      <c r="D263" s="356"/>
      <c r="E263" s="356"/>
      <c r="F263" s="356"/>
      <c r="G263" s="356"/>
      <c r="H263" s="356"/>
      <c r="I263" s="356"/>
      <c r="J263" s="356"/>
      <c r="K263" s="356"/>
      <c r="L263" s="356"/>
      <c r="M263" s="356"/>
      <c r="N263" s="356"/>
      <c r="O263" s="356"/>
    </row>
    <row r="264" spans="4:15">
      <c r="D264" s="356"/>
      <c r="E264" s="356"/>
      <c r="F264" s="356"/>
      <c r="G264" s="356"/>
      <c r="H264" s="356"/>
      <c r="I264" s="356"/>
      <c r="J264" s="356"/>
      <c r="K264" s="356"/>
      <c r="L264" s="356"/>
      <c r="M264" s="356"/>
      <c r="N264" s="356"/>
      <c r="O264" s="356"/>
    </row>
    <row r="265" spans="4:15">
      <c r="D265" s="356"/>
      <c r="E265" s="356"/>
      <c r="F265" s="356"/>
      <c r="G265" s="356"/>
      <c r="H265" s="356"/>
      <c r="I265" s="356"/>
      <c r="J265" s="356"/>
      <c r="K265" s="356"/>
      <c r="L265" s="356"/>
      <c r="M265" s="356"/>
      <c r="N265" s="356"/>
      <c r="O265" s="356"/>
    </row>
    <row r="266" spans="4:15">
      <c r="D266" s="356"/>
      <c r="E266" s="356"/>
      <c r="F266" s="356"/>
      <c r="G266" s="356"/>
      <c r="H266" s="356"/>
      <c r="I266" s="356"/>
      <c r="J266" s="356"/>
      <c r="K266" s="356"/>
      <c r="L266" s="356"/>
      <c r="M266" s="356"/>
      <c r="N266" s="356"/>
      <c r="O266" s="356"/>
    </row>
    <row r="267" spans="4:15">
      <c r="D267" s="356"/>
      <c r="E267" s="356"/>
      <c r="F267" s="356"/>
      <c r="G267" s="356"/>
      <c r="H267" s="356"/>
      <c r="I267" s="356"/>
      <c r="J267" s="356"/>
      <c r="K267" s="356"/>
      <c r="L267" s="356"/>
      <c r="M267" s="356"/>
      <c r="N267" s="356"/>
      <c r="O267" s="356"/>
    </row>
    <row r="268" spans="4:15">
      <c r="D268" s="356"/>
      <c r="E268" s="356"/>
      <c r="F268" s="356"/>
      <c r="G268" s="356"/>
      <c r="H268" s="356"/>
      <c r="I268" s="356"/>
      <c r="J268" s="356"/>
      <c r="K268" s="356"/>
      <c r="L268" s="356"/>
      <c r="M268" s="356"/>
      <c r="N268" s="356"/>
      <c r="O268" s="356"/>
    </row>
    <row r="269" spans="4:15">
      <c r="D269" s="356"/>
      <c r="E269" s="356"/>
      <c r="F269" s="356"/>
      <c r="G269" s="356"/>
      <c r="H269" s="356"/>
      <c r="I269" s="356"/>
      <c r="J269" s="356"/>
      <c r="K269" s="356"/>
      <c r="L269" s="356"/>
      <c r="M269" s="356"/>
      <c r="N269" s="356"/>
      <c r="O269" s="356"/>
    </row>
    <row r="270" spans="4:15">
      <c r="D270" s="356"/>
      <c r="E270" s="356"/>
      <c r="F270" s="356"/>
      <c r="G270" s="356"/>
      <c r="H270" s="356"/>
      <c r="I270" s="356"/>
      <c r="J270" s="356"/>
      <c r="K270" s="356"/>
      <c r="L270" s="356"/>
      <c r="M270" s="356"/>
      <c r="N270" s="356"/>
      <c r="O270" s="356"/>
    </row>
    <row r="271" spans="4:15">
      <c r="D271" s="356"/>
      <c r="E271" s="356"/>
      <c r="F271" s="356"/>
      <c r="G271" s="356"/>
      <c r="H271" s="356"/>
      <c r="I271" s="356"/>
      <c r="J271" s="356"/>
      <c r="K271" s="356"/>
      <c r="L271" s="356"/>
      <c r="M271" s="356"/>
      <c r="N271" s="356"/>
      <c r="O271" s="356"/>
    </row>
    <row r="272" spans="4:15">
      <c r="D272" s="356"/>
      <c r="E272" s="356"/>
      <c r="F272" s="356"/>
      <c r="G272" s="356"/>
      <c r="H272" s="356"/>
      <c r="I272" s="356"/>
      <c r="J272" s="356"/>
      <c r="K272" s="356"/>
      <c r="L272" s="356"/>
      <c r="M272" s="356"/>
      <c r="N272" s="356"/>
      <c r="O272" s="356"/>
    </row>
    <row r="273" spans="4:15">
      <c r="D273" s="356"/>
      <c r="E273" s="356"/>
      <c r="F273" s="356"/>
      <c r="G273" s="356"/>
      <c r="H273" s="356"/>
      <c r="I273" s="356"/>
      <c r="J273" s="356"/>
      <c r="K273" s="356"/>
      <c r="L273" s="356"/>
      <c r="M273" s="356"/>
      <c r="N273" s="356"/>
      <c r="O273" s="356"/>
    </row>
    <row r="274" spans="4:15">
      <c r="D274" s="356"/>
      <c r="E274" s="356"/>
      <c r="F274" s="356"/>
      <c r="G274" s="356"/>
      <c r="H274" s="356"/>
      <c r="I274" s="356"/>
      <c r="J274" s="356"/>
      <c r="K274" s="356"/>
      <c r="L274" s="356"/>
      <c r="M274" s="356"/>
      <c r="N274" s="356"/>
      <c r="O274" s="356"/>
    </row>
    <row r="275" spans="4:15">
      <c r="D275" s="356"/>
      <c r="E275" s="356"/>
      <c r="F275" s="356"/>
      <c r="G275" s="356"/>
      <c r="H275" s="356"/>
      <c r="I275" s="356"/>
      <c r="J275" s="356"/>
      <c r="K275" s="356"/>
      <c r="L275" s="356"/>
      <c r="M275" s="356"/>
      <c r="N275" s="356"/>
      <c r="O275" s="356"/>
    </row>
    <row r="276" spans="4:15">
      <c r="D276" s="356"/>
      <c r="E276" s="356"/>
      <c r="F276" s="356"/>
      <c r="G276" s="356"/>
      <c r="H276" s="356"/>
      <c r="I276" s="356"/>
      <c r="J276" s="356"/>
      <c r="K276" s="356"/>
      <c r="L276" s="356"/>
      <c r="M276" s="356"/>
      <c r="N276" s="356"/>
      <c r="O276" s="356"/>
    </row>
    <row r="277" spans="4:15">
      <c r="D277" s="356"/>
      <c r="E277" s="356"/>
      <c r="F277" s="356"/>
      <c r="G277" s="356"/>
      <c r="H277" s="356"/>
      <c r="I277" s="356"/>
      <c r="J277" s="356"/>
      <c r="K277" s="356"/>
      <c r="L277" s="356"/>
      <c r="M277" s="356"/>
      <c r="N277" s="356"/>
      <c r="O277" s="356"/>
    </row>
    <row r="278" spans="4:15">
      <c r="D278" s="356"/>
      <c r="E278" s="356"/>
      <c r="F278" s="356"/>
      <c r="G278" s="356"/>
      <c r="H278" s="356"/>
      <c r="I278" s="356"/>
      <c r="J278" s="356"/>
      <c r="K278" s="356"/>
      <c r="L278" s="356"/>
      <c r="M278" s="356"/>
      <c r="N278" s="356"/>
      <c r="O278" s="356"/>
    </row>
    <row r="279" spans="4:15">
      <c r="D279" s="356"/>
      <c r="E279" s="356"/>
      <c r="F279" s="356"/>
      <c r="G279" s="356"/>
      <c r="H279" s="356"/>
      <c r="I279" s="356"/>
      <c r="J279" s="356"/>
      <c r="K279" s="356"/>
      <c r="L279" s="356"/>
      <c r="M279" s="356"/>
      <c r="N279" s="356"/>
      <c r="O279" s="356"/>
    </row>
    <row r="280" spans="4:15">
      <c r="D280" s="356"/>
      <c r="E280" s="356"/>
      <c r="F280" s="356"/>
      <c r="G280" s="356"/>
      <c r="H280" s="356"/>
      <c r="I280" s="356"/>
      <c r="J280" s="356"/>
      <c r="K280" s="356"/>
      <c r="L280" s="356"/>
      <c r="M280" s="356"/>
      <c r="N280" s="356"/>
      <c r="O280" s="356"/>
    </row>
    <row r="281" spans="4:15">
      <c r="D281" s="356"/>
      <c r="E281" s="356"/>
      <c r="F281" s="356"/>
      <c r="G281" s="356"/>
      <c r="H281" s="356"/>
      <c r="I281" s="356"/>
      <c r="J281" s="356"/>
      <c r="K281" s="356"/>
      <c r="L281" s="356"/>
      <c r="M281" s="356"/>
      <c r="N281" s="356"/>
      <c r="O281" s="356"/>
    </row>
    <row r="282" spans="4:15">
      <c r="D282" s="356"/>
      <c r="E282" s="356"/>
      <c r="F282" s="356"/>
      <c r="G282" s="356"/>
      <c r="H282" s="356"/>
      <c r="I282" s="356"/>
      <c r="J282" s="356"/>
      <c r="K282" s="356"/>
      <c r="L282" s="356"/>
      <c r="M282" s="356"/>
      <c r="N282" s="356"/>
      <c r="O282" s="356"/>
    </row>
    <row r="283" spans="4:15">
      <c r="D283" s="356"/>
      <c r="E283" s="356"/>
      <c r="F283" s="356"/>
      <c r="G283" s="356"/>
      <c r="H283" s="356"/>
      <c r="I283" s="356"/>
      <c r="J283" s="356"/>
      <c r="K283" s="356"/>
      <c r="L283" s="356"/>
      <c r="M283" s="356"/>
      <c r="N283" s="356"/>
      <c r="O283" s="356"/>
    </row>
    <row r="284" spans="4:15">
      <c r="D284" s="356"/>
      <c r="E284" s="356"/>
      <c r="F284" s="356"/>
      <c r="G284" s="356"/>
      <c r="H284" s="356"/>
      <c r="I284" s="356"/>
      <c r="J284" s="356"/>
      <c r="K284" s="356"/>
      <c r="L284" s="356"/>
      <c r="M284" s="356"/>
      <c r="N284" s="356"/>
      <c r="O284" s="356"/>
    </row>
    <row r="285" spans="4:15">
      <c r="D285" s="356"/>
      <c r="E285" s="356"/>
      <c r="F285" s="356"/>
      <c r="G285" s="356"/>
      <c r="H285" s="356"/>
      <c r="I285" s="356"/>
      <c r="J285" s="356"/>
      <c r="K285" s="356"/>
      <c r="L285" s="356"/>
      <c r="M285" s="356"/>
      <c r="N285" s="356"/>
      <c r="O285" s="356"/>
    </row>
    <row r="286" spans="4:15">
      <c r="D286" s="356"/>
      <c r="E286" s="356"/>
      <c r="F286" s="356"/>
      <c r="G286" s="356"/>
      <c r="H286" s="356"/>
      <c r="I286" s="356"/>
      <c r="J286" s="356"/>
      <c r="K286" s="356"/>
      <c r="L286" s="356"/>
      <c r="M286" s="356"/>
      <c r="N286" s="356"/>
      <c r="O286" s="356"/>
    </row>
    <row r="287" spans="4:15">
      <c r="D287" s="356"/>
      <c r="E287" s="356"/>
      <c r="F287" s="356"/>
      <c r="G287" s="356"/>
      <c r="H287" s="356"/>
      <c r="I287" s="356"/>
      <c r="J287" s="356"/>
      <c r="K287" s="356"/>
      <c r="L287" s="356"/>
      <c r="M287" s="356"/>
      <c r="N287" s="356"/>
      <c r="O287" s="356"/>
    </row>
    <row r="288" spans="4:15">
      <c r="D288" s="356"/>
      <c r="E288" s="356"/>
      <c r="F288" s="356"/>
      <c r="G288" s="356"/>
      <c r="H288" s="356"/>
      <c r="I288" s="356"/>
      <c r="J288" s="356"/>
      <c r="K288" s="356"/>
      <c r="L288" s="356"/>
      <c r="M288" s="356"/>
      <c r="N288" s="356"/>
      <c r="O288" s="356"/>
    </row>
    <row r="289" spans="4:15">
      <c r="D289" s="356"/>
      <c r="E289" s="356"/>
      <c r="F289" s="356"/>
      <c r="G289" s="356"/>
      <c r="H289" s="356"/>
      <c r="I289" s="356"/>
      <c r="J289" s="356"/>
      <c r="K289" s="356"/>
      <c r="L289" s="356"/>
      <c r="M289" s="356"/>
      <c r="N289" s="356"/>
      <c r="O289" s="356"/>
    </row>
    <row r="290" spans="4:15">
      <c r="D290" s="356"/>
      <c r="E290" s="356"/>
      <c r="F290" s="356"/>
      <c r="G290" s="356"/>
      <c r="H290" s="356"/>
      <c r="I290" s="356"/>
      <c r="J290" s="356"/>
      <c r="K290" s="356"/>
      <c r="L290" s="356"/>
      <c r="M290" s="356"/>
      <c r="N290" s="356"/>
      <c r="O290" s="356"/>
    </row>
    <row r="291" spans="4:15">
      <c r="D291" s="356"/>
      <c r="E291" s="356"/>
      <c r="F291" s="356"/>
      <c r="G291" s="356"/>
      <c r="H291" s="356"/>
      <c r="I291" s="356"/>
      <c r="J291" s="356"/>
      <c r="K291" s="356"/>
      <c r="L291" s="356"/>
      <c r="M291" s="356"/>
      <c r="N291" s="356"/>
      <c r="O291" s="356"/>
    </row>
    <row r="292" spans="4:15">
      <c r="D292" s="356"/>
      <c r="E292" s="356"/>
      <c r="F292" s="356"/>
      <c r="G292" s="356"/>
      <c r="H292" s="356"/>
      <c r="I292" s="356"/>
      <c r="J292" s="356"/>
      <c r="K292" s="356"/>
      <c r="L292" s="356"/>
      <c r="M292" s="356"/>
      <c r="N292" s="356"/>
      <c r="O292" s="356"/>
    </row>
    <row r="293" spans="4:15">
      <c r="D293" s="356"/>
      <c r="E293" s="356"/>
      <c r="F293" s="356"/>
      <c r="G293" s="356"/>
      <c r="H293" s="356"/>
      <c r="I293" s="356"/>
      <c r="J293" s="356"/>
      <c r="K293" s="356"/>
      <c r="L293" s="356"/>
      <c r="M293" s="356"/>
      <c r="N293" s="356"/>
      <c r="O293" s="356"/>
    </row>
    <row r="294" spans="4:15">
      <c r="D294" s="356"/>
      <c r="E294" s="356"/>
      <c r="F294" s="356"/>
      <c r="G294" s="356"/>
      <c r="H294" s="356"/>
      <c r="I294" s="356"/>
      <c r="J294" s="356"/>
      <c r="K294" s="356"/>
      <c r="L294" s="356"/>
      <c r="M294" s="356"/>
      <c r="N294" s="356"/>
      <c r="O294" s="356"/>
    </row>
    <row r="295" spans="4:15">
      <c r="D295" s="356"/>
      <c r="E295" s="356"/>
      <c r="F295" s="356"/>
      <c r="G295" s="356"/>
      <c r="H295" s="356"/>
      <c r="I295" s="356"/>
      <c r="J295" s="356"/>
      <c r="K295" s="356"/>
      <c r="L295" s="356"/>
      <c r="M295" s="356"/>
      <c r="N295" s="356"/>
      <c r="O295" s="356"/>
    </row>
    <row r="296" spans="4:15">
      <c r="D296" s="356"/>
      <c r="E296" s="356"/>
      <c r="F296" s="356"/>
      <c r="G296" s="356"/>
      <c r="H296" s="356"/>
      <c r="I296" s="356"/>
      <c r="J296" s="356"/>
      <c r="K296" s="356"/>
      <c r="L296" s="356"/>
      <c r="M296" s="356"/>
      <c r="N296" s="356"/>
      <c r="O296" s="356"/>
    </row>
    <row r="297" spans="4:15">
      <c r="D297" s="356"/>
      <c r="E297" s="356"/>
      <c r="F297" s="356"/>
      <c r="G297" s="356"/>
      <c r="H297" s="356"/>
      <c r="I297" s="356"/>
      <c r="J297" s="356"/>
      <c r="K297" s="356"/>
      <c r="L297" s="356"/>
      <c r="M297" s="356"/>
      <c r="N297" s="356"/>
      <c r="O297" s="356"/>
    </row>
    <row r="298" spans="4:15">
      <c r="D298" s="356"/>
      <c r="E298" s="356"/>
      <c r="F298" s="356"/>
      <c r="G298" s="356"/>
      <c r="H298" s="356"/>
      <c r="I298" s="356"/>
      <c r="J298" s="356"/>
      <c r="K298" s="356"/>
      <c r="L298" s="356"/>
      <c r="M298" s="356"/>
      <c r="N298" s="356"/>
      <c r="O298" s="356"/>
    </row>
    <row r="299" spans="4:15">
      <c r="D299" s="356"/>
      <c r="E299" s="356"/>
      <c r="F299" s="356"/>
      <c r="G299" s="356"/>
      <c r="H299" s="356"/>
      <c r="I299" s="356"/>
      <c r="J299" s="356"/>
      <c r="K299" s="356"/>
      <c r="L299" s="356"/>
      <c r="M299" s="356"/>
      <c r="N299" s="356"/>
      <c r="O299" s="356"/>
    </row>
    <row r="300" spans="4:15">
      <c r="D300" s="356"/>
      <c r="E300" s="356"/>
      <c r="F300" s="356"/>
      <c r="G300" s="356"/>
      <c r="H300" s="356"/>
      <c r="I300" s="356"/>
      <c r="J300" s="356"/>
      <c r="K300" s="356"/>
      <c r="L300" s="356"/>
      <c r="M300" s="356"/>
      <c r="N300" s="356"/>
      <c r="O300" s="356"/>
    </row>
    <row r="301" spans="4:15">
      <c r="D301" s="356"/>
      <c r="E301" s="356"/>
      <c r="F301" s="356"/>
      <c r="G301" s="356"/>
      <c r="H301" s="356"/>
      <c r="I301" s="356"/>
      <c r="J301" s="356"/>
      <c r="K301" s="356"/>
      <c r="L301" s="356"/>
      <c r="M301" s="356"/>
      <c r="N301" s="356"/>
      <c r="O301" s="356"/>
    </row>
    <row r="302" spans="4:15">
      <c r="D302" s="356"/>
      <c r="E302" s="356"/>
      <c r="F302" s="356"/>
      <c r="G302" s="356"/>
      <c r="H302" s="356"/>
      <c r="I302" s="356"/>
      <c r="J302" s="356"/>
      <c r="K302" s="356"/>
      <c r="L302" s="356"/>
      <c r="M302" s="356"/>
      <c r="N302" s="356"/>
      <c r="O302" s="356"/>
    </row>
    <row r="303" spans="4:15">
      <c r="D303" s="356"/>
      <c r="E303" s="356"/>
      <c r="F303" s="356"/>
      <c r="G303" s="356"/>
      <c r="H303" s="356"/>
      <c r="I303" s="356"/>
      <c r="J303" s="356"/>
      <c r="K303" s="356"/>
      <c r="L303" s="356"/>
      <c r="M303" s="356"/>
      <c r="N303" s="356"/>
      <c r="O303" s="356"/>
    </row>
    <row r="304" spans="4:15">
      <c r="D304" s="356"/>
      <c r="E304" s="356"/>
      <c r="F304" s="356"/>
      <c r="G304" s="356"/>
      <c r="H304" s="356"/>
      <c r="I304" s="356"/>
      <c r="J304" s="356"/>
      <c r="K304" s="356"/>
      <c r="L304" s="356"/>
      <c r="M304" s="356"/>
      <c r="N304" s="356"/>
      <c r="O304" s="356"/>
    </row>
    <row r="305" spans="4:15">
      <c r="D305" s="356"/>
      <c r="E305" s="356"/>
      <c r="F305" s="356"/>
      <c r="G305" s="356"/>
      <c r="H305" s="356"/>
      <c r="I305" s="356"/>
      <c r="J305" s="356"/>
      <c r="K305" s="356"/>
      <c r="L305" s="356"/>
      <c r="M305" s="356"/>
      <c r="N305" s="356"/>
      <c r="O305" s="356"/>
    </row>
    <row r="306" spans="4:15">
      <c r="D306" s="356"/>
      <c r="E306" s="356"/>
      <c r="F306" s="356"/>
      <c r="G306" s="356"/>
      <c r="H306" s="356"/>
      <c r="I306" s="356"/>
      <c r="J306" s="356"/>
      <c r="K306" s="356"/>
      <c r="L306" s="356"/>
      <c r="M306" s="356"/>
      <c r="N306" s="356"/>
      <c r="O306" s="356"/>
    </row>
    <row r="307" spans="4:15">
      <c r="D307" s="356"/>
      <c r="E307" s="356"/>
      <c r="F307" s="356"/>
      <c r="G307" s="356"/>
      <c r="H307" s="356"/>
      <c r="I307" s="356"/>
      <c r="J307" s="356"/>
      <c r="K307" s="356"/>
      <c r="L307" s="356"/>
      <c r="M307" s="356"/>
      <c r="N307" s="356"/>
      <c r="O307" s="356"/>
    </row>
    <row r="308" spans="4:15">
      <c r="D308" s="356"/>
      <c r="E308" s="356"/>
      <c r="F308" s="356"/>
      <c r="G308" s="356"/>
      <c r="H308" s="356"/>
      <c r="I308" s="356"/>
      <c r="J308" s="356"/>
      <c r="K308" s="356"/>
      <c r="L308" s="356"/>
      <c r="M308" s="356"/>
      <c r="N308" s="356"/>
      <c r="O308" s="356"/>
    </row>
    <row r="309" spans="4:15">
      <c r="D309" s="356"/>
      <c r="E309" s="356"/>
      <c r="F309" s="356"/>
      <c r="G309" s="356"/>
      <c r="H309" s="356"/>
      <c r="I309" s="356"/>
      <c r="J309" s="356"/>
      <c r="K309" s="356"/>
      <c r="L309" s="356"/>
      <c r="M309" s="356"/>
      <c r="N309" s="356"/>
      <c r="O309" s="356"/>
    </row>
    <row r="310" spans="4:15">
      <c r="D310" s="356"/>
      <c r="E310" s="356"/>
      <c r="F310" s="356"/>
      <c r="G310" s="356"/>
      <c r="H310" s="356"/>
      <c r="I310" s="356"/>
      <c r="J310" s="356"/>
      <c r="K310" s="356"/>
      <c r="L310" s="356"/>
      <c r="M310" s="356"/>
      <c r="N310" s="356"/>
      <c r="O310" s="356"/>
    </row>
    <row r="311" spans="4:15">
      <c r="D311" s="356"/>
      <c r="E311" s="356"/>
      <c r="F311" s="356"/>
      <c r="G311" s="356"/>
      <c r="H311" s="356"/>
      <c r="I311" s="356"/>
      <c r="J311" s="356"/>
      <c r="K311" s="356"/>
      <c r="L311" s="356"/>
      <c r="M311" s="356"/>
      <c r="N311" s="356"/>
      <c r="O311" s="356"/>
    </row>
    <row r="312" spans="4:15">
      <c r="D312" s="356"/>
      <c r="E312" s="356"/>
      <c r="F312" s="356"/>
      <c r="G312" s="356"/>
      <c r="H312" s="356"/>
      <c r="I312" s="356"/>
      <c r="J312" s="356"/>
      <c r="K312" s="356"/>
      <c r="L312" s="356"/>
      <c r="M312" s="356"/>
      <c r="N312" s="356"/>
      <c r="O312" s="356"/>
    </row>
    <row r="313" spans="4:15">
      <c r="D313" s="356"/>
      <c r="E313" s="356"/>
      <c r="F313" s="356"/>
      <c r="G313" s="356"/>
      <c r="H313" s="356"/>
      <c r="I313" s="356"/>
      <c r="J313" s="356"/>
      <c r="K313" s="356"/>
      <c r="L313" s="356"/>
      <c r="M313" s="356"/>
      <c r="N313" s="356"/>
      <c r="O313" s="356"/>
    </row>
    <row r="314" spans="4:15">
      <c r="D314" s="356"/>
      <c r="E314" s="356"/>
      <c r="F314" s="356"/>
      <c r="G314" s="356"/>
      <c r="H314" s="356"/>
      <c r="I314" s="356"/>
      <c r="J314" s="356"/>
      <c r="K314" s="356"/>
      <c r="L314" s="356"/>
      <c r="M314" s="356"/>
      <c r="N314" s="356"/>
      <c r="O314" s="356"/>
    </row>
    <row r="315" spans="4:15">
      <c r="D315" s="356"/>
      <c r="E315" s="356"/>
      <c r="F315" s="356"/>
      <c r="G315" s="356"/>
      <c r="H315" s="356"/>
      <c r="I315" s="356"/>
      <c r="J315" s="356"/>
      <c r="K315" s="356"/>
      <c r="L315" s="356"/>
      <c r="M315" s="356"/>
      <c r="N315" s="356"/>
      <c r="O315" s="356"/>
    </row>
    <row r="316" spans="4:15">
      <c r="D316" s="356"/>
      <c r="E316" s="356"/>
      <c r="F316" s="356"/>
      <c r="G316" s="356"/>
      <c r="H316" s="356"/>
      <c r="I316" s="356"/>
      <c r="J316" s="356"/>
      <c r="K316" s="356"/>
      <c r="L316" s="356"/>
      <c r="M316" s="356"/>
      <c r="N316" s="356"/>
      <c r="O316" s="356"/>
    </row>
    <row r="317" spans="4:15">
      <c r="D317" s="356"/>
      <c r="E317" s="356"/>
      <c r="F317" s="356"/>
      <c r="G317" s="356"/>
      <c r="H317" s="356"/>
      <c r="I317" s="356"/>
      <c r="J317" s="356"/>
      <c r="K317" s="356"/>
      <c r="L317" s="356"/>
      <c r="M317" s="356"/>
      <c r="N317" s="356"/>
      <c r="O317" s="356"/>
    </row>
    <row r="318" spans="4:15">
      <c r="D318" s="356"/>
      <c r="E318" s="356"/>
      <c r="F318" s="356"/>
      <c r="G318" s="356"/>
      <c r="H318" s="356"/>
      <c r="I318" s="356"/>
      <c r="J318" s="356"/>
      <c r="K318" s="356"/>
      <c r="L318" s="356"/>
      <c r="M318" s="356"/>
      <c r="N318" s="356"/>
      <c r="O318" s="356"/>
    </row>
    <row r="319" spans="4:15">
      <c r="D319" s="356"/>
      <c r="E319" s="356"/>
      <c r="F319" s="356"/>
      <c r="G319" s="356"/>
      <c r="H319" s="356"/>
      <c r="I319" s="356"/>
      <c r="J319" s="356"/>
      <c r="K319" s="356"/>
      <c r="L319" s="356"/>
      <c r="M319" s="356"/>
      <c r="N319" s="356"/>
      <c r="O319" s="356"/>
    </row>
    <row r="320" spans="4:15">
      <c r="D320" s="356"/>
      <c r="E320" s="356"/>
      <c r="F320" s="356"/>
      <c r="G320" s="356"/>
      <c r="H320" s="356"/>
      <c r="I320" s="356"/>
      <c r="J320" s="356"/>
      <c r="K320" s="356"/>
      <c r="L320" s="356"/>
      <c r="M320" s="356"/>
      <c r="N320" s="356"/>
      <c r="O320" s="356"/>
    </row>
    <row r="321" spans="4:15">
      <c r="D321" s="356"/>
      <c r="E321" s="356"/>
      <c r="F321" s="356"/>
      <c r="G321" s="356"/>
      <c r="H321" s="356"/>
      <c r="I321" s="356"/>
      <c r="J321" s="356"/>
      <c r="K321" s="356"/>
      <c r="L321" s="356"/>
      <c r="M321" s="356"/>
      <c r="N321" s="356"/>
      <c r="O321" s="356"/>
    </row>
    <row r="322" spans="4:15">
      <c r="D322" s="356"/>
      <c r="E322" s="356"/>
      <c r="F322" s="356"/>
      <c r="G322" s="356"/>
      <c r="H322" s="356"/>
      <c r="I322" s="356"/>
      <c r="J322" s="356"/>
      <c r="K322" s="356"/>
      <c r="L322" s="356"/>
      <c r="M322" s="356"/>
      <c r="N322" s="356"/>
      <c r="O322" s="356"/>
    </row>
    <row r="323" spans="4:15">
      <c r="D323" s="356"/>
      <c r="E323" s="356"/>
      <c r="F323" s="356"/>
      <c r="G323" s="356"/>
      <c r="H323" s="356"/>
      <c r="I323" s="356"/>
      <c r="J323" s="356"/>
      <c r="K323" s="356"/>
      <c r="L323" s="356"/>
      <c r="M323" s="356"/>
      <c r="N323" s="356"/>
      <c r="O323" s="356"/>
    </row>
    <row r="324" spans="4:15">
      <c r="D324" s="356"/>
      <c r="E324" s="356"/>
      <c r="F324" s="356"/>
      <c r="G324" s="356"/>
      <c r="H324" s="356"/>
      <c r="I324" s="356"/>
      <c r="J324" s="356"/>
      <c r="K324" s="356"/>
      <c r="L324" s="356"/>
      <c r="M324" s="356"/>
      <c r="N324" s="356"/>
      <c r="O324" s="356"/>
    </row>
    <row r="325" spans="4:15">
      <c r="D325" s="356"/>
      <c r="E325" s="356"/>
      <c r="F325" s="356"/>
      <c r="G325" s="356"/>
      <c r="H325" s="356"/>
      <c r="I325" s="356"/>
      <c r="J325" s="356"/>
      <c r="K325" s="356"/>
      <c r="L325" s="356"/>
      <c r="M325" s="356"/>
      <c r="N325" s="356"/>
      <c r="O325" s="356"/>
    </row>
    <row r="326" spans="4:15">
      <c r="D326" s="356"/>
      <c r="E326" s="356"/>
      <c r="F326" s="356"/>
      <c r="G326" s="356"/>
      <c r="H326" s="356"/>
      <c r="I326" s="356"/>
      <c r="J326" s="356"/>
      <c r="K326" s="356"/>
      <c r="L326" s="356"/>
      <c r="M326" s="356"/>
      <c r="N326" s="356"/>
      <c r="O326" s="356"/>
    </row>
    <row r="327" spans="4:15">
      <c r="D327" s="356"/>
      <c r="E327" s="356"/>
      <c r="F327" s="356"/>
      <c r="G327" s="356"/>
      <c r="H327" s="356"/>
      <c r="I327" s="356"/>
      <c r="J327" s="356"/>
      <c r="K327" s="356"/>
      <c r="L327" s="356"/>
      <c r="M327" s="356"/>
      <c r="N327" s="356"/>
      <c r="O327" s="356"/>
    </row>
    <row r="328" spans="4:15">
      <c r="D328" s="356"/>
      <c r="E328" s="356"/>
      <c r="F328" s="356"/>
      <c r="G328" s="356"/>
      <c r="H328" s="356"/>
      <c r="I328" s="356"/>
      <c r="J328" s="356"/>
      <c r="K328" s="356"/>
      <c r="L328" s="356"/>
      <c r="M328" s="356"/>
      <c r="N328" s="356"/>
      <c r="O328" s="356"/>
    </row>
  </sheetData>
  <mergeCells count="3">
    <mergeCell ref="Z1:AD1"/>
    <mergeCell ref="BC1:BG1"/>
    <mergeCell ref="BK1:BO1"/>
  </mergeCells>
  <dataValidations count="10">
    <dataValidation type="custom" allowBlank="1" showInputMessage="1" showErrorMessage="1" sqref="AJ3">
      <formula1>"zzz,,,xxx"</formula1>
    </dataValidation>
    <dataValidation type="custom" allowBlank="1" showInputMessage="1" showErrorMessage="1" sqref="AI3:AI7">
      <formula1>"zzzz,,,www"</formula1>
    </dataValidation>
    <dataValidation type="custom" allowBlank="1" showInputMessage="1" showErrorMessage="1" sqref="AJ7 AJ1 AJ10 AJ5">
      <formula1>"zzz;;;www"</formula1>
    </dataValidation>
    <dataValidation type="custom" operator="greaterThan" allowBlank="1" showInputMessage="1" showErrorMessage="1" errorTitle="stop" error="stop" promptTitle="cellule protégée" prompt="stop" sqref="D129:Q136">
      <formula1>"zzz;;;zzzz"</formula1>
    </dataValidation>
    <dataValidation type="whole" operator="greaterThan" allowBlank="1" showInputMessage="1" showErrorMessage="1" errorTitle="stop" error="retour" promptTitle="cellule protégée" prompt="stop" sqref="AA3:AD112 BL3:BP35 BL36:BO36 BD3:BG66 AV3:AY54">
      <formula1>99999999</formula1>
    </dataValidation>
    <dataValidation operator="greaterThan" allowBlank="1" showInputMessage="1" showErrorMessage="1" errorTitle="stop" error="retour" sqref="BC1:BC66 Z133:Z1048576 AE1:AE1048576 AA1:AD2 AA131:AD1048576 BL1:BP2 BB1:BB2 BD1:BH2 BK1:BK36 BJ1:BJ2 Z1:Z131 Y1:Y1048576 AU3:AU54"/>
    <dataValidation allowBlank="1" showInputMessage="1" showErrorMessage="1" sqref="AI20"/>
    <dataValidation type="custom" allowBlank="1" showInputMessage="1" showErrorMessage="1" sqref="BA1:BA70 AZ40:AZ66 AZ1:AZ34">
      <formula1>"x-y"</formula1>
    </dataValidation>
    <dataValidation type="whole" operator="greaterThan" allowBlank="1" showInputMessage="1" showErrorMessage="1" errorTitle="stop" error="stop" promptTitle="cellule protégée" prompt="stop" sqref="P137:Q1048576 P1:Q128">
      <formula1>999999999</formula1>
    </dataValidation>
    <dataValidation type="custom" allowBlank="1" showInputMessage="1" showErrorMessage="1" errorTitle="Modif impossibel" error="Cellule proégée" promptTitle="Ne pas modifier" prompt="Arret" sqref="AI1">
      <formula1>"x+x"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64_4t</vt:lpstr>
      <vt:lpstr>resultat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brazeaupierre@gmail.com</dc:creator>
  <cp:lastModifiedBy>brazeaupierre@gmail.com</cp:lastModifiedBy>
  <dcterms:created xsi:type="dcterms:W3CDTF">2019-02-06T14:24:53Z</dcterms:created>
  <dcterms:modified xsi:type="dcterms:W3CDTF">2019-02-06T14:52:54Z</dcterms:modified>
</cp:coreProperties>
</file>