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120" yWindow="60" windowWidth="14340" windowHeight="7080" tabRatio="631" activeTab="2"/>
  </bookViews>
  <sheets>
    <sheet name="resultat" sheetId="35" r:id="rId1"/>
    <sheet name="22 eq" sheetId="5" state="hidden" r:id="rId2"/>
    <sheet name="66_128 eq" sheetId="39" r:id="rId3"/>
  </sheets>
  <externalReferences>
    <externalReference r:id="rId4"/>
  </externalReferences>
  <definedNames>
    <definedName name="_xlnm.Print_Area" localSheetId="2">'66_128 eq'!#REF!</definedName>
    <definedName name="_xlnm.Print_Area" localSheetId="0">resultat!$BA$1:$BM$36</definedName>
  </definedNames>
  <calcPr calcId="125725"/>
</workbook>
</file>

<file path=xl/calcChain.xml><?xml version="1.0" encoding="utf-8"?>
<calcChain xmlns="http://schemas.openxmlformats.org/spreadsheetml/2006/main">
  <c r="BX405" i="39"/>
  <c r="BW405"/>
  <c r="BR405"/>
  <c r="BX404"/>
  <c r="BW404"/>
  <c r="BR404"/>
  <c r="BX403"/>
  <c r="BW403"/>
  <c r="BR403"/>
  <c r="BX402"/>
  <c r="BW402"/>
  <c r="BR402"/>
  <c r="BX401"/>
  <c r="BW401"/>
  <c r="BR401"/>
  <c r="BX400"/>
  <c r="BW400"/>
  <c r="BR400"/>
  <c r="BX399"/>
  <c r="BW399"/>
  <c r="BR399"/>
  <c r="BX398"/>
  <c r="BW398"/>
  <c r="BR398"/>
  <c r="BX397"/>
  <c r="BW397"/>
  <c r="BR397"/>
  <c r="BX396"/>
  <c r="BW396"/>
  <c r="BR396"/>
  <c r="BX395"/>
  <c r="BW395"/>
  <c r="BR395"/>
  <c r="BX394"/>
  <c r="BW394"/>
  <c r="BR394"/>
  <c r="BX393"/>
  <c r="BW393"/>
  <c r="BR393"/>
  <c r="BX392"/>
  <c r="BW392"/>
  <c r="BR392"/>
  <c r="BX391"/>
  <c r="BW391"/>
  <c r="BR391"/>
  <c r="BX390"/>
  <c r="BW390"/>
  <c r="BR390"/>
  <c r="BX389"/>
  <c r="BW389"/>
  <c r="BR389"/>
  <c r="BX388"/>
  <c r="BW388"/>
  <c r="BR388"/>
  <c r="BX387"/>
  <c r="BW387"/>
  <c r="BR387"/>
  <c r="BX386"/>
  <c r="BW386"/>
  <c r="BR386"/>
  <c r="BX385"/>
  <c r="BW385"/>
  <c r="BR385"/>
  <c r="BX384"/>
  <c r="BW384"/>
  <c r="BR384"/>
  <c r="BX383"/>
  <c r="BW383"/>
  <c r="BR383"/>
  <c r="BX382"/>
  <c r="BW382"/>
  <c r="BR382"/>
  <c r="BX381"/>
  <c r="BW381"/>
  <c r="BR381"/>
  <c r="BX380"/>
  <c r="BW380"/>
  <c r="BR380"/>
  <c r="BX379"/>
  <c r="BW379"/>
  <c r="BR379"/>
  <c r="BX378"/>
  <c r="BW378"/>
  <c r="BR378"/>
  <c r="BX377"/>
  <c r="BW377"/>
  <c r="BR377"/>
  <c r="BX376"/>
  <c r="BW376"/>
  <c r="BR376"/>
  <c r="BX375"/>
  <c r="BW375"/>
  <c r="BR375"/>
  <c r="BX374"/>
  <c r="BW374"/>
  <c r="BR374"/>
  <c r="BX373"/>
  <c r="BW373"/>
  <c r="BR373"/>
  <c r="BX372"/>
  <c r="BW372"/>
  <c r="BR372"/>
  <c r="BX371"/>
  <c r="BW371"/>
  <c r="BR371"/>
  <c r="BX370"/>
  <c r="BW370"/>
  <c r="BR370"/>
  <c r="BX369"/>
  <c r="BW369"/>
  <c r="BR369"/>
  <c r="BX368"/>
  <c r="BW368"/>
  <c r="BR368"/>
  <c r="BX367"/>
  <c r="BW367"/>
  <c r="BR367"/>
  <c r="BX366"/>
  <c r="BW366"/>
  <c r="BR366"/>
  <c r="BX365"/>
  <c r="BW365"/>
  <c r="BR365"/>
  <c r="BX364"/>
  <c r="BW364"/>
  <c r="BR364"/>
  <c r="BX363"/>
  <c r="BW363"/>
  <c r="BR363"/>
  <c r="BX362"/>
  <c r="BW362"/>
  <c r="BR362"/>
  <c r="BX361"/>
  <c r="BW361"/>
  <c r="BR361"/>
  <c r="BX360"/>
  <c r="BW360"/>
  <c r="BR360"/>
  <c r="BX359"/>
  <c r="BW359"/>
  <c r="BR359"/>
  <c r="BX358"/>
  <c r="BW358"/>
  <c r="BR358"/>
  <c r="BX357"/>
  <c r="BW357"/>
  <c r="BR357"/>
  <c r="BX356"/>
  <c r="BW356"/>
  <c r="BR356"/>
  <c r="BX355"/>
  <c r="BW355"/>
  <c r="BR355"/>
  <c r="BX354"/>
  <c r="BW354"/>
  <c r="BR354"/>
  <c r="BX353"/>
  <c r="BW353"/>
  <c r="BR353"/>
  <c r="BX352"/>
  <c r="BW352"/>
  <c r="BR352"/>
  <c r="BX351"/>
  <c r="BW351"/>
  <c r="BR351"/>
  <c r="BX350"/>
  <c r="BW350"/>
  <c r="BR350"/>
  <c r="BX349"/>
  <c r="BW349"/>
  <c r="BR349"/>
  <c r="BX348"/>
  <c r="BW348"/>
  <c r="BR348"/>
  <c r="BX347"/>
  <c r="BW347"/>
  <c r="BR347"/>
  <c r="BX346"/>
  <c r="BW346"/>
  <c r="BR346"/>
  <c r="BX345"/>
  <c r="BW345"/>
  <c r="BR345"/>
  <c r="BX344"/>
  <c r="BW344"/>
  <c r="BR344"/>
  <c r="BX343"/>
  <c r="BW343"/>
  <c r="BR343"/>
  <c r="BX342"/>
  <c r="BW342"/>
  <c r="BR342"/>
  <c r="BX338"/>
  <c r="BW338"/>
  <c r="BR338"/>
  <c r="BX337"/>
  <c r="BW337"/>
  <c r="BR337"/>
  <c r="BX336"/>
  <c r="BW336"/>
  <c r="BR336"/>
  <c r="BX335"/>
  <c r="BW335"/>
  <c r="BR335"/>
  <c r="BX334"/>
  <c r="BW334"/>
  <c r="BR334"/>
  <c r="BX333"/>
  <c r="BW333"/>
  <c r="BR333"/>
  <c r="BX332"/>
  <c r="BW332"/>
  <c r="BR332"/>
  <c r="BX331"/>
  <c r="BW331"/>
  <c r="BR331"/>
  <c r="BX330"/>
  <c r="BW330"/>
  <c r="BR330"/>
  <c r="BX329"/>
  <c r="BW329"/>
  <c r="BR329"/>
  <c r="BX328"/>
  <c r="BW328"/>
  <c r="BR328"/>
  <c r="BX327"/>
  <c r="BW327"/>
  <c r="BR327"/>
  <c r="BX326"/>
  <c r="BW326"/>
  <c r="BR326"/>
  <c r="BX325"/>
  <c r="BW325"/>
  <c r="BR325"/>
  <c r="BX324"/>
  <c r="BW324"/>
  <c r="BR324"/>
  <c r="BX323"/>
  <c r="BW323"/>
  <c r="BR323"/>
  <c r="BX322"/>
  <c r="BW322"/>
  <c r="BR322"/>
  <c r="BX321"/>
  <c r="BW321"/>
  <c r="BR321"/>
  <c r="BX320"/>
  <c r="BW320"/>
  <c r="BR320"/>
  <c r="BX319"/>
  <c r="BW319"/>
  <c r="BR319"/>
  <c r="BX318"/>
  <c r="BW318"/>
  <c r="BR318"/>
  <c r="BX317"/>
  <c r="BW317"/>
  <c r="BR317"/>
  <c r="BX316"/>
  <c r="BW316"/>
  <c r="BR316"/>
  <c r="BX315"/>
  <c r="BW315"/>
  <c r="BR315"/>
  <c r="BX314"/>
  <c r="BW314"/>
  <c r="BR314"/>
  <c r="BX313"/>
  <c r="BW313"/>
  <c r="BR313"/>
  <c r="BX312"/>
  <c r="BW312"/>
  <c r="BR312"/>
  <c r="BX311"/>
  <c r="BW311"/>
  <c r="BR311"/>
  <c r="BX310"/>
  <c r="BW310"/>
  <c r="BR310"/>
  <c r="BX309"/>
  <c r="BW309"/>
  <c r="BR309"/>
  <c r="BX308"/>
  <c r="BW308"/>
  <c r="BR308"/>
  <c r="BX307"/>
  <c r="BW307"/>
  <c r="BR307"/>
  <c r="BX306"/>
  <c r="BW306"/>
  <c r="BR306"/>
  <c r="BX305"/>
  <c r="BW305"/>
  <c r="BR305"/>
  <c r="BX304"/>
  <c r="BW304"/>
  <c r="BR304"/>
  <c r="BX303"/>
  <c r="BW303"/>
  <c r="BR303"/>
  <c r="BX302"/>
  <c r="BW302"/>
  <c r="BR302"/>
  <c r="BX301"/>
  <c r="BW301"/>
  <c r="BR301"/>
  <c r="BX300"/>
  <c r="BW300"/>
  <c r="BR300"/>
  <c r="BX299"/>
  <c r="BW299"/>
  <c r="BR299"/>
  <c r="BX298"/>
  <c r="BW298"/>
  <c r="BR298"/>
  <c r="BX297"/>
  <c r="BW297"/>
  <c r="BR297"/>
  <c r="BX296"/>
  <c r="BW296"/>
  <c r="BR296"/>
  <c r="BX295"/>
  <c r="BW295"/>
  <c r="BR295"/>
  <c r="BX294"/>
  <c r="BW294"/>
  <c r="BR294"/>
  <c r="BX293"/>
  <c r="BW293"/>
  <c r="BR293"/>
  <c r="BX292"/>
  <c r="BW292"/>
  <c r="BR292"/>
  <c r="BX291"/>
  <c r="BW291"/>
  <c r="BR291"/>
  <c r="BX290"/>
  <c r="BW290"/>
  <c r="BR290"/>
  <c r="BX289"/>
  <c r="BW289"/>
  <c r="BR289"/>
  <c r="BX288"/>
  <c r="BW288"/>
  <c r="BR288"/>
  <c r="BX287"/>
  <c r="BW287"/>
  <c r="BR287"/>
  <c r="BX286"/>
  <c r="BW286"/>
  <c r="BR286"/>
  <c r="BX285"/>
  <c r="BW285"/>
  <c r="BR285"/>
  <c r="BX284"/>
  <c r="BW284"/>
  <c r="BR284"/>
  <c r="BX283"/>
  <c r="BW283"/>
  <c r="BR283"/>
  <c r="BX282"/>
  <c r="BW282"/>
  <c r="BR282"/>
  <c r="BX281"/>
  <c r="BW281"/>
  <c r="BR281"/>
  <c r="BX280"/>
  <c r="BW280"/>
  <c r="BR280"/>
  <c r="BX279"/>
  <c r="BW279"/>
  <c r="BR279"/>
  <c r="BX278"/>
  <c r="BW278"/>
  <c r="BR278"/>
  <c r="BX277"/>
  <c r="BW277"/>
  <c r="BR277"/>
  <c r="BX276"/>
  <c r="BW276"/>
  <c r="BR276"/>
  <c r="BX275"/>
  <c r="BW275"/>
  <c r="BR275"/>
  <c r="BX271"/>
  <c r="BW271"/>
  <c r="BR271"/>
  <c r="BX270"/>
  <c r="BW270"/>
  <c r="BR270"/>
  <c r="BX269"/>
  <c r="BW269"/>
  <c r="BR269"/>
  <c r="BX268"/>
  <c r="BW268"/>
  <c r="BR268"/>
  <c r="BX267"/>
  <c r="BW267"/>
  <c r="BR267"/>
  <c r="BX266"/>
  <c r="BW266"/>
  <c r="BR266"/>
  <c r="BX265"/>
  <c r="BW265"/>
  <c r="BR265"/>
  <c r="BX264"/>
  <c r="BW264"/>
  <c r="BR264"/>
  <c r="BX263"/>
  <c r="BW263"/>
  <c r="BR263"/>
  <c r="BX262"/>
  <c r="BW262"/>
  <c r="BR262"/>
  <c r="BX261"/>
  <c r="BW261"/>
  <c r="BR261"/>
  <c r="BX260"/>
  <c r="BW260"/>
  <c r="BR260"/>
  <c r="BX259"/>
  <c r="BW259"/>
  <c r="BR259"/>
  <c r="BX258"/>
  <c r="BW258"/>
  <c r="BR258"/>
  <c r="BX257"/>
  <c r="BW257"/>
  <c r="BR257"/>
  <c r="BX256"/>
  <c r="BW256"/>
  <c r="BR256"/>
  <c r="BX255"/>
  <c r="BW255"/>
  <c r="BR255"/>
  <c r="BX254"/>
  <c r="BW254"/>
  <c r="BR254"/>
  <c r="BX253"/>
  <c r="BW253"/>
  <c r="BR253"/>
  <c r="BX252"/>
  <c r="BW252"/>
  <c r="BR252"/>
  <c r="BX251"/>
  <c r="BW251"/>
  <c r="BR251"/>
  <c r="BX250"/>
  <c r="BW250"/>
  <c r="BR250"/>
  <c r="BX249"/>
  <c r="BW249"/>
  <c r="BR249"/>
  <c r="BX248"/>
  <c r="BW248"/>
  <c r="BR248"/>
  <c r="BX247"/>
  <c r="BW247"/>
  <c r="BR247"/>
  <c r="BX246"/>
  <c r="BW246"/>
  <c r="BR246"/>
  <c r="BX245"/>
  <c r="BW245"/>
  <c r="BR245"/>
  <c r="BX244"/>
  <c r="BW244"/>
  <c r="BR244"/>
  <c r="BX243"/>
  <c r="BW243"/>
  <c r="BR243"/>
  <c r="BX242"/>
  <c r="BW242"/>
  <c r="BR242"/>
  <c r="BX241"/>
  <c r="BW241"/>
  <c r="BR241"/>
  <c r="BX240"/>
  <c r="BW240"/>
  <c r="BR240"/>
  <c r="BX239"/>
  <c r="BW239"/>
  <c r="BR239"/>
  <c r="BX238"/>
  <c r="BW238"/>
  <c r="BR238"/>
  <c r="BX237"/>
  <c r="BW237"/>
  <c r="BR237"/>
  <c r="BX236"/>
  <c r="BW236"/>
  <c r="BR236"/>
  <c r="BX235"/>
  <c r="BW235"/>
  <c r="BR235"/>
  <c r="BX234"/>
  <c r="BW234"/>
  <c r="BR234"/>
  <c r="BX233"/>
  <c r="BW233"/>
  <c r="BR233"/>
  <c r="BX232"/>
  <c r="BW232"/>
  <c r="BR232"/>
  <c r="BX231"/>
  <c r="BW231"/>
  <c r="BR231"/>
  <c r="BX230"/>
  <c r="BW230"/>
  <c r="BR230"/>
  <c r="BX229"/>
  <c r="BW229"/>
  <c r="BR229"/>
  <c r="BX228"/>
  <c r="BW228"/>
  <c r="BR228"/>
  <c r="BX227"/>
  <c r="BW227"/>
  <c r="BR227"/>
  <c r="BX226"/>
  <c r="BW226"/>
  <c r="BR226"/>
  <c r="BX225"/>
  <c r="BW225"/>
  <c r="BR225"/>
  <c r="BX224"/>
  <c r="BW224"/>
  <c r="BR224"/>
  <c r="BX223"/>
  <c r="BW223"/>
  <c r="BR223"/>
  <c r="BX222"/>
  <c r="BW222"/>
  <c r="BR222"/>
  <c r="BX221"/>
  <c r="BW221"/>
  <c r="BR221"/>
  <c r="BX220"/>
  <c r="BW220"/>
  <c r="BR220"/>
  <c r="BX219"/>
  <c r="BW219"/>
  <c r="BR219"/>
  <c r="BX218"/>
  <c r="BW218"/>
  <c r="BR218"/>
  <c r="BX217"/>
  <c r="BW217"/>
  <c r="BR217"/>
  <c r="BX216"/>
  <c r="BW216"/>
  <c r="BR216"/>
  <c r="BX215"/>
  <c r="BW215"/>
  <c r="BR215"/>
  <c r="BX214"/>
  <c r="BW214"/>
  <c r="BR214"/>
  <c r="BX213"/>
  <c r="BW213"/>
  <c r="BR213"/>
  <c r="BX212"/>
  <c r="BW212"/>
  <c r="BR212"/>
  <c r="BX211"/>
  <c r="BW211"/>
  <c r="BR211"/>
  <c r="BX210"/>
  <c r="BW210"/>
  <c r="BR210"/>
  <c r="BX209"/>
  <c r="BW209"/>
  <c r="BR209"/>
  <c r="BX208"/>
  <c r="BW208"/>
  <c r="BR208"/>
  <c r="BX204"/>
  <c r="BW204"/>
  <c r="BR204"/>
  <c r="BX203"/>
  <c r="BW203"/>
  <c r="BR203"/>
  <c r="BX202"/>
  <c r="BW202"/>
  <c r="BR202"/>
  <c r="BX201"/>
  <c r="BW201"/>
  <c r="BR201"/>
  <c r="BX200"/>
  <c r="BW200"/>
  <c r="BR200"/>
  <c r="BX199"/>
  <c r="BW199"/>
  <c r="BR199"/>
  <c r="BX198"/>
  <c r="BW198"/>
  <c r="BR198"/>
  <c r="BX197"/>
  <c r="BW197"/>
  <c r="BR197"/>
  <c r="BX196"/>
  <c r="BW196"/>
  <c r="BR196"/>
  <c r="BX195"/>
  <c r="BW195"/>
  <c r="BR195"/>
  <c r="BX194"/>
  <c r="BW194"/>
  <c r="BR194"/>
  <c r="BX193"/>
  <c r="BW193"/>
  <c r="BR193"/>
  <c r="BX192"/>
  <c r="BW192"/>
  <c r="BR192"/>
  <c r="BX191"/>
  <c r="BW191"/>
  <c r="BR191"/>
  <c r="BX190"/>
  <c r="BW190"/>
  <c r="BR190"/>
  <c r="BX189"/>
  <c r="BW189"/>
  <c r="BR189"/>
  <c r="BX188"/>
  <c r="BW188"/>
  <c r="BR188"/>
  <c r="BX187"/>
  <c r="BW187"/>
  <c r="BR187"/>
  <c r="BX186"/>
  <c r="BW186"/>
  <c r="BR186"/>
  <c r="BX185"/>
  <c r="BW185"/>
  <c r="BR185"/>
  <c r="BX184"/>
  <c r="BW184"/>
  <c r="BR184"/>
  <c r="BX183"/>
  <c r="BW183"/>
  <c r="BR183"/>
  <c r="BX182"/>
  <c r="BW182"/>
  <c r="BR182"/>
  <c r="BX181"/>
  <c r="BW181"/>
  <c r="BR181"/>
  <c r="BX180"/>
  <c r="BW180"/>
  <c r="BR180"/>
  <c r="BX179"/>
  <c r="BW179"/>
  <c r="BR179"/>
  <c r="BX178"/>
  <c r="BW178"/>
  <c r="BR178"/>
  <c r="BX177"/>
  <c r="BW177"/>
  <c r="BR177"/>
  <c r="BX176"/>
  <c r="BW176"/>
  <c r="BR176"/>
  <c r="BX175"/>
  <c r="BW175"/>
  <c r="BR175"/>
  <c r="BX174"/>
  <c r="BW174"/>
  <c r="BR174"/>
  <c r="BX173"/>
  <c r="BW173"/>
  <c r="BR173"/>
  <c r="BX172"/>
  <c r="BW172"/>
  <c r="BR172"/>
  <c r="BX171"/>
  <c r="BW171"/>
  <c r="BR171"/>
  <c r="BX170"/>
  <c r="BW170"/>
  <c r="BR170"/>
  <c r="BX169"/>
  <c r="BW169"/>
  <c r="BR169"/>
  <c r="BX168"/>
  <c r="BW168"/>
  <c r="BR168"/>
  <c r="BX167"/>
  <c r="BW167"/>
  <c r="BR167"/>
  <c r="BX166"/>
  <c r="BW166"/>
  <c r="BR166"/>
  <c r="BX165"/>
  <c r="BW165"/>
  <c r="BR165"/>
  <c r="BX164"/>
  <c r="BW164"/>
  <c r="BR164"/>
  <c r="BX163"/>
  <c r="BW163"/>
  <c r="BR163"/>
  <c r="BX162"/>
  <c r="BW162"/>
  <c r="BR162"/>
  <c r="BX161"/>
  <c r="BW161"/>
  <c r="BR161"/>
  <c r="BX160"/>
  <c r="BW160"/>
  <c r="BR160"/>
  <c r="BX159"/>
  <c r="BW159"/>
  <c r="BR159"/>
  <c r="BX158"/>
  <c r="BW158"/>
  <c r="BR158"/>
  <c r="BX157"/>
  <c r="BW157"/>
  <c r="BR157"/>
  <c r="BX156"/>
  <c r="BW156"/>
  <c r="BR156"/>
  <c r="BX155"/>
  <c r="BW155"/>
  <c r="BR155"/>
  <c r="BX154"/>
  <c r="BW154"/>
  <c r="BR154"/>
  <c r="BX153"/>
  <c r="BW153"/>
  <c r="BR153"/>
  <c r="BX152"/>
  <c r="BW152"/>
  <c r="BR152"/>
  <c r="BX151"/>
  <c r="BW151"/>
  <c r="BR151"/>
  <c r="BX150"/>
  <c r="BW150"/>
  <c r="BR150"/>
  <c r="BX149"/>
  <c r="BW149"/>
  <c r="BR149"/>
  <c r="BX148"/>
  <c r="BW148"/>
  <c r="BR148"/>
  <c r="BX147"/>
  <c r="BW147"/>
  <c r="BR147"/>
  <c r="BX146"/>
  <c r="BW146"/>
  <c r="BR146"/>
  <c r="BX145"/>
  <c r="BW145"/>
  <c r="BR145"/>
  <c r="BX144"/>
  <c r="BW144"/>
  <c r="BR144"/>
  <c r="BX143"/>
  <c r="BW143"/>
  <c r="BR143"/>
  <c r="BX142"/>
  <c r="BW142"/>
  <c r="BR142"/>
  <c r="BX141"/>
  <c r="BW141"/>
  <c r="BR141"/>
  <c r="BX137"/>
  <c r="BW137"/>
  <c r="BR137"/>
  <c r="BX136"/>
  <c r="BW136"/>
  <c r="BR136"/>
  <c r="BX135"/>
  <c r="BW135"/>
  <c r="BR135"/>
  <c r="BX134"/>
  <c r="BW134"/>
  <c r="BR134"/>
  <c r="BX133"/>
  <c r="BW133"/>
  <c r="BR133"/>
  <c r="BX132"/>
  <c r="BW132"/>
  <c r="BR132"/>
  <c r="BX131"/>
  <c r="BW131"/>
  <c r="BR131"/>
  <c r="BX130"/>
  <c r="BW130"/>
  <c r="BR130"/>
  <c r="BX129"/>
  <c r="BW129"/>
  <c r="BR129"/>
  <c r="BX128"/>
  <c r="BW128"/>
  <c r="BR128"/>
  <c r="BN128"/>
  <c r="BM128"/>
  <c r="BX127"/>
  <c r="BW127"/>
  <c r="BR127"/>
  <c r="BN127"/>
  <c r="BM127"/>
  <c r="BX126"/>
  <c r="BW126"/>
  <c r="BR126"/>
  <c r="BN126"/>
  <c r="BM126"/>
  <c r="BX125"/>
  <c r="BW125"/>
  <c r="BR125"/>
  <c r="BN125"/>
  <c r="BM125"/>
  <c r="BX124"/>
  <c r="BW124"/>
  <c r="BR124"/>
  <c r="BN124"/>
  <c r="BM124"/>
  <c r="BX123"/>
  <c r="BW123"/>
  <c r="BR123"/>
  <c r="BN123"/>
  <c r="BM123"/>
  <c r="BX122"/>
  <c r="BW122"/>
  <c r="BR122"/>
  <c r="BN122"/>
  <c r="BM122"/>
  <c r="BX121"/>
  <c r="BW121"/>
  <c r="BR121"/>
  <c r="BN121"/>
  <c r="BM121"/>
  <c r="BX120"/>
  <c r="BW120"/>
  <c r="BR120"/>
  <c r="BN120"/>
  <c r="BM120"/>
  <c r="BX119"/>
  <c r="BW119"/>
  <c r="BR119"/>
  <c r="BN119"/>
  <c r="BM119"/>
  <c r="BX118"/>
  <c r="BW118"/>
  <c r="BR118"/>
  <c r="BN118"/>
  <c r="BM118"/>
  <c r="BX117"/>
  <c r="BW117"/>
  <c r="BR117"/>
  <c r="BN117"/>
  <c r="BM117"/>
  <c r="BX116"/>
  <c r="BW116"/>
  <c r="BR116"/>
  <c r="BN116"/>
  <c r="BM116"/>
  <c r="BX115"/>
  <c r="BW115"/>
  <c r="BR115"/>
  <c r="BN115"/>
  <c r="BM115"/>
  <c r="BX114"/>
  <c r="BW114"/>
  <c r="BR114"/>
  <c r="BN114"/>
  <c r="BM114"/>
  <c r="BX113"/>
  <c r="BW113"/>
  <c r="BR113"/>
  <c r="BN113"/>
  <c r="BM113"/>
  <c r="BX112"/>
  <c r="BW112"/>
  <c r="BR112"/>
  <c r="BN112"/>
  <c r="BM112"/>
  <c r="BX111"/>
  <c r="BW111"/>
  <c r="BR111"/>
  <c r="BN111"/>
  <c r="BM111"/>
  <c r="BX110"/>
  <c r="BW110"/>
  <c r="BR110"/>
  <c r="BN110"/>
  <c r="BM110"/>
  <c r="BX109"/>
  <c r="BW109"/>
  <c r="BR109"/>
  <c r="BN109"/>
  <c r="BM109"/>
  <c r="BX108"/>
  <c r="BW108"/>
  <c r="BR108"/>
  <c r="BN108"/>
  <c r="BM108"/>
  <c r="BX107"/>
  <c r="BW107"/>
  <c r="BR107"/>
  <c r="BN107"/>
  <c r="BM107"/>
  <c r="BX106"/>
  <c r="BW106"/>
  <c r="BR106"/>
  <c r="BN106"/>
  <c r="BM106"/>
  <c r="BX105"/>
  <c r="BW105"/>
  <c r="BR105"/>
  <c r="BN105"/>
  <c r="BM105"/>
  <c r="BX104"/>
  <c r="BW104"/>
  <c r="BR104"/>
  <c r="BN104"/>
  <c r="BM104"/>
  <c r="BX103"/>
  <c r="BW103"/>
  <c r="BR103"/>
  <c r="BN103"/>
  <c r="BM103"/>
  <c r="BX102"/>
  <c r="BW102"/>
  <c r="BR102"/>
  <c r="BN102"/>
  <c r="BM102"/>
  <c r="BX101"/>
  <c r="BW101"/>
  <c r="BR101"/>
  <c r="BN101"/>
  <c r="BM101"/>
  <c r="BX100"/>
  <c r="BW100"/>
  <c r="BR100"/>
  <c r="BN100"/>
  <c r="BM100"/>
  <c r="BX99"/>
  <c r="BW99"/>
  <c r="BR99"/>
  <c r="BN99"/>
  <c r="BM99"/>
  <c r="BX98"/>
  <c r="BW98"/>
  <c r="BR98"/>
  <c r="BN98"/>
  <c r="BM98"/>
  <c r="BX97"/>
  <c r="BW97"/>
  <c r="BR97"/>
  <c r="BN97"/>
  <c r="BM97"/>
  <c r="BX96"/>
  <c r="BW96"/>
  <c r="BR96"/>
  <c r="BN96"/>
  <c r="BM96"/>
  <c r="BX95"/>
  <c r="BW95"/>
  <c r="BR95"/>
  <c r="BN95"/>
  <c r="BM95"/>
  <c r="BX94"/>
  <c r="BW94"/>
  <c r="BR94"/>
  <c r="BN94"/>
  <c r="BM94"/>
  <c r="BX93"/>
  <c r="BW93"/>
  <c r="BR93"/>
  <c r="BN93"/>
  <c r="BM93"/>
  <c r="BX92"/>
  <c r="BW92"/>
  <c r="BR92"/>
  <c r="BN92"/>
  <c r="BM92"/>
  <c r="BX91"/>
  <c r="BW91"/>
  <c r="BR91"/>
  <c r="BN91"/>
  <c r="BM91"/>
  <c r="BX90"/>
  <c r="BW90"/>
  <c r="BR90"/>
  <c r="BN90"/>
  <c r="BM90"/>
  <c r="BX89"/>
  <c r="BW89"/>
  <c r="BR89"/>
  <c r="BN89"/>
  <c r="BM89"/>
  <c r="BX88"/>
  <c r="BW88"/>
  <c r="BR88"/>
  <c r="BN88"/>
  <c r="BM88"/>
  <c r="BX87"/>
  <c r="BW87"/>
  <c r="BR87"/>
  <c r="BN87"/>
  <c r="BM87"/>
  <c r="BX86"/>
  <c r="BW86"/>
  <c r="BR86"/>
  <c r="BN86"/>
  <c r="BM86"/>
  <c r="BX85"/>
  <c r="BW85"/>
  <c r="BR85"/>
  <c r="BN85"/>
  <c r="BM85"/>
  <c r="BX84"/>
  <c r="BW84"/>
  <c r="BR84"/>
  <c r="BN84"/>
  <c r="BM84"/>
  <c r="BX83"/>
  <c r="BW83"/>
  <c r="BR83"/>
  <c r="BN83"/>
  <c r="BM83"/>
  <c r="BX82"/>
  <c r="BW82"/>
  <c r="BR82"/>
  <c r="BN82"/>
  <c r="BM82"/>
  <c r="BX81"/>
  <c r="BW81"/>
  <c r="BR81"/>
  <c r="BN81"/>
  <c r="BM81"/>
  <c r="BX80"/>
  <c r="BW80"/>
  <c r="BR80"/>
  <c r="BN80"/>
  <c r="BM80"/>
  <c r="BX79"/>
  <c r="BW79"/>
  <c r="BR79"/>
  <c r="BN79"/>
  <c r="BM79"/>
  <c r="BX78"/>
  <c r="BW78"/>
  <c r="BR78"/>
  <c r="BN78"/>
  <c r="BM78"/>
  <c r="BX77"/>
  <c r="BW77"/>
  <c r="BR77"/>
  <c r="BN77"/>
  <c r="BM77"/>
  <c r="BX76"/>
  <c r="BW76"/>
  <c r="BR76"/>
  <c r="BN76"/>
  <c r="BM76"/>
  <c r="BX75"/>
  <c r="BW75"/>
  <c r="BR75"/>
  <c r="BN75"/>
  <c r="BM75"/>
  <c r="BX74"/>
  <c r="BW74"/>
  <c r="BR74"/>
  <c r="BN74"/>
  <c r="BM74"/>
  <c r="BN73"/>
  <c r="BM73"/>
  <c r="BN72"/>
  <c r="BM72"/>
  <c r="F72"/>
  <c r="BN71"/>
  <c r="BM71"/>
  <c r="F71"/>
  <c r="BX70"/>
  <c r="BW70"/>
  <c r="BR70"/>
  <c r="BN70"/>
  <c r="BM70"/>
  <c r="BX69"/>
  <c r="BW69"/>
  <c r="BR69"/>
  <c r="BN69"/>
  <c r="BM69"/>
  <c r="BH69"/>
  <c r="BV405" s="1"/>
  <c r="BF69"/>
  <c r="BU405" s="1"/>
  <c r="BD69"/>
  <c r="BT405" s="1"/>
  <c r="BB69"/>
  <c r="BS405" s="1"/>
  <c r="AX69"/>
  <c r="BV338" s="1"/>
  <c r="AV69"/>
  <c r="BU338" s="1"/>
  <c r="AT69"/>
  <c r="BT338" s="1"/>
  <c r="AR69"/>
  <c r="BS338" s="1"/>
  <c r="AN69"/>
  <c r="BV271" s="1"/>
  <c r="AL69"/>
  <c r="BU271" s="1"/>
  <c r="AJ69"/>
  <c r="BT271" s="1"/>
  <c r="AH69"/>
  <c r="BS271" s="1"/>
  <c r="AD69"/>
  <c r="BV204" s="1"/>
  <c r="AB69"/>
  <c r="BU204" s="1"/>
  <c r="Z69"/>
  <c r="BT204" s="1"/>
  <c r="X69"/>
  <c r="BS204" s="1"/>
  <c r="T69"/>
  <c r="BV137" s="1"/>
  <c r="R69"/>
  <c r="BU137" s="1"/>
  <c r="P69"/>
  <c r="BT137" s="1"/>
  <c r="N69"/>
  <c r="BS137" s="1"/>
  <c r="J69"/>
  <c r="BV70" s="1"/>
  <c r="H69"/>
  <c r="BU70" s="1"/>
  <c r="F69"/>
  <c r="BT70" s="1"/>
  <c r="D69"/>
  <c r="BS70" s="1"/>
  <c r="BX68"/>
  <c r="BW68"/>
  <c r="BR68"/>
  <c r="BN68"/>
  <c r="BM68"/>
  <c r="BH68"/>
  <c r="BV404" s="1"/>
  <c r="BF68"/>
  <c r="BU404" s="1"/>
  <c r="BD68"/>
  <c r="BT404" s="1"/>
  <c r="BB68"/>
  <c r="BS404" s="1"/>
  <c r="AX68"/>
  <c r="BV337" s="1"/>
  <c r="AV68"/>
  <c r="BU337" s="1"/>
  <c r="AT68"/>
  <c r="BT337" s="1"/>
  <c r="AR68"/>
  <c r="BS337" s="1"/>
  <c r="AN68"/>
  <c r="BV270" s="1"/>
  <c r="AL68"/>
  <c r="BU270" s="1"/>
  <c r="AJ68"/>
  <c r="BT270" s="1"/>
  <c r="AH68"/>
  <c r="BS270" s="1"/>
  <c r="AD68"/>
  <c r="BV203" s="1"/>
  <c r="AB68"/>
  <c r="BU203" s="1"/>
  <c r="Z68"/>
  <c r="BT203" s="1"/>
  <c r="X68"/>
  <c r="BS203" s="1"/>
  <c r="T68"/>
  <c r="BV136" s="1"/>
  <c r="R68"/>
  <c r="BU136" s="1"/>
  <c r="P68"/>
  <c r="BT136" s="1"/>
  <c r="N68"/>
  <c r="BS136" s="1"/>
  <c r="J68"/>
  <c r="BV69" s="1"/>
  <c r="H68"/>
  <c r="BU69" s="1"/>
  <c r="F68"/>
  <c r="BT69" s="1"/>
  <c r="D68"/>
  <c r="BS69" s="1"/>
  <c r="BX67"/>
  <c r="BW67"/>
  <c r="BR67"/>
  <c r="BN67"/>
  <c r="BM67"/>
  <c r="BH67"/>
  <c r="BV403" s="1"/>
  <c r="BF67"/>
  <c r="BU403" s="1"/>
  <c r="BD67"/>
  <c r="BT403" s="1"/>
  <c r="BB67"/>
  <c r="BS403" s="1"/>
  <c r="AX67"/>
  <c r="BV336" s="1"/>
  <c r="AV67"/>
  <c r="BU336" s="1"/>
  <c r="AT67"/>
  <c r="BT336" s="1"/>
  <c r="AR67"/>
  <c r="BS336" s="1"/>
  <c r="AN67"/>
  <c r="BV269" s="1"/>
  <c r="AL67"/>
  <c r="BU269" s="1"/>
  <c r="AJ67"/>
  <c r="BT269" s="1"/>
  <c r="AH67"/>
  <c r="BS269" s="1"/>
  <c r="AD67"/>
  <c r="BV202" s="1"/>
  <c r="AB67"/>
  <c r="BU202" s="1"/>
  <c r="Z67"/>
  <c r="BT202" s="1"/>
  <c r="X67"/>
  <c r="BS202" s="1"/>
  <c r="T67"/>
  <c r="BV135" s="1"/>
  <c r="R67"/>
  <c r="BU135" s="1"/>
  <c r="P67"/>
  <c r="BT135" s="1"/>
  <c r="N67"/>
  <c r="BS135" s="1"/>
  <c r="J67"/>
  <c r="BV68" s="1"/>
  <c r="H67"/>
  <c r="BU68" s="1"/>
  <c r="F67"/>
  <c r="BT68" s="1"/>
  <c r="D67"/>
  <c r="BS68" s="1"/>
  <c r="BX66"/>
  <c r="BW66"/>
  <c r="BR66"/>
  <c r="BN66"/>
  <c r="BM66"/>
  <c r="BH66"/>
  <c r="BV402" s="1"/>
  <c r="BF66"/>
  <c r="BU402" s="1"/>
  <c r="BD66"/>
  <c r="BT402" s="1"/>
  <c r="BB66"/>
  <c r="BS402" s="1"/>
  <c r="AX66"/>
  <c r="BV335" s="1"/>
  <c r="AV66"/>
  <c r="BU335" s="1"/>
  <c r="AT66"/>
  <c r="BT335" s="1"/>
  <c r="AR66"/>
  <c r="BS335" s="1"/>
  <c r="AN66"/>
  <c r="BV268" s="1"/>
  <c r="AL66"/>
  <c r="BU268" s="1"/>
  <c r="AJ66"/>
  <c r="BT268" s="1"/>
  <c r="AH66"/>
  <c r="BS268" s="1"/>
  <c r="AD66"/>
  <c r="BV201" s="1"/>
  <c r="AB66"/>
  <c r="BU201" s="1"/>
  <c r="Z66"/>
  <c r="BT201" s="1"/>
  <c r="X66"/>
  <c r="BS201" s="1"/>
  <c r="T66"/>
  <c r="BV134" s="1"/>
  <c r="R66"/>
  <c r="BU134" s="1"/>
  <c r="P66"/>
  <c r="BT134" s="1"/>
  <c r="N66"/>
  <c r="BS134" s="1"/>
  <c r="J66"/>
  <c r="BV67" s="1"/>
  <c r="H66"/>
  <c r="BU67" s="1"/>
  <c r="F66"/>
  <c r="BT67" s="1"/>
  <c r="D66"/>
  <c r="BS67" s="1"/>
  <c r="BX65"/>
  <c r="BW65"/>
  <c r="BR65"/>
  <c r="BN65"/>
  <c r="BM65"/>
  <c r="BH65"/>
  <c r="BV401" s="1"/>
  <c r="BF65"/>
  <c r="BU401" s="1"/>
  <c r="BD65"/>
  <c r="BT401" s="1"/>
  <c r="BB65"/>
  <c r="BS401" s="1"/>
  <c r="AX65"/>
  <c r="BV334" s="1"/>
  <c r="AV65"/>
  <c r="BU334" s="1"/>
  <c r="AT65"/>
  <c r="BT334" s="1"/>
  <c r="AR65"/>
  <c r="BS334" s="1"/>
  <c r="AN65"/>
  <c r="BV267" s="1"/>
  <c r="AL65"/>
  <c r="BU267" s="1"/>
  <c r="AJ65"/>
  <c r="BT267" s="1"/>
  <c r="AH65"/>
  <c r="BS267" s="1"/>
  <c r="AD65"/>
  <c r="BV200" s="1"/>
  <c r="AB65"/>
  <c r="BU200" s="1"/>
  <c r="Z65"/>
  <c r="BT200" s="1"/>
  <c r="X65"/>
  <c r="BS200" s="1"/>
  <c r="T65"/>
  <c r="BV133" s="1"/>
  <c r="R65"/>
  <c r="BU133" s="1"/>
  <c r="P65"/>
  <c r="BT133" s="1"/>
  <c r="N65"/>
  <c r="BS133" s="1"/>
  <c r="J65"/>
  <c r="BV66" s="1"/>
  <c r="H65"/>
  <c r="BU66" s="1"/>
  <c r="F65"/>
  <c r="BT66" s="1"/>
  <c r="D65"/>
  <c r="BS66" s="1"/>
  <c r="BX64"/>
  <c r="BW64"/>
  <c r="BR64"/>
  <c r="BN64"/>
  <c r="BM64"/>
  <c r="AT64"/>
  <c r="BT333" s="1"/>
  <c r="AR64"/>
  <c r="BS333" s="1"/>
  <c r="AD64"/>
  <c r="BV199" s="1"/>
  <c r="AB64"/>
  <c r="BU199" s="1"/>
  <c r="Z64"/>
  <c r="BT199" s="1"/>
  <c r="X64"/>
  <c r="BS199" s="1"/>
  <c r="P64"/>
  <c r="BT132" s="1"/>
  <c r="N64"/>
  <c r="BS132" s="1"/>
  <c r="BX63"/>
  <c r="BW63"/>
  <c r="BR63"/>
  <c r="BN63"/>
  <c r="BM63"/>
  <c r="AN63"/>
  <c r="BV265" s="1"/>
  <c r="AL63"/>
  <c r="BU265" s="1"/>
  <c r="T63"/>
  <c r="BV131" s="1"/>
  <c r="R63"/>
  <c r="BU131" s="1"/>
  <c r="F63"/>
  <c r="BT64" s="1"/>
  <c r="D63"/>
  <c r="BS64" s="1"/>
  <c r="BX62"/>
  <c r="BW62"/>
  <c r="BR62"/>
  <c r="BN62"/>
  <c r="BM62"/>
  <c r="AX62"/>
  <c r="BV331" s="1"/>
  <c r="AV62"/>
  <c r="BU331" s="1"/>
  <c r="AT62"/>
  <c r="BT331" s="1"/>
  <c r="AR62"/>
  <c r="BS331" s="1"/>
  <c r="AN62"/>
  <c r="BV264" s="1"/>
  <c r="AL62"/>
  <c r="BU264" s="1"/>
  <c r="Z62"/>
  <c r="BT197" s="1"/>
  <c r="X62"/>
  <c r="BS197" s="1"/>
  <c r="T62"/>
  <c r="BV130" s="1"/>
  <c r="R62"/>
  <c r="BU130" s="1"/>
  <c r="P62"/>
  <c r="BT130" s="1"/>
  <c r="N62"/>
  <c r="BS130" s="1"/>
  <c r="F62"/>
  <c r="BT63" s="1"/>
  <c r="D62"/>
  <c r="BS63" s="1"/>
  <c r="BX61"/>
  <c r="BW61"/>
  <c r="BR61"/>
  <c r="BN61"/>
  <c r="BM61"/>
  <c r="BH61"/>
  <c r="BV397" s="1"/>
  <c r="BF61"/>
  <c r="BU397" s="1"/>
  <c r="BD61"/>
  <c r="BT397" s="1"/>
  <c r="BB61"/>
  <c r="BS397" s="1"/>
  <c r="AT61"/>
  <c r="BT330" s="1"/>
  <c r="AR61"/>
  <c r="BS330" s="1"/>
  <c r="AN61"/>
  <c r="BV263" s="1"/>
  <c r="AL61"/>
  <c r="BU263" s="1"/>
  <c r="AJ61"/>
  <c r="BT263" s="1"/>
  <c r="AH61"/>
  <c r="BS263" s="1"/>
  <c r="AD61"/>
  <c r="BV196" s="1"/>
  <c r="AB61"/>
  <c r="BU196" s="1"/>
  <c r="Z61"/>
  <c r="BT196" s="1"/>
  <c r="X61"/>
  <c r="BS196" s="1"/>
  <c r="F61"/>
  <c r="BT62" s="1"/>
  <c r="D61"/>
  <c r="BS62" s="1"/>
  <c r="BX60"/>
  <c r="BW60"/>
  <c r="BR60"/>
  <c r="BN60"/>
  <c r="BM60"/>
  <c r="BH60"/>
  <c r="BV396" s="1"/>
  <c r="BF60"/>
  <c r="BU396" s="1"/>
  <c r="AN60"/>
  <c r="BV262" s="1"/>
  <c r="AL60"/>
  <c r="BU262" s="1"/>
  <c r="AJ60"/>
  <c r="BT262" s="1"/>
  <c r="AH60"/>
  <c r="BS262" s="1"/>
  <c r="AD60"/>
  <c r="BV195" s="1"/>
  <c r="AB60"/>
  <c r="BU195" s="1"/>
  <c r="T60"/>
  <c r="BV128" s="1"/>
  <c r="R60"/>
  <c r="BU128" s="1"/>
  <c r="P60"/>
  <c r="BT128" s="1"/>
  <c r="N60"/>
  <c r="BS128" s="1"/>
  <c r="J60"/>
  <c r="BV61" s="1"/>
  <c r="H60"/>
  <c r="BU61" s="1"/>
  <c r="BX59"/>
  <c r="BW59"/>
  <c r="BR59"/>
  <c r="BN59"/>
  <c r="BM59"/>
  <c r="BH59"/>
  <c r="BV395" s="1"/>
  <c r="BF59"/>
  <c r="BU395" s="1"/>
  <c r="BD59"/>
  <c r="BT395" s="1"/>
  <c r="BB59"/>
  <c r="BS395" s="1"/>
  <c r="AX59"/>
  <c r="BV328" s="1"/>
  <c r="AV59"/>
  <c r="BU328" s="1"/>
  <c r="AD59"/>
  <c r="BV194" s="1"/>
  <c r="AB59"/>
  <c r="BU194" s="1"/>
  <c r="Z59"/>
  <c r="BT194" s="1"/>
  <c r="X59"/>
  <c r="BS194" s="1"/>
  <c r="T59"/>
  <c r="BV127" s="1"/>
  <c r="R59"/>
  <c r="BU127" s="1"/>
  <c r="P59"/>
  <c r="BT127" s="1"/>
  <c r="N59"/>
  <c r="BS127" s="1"/>
  <c r="F59"/>
  <c r="BT60" s="1"/>
  <c r="D59"/>
  <c r="BS60" s="1"/>
  <c r="BX58"/>
  <c r="BW58"/>
  <c r="BR58"/>
  <c r="BN58"/>
  <c r="Z60" s="1"/>
  <c r="BT195" s="1"/>
  <c r="BM58"/>
  <c r="X60" s="1"/>
  <c r="BS195" s="1"/>
  <c r="AX58"/>
  <c r="BV327" s="1"/>
  <c r="AV58"/>
  <c r="BU327" s="1"/>
  <c r="AT58"/>
  <c r="BT327" s="1"/>
  <c r="AR58"/>
  <c r="BS327" s="1"/>
  <c r="AN58"/>
  <c r="BV260" s="1"/>
  <c r="AL58"/>
  <c r="BU260" s="1"/>
  <c r="Z58"/>
  <c r="BT193" s="1"/>
  <c r="X58"/>
  <c r="BS193" s="1"/>
  <c r="T58"/>
  <c r="BV126" s="1"/>
  <c r="R58"/>
  <c r="BU126" s="1"/>
  <c r="J58"/>
  <c r="BV59" s="1"/>
  <c r="H58"/>
  <c r="BU59" s="1"/>
  <c r="F58"/>
  <c r="BT59" s="1"/>
  <c r="D58"/>
  <c r="BS59" s="1"/>
  <c r="BX57"/>
  <c r="BW57"/>
  <c r="BR57"/>
  <c r="BN57"/>
  <c r="BM57"/>
  <c r="BH57"/>
  <c r="BV393" s="1"/>
  <c r="BF57"/>
  <c r="BU393" s="1"/>
  <c r="AX57"/>
  <c r="BV326" s="1"/>
  <c r="AV57"/>
  <c r="BU326" s="1"/>
  <c r="AN57"/>
  <c r="BV259" s="1"/>
  <c r="AL57"/>
  <c r="BU259" s="1"/>
  <c r="AJ57"/>
  <c r="BT259" s="1"/>
  <c r="AH57"/>
  <c r="BS259" s="1"/>
  <c r="Z57"/>
  <c r="BT192" s="1"/>
  <c r="X57"/>
  <c r="BS192" s="1"/>
  <c r="J57"/>
  <c r="BV58" s="1"/>
  <c r="H57"/>
  <c r="BU58" s="1"/>
  <c r="BX56"/>
  <c r="BW56"/>
  <c r="BR56"/>
  <c r="BN56"/>
  <c r="AX60" s="1"/>
  <c r="BV329" s="1"/>
  <c r="BM56"/>
  <c r="AV60" s="1"/>
  <c r="BU329" s="1"/>
  <c r="BH56"/>
  <c r="BV392" s="1"/>
  <c r="BF56"/>
  <c r="BU392" s="1"/>
  <c r="BD56"/>
  <c r="BT392" s="1"/>
  <c r="BB56"/>
  <c r="BS392" s="1"/>
  <c r="AX56"/>
  <c r="BV325" s="1"/>
  <c r="AV56"/>
  <c r="BU325" s="1"/>
  <c r="T56"/>
  <c r="BV124" s="1"/>
  <c r="R56"/>
  <c r="BU124" s="1"/>
  <c r="J56"/>
  <c r="BV57" s="1"/>
  <c r="H56"/>
  <c r="BU57" s="1"/>
  <c r="BX55"/>
  <c r="BW55"/>
  <c r="BR55"/>
  <c r="BN55"/>
  <c r="BM55"/>
  <c r="BD55"/>
  <c r="BT391" s="1"/>
  <c r="BB55"/>
  <c r="BS391" s="1"/>
  <c r="AX55"/>
  <c r="BV324" s="1"/>
  <c r="AV55"/>
  <c r="BU324" s="1"/>
  <c r="AT55"/>
  <c r="BT324" s="1"/>
  <c r="AR55"/>
  <c r="BS324" s="1"/>
  <c r="AN55"/>
  <c r="BV257" s="1"/>
  <c r="AL55"/>
  <c r="BU257" s="1"/>
  <c r="T55"/>
  <c r="BV123" s="1"/>
  <c r="R55"/>
  <c r="BU123" s="1"/>
  <c r="P55"/>
  <c r="BT123" s="1"/>
  <c r="N55"/>
  <c r="BS123" s="1"/>
  <c r="J55"/>
  <c r="BV56" s="1"/>
  <c r="H55"/>
  <c r="BU56" s="1"/>
  <c r="F55"/>
  <c r="BT56" s="1"/>
  <c r="D55"/>
  <c r="BS56" s="1"/>
  <c r="BX54"/>
  <c r="BW54"/>
  <c r="BR54"/>
  <c r="BN54"/>
  <c r="AT56" s="1"/>
  <c r="BT325" s="1"/>
  <c r="BM54"/>
  <c r="AR56" s="1"/>
  <c r="BS325" s="1"/>
  <c r="BH54"/>
  <c r="BV390" s="1"/>
  <c r="BF54"/>
  <c r="BU390" s="1"/>
  <c r="BD54"/>
  <c r="BT390" s="1"/>
  <c r="BB54"/>
  <c r="BS390" s="1"/>
  <c r="AX54"/>
  <c r="BV323" s="1"/>
  <c r="AV54"/>
  <c r="BU323" s="1"/>
  <c r="AN54"/>
  <c r="BV256" s="1"/>
  <c r="AL54"/>
  <c r="BU256" s="1"/>
  <c r="AJ54"/>
  <c r="BT256" s="1"/>
  <c r="AH54"/>
  <c r="BS256" s="1"/>
  <c r="T54"/>
  <c r="BV122" s="1"/>
  <c r="R54"/>
  <c r="BU122" s="1"/>
  <c r="P54"/>
  <c r="BT122" s="1"/>
  <c r="N54"/>
  <c r="BS122" s="1"/>
  <c r="J54"/>
  <c r="BV55" s="1"/>
  <c r="H54"/>
  <c r="BU55" s="1"/>
  <c r="BX53"/>
  <c r="BW53"/>
  <c r="BR53"/>
  <c r="BN53"/>
  <c r="BM53"/>
  <c r="BH53"/>
  <c r="BV389" s="1"/>
  <c r="BF53"/>
  <c r="BU389" s="1"/>
  <c r="BD53"/>
  <c r="BT389" s="1"/>
  <c r="BB53"/>
  <c r="BS389" s="1"/>
  <c r="AX53"/>
  <c r="BV322" s="1"/>
  <c r="AV53"/>
  <c r="BU322" s="1"/>
  <c r="AT53"/>
  <c r="BT322" s="1"/>
  <c r="AR53"/>
  <c r="BS322" s="1"/>
  <c r="AD53"/>
  <c r="BV188" s="1"/>
  <c r="AB53"/>
  <c r="BU188" s="1"/>
  <c r="Z53"/>
  <c r="BT188" s="1"/>
  <c r="X53"/>
  <c r="BS188" s="1"/>
  <c r="T53"/>
  <c r="BV121" s="1"/>
  <c r="R53"/>
  <c r="BU121" s="1"/>
  <c r="P53"/>
  <c r="BT121" s="1"/>
  <c r="N53"/>
  <c r="BS121" s="1"/>
  <c r="J53"/>
  <c r="BV54" s="1"/>
  <c r="H53"/>
  <c r="BU54" s="1"/>
  <c r="F53"/>
  <c r="BT54" s="1"/>
  <c r="D53"/>
  <c r="BS54" s="1"/>
  <c r="BX52"/>
  <c r="BW52"/>
  <c r="BR52"/>
  <c r="BN52"/>
  <c r="AT54" s="1"/>
  <c r="BT323" s="1"/>
  <c r="BM52"/>
  <c r="H61" s="1"/>
  <c r="BU62" s="1"/>
  <c r="AD52"/>
  <c r="BV187" s="1"/>
  <c r="AB52"/>
  <c r="BU187" s="1"/>
  <c r="T52"/>
  <c r="BV120" s="1"/>
  <c r="R52"/>
  <c r="BU120" s="1"/>
  <c r="F52"/>
  <c r="BT53" s="1"/>
  <c r="D52"/>
  <c r="BS53" s="1"/>
  <c r="BX51"/>
  <c r="BW51"/>
  <c r="BR51"/>
  <c r="BN51"/>
  <c r="AN64" s="1"/>
  <c r="BV266" s="1"/>
  <c r="BM51"/>
  <c r="AL64" s="1"/>
  <c r="BU266" s="1"/>
  <c r="BD51"/>
  <c r="BT387" s="1"/>
  <c r="BB51"/>
  <c r="BS387" s="1"/>
  <c r="AX51"/>
  <c r="BV320" s="1"/>
  <c r="AV51"/>
  <c r="BU320" s="1"/>
  <c r="AT51"/>
  <c r="BT320" s="1"/>
  <c r="AR51"/>
  <c r="BS320" s="1"/>
  <c r="AD51"/>
  <c r="BV186" s="1"/>
  <c r="AB51"/>
  <c r="BU186" s="1"/>
  <c r="P51"/>
  <c r="BT119" s="1"/>
  <c r="N51"/>
  <c r="BS119" s="1"/>
  <c r="J51"/>
  <c r="BV52" s="1"/>
  <c r="H51"/>
  <c r="BU52" s="1"/>
  <c r="BX50"/>
  <c r="BW50"/>
  <c r="BR50"/>
  <c r="BN50"/>
  <c r="T57" s="1"/>
  <c r="BV125" s="1"/>
  <c r="BM50"/>
  <c r="R57" s="1"/>
  <c r="BU125" s="1"/>
  <c r="BH50"/>
  <c r="BV386" s="1"/>
  <c r="BF50"/>
  <c r="BU386" s="1"/>
  <c r="AN50"/>
  <c r="BV252" s="1"/>
  <c r="AL50"/>
  <c r="BU252" s="1"/>
  <c r="AJ50"/>
  <c r="BT252" s="1"/>
  <c r="AH50"/>
  <c r="BS252" s="1"/>
  <c r="AD50"/>
  <c r="BV185" s="1"/>
  <c r="AB50"/>
  <c r="BU185" s="1"/>
  <c r="Z50"/>
  <c r="BT185" s="1"/>
  <c r="X50"/>
  <c r="BS185" s="1"/>
  <c r="T50"/>
  <c r="BV118" s="1"/>
  <c r="R50"/>
  <c r="BU118" s="1"/>
  <c r="P50"/>
  <c r="BT118" s="1"/>
  <c r="N50"/>
  <c r="BS118" s="1"/>
  <c r="J50"/>
  <c r="BV51" s="1"/>
  <c r="H50"/>
  <c r="BU51" s="1"/>
  <c r="F50"/>
  <c r="BT51" s="1"/>
  <c r="D50"/>
  <c r="BS51" s="1"/>
  <c r="BX49"/>
  <c r="BW49"/>
  <c r="BR49"/>
  <c r="BN49"/>
  <c r="AN56" s="1"/>
  <c r="BV258" s="1"/>
  <c r="BM49"/>
  <c r="AL56" s="1"/>
  <c r="BU258" s="1"/>
  <c r="AX49"/>
  <c r="BV318" s="1"/>
  <c r="AV49"/>
  <c r="BU318" s="1"/>
  <c r="AT49"/>
  <c r="BT318" s="1"/>
  <c r="AR49"/>
  <c r="BS318" s="1"/>
  <c r="AN49"/>
  <c r="BV251" s="1"/>
  <c r="AL49"/>
  <c r="BU251" s="1"/>
  <c r="AJ49"/>
  <c r="BT251" s="1"/>
  <c r="AH49"/>
  <c r="BS251" s="1"/>
  <c r="AD49"/>
  <c r="BV184" s="1"/>
  <c r="AB49"/>
  <c r="BU184" s="1"/>
  <c r="Z49"/>
  <c r="BT184" s="1"/>
  <c r="X49"/>
  <c r="BS184" s="1"/>
  <c r="P49"/>
  <c r="BT117" s="1"/>
  <c r="N49"/>
  <c r="BS117" s="1"/>
  <c r="BX48"/>
  <c r="BW48"/>
  <c r="BR48"/>
  <c r="BN48"/>
  <c r="AJ52" s="1"/>
  <c r="BT254" s="1"/>
  <c r="BM48"/>
  <c r="AH52" s="1"/>
  <c r="BS254" s="1"/>
  <c r="BH48"/>
  <c r="BV384" s="1"/>
  <c r="BF48"/>
  <c r="BU384" s="1"/>
  <c r="AT48"/>
  <c r="BT317" s="1"/>
  <c r="AR48"/>
  <c r="BS317" s="1"/>
  <c r="AN48"/>
  <c r="BV250" s="1"/>
  <c r="AL48"/>
  <c r="BU250" s="1"/>
  <c r="P48"/>
  <c r="BT116" s="1"/>
  <c r="N48"/>
  <c r="BS116" s="1"/>
  <c r="J48"/>
  <c r="BV49" s="1"/>
  <c r="H48"/>
  <c r="BU49" s="1"/>
  <c r="F48"/>
  <c r="BT49" s="1"/>
  <c r="D48"/>
  <c r="BS49" s="1"/>
  <c r="BX47"/>
  <c r="BW47"/>
  <c r="BR47"/>
  <c r="BN47"/>
  <c r="AN53" s="1"/>
  <c r="BV255" s="1"/>
  <c r="BM47"/>
  <c r="AL53" s="1"/>
  <c r="BU255" s="1"/>
  <c r="BH47"/>
  <c r="BV383" s="1"/>
  <c r="BF47"/>
  <c r="BU383" s="1"/>
  <c r="AN47"/>
  <c r="BV249" s="1"/>
  <c r="AL47"/>
  <c r="BU249" s="1"/>
  <c r="AJ47"/>
  <c r="BT249" s="1"/>
  <c r="AH47"/>
  <c r="BS249" s="1"/>
  <c r="AD47"/>
  <c r="BV182" s="1"/>
  <c r="AB47"/>
  <c r="BU182" s="1"/>
  <c r="Z47"/>
  <c r="BT182" s="1"/>
  <c r="X47"/>
  <c r="BS182" s="1"/>
  <c r="T47"/>
  <c r="BV115" s="1"/>
  <c r="R47"/>
  <c r="BU115" s="1"/>
  <c r="P47"/>
  <c r="BT115" s="1"/>
  <c r="N47"/>
  <c r="BS115" s="1"/>
  <c r="BX46"/>
  <c r="BW46"/>
  <c r="BR46"/>
  <c r="BN46"/>
  <c r="AX52" s="1"/>
  <c r="BV321" s="1"/>
  <c r="BM46"/>
  <c r="N57" s="1"/>
  <c r="BS125" s="1"/>
  <c r="BH46"/>
  <c r="BV382" s="1"/>
  <c r="BF46"/>
  <c r="BU382" s="1"/>
  <c r="AX46"/>
  <c r="BV315" s="1"/>
  <c r="AV46"/>
  <c r="BU315" s="1"/>
  <c r="AT46"/>
  <c r="BT315" s="1"/>
  <c r="AR46"/>
  <c r="BS315" s="1"/>
  <c r="Z46"/>
  <c r="BT181" s="1"/>
  <c r="X46"/>
  <c r="BS181" s="1"/>
  <c r="T46"/>
  <c r="BV114" s="1"/>
  <c r="R46"/>
  <c r="BU114" s="1"/>
  <c r="J46"/>
  <c r="BV47" s="1"/>
  <c r="H46"/>
  <c r="BU47" s="1"/>
  <c r="F46"/>
  <c r="BT47" s="1"/>
  <c r="D46"/>
  <c r="BS47" s="1"/>
  <c r="BX45"/>
  <c r="BW45"/>
  <c r="BR45"/>
  <c r="BN45"/>
  <c r="AD48" s="1"/>
  <c r="BV183" s="1"/>
  <c r="BM45"/>
  <c r="AB48" s="1"/>
  <c r="BU183" s="1"/>
  <c r="BH45"/>
  <c r="BV381" s="1"/>
  <c r="BF45"/>
  <c r="BU381" s="1"/>
  <c r="Z45"/>
  <c r="BT180" s="1"/>
  <c r="X45"/>
  <c r="BS180" s="1"/>
  <c r="T45"/>
  <c r="BV113" s="1"/>
  <c r="R45"/>
  <c r="BU113" s="1"/>
  <c r="J45"/>
  <c r="BV46" s="1"/>
  <c r="H45"/>
  <c r="BU46" s="1"/>
  <c r="BX44"/>
  <c r="BW44"/>
  <c r="BR44"/>
  <c r="BN44"/>
  <c r="T42" s="1"/>
  <c r="BV110" s="1"/>
  <c r="BM44"/>
  <c r="BD44"/>
  <c r="BT380" s="1"/>
  <c r="BB44"/>
  <c r="BS380" s="1"/>
  <c r="AT44"/>
  <c r="BT313" s="1"/>
  <c r="AR44"/>
  <c r="BS313" s="1"/>
  <c r="AJ44"/>
  <c r="BT246" s="1"/>
  <c r="AH44"/>
  <c r="BS246" s="1"/>
  <c r="Z44"/>
  <c r="BT179" s="1"/>
  <c r="X44"/>
  <c r="BS179" s="1"/>
  <c r="T44"/>
  <c r="BV112" s="1"/>
  <c r="R44"/>
  <c r="BU112" s="1"/>
  <c r="P44"/>
  <c r="BT112" s="1"/>
  <c r="N44"/>
  <c r="BS112" s="1"/>
  <c r="J44"/>
  <c r="BV45" s="1"/>
  <c r="H44"/>
  <c r="BU45" s="1"/>
  <c r="F44"/>
  <c r="BT45" s="1"/>
  <c r="D44"/>
  <c r="BS45" s="1"/>
  <c r="BX43"/>
  <c r="BW43"/>
  <c r="BR43"/>
  <c r="BN43"/>
  <c r="AT47" s="1"/>
  <c r="BT316" s="1"/>
  <c r="BM43"/>
  <c r="AR47" s="1"/>
  <c r="BS316" s="1"/>
  <c r="BD43"/>
  <c r="BT379" s="1"/>
  <c r="BB43"/>
  <c r="BS379" s="1"/>
  <c r="AX43"/>
  <c r="BV312" s="1"/>
  <c r="AV43"/>
  <c r="BU312" s="1"/>
  <c r="AN43"/>
  <c r="BV245" s="1"/>
  <c r="AL43"/>
  <c r="BU245" s="1"/>
  <c r="AJ43"/>
  <c r="BT245" s="1"/>
  <c r="AH43"/>
  <c r="BS245" s="1"/>
  <c r="T43"/>
  <c r="BV111" s="1"/>
  <c r="R43"/>
  <c r="BU111" s="1"/>
  <c r="P43"/>
  <c r="BT111" s="1"/>
  <c r="N43"/>
  <c r="BS111" s="1"/>
  <c r="J43"/>
  <c r="BV44" s="1"/>
  <c r="H43"/>
  <c r="BU44" s="1"/>
  <c r="F43"/>
  <c r="BT44" s="1"/>
  <c r="D43"/>
  <c r="BS44" s="1"/>
  <c r="BX42"/>
  <c r="BW42"/>
  <c r="BR42"/>
  <c r="BN42"/>
  <c r="AJ59" s="1"/>
  <c r="BT261" s="1"/>
  <c r="BM42"/>
  <c r="AH59" s="1"/>
  <c r="BS261" s="1"/>
  <c r="BD42"/>
  <c r="BT378" s="1"/>
  <c r="BB42"/>
  <c r="BS378" s="1"/>
  <c r="AD42"/>
  <c r="BV177" s="1"/>
  <c r="AB42"/>
  <c r="BU177" s="1"/>
  <c r="Z42"/>
  <c r="BT177" s="1"/>
  <c r="X42"/>
  <c r="BS177" s="1"/>
  <c r="R42"/>
  <c r="BU110" s="1"/>
  <c r="J42"/>
  <c r="BV43" s="1"/>
  <c r="H42"/>
  <c r="BU43" s="1"/>
  <c r="F42"/>
  <c r="BT43" s="1"/>
  <c r="D42"/>
  <c r="BS43" s="1"/>
  <c r="BX41"/>
  <c r="BW41"/>
  <c r="BR41"/>
  <c r="BN41"/>
  <c r="AT42" s="1"/>
  <c r="BT311" s="1"/>
  <c r="BM41"/>
  <c r="X63" s="1"/>
  <c r="BS198" s="1"/>
  <c r="BH41"/>
  <c r="BV377" s="1"/>
  <c r="BF41"/>
  <c r="BU377" s="1"/>
  <c r="BD41"/>
  <c r="BT377" s="1"/>
  <c r="BB41"/>
  <c r="BS377" s="1"/>
  <c r="AN41"/>
  <c r="BV243" s="1"/>
  <c r="AL41"/>
  <c r="BU243" s="1"/>
  <c r="AJ41"/>
  <c r="BT243" s="1"/>
  <c r="AH41"/>
  <c r="BS243" s="1"/>
  <c r="AD41"/>
  <c r="BV176" s="1"/>
  <c r="AB41"/>
  <c r="BU176" s="1"/>
  <c r="Z41"/>
  <c r="BT176" s="1"/>
  <c r="X41"/>
  <c r="BS176" s="1"/>
  <c r="F41"/>
  <c r="BT42" s="1"/>
  <c r="D41"/>
  <c r="BS42" s="1"/>
  <c r="BX40"/>
  <c r="BW40"/>
  <c r="BR40"/>
  <c r="BN40"/>
  <c r="BD50" s="1"/>
  <c r="BT386" s="1"/>
  <c r="BM40"/>
  <c r="X48" s="1"/>
  <c r="BS183" s="1"/>
  <c r="BH40"/>
  <c r="BV376" s="1"/>
  <c r="BF40"/>
  <c r="BU376" s="1"/>
  <c r="BD40"/>
  <c r="BT376" s="1"/>
  <c r="BB40"/>
  <c r="BS376" s="1"/>
  <c r="AJ40"/>
  <c r="BT242" s="1"/>
  <c r="AH40"/>
  <c r="BS242" s="1"/>
  <c r="AD40"/>
  <c r="BV175" s="1"/>
  <c r="AB40"/>
  <c r="BU175" s="1"/>
  <c r="T40"/>
  <c r="BV108" s="1"/>
  <c r="R40"/>
  <c r="BU108" s="1"/>
  <c r="P40"/>
  <c r="BT108" s="1"/>
  <c r="N40"/>
  <c r="BS108" s="1"/>
  <c r="J40"/>
  <c r="BV41" s="1"/>
  <c r="H40"/>
  <c r="BU41" s="1"/>
  <c r="F40"/>
  <c r="BT41" s="1"/>
  <c r="D40"/>
  <c r="BS41" s="1"/>
  <c r="BX39"/>
  <c r="BW39"/>
  <c r="BR39"/>
  <c r="BN39"/>
  <c r="J64" s="1"/>
  <c r="BV65" s="1"/>
  <c r="BM39"/>
  <c r="AR40" s="1"/>
  <c r="BS309" s="1"/>
  <c r="BH39"/>
  <c r="BV375" s="1"/>
  <c r="BF39"/>
  <c r="BU375" s="1"/>
  <c r="AX39"/>
  <c r="BV308" s="1"/>
  <c r="AV39"/>
  <c r="BU308" s="1"/>
  <c r="AT39"/>
  <c r="BT308" s="1"/>
  <c r="AR39"/>
  <c r="BS308" s="1"/>
  <c r="AJ39"/>
  <c r="BT241" s="1"/>
  <c r="AH39"/>
  <c r="BS241" s="1"/>
  <c r="AD39"/>
  <c r="BV174" s="1"/>
  <c r="AB39"/>
  <c r="BU174" s="1"/>
  <c r="T39"/>
  <c r="BV107" s="1"/>
  <c r="R39"/>
  <c r="BU107" s="1"/>
  <c r="P39"/>
  <c r="BT107" s="1"/>
  <c r="N39"/>
  <c r="BS107" s="1"/>
  <c r="J39"/>
  <c r="BV40" s="1"/>
  <c r="H39"/>
  <c r="BU40" s="1"/>
  <c r="F39"/>
  <c r="BT40" s="1"/>
  <c r="D39"/>
  <c r="BS40" s="1"/>
  <c r="BX38"/>
  <c r="BW38"/>
  <c r="BR38"/>
  <c r="BN38"/>
  <c r="AD56" s="1"/>
  <c r="BV191" s="1"/>
  <c r="BM38"/>
  <c r="BF37" s="1"/>
  <c r="BU373" s="1"/>
  <c r="BH38"/>
  <c r="BV374" s="1"/>
  <c r="BF38"/>
  <c r="BU374" s="1"/>
  <c r="AX38"/>
  <c r="BV307" s="1"/>
  <c r="AV38"/>
  <c r="BU307" s="1"/>
  <c r="AN38"/>
  <c r="BV240" s="1"/>
  <c r="AL38"/>
  <c r="BU240" s="1"/>
  <c r="AD38"/>
  <c r="BV173" s="1"/>
  <c r="T38"/>
  <c r="BV106" s="1"/>
  <c r="R38"/>
  <c r="BU106" s="1"/>
  <c r="P38"/>
  <c r="BT106" s="1"/>
  <c r="N38"/>
  <c r="BS106" s="1"/>
  <c r="F38"/>
  <c r="BT39" s="1"/>
  <c r="D38"/>
  <c r="BS39" s="1"/>
  <c r="BX37"/>
  <c r="BW37"/>
  <c r="BR37"/>
  <c r="BN37"/>
  <c r="AJ51" s="1"/>
  <c r="BT253" s="1"/>
  <c r="BM37"/>
  <c r="AH51" s="1"/>
  <c r="BS253" s="1"/>
  <c r="BH37"/>
  <c r="BV373" s="1"/>
  <c r="AX37"/>
  <c r="BV306" s="1"/>
  <c r="AV37"/>
  <c r="BU306" s="1"/>
  <c r="AT37"/>
  <c r="BT306" s="1"/>
  <c r="AR37"/>
  <c r="BS306" s="1"/>
  <c r="AN37"/>
  <c r="BV239" s="1"/>
  <c r="AL37"/>
  <c r="BU239" s="1"/>
  <c r="AJ37"/>
  <c r="BT239" s="1"/>
  <c r="AH37"/>
  <c r="BS239" s="1"/>
  <c r="AD37"/>
  <c r="BV172" s="1"/>
  <c r="AB37"/>
  <c r="BU172" s="1"/>
  <c r="Z37"/>
  <c r="BT172" s="1"/>
  <c r="X37"/>
  <c r="BS172" s="1"/>
  <c r="P37"/>
  <c r="BT105" s="1"/>
  <c r="N37"/>
  <c r="BS105" s="1"/>
  <c r="J37"/>
  <c r="BV38" s="1"/>
  <c r="H37"/>
  <c r="BU38" s="1"/>
  <c r="F37"/>
  <c r="BT38" s="1"/>
  <c r="D37"/>
  <c r="BS38" s="1"/>
  <c r="BX36"/>
  <c r="BW36"/>
  <c r="BR36"/>
  <c r="BN36"/>
  <c r="AX40" s="1"/>
  <c r="BV309" s="1"/>
  <c r="BM36"/>
  <c r="R61" s="1"/>
  <c r="BU129" s="1"/>
  <c r="BD36"/>
  <c r="BT372" s="1"/>
  <c r="BB36"/>
  <c r="BS372" s="1"/>
  <c r="AT36"/>
  <c r="BT305" s="1"/>
  <c r="AR36"/>
  <c r="BS305" s="1"/>
  <c r="AN36"/>
  <c r="BV238" s="1"/>
  <c r="AL36"/>
  <c r="BU238" s="1"/>
  <c r="AJ36"/>
  <c r="BT238" s="1"/>
  <c r="AH36"/>
  <c r="BS238" s="1"/>
  <c r="Z36"/>
  <c r="BT171" s="1"/>
  <c r="X36"/>
  <c r="BS171" s="1"/>
  <c r="T36"/>
  <c r="BV104" s="1"/>
  <c r="R36"/>
  <c r="BU104" s="1"/>
  <c r="P36"/>
  <c r="BT104" s="1"/>
  <c r="N36"/>
  <c r="BS104" s="1"/>
  <c r="J36"/>
  <c r="BV37" s="1"/>
  <c r="H36"/>
  <c r="BU37" s="1"/>
  <c r="F36"/>
  <c r="BT37" s="1"/>
  <c r="D36"/>
  <c r="BS37" s="1"/>
  <c r="BX35"/>
  <c r="BW35"/>
  <c r="BR35"/>
  <c r="BN35"/>
  <c r="AJ53" s="1"/>
  <c r="BT255" s="1"/>
  <c r="BM35"/>
  <c r="AH53" s="1"/>
  <c r="BS255" s="1"/>
  <c r="BH35"/>
  <c r="BV371" s="1"/>
  <c r="BF35"/>
  <c r="BU371" s="1"/>
  <c r="BD35"/>
  <c r="BT371" s="1"/>
  <c r="BB35"/>
  <c r="BS371" s="1"/>
  <c r="AT35"/>
  <c r="BT304" s="1"/>
  <c r="AR35"/>
  <c r="BS304" s="1"/>
  <c r="Z35"/>
  <c r="BT170" s="1"/>
  <c r="X35"/>
  <c r="BS170" s="1"/>
  <c r="T35"/>
  <c r="BV103" s="1"/>
  <c r="R35"/>
  <c r="BU103" s="1"/>
  <c r="P35"/>
  <c r="BT103" s="1"/>
  <c r="N35"/>
  <c r="BS103" s="1"/>
  <c r="J35"/>
  <c r="BV36" s="1"/>
  <c r="H35"/>
  <c r="BU36" s="1"/>
  <c r="BX34"/>
  <c r="BW34"/>
  <c r="BR34"/>
  <c r="BN34"/>
  <c r="AJ38" s="1"/>
  <c r="BT240" s="1"/>
  <c r="BM34"/>
  <c r="AB57" s="1"/>
  <c r="BU192" s="1"/>
  <c r="BH34"/>
  <c r="BV370" s="1"/>
  <c r="BF34"/>
  <c r="BU370" s="1"/>
  <c r="BD34"/>
  <c r="BT370" s="1"/>
  <c r="BB34"/>
  <c r="BS370" s="1"/>
  <c r="AN34"/>
  <c r="BV236" s="1"/>
  <c r="AL34"/>
  <c r="BU236" s="1"/>
  <c r="AJ34"/>
  <c r="BT236" s="1"/>
  <c r="AH34"/>
  <c r="BS236" s="1"/>
  <c r="T34"/>
  <c r="BV102" s="1"/>
  <c r="R34"/>
  <c r="BU102" s="1"/>
  <c r="J34"/>
  <c r="BV35" s="1"/>
  <c r="H34"/>
  <c r="BU35" s="1"/>
  <c r="BX33"/>
  <c r="BW33"/>
  <c r="BR33"/>
  <c r="BN33"/>
  <c r="AN40" s="1"/>
  <c r="BV242" s="1"/>
  <c r="BM33"/>
  <c r="X56" s="1"/>
  <c r="BS191" s="1"/>
  <c r="BH33"/>
  <c r="BV369" s="1"/>
  <c r="BF33"/>
  <c r="BU369" s="1"/>
  <c r="BD33"/>
  <c r="BT369" s="1"/>
  <c r="BB33"/>
  <c r="BS369" s="1"/>
  <c r="AX33"/>
  <c r="BV302" s="1"/>
  <c r="AV33"/>
  <c r="BU302" s="1"/>
  <c r="AT33"/>
  <c r="BT302" s="1"/>
  <c r="AR33"/>
  <c r="BS302" s="1"/>
  <c r="AN33"/>
  <c r="BV235" s="1"/>
  <c r="AL33"/>
  <c r="BU235" s="1"/>
  <c r="AD33"/>
  <c r="BV168" s="1"/>
  <c r="AB33"/>
  <c r="BU168" s="1"/>
  <c r="Z33"/>
  <c r="BT168" s="1"/>
  <c r="X33"/>
  <c r="BS168" s="1"/>
  <c r="T33"/>
  <c r="BV101" s="1"/>
  <c r="R33"/>
  <c r="BU101" s="1"/>
  <c r="J33"/>
  <c r="BV34" s="1"/>
  <c r="H33"/>
  <c r="BU34" s="1"/>
  <c r="BX32"/>
  <c r="BW32"/>
  <c r="BR32"/>
  <c r="BN32"/>
  <c r="AX64" s="1"/>
  <c r="BV333" s="1"/>
  <c r="BM32"/>
  <c r="BF58" s="1"/>
  <c r="BU394" s="1"/>
  <c r="BH32"/>
  <c r="BV368" s="1"/>
  <c r="BF32"/>
  <c r="BU368" s="1"/>
  <c r="BD32"/>
  <c r="BT368" s="1"/>
  <c r="BB32"/>
  <c r="BS368" s="1"/>
  <c r="AX32"/>
  <c r="BV301" s="1"/>
  <c r="AV32"/>
  <c r="BU301" s="1"/>
  <c r="AT32"/>
  <c r="BT301" s="1"/>
  <c r="AR32"/>
  <c r="BS301" s="1"/>
  <c r="AJ32"/>
  <c r="BT234" s="1"/>
  <c r="AH32"/>
  <c r="BS234" s="1"/>
  <c r="AD32"/>
  <c r="BV167" s="1"/>
  <c r="AB32"/>
  <c r="BU167" s="1"/>
  <c r="Z32"/>
  <c r="BT167" s="1"/>
  <c r="X32"/>
  <c r="BS167" s="1"/>
  <c r="T32"/>
  <c r="BV100" s="1"/>
  <c r="R32"/>
  <c r="BU100" s="1"/>
  <c r="J32"/>
  <c r="BV33" s="1"/>
  <c r="H32"/>
  <c r="BU33" s="1"/>
  <c r="BX31"/>
  <c r="BW31"/>
  <c r="BR31"/>
  <c r="BN31"/>
  <c r="BD58" s="1"/>
  <c r="BT394" s="1"/>
  <c r="BM31"/>
  <c r="H62" s="1"/>
  <c r="BU63" s="1"/>
  <c r="BH31"/>
  <c r="BV367" s="1"/>
  <c r="BF31"/>
  <c r="BU367" s="1"/>
  <c r="BD31"/>
  <c r="BT367" s="1"/>
  <c r="BB31"/>
  <c r="BS367" s="1"/>
  <c r="AT31"/>
  <c r="BT300" s="1"/>
  <c r="AR31"/>
  <c r="BS300" s="1"/>
  <c r="AN31"/>
  <c r="BV233" s="1"/>
  <c r="AL31"/>
  <c r="BU233" s="1"/>
  <c r="Z31"/>
  <c r="BT166" s="1"/>
  <c r="X31"/>
  <c r="BS166" s="1"/>
  <c r="P31"/>
  <c r="BT99" s="1"/>
  <c r="N31"/>
  <c r="BS99" s="1"/>
  <c r="J31"/>
  <c r="BV32" s="1"/>
  <c r="H31"/>
  <c r="BU32" s="1"/>
  <c r="BX30"/>
  <c r="BW30"/>
  <c r="BR30"/>
  <c r="BN30"/>
  <c r="AJ62" s="1"/>
  <c r="BT264" s="1"/>
  <c r="BM30"/>
  <c r="BF49" s="1"/>
  <c r="BU385" s="1"/>
  <c r="BH30"/>
  <c r="BV366" s="1"/>
  <c r="BF30"/>
  <c r="BU366" s="1"/>
  <c r="BD30"/>
  <c r="BT366" s="1"/>
  <c r="BB30"/>
  <c r="BS366" s="1"/>
  <c r="AT30"/>
  <c r="BT299" s="1"/>
  <c r="AR30"/>
  <c r="BS299" s="1"/>
  <c r="AN30"/>
  <c r="BV232" s="1"/>
  <c r="AL30"/>
  <c r="BU232" s="1"/>
  <c r="AJ30"/>
  <c r="BT232" s="1"/>
  <c r="AH30"/>
  <c r="BS232" s="1"/>
  <c r="Z30"/>
  <c r="BT165" s="1"/>
  <c r="X30"/>
  <c r="BS165" s="1"/>
  <c r="T30"/>
  <c r="BV98" s="1"/>
  <c r="R30"/>
  <c r="BU98" s="1"/>
  <c r="J30"/>
  <c r="BV31" s="1"/>
  <c r="H30"/>
  <c r="BU31" s="1"/>
  <c r="F30"/>
  <c r="BT31" s="1"/>
  <c r="D30"/>
  <c r="BS31" s="1"/>
  <c r="BX29"/>
  <c r="BW29"/>
  <c r="BR29"/>
  <c r="BN29"/>
  <c r="P34" s="1"/>
  <c r="BT102" s="1"/>
  <c r="BM29"/>
  <c r="D60" s="1"/>
  <c r="BS61" s="1"/>
  <c r="BD29"/>
  <c r="BT365" s="1"/>
  <c r="BB29"/>
  <c r="BS365" s="1"/>
  <c r="AT29"/>
  <c r="BT298" s="1"/>
  <c r="AR29"/>
  <c r="BS298" s="1"/>
  <c r="AN29"/>
  <c r="BV231" s="1"/>
  <c r="AL29"/>
  <c r="BU231" s="1"/>
  <c r="AJ29"/>
  <c r="BT231" s="1"/>
  <c r="AH29"/>
  <c r="BS231" s="1"/>
  <c r="AD29"/>
  <c r="BV164" s="1"/>
  <c r="AB29"/>
  <c r="BU164" s="1"/>
  <c r="T29"/>
  <c r="BV97" s="1"/>
  <c r="R29"/>
  <c r="BU97" s="1"/>
  <c r="P29"/>
  <c r="BT97" s="1"/>
  <c r="N29"/>
  <c r="BS97" s="1"/>
  <c r="F29"/>
  <c r="BT30" s="1"/>
  <c r="D29"/>
  <c r="BS30" s="1"/>
  <c r="BX28"/>
  <c r="BW28"/>
  <c r="BR28"/>
  <c r="BN28"/>
  <c r="P63" s="1"/>
  <c r="BT131" s="1"/>
  <c r="BM28"/>
  <c r="N63" s="1"/>
  <c r="BS131" s="1"/>
  <c r="BH28"/>
  <c r="BV364" s="1"/>
  <c r="BF28"/>
  <c r="BU364" s="1"/>
  <c r="BD28"/>
  <c r="BT364" s="1"/>
  <c r="BB28"/>
  <c r="BS364" s="1"/>
  <c r="AX28"/>
  <c r="BV297" s="1"/>
  <c r="AV28"/>
  <c r="BU297" s="1"/>
  <c r="AT28"/>
  <c r="BT297" s="1"/>
  <c r="AR28"/>
  <c r="BS297" s="1"/>
  <c r="AN28"/>
  <c r="BV230" s="1"/>
  <c r="AL28"/>
  <c r="BU230" s="1"/>
  <c r="AJ28"/>
  <c r="BT230" s="1"/>
  <c r="AH28"/>
  <c r="BS230" s="1"/>
  <c r="AD28"/>
  <c r="BV163" s="1"/>
  <c r="AB28"/>
  <c r="BU163" s="1"/>
  <c r="T28"/>
  <c r="BV96" s="1"/>
  <c r="R28"/>
  <c r="BU96" s="1"/>
  <c r="F28"/>
  <c r="BT29" s="1"/>
  <c r="D28"/>
  <c r="BS29" s="1"/>
  <c r="BX27"/>
  <c r="BW27"/>
  <c r="BR27"/>
  <c r="BN27"/>
  <c r="T37" s="1"/>
  <c r="BV105" s="1"/>
  <c r="BM27"/>
  <c r="R37" s="1"/>
  <c r="BU105" s="1"/>
  <c r="BH27"/>
  <c r="BV363" s="1"/>
  <c r="BF27"/>
  <c r="BU363" s="1"/>
  <c r="BD27"/>
  <c r="BT363" s="1"/>
  <c r="BB27"/>
  <c r="BS363" s="1"/>
  <c r="AX27"/>
  <c r="BV296" s="1"/>
  <c r="AV27"/>
  <c r="BU296" s="1"/>
  <c r="AT27"/>
  <c r="BT296" s="1"/>
  <c r="AR27"/>
  <c r="BS296" s="1"/>
  <c r="AN27"/>
  <c r="BV229" s="1"/>
  <c r="AL27"/>
  <c r="BU229" s="1"/>
  <c r="AD27"/>
  <c r="BV162" s="1"/>
  <c r="AB27"/>
  <c r="BU162" s="1"/>
  <c r="Z27"/>
  <c r="BT162" s="1"/>
  <c r="X27"/>
  <c r="BS162" s="1"/>
  <c r="T27"/>
  <c r="BV95" s="1"/>
  <c r="R27"/>
  <c r="BU95" s="1"/>
  <c r="J27"/>
  <c r="BV28" s="1"/>
  <c r="H27"/>
  <c r="BU28" s="1"/>
  <c r="BX26"/>
  <c r="BW26"/>
  <c r="BR26"/>
  <c r="BN26"/>
  <c r="BD62" s="1"/>
  <c r="BT398" s="1"/>
  <c r="BM26"/>
  <c r="N61" s="1"/>
  <c r="BS129" s="1"/>
  <c r="BH26"/>
  <c r="BV362" s="1"/>
  <c r="BF26"/>
  <c r="BU362" s="1"/>
  <c r="AX26"/>
  <c r="BV295" s="1"/>
  <c r="AV26"/>
  <c r="BU295" s="1"/>
  <c r="AT26"/>
  <c r="BT295" s="1"/>
  <c r="AR26"/>
  <c r="BS295" s="1"/>
  <c r="AL26"/>
  <c r="BU228" s="1"/>
  <c r="AJ26"/>
  <c r="BT228" s="1"/>
  <c r="AH26"/>
  <c r="BS228" s="1"/>
  <c r="AD26"/>
  <c r="BV161" s="1"/>
  <c r="AB26"/>
  <c r="BU161" s="1"/>
  <c r="Z26"/>
  <c r="BT161" s="1"/>
  <c r="X26"/>
  <c r="BS161" s="1"/>
  <c r="T26"/>
  <c r="BV94" s="1"/>
  <c r="R26"/>
  <c r="BU94" s="1"/>
  <c r="P26"/>
  <c r="BT94" s="1"/>
  <c r="N26"/>
  <c r="BS94" s="1"/>
  <c r="J26"/>
  <c r="BV27" s="1"/>
  <c r="H26"/>
  <c r="BU27" s="1"/>
  <c r="BX25"/>
  <c r="BW25"/>
  <c r="BR25"/>
  <c r="BN25"/>
  <c r="BD60" s="1"/>
  <c r="BT396" s="1"/>
  <c r="BM25"/>
  <c r="BB60" s="1"/>
  <c r="BS396" s="1"/>
  <c r="BH25"/>
  <c r="BV361" s="1"/>
  <c r="BF25"/>
  <c r="BU361" s="1"/>
  <c r="AX25"/>
  <c r="BV294" s="1"/>
  <c r="AV25"/>
  <c r="BU294" s="1"/>
  <c r="AT25"/>
  <c r="BT294" s="1"/>
  <c r="AR25"/>
  <c r="BS294" s="1"/>
  <c r="AN25"/>
  <c r="BV227" s="1"/>
  <c r="AL25"/>
  <c r="BU227" s="1"/>
  <c r="AJ25"/>
  <c r="BT227" s="1"/>
  <c r="AH25"/>
  <c r="BS227" s="1"/>
  <c r="AD25"/>
  <c r="BV160" s="1"/>
  <c r="AB25"/>
  <c r="BU160" s="1"/>
  <c r="T25"/>
  <c r="BV93" s="1"/>
  <c r="R25"/>
  <c r="BU93" s="1"/>
  <c r="P25"/>
  <c r="BT93" s="1"/>
  <c r="N25"/>
  <c r="BS93" s="1"/>
  <c r="J25"/>
  <c r="BV26" s="1"/>
  <c r="H25"/>
  <c r="BU26" s="1"/>
  <c r="BX24"/>
  <c r="BW24"/>
  <c r="BR24"/>
  <c r="BN24"/>
  <c r="BH44" s="1"/>
  <c r="BV380" s="1"/>
  <c r="BM24"/>
  <c r="AL45" s="1"/>
  <c r="BU247" s="1"/>
  <c r="BH24"/>
  <c r="BV360" s="1"/>
  <c r="BF24"/>
  <c r="BU360" s="1"/>
  <c r="BD24"/>
  <c r="BT360" s="1"/>
  <c r="BB24"/>
  <c r="BS360" s="1"/>
  <c r="AX24"/>
  <c r="BV293" s="1"/>
  <c r="AV24"/>
  <c r="BU293" s="1"/>
  <c r="AN24"/>
  <c r="BV226" s="1"/>
  <c r="AL24"/>
  <c r="BU226" s="1"/>
  <c r="AJ24"/>
  <c r="BT226" s="1"/>
  <c r="AH24"/>
  <c r="BS226" s="1"/>
  <c r="AD24"/>
  <c r="BV159" s="1"/>
  <c r="AB24"/>
  <c r="BU159" s="1"/>
  <c r="Z24"/>
  <c r="BT159" s="1"/>
  <c r="X24"/>
  <c r="BS159" s="1"/>
  <c r="T24"/>
  <c r="BV92" s="1"/>
  <c r="R24"/>
  <c r="BU92" s="1"/>
  <c r="J24"/>
  <c r="BV25" s="1"/>
  <c r="H24"/>
  <c r="BU25" s="1"/>
  <c r="F24"/>
  <c r="BT25" s="1"/>
  <c r="D24"/>
  <c r="BS25" s="1"/>
  <c r="BX23"/>
  <c r="BW23"/>
  <c r="BR23"/>
  <c r="BN23"/>
  <c r="AJ46" s="1"/>
  <c r="BT248" s="1"/>
  <c r="BM23"/>
  <c r="AB54" s="1"/>
  <c r="BU189" s="1"/>
  <c r="BH23"/>
  <c r="BV359" s="1"/>
  <c r="BF23"/>
  <c r="BU359" s="1"/>
  <c r="BD23"/>
  <c r="BT359" s="1"/>
  <c r="BB23"/>
  <c r="BS359" s="1"/>
  <c r="AX23"/>
  <c r="BV292" s="1"/>
  <c r="AV23"/>
  <c r="BU292" s="1"/>
  <c r="AT23"/>
  <c r="BT292" s="1"/>
  <c r="AR23"/>
  <c r="BS292" s="1"/>
  <c r="AN23"/>
  <c r="BV225" s="1"/>
  <c r="AL23"/>
  <c r="BU225" s="1"/>
  <c r="AJ23"/>
  <c r="BT225" s="1"/>
  <c r="AH23"/>
  <c r="BS225" s="1"/>
  <c r="AD23"/>
  <c r="BV158" s="1"/>
  <c r="AB23"/>
  <c r="BU158" s="1"/>
  <c r="Z23"/>
  <c r="BT158" s="1"/>
  <c r="X23"/>
  <c r="BS158" s="1"/>
  <c r="T23"/>
  <c r="BV91" s="1"/>
  <c r="R23"/>
  <c r="BU91" s="1"/>
  <c r="J23"/>
  <c r="BV24" s="1"/>
  <c r="H23"/>
  <c r="BU24" s="1"/>
  <c r="BX22"/>
  <c r="BW22"/>
  <c r="BR22"/>
  <c r="BN22"/>
  <c r="BH64" s="1"/>
  <c r="BV400" s="1"/>
  <c r="BM22"/>
  <c r="AR43" s="1"/>
  <c r="BS312" s="1"/>
  <c r="BH22"/>
  <c r="BV358" s="1"/>
  <c r="BF22"/>
  <c r="BU358" s="1"/>
  <c r="AX22"/>
  <c r="BV291" s="1"/>
  <c r="AV22"/>
  <c r="BU291" s="1"/>
  <c r="AT22"/>
  <c r="BT291" s="1"/>
  <c r="AR22"/>
  <c r="BS291" s="1"/>
  <c r="AN22"/>
  <c r="BV224" s="1"/>
  <c r="AL22"/>
  <c r="BU224" s="1"/>
  <c r="AD22"/>
  <c r="BV157" s="1"/>
  <c r="AB22"/>
  <c r="BU157" s="1"/>
  <c r="Z22"/>
  <c r="BT157" s="1"/>
  <c r="X22"/>
  <c r="BS157" s="1"/>
  <c r="J22"/>
  <c r="BV23" s="1"/>
  <c r="H22"/>
  <c r="BU23" s="1"/>
  <c r="BX21"/>
  <c r="BW21"/>
  <c r="BR21"/>
  <c r="BN21"/>
  <c r="BD39" s="1"/>
  <c r="BT375" s="1"/>
  <c r="BM21"/>
  <c r="BB39" s="1"/>
  <c r="BS375" s="1"/>
  <c r="BH21"/>
  <c r="BV357" s="1"/>
  <c r="BF21"/>
  <c r="BU357" s="1"/>
  <c r="BD21"/>
  <c r="BT357" s="1"/>
  <c r="BB21"/>
  <c r="BS357" s="1"/>
  <c r="AX21"/>
  <c r="BV290" s="1"/>
  <c r="AV21"/>
  <c r="BU290" s="1"/>
  <c r="AT21"/>
  <c r="BT290" s="1"/>
  <c r="AR21"/>
  <c r="BS290" s="1"/>
  <c r="AN21"/>
  <c r="BV223" s="1"/>
  <c r="AL21"/>
  <c r="BU223" s="1"/>
  <c r="AJ21"/>
  <c r="BT223" s="1"/>
  <c r="AH21"/>
  <c r="BS223" s="1"/>
  <c r="AD21"/>
  <c r="BV156" s="1"/>
  <c r="AB21"/>
  <c r="BU156" s="1"/>
  <c r="Z21"/>
  <c r="BT156" s="1"/>
  <c r="X21"/>
  <c r="BS156" s="1"/>
  <c r="T21"/>
  <c r="BV89" s="1"/>
  <c r="R21"/>
  <c r="BU89" s="1"/>
  <c r="P21"/>
  <c r="BT89" s="1"/>
  <c r="N21"/>
  <c r="BS89" s="1"/>
  <c r="J21"/>
  <c r="BV22" s="1"/>
  <c r="H21"/>
  <c r="BU22" s="1"/>
  <c r="F21"/>
  <c r="BT22" s="1"/>
  <c r="D21"/>
  <c r="BS22" s="1"/>
  <c r="BX20"/>
  <c r="BW20"/>
  <c r="BR20"/>
  <c r="BN20"/>
  <c r="AN52" s="1"/>
  <c r="BV254" s="1"/>
  <c r="BM20"/>
  <c r="D27" s="1"/>
  <c r="BS28" s="1"/>
  <c r="BH20"/>
  <c r="BV356" s="1"/>
  <c r="BF20"/>
  <c r="BU356" s="1"/>
  <c r="BD20"/>
  <c r="BT356" s="1"/>
  <c r="BB20"/>
  <c r="BS356" s="1"/>
  <c r="AX20"/>
  <c r="BV289" s="1"/>
  <c r="AV20"/>
  <c r="BU289" s="1"/>
  <c r="AT20"/>
  <c r="BT289" s="1"/>
  <c r="AR20"/>
  <c r="BS289" s="1"/>
  <c r="AN20"/>
  <c r="BV222" s="1"/>
  <c r="AL20"/>
  <c r="BU222" s="1"/>
  <c r="AJ20"/>
  <c r="BT222" s="1"/>
  <c r="AH20"/>
  <c r="BS222" s="1"/>
  <c r="AD20"/>
  <c r="BV155" s="1"/>
  <c r="AB20"/>
  <c r="BU155" s="1"/>
  <c r="Z20"/>
  <c r="BT155" s="1"/>
  <c r="X20"/>
  <c r="BS155" s="1"/>
  <c r="P20"/>
  <c r="BT88" s="1"/>
  <c r="N20"/>
  <c r="BS88" s="1"/>
  <c r="J20"/>
  <c r="BV21" s="1"/>
  <c r="H20"/>
  <c r="BU21" s="1"/>
  <c r="F20"/>
  <c r="BT21" s="1"/>
  <c r="D20"/>
  <c r="BS21" s="1"/>
  <c r="BX19"/>
  <c r="BW19"/>
  <c r="BR19"/>
  <c r="BN19"/>
  <c r="AJ42" s="1"/>
  <c r="BT244" s="1"/>
  <c r="BM19"/>
  <c r="H49" s="1"/>
  <c r="BU50" s="1"/>
  <c r="BH19"/>
  <c r="BV355" s="1"/>
  <c r="BF19"/>
  <c r="BU355" s="1"/>
  <c r="AX19"/>
  <c r="BV288" s="1"/>
  <c r="AV19"/>
  <c r="BU288" s="1"/>
  <c r="AT19"/>
  <c r="BT288" s="1"/>
  <c r="AR19"/>
  <c r="BS288" s="1"/>
  <c r="AJ19"/>
  <c r="BT221" s="1"/>
  <c r="AH19"/>
  <c r="BS221" s="1"/>
  <c r="AD19"/>
  <c r="BV154" s="1"/>
  <c r="AB19"/>
  <c r="BU154" s="1"/>
  <c r="T19"/>
  <c r="BV87" s="1"/>
  <c r="R19"/>
  <c r="BU87" s="1"/>
  <c r="P19"/>
  <c r="BT87" s="1"/>
  <c r="N19"/>
  <c r="BS87" s="1"/>
  <c r="J19"/>
  <c r="BV20" s="1"/>
  <c r="H19"/>
  <c r="BU20" s="1"/>
  <c r="F19"/>
  <c r="BT20" s="1"/>
  <c r="D19"/>
  <c r="BS20" s="1"/>
  <c r="BX18"/>
  <c r="BW18"/>
  <c r="BR18"/>
  <c r="BN18"/>
  <c r="Z54" s="1"/>
  <c r="BT189" s="1"/>
  <c r="BM18"/>
  <c r="AV41" s="1"/>
  <c r="BU310" s="1"/>
  <c r="BH18"/>
  <c r="BV354" s="1"/>
  <c r="BF18"/>
  <c r="BU354" s="1"/>
  <c r="AN18"/>
  <c r="BV220" s="1"/>
  <c r="AL18"/>
  <c r="BU220" s="1"/>
  <c r="AJ18"/>
  <c r="BT220" s="1"/>
  <c r="AH18"/>
  <c r="BS220" s="1"/>
  <c r="AD18"/>
  <c r="BV153" s="1"/>
  <c r="AB18"/>
  <c r="BU153" s="1"/>
  <c r="Z18"/>
  <c r="BT153" s="1"/>
  <c r="X18"/>
  <c r="BS153" s="1"/>
  <c r="P18"/>
  <c r="BT86" s="1"/>
  <c r="N18"/>
  <c r="BS86" s="1"/>
  <c r="J18"/>
  <c r="BV19" s="1"/>
  <c r="H18"/>
  <c r="BU19" s="1"/>
  <c r="F18"/>
  <c r="BT19" s="1"/>
  <c r="D18"/>
  <c r="BS19" s="1"/>
  <c r="BX17"/>
  <c r="BW17"/>
  <c r="BR17"/>
  <c r="BN17"/>
  <c r="Z38" s="1"/>
  <c r="BT173" s="1"/>
  <c r="BM17"/>
  <c r="D31" s="1"/>
  <c r="BS32" s="1"/>
  <c r="BH17"/>
  <c r="BV353" s="1"/>
  <c r="BF17"/>
  <c r="BU353" s="1"/>
  <c r="BD17"/>
  <c r="BT353" s="1"/>
  <c r="BB17"/>
  <c r="BS353" s="1"/>
  <c r="AX17"/>
  <c r="BV286" s="1"/>
  <c r="AV17"/>
  <c r="BU286" s="1"/>
  <c r="AN17"/>
  <c r="BV219" s="1"/>
  <c r="AL17"/>
  <c r="BU219" s="1"/>
  <c r="AJ17"/>
  <c r="BT219" s="1"/>
  <c r="AH17"/>
  <c r="BS219" s="1"/>
  <c r="AD17"/>
  <c r="BV152" s="1"/>
  <c r="AB17"/>
  <c r="BU152" s="1"/>
  <c r="Z17"/>
  <c r="BT152" s="1"/>
  <c r="X17"/>
  <c r="BS152" s="1"/>
  <c r="T17"/>
  <c r="BV85" s="1"/>
  <c r="R17"/>
  <c r="BU85" s="1"/>
  <c r="P17"/>
  <c r="BT85" s="1"/>
  <c r="N17"/>
  <c r="BS85" s="1"/>
  <c r="J17"/>
  <c r="BV18" s="1"/>
  <c r="H17"/>
  <c r="BU18" s="1"/>
  <c r="F17"/>
  <c r="BT18" s="1"/>
  <c r="D17"/>
  <c r="BS18" s="1"/>
  <c r="BX16"/>
  <c r="BW16"/>
  <c r="BR16"/>
  <c r="BN16"/>
  <c r="BD46" s="1"/>
  <c r="BT382" s="1"/>
  <c r="BM16"/>
  <c r="N23" s="1"/>
  <c r="BS91" s="1"/>
  <c r="BH16"/>
  <c r="BV352" s="1"/>
  <c r="BF16"/>
  <c r="BU352" s="1"/>
  <c r="AX16"/>
  <c r="BV285" s="1"/>
  <c r="AV16"/>
  <c r="BU285" s="1"/>
  <c r="AT16"/>
  <c r="BT285" s="1"/>
  <c r="AR16"/>
  <c r="BS285" s="1"/>
  <c r="AN16"/>
  <c r="BV218" s="1"/>
  <c r="AL16"/>
  <c r="BU218" s="1"/>
  <c r="AJ16"/>
  <c r="BT218" s="1"/>
  <c r="AH16"/>
  <c r="BS218" s="1"/>
  <c r="AD16"/>
  <c r="BV151" s="1"/>
  <c r="AB16"/>
  <c r="BU151" s="1"/>
  <c r="Z16"/>
  <c r="BT151" s="1"/>
  <c r="X16"/>
  <c r="BS151" s="1"/>
  <c r="T16"/>
  <c r="BV84" s="1"/>
  <c r="R16"/>
  <c r="BU84" s="1"/>
  <c r="P16"/>
  <c r="BT84" s="1"/>
  <c r="N16"/>
  <c r="BS84" s="1"/>
  <c r="J16"/>
  <c r="BV17" s="1"/>
  <c r="H16"/>
  <c r="BU17" s="1"/>
  <c r="F16"/>
  <c r="BT17" s="1"/>
  <c r="D16"/>
  <c r="BS17" s="1"/>
  <c r="BX15"/>
  <c r="BW15"/>
  <c r="BR15"/>
  <c r="BN15"/>
  <c r="Z51" s="1"/>
  <c r="BT186" s="1"/>
  <c r="BM15"/>
  <c r="X51" s="1"/>
  <c r="BS186" s="1"/>
  <c r="BH15"/>
  <c r="BV351" s="1"/>
  <c r="BF15"/>
  <c r="BU351" s="1"/>
  <c r="BD15"/>
  <c r="BT351" s="1"/>
  <c r="BB15"/>
  <c r="BS351" s="1"/>
  <c r="AX15"/>
  <c r="BV284" s="1"/>
  <c r="AV15"/>
  <c r="BU284" s="1"/>
  <c r="AT15"/>
  <c r="BT284" s="1"/>
  <c r="AR15"/>
  <c r="BS284" s="1"/>
  <c r="AN15"/>
  <c r="BV217" s="1"/>
  <c r="AL15"/>
  <c r="BU217" s="1"/>
  <c r="AJ15"/>
  <c r="BT217" s="1"/>
  <c r="AH15"/>
  <c r="BS217" s="1"/>
  <c r="AD15"/>
  <c r="BV150" s="1"/>
  <c r="AB15"/>
  <c r="BU150" s="1"/>
  <c r="Z15"/>
  <c r="BT150" s="1"/>
  <c r="X15"/>
  <c r="BS150" s="1"/>
  <c r="T15"/>
  <c r="BV83" s="1"/>
  <c r="R15"/>
  <c r="BU83" s="1"/>
  <c r="P15"/>
  <c r="BT83" s="1"/>
  <c r="N15"/>
  <c r="BS83" s="1"/>
  <c r="J15"/>
  <c r="BV16" s="1"/>
  <c r="H15"/>
  <c r="BU16" s="1"/>
  <c r="BX14"/>
  <c r="BW14"/>
  <c r="BR14"/>
  <c r="BN14"/>
  <c r="AD44" s="1"/>
  <c r="BV179" s="1"/>
  <c r="BM14"/>
  <c r="D47" s="1"/>
  <c r="BS48" s="1"/>
  <c r="BH14"/>
  <c r="BV350" s="1"/>
  <c r="BF14"/>
  <c r="BU350" s="1"/>
  <c r="BD14"/>
  <c r="BT350" s="1"/>
  <c r="BB14"/>
  <c r="BS350" s="1"/>
  <c r="AX14"/>
  <c r="BV283" s="1"/>
  <c r="AV14"/>
  <c r="BU283" s="1"/>
  <c r="AT14"/>
  <c r="BT283" s="1"/>
  <c r="AR14"/>
  <c r="BS283" s="1"/>
  <c r="AN14"/>
  <c r="BV216" s="1"/>
  <c r="AL14"/>
  <c r="BU216" s="1"/>
  <c r="AJ14"/>
  <c r="BT216" s="1"/>
  <c r="AH14"/>
  <c r="BS216" s="1"/>
  <c r="AD14"/>
  <c r="BV149" s="1"/>
  <c r="AB14"/>
  <c r="BU149" s="1"/>
  <c r="Z14"/>
  <c r="BT149" s="1"/>
  <c r="X14"/>
  <c r="BS149" s="1"/>
  <c r="T14"/>
  <c r="BV82" s="1"/>
  <c r="R14"/>
  <c r="BU82" s="1"/>
  <c r="P14"/>
  <c r="BT82" s="1"/>
  <c r="N14"/>
  <c r="BS82" s="1"/>
  <c r="J14"/>
  <c r="BV15" s="1"/>
  <c r="H14"/>
  <c r="BU15" s="1"/>
  <c r="BX13"/>
  <c r="BW13"/>
  <c r="BR13"/>
  <c r="BN13"/>
  <c r="AN32" s="1"/>
  <c r="BV234" s="1"/>
  <c r="BM13"/>
  <c r="AV61" s="1"/>
  <c r="BU330" s="1"/>
  <c r="BH13"/>
  <c r="BV349" s="1"/>
  <c r="BF13"/>
  <c r="BU349" s="1"/>
  <c r="AX13"/>
  <c r="BV282" s="1"/>
  <c r="AV13"/>
  <c r="BU282" s="1"/>
  <c r="AT13"/>
  <c r="BT282" s="1"/>
  <c r="AR13"/>
  <c r="BS282" s="1"/>
  <c r="AJ13"/>
  <c r="BT215" s="1"/>
  <c r="AH13"/>
  <c r="BS215" s="1"/>
  <c r="AD13"/>
  <c r="BV148" s="1"/>
  <c r="AB13"/>
  <c r="BU148" s="1"/>
  <c r="Z13"/>
  <c r="BT148" s="1"/>
  <c r="X13"/>
  <c r="BS148" s="1"/>
  <c r="T13"/>
  <c r="BV81" s="1"/>
  <c r="R13"/>
  <c r="BU81" s="1"/>
  <c r="J13"/>
  <c r="BV14" s="1"/>
  <c r="H13"/>
  <c r="BU14" s="1"/>
  <c r="F13"/>
  <c r="BT14" s="1"/>
  <c r="D13"/>
  <c r="BS14" s="1"/>
  <c r="BX12"/>
  <c r="BW12"/>
  <c r="BR12"/>
  <c r="BN12"/>
  <c r="AT63" s="1"/>
  <c r="BT332" s="1"/>
  <c r="BM12"/>
  <c r="AR63" s="1"/>
  <c r="BS332" s="1"/>
  <c r="BH12"/>
  <c r="BV348" s="1"/>
  <c r="BF12"/>
  <c r="BU348" s="1"/>
  <c r="BD12"/>
  <c r="BT348" s="1"/>
  <c r="BB12"/>
  <c r="BS348" s="1"/>
  <c r="AX12"/>
  <c r="BV281" s="1"/>
  <c r="AV12"/>
  <c r="BU281" s="1"/>
  <c r="AT12"/>
  <c r="BT281" s="1"/>
  <c r="AR12"/>
  <c r="BS281" s="1"/>
  <c r="AN12"/>
  <c r="BV214" s="1"/>
  <c r="AL12"/>
  <c r="BU214" s="1"/>
  <c r="AJ12"/>
  <c r="BT214" s="1"/>
  <c r="AH12"/>
  <c r="BS214" s="1"/>
  <c r="AD12"/>
  <c r="BV147" s="1"/>
  <c r="AB12"/>
  <c r="BU147" s="1"/>
  <c r="Z12"/>
  <c r="BT147" s="1"/>
  <c r="X12"/>
  <c r="BS147" s="1"/>
  <c r="T12"/>
  <c r="BV80" s="1"/>
  <c r="R12"/>
  <c r="BU80" s="1"/>
  <c r="P12"/>
  <c r="BT80" s="1"/>
  <c r="N12"/>
  <c r="BS80" s="1"/>
  <c r="J12"/>
  <c r="BV13" s="1"/>
  <c r="H12"/>
  <c r="BU13" s="1"/>
  <c r="F12"/>
  <c r="BT13" s="1"/>
  <c r="D12"/>
  <c r="BS13" s="1"/>
  <c r="BX11"/>
  <c r="BW11"/>
  <c r="BR11"/>
  <c r="BN11"/>
  <c r="BD63" s="1"/>
  <c r="BT399" s="1"/>
  <c r="BM11"/>
  <c r="BB63" s="1"/>
  <c r="BS399" s="1"/>
  <c r="BH11"/>
  <c r="BV347" s="1"/>
  <c r="BF11"/>
  <c r="BU347" s="1"/>
  <c r="BD11"/>
  <c r="BT347" s="1"/>
  <c r="BB11"/>
  <c r="BS347" s="1"/>
  <c r="AX11"/>
  <c r="BV280" s="1"/>
  <c r="AV11"/>
  <c r="BU280" s="1"/>
  <c r="AN11"/>
  <c r="BV213" s="1"/>
  <c r="AL11"/>
  <c r="BU213" s="1"/>
  <c r="AJ11"/>
  <c r="BT213" s="1"/>
  <c r="AH11"/>
  <c r="BS213" s="1"/>
  <c r="AD11"/>
  <c r="BV146" s="1"/>
  <c r="AB11"/>
  <c r="BU146" s="1"/>
  <c r="Z11"/>
  <c r="BT146" s="1"/>
  <c r="X11"/>
  <c r="BS146" s="1"/>
  <c r="R11"/>
  <c r="BU79" s="1"/>
  <c r="P11"/>
  <c r="BT79" s="1"/>
  <c r="N11"/>
  <c r="BS79" s="1"/>
  <c r="J11"/>
  <c r="BV12" s="1"/>
  <c r="H11"/>
  <c r="BU12" s="1"/>
  <c r="F11"/>
  <c r="BT12" s="1"/>
  <c r="D11"/>
  <c r="BS12" s="1"/>
  <c r="BX10"/>
  <c r="BW10"/>
  <c r="BR10"/>
  <c r="BN10"/>
  <c r="P42" s="1"/>
  <c r="BT110" s="1"/>
  <c r="BM10"/>
  <c r="X19" s="1"/>
  <c r="BS154" s="1"/>
  <c r="BH10"/>
  <c r="BV346" s="1"/>
  <c r="BF10"/>
  <c r="BU346" s="1"/>
  <c r="BD10"/>
  <c r="BT346" s="1"/>
  <c r="BB10"/>
  <c r="BS346" s="1"/>
  <c r="AV10"/>
  <c r="BU279" s="1"/>
  <c r="AT10"/>
  <c r="BT279" s="1"/>
  <c r="AR10"/>
  <c r="BS279" s="1"/>
  <c r="AN10"/>
  <c r="BV212" s="1"/>
  <c r="AL10"/>
  <c r="BU212" s="1"/>
  <c r="AJ10"/>
  <c r="BT212" s="1"/>
  <c r="AH10"/>
  <c r="BS212" s="1"/>
  <c r="AD10"/>
  <c r="BV145" s="1"/>
  <c r="AB10"/>
  <c r="BU145" s="1"/>
  <c r="Z10"/>
  <c r="BT145" s="1"/>
  <c r="X10"/>
  <c r="BS145" s="1"/>
  <c r="T10"/>
  <c r="BV78" s="1"/>
  <c r="R10"/>
  <c r="BU78" s="1"/>
  <c r="P10"/>
  <c r="BT78" s="1"/>
  <c r="N10"/>
  <c r="BS78" s="1"/>
  <c r="J10"/>
  <c r="BV11" s="1"/>
  <c r="H10"/>
  <c r="BU11" s="1"/>
  <c r="F10"/>
  <c r="BT11" s="1"/>
  <c r="D10"/>
  <c r="BS11" s="1"/>
  <c r="BX9"/>
  <c r="BW9"/>
  <c r="BR9"/>
  <c r="BN9"/>
  <c r="BD38" s="1"/>
  <c r="BT374" s="1"/>
  <c r="BM9"/>
  <c r="AH63" s="1"/>
  <c r="BS265" s="1"/>
  <c r="BH9"/>
  <c r="BV345" s="1"/>
  <c r="BF9"/>
  <c r="BU345" s="1"/>
  <c r="BD9"/>
  <c r="BT345" s="1"/>
  <c r="BB9"/>
  <c r="BS345" s="1"/>
  <c r="AX9"/>
  <c r="BV278" s="1"/>
  <c r="AV9"/>
  <c r="BU278" s="1"/>
  <c r="AT9"/>
  <c r="BT278" s="1"/>
  <c r="AR9"/>
  <c r="BS278" s="1"/>
  <c r="AN9"/>
  <c r="BV211" s="1"/>
  <c r="AL9"/>
  <c r="BU211" s="1"/>
  <c r="AJ9"/>
  <c r="BT211" s="1"/>
  <c r="AH9"/>
  <c r="BS211" s="1"/>
  <c r="AD9"/>
  <c r="BV144" s="1"/>
  <c r="AB9"/>
  <c r="BU144" s="1"/>
  <c r="Z9"/>
  <c r="BT144" s="1"/>
  <c r="X9"/>
  <c r="BS144" s="1"/>
  <c r="T9"/>
  <c r="BV77" s="1"/>
  <c r="R9"/>
  <c r="BU77" s="1"/>
  <c r="P9"/>
  <c r="BT77" s="1"/>
  <c r="N9"/>
  <c r="BS77" s="1"/>
  <c r="J9"/>
  <c r="BV10" s="1"/>
  <c r="H9"/>
  <c r="BU10" s="1"/>
  <c r="F9"/>
  <c r="BT10" s="1"/>
  <c r="D9"/>
  <c r="BS10" s="1"/>
  <c r="BX8"/>
  <c r="BW8"/>
  <c r="BR8"/>
  <c r="BN8"/>
  <c r="P58" s="1"/>
  <c r="BT126" s="1"/>
  <c r="BM8"/>
  <c r="AR59" s="1"/>
  <c r="BS328" s="1"/>
  <c r="BH8"/>
  <c r="BV344" s="1"/>
  <c r="BF8"/>
  <c r="BU344" s="1"/>
  <c r="BD8"/>
  <c r="BT344" s="1"/>
  <c r="BB8"/>
  <c r="BS344" s="1"/>
  <c r="AX8"/>
  <c r="BV277" s="1"/>
  <c r="AV8"/>
  <c r="BU277" s="1"/>
  <c r="AT8"/>
  <c r="BT277" s="1"/>
  <c r="AR8"/>
  <c r="BS277" s="1"/>
  <c r="AN8"/>
  <c r="BV210" s="1"/>
  <c r="AL8"/>
  <c r="BU210" s="1"/>
  <c r="AJ8"/>
  <c r="BT210" s="1"/>
  <c r="AH8"/>
  <c r="BS210" s="1"/>
  <c r="AD8"/>
  <c r="BV143" s="1"/>
  <c r="AB8"/>
  <c r="BU143" s="1"/>
  <c r="Z8"/>
  <c r="BT143" s="1"/>
  <c r="X8"/>
  <c r="BS143" s="1"/>
  <c r="T8"/>
  <c r="BV76" s="1"/>
  <c r="R8"/>
  <c r="BU76" s="1"/>
  <c r="P8"/>
  <c r="BT76" s="1"/>
  <c r="N8"/>
  <c r="BS76" s="1"/>
  <c r="J8"/>
  <c r="BV9" s="1"/>
  <c r="H8"/>
  <c r="BU9" s="1"/>
  <c r="F8"/>
  <c r="BT9" s="1"/>
  <c r="D8"/>
  <c r="BS9" s="1"/>
  <c r="BX7"/>
  <c r="BW7"/>
  <c r="BR7"/>
  <c r="BN7"/>
  <c r="AT38" s="1"/>
  <c r="BT307" s="1"/>
  <c r="BM7"/>
  <c r="AB45" s="1"/>
  <c r="BU180" s="1"/>
  <c r="BH7"/>
  <c r="BV343" s="1"/>
  <c r="BF7"/>
  <c r="BU343" s="1"/>
  <c r="BD7"/>
  <c r="BT343" s="1"/>
  <c r="BB7"/>
  <c r="BS343" s="1"/>
  <c r="AX7"/>
  <c r="BV276" s="1"/>
  <c r="AV7"/>
  <c r="BU276" s="1"/>
  <c r="AT7"/>
  <c r="BT276" s="1"/>
  <c r="AR7"/>
  <c r="BS276" s="1"/>
  <c r="AN7"/>
  <c r="BV209" s="1"/>
  <c r="AL7"/>
  <c r="BU209" s="1"/>
  <c r="AJ7"/>
  <c r="BT209" s="1"/>
  <c r="AH7"/>
  <c r="BS209" s="1"/>
  <c r="Z7"/>
  <c r="BT142" s="1"/>
  <c r="T7"/>
  <c r="BV75" s="1"/>
  <c r="R7"/>
  <c r="BU75" s="1"/>
  <c r="J7"/>
  <c r="BV8" s="1"/>
  <c r="H7"/>
  <c r="BU8" s="1"/>
  <c r="F7"/>
  <c r="BT8" s="1"/>
  <c r="D7"/>
  <c r="BS8" s="1"/>
  <c r="BN6"/>
  <c r="P22" s="1"/>
  <c r="BT90" s="1"/>
  <c r="BM6"/>
  <c r="X55" s="1"/>
  <c r="BS190" s="1"/>
  <c r="BH6"/>
  <c r="BV342" s="1"/>
  <c r="BF6"/>
  <c r="BU342" s="1"/>
  <c r="BD6"/>
  <c r="BT342" s="1"/>
  <c r="BB6"/>
  <c r="BS342" s="1"/>
  <c r="AX6"/>
  <c r="BV275" s="1"/>
  <c r="AV6"/>
  <c r="BU275" s="1"/>
  <c r="AT6"/>
  <c r="BT275" s="1"/>
  <c r="AR6"/>
  <c r="BS275" s="1"/>
  <c r="AN6"/>
  <c r="BV208" s="1"/>
  <c r="AL6"/>
  <c r="BU208" s="1"/>
  <c r="AJ6"/>
  <c r="BT208" s="1"/>
  <c r="AH6"/>
  <c r="BS208" s="1"/>
  <c r="AD6"/>
  <c r="BV141" s="1"/>
  <c r="AB6"/>
  <c r="BU141" s="1"/>
  <c r="Z6"/>
  <c r="BT141" s="1"/>
  <c r="X6"/>
  <c r="BS141" s="1"/>
  <c r="T6"/>
  <c r="BV74" s="1"/>
  <c r="R6"/>
  <c r="BU74" s="1"/>
  <c r="P6"/>
  <c r="BT74" s="1"/>
  <c r="N6"/>
  <c r="BS74" s="1"/>
  <c r="J6"/>
  <c r="BV7" s="1"/>
  <c r="H6"/>
  <c r="BU7" s="1"/>
  <c r="F6"/>
  <c r="BT7" s="1"/>
  <c r="D6"/>
  <c r="BS7" s="1"/>
  <c r="BN5"/>
  <c r="F54" s="1"/>
  <c r="BT55" s="1"/>
  <c r="BM5"/>
  <c r="AH55" s="1"/>
  <c r="BS257" s="1"/>
  <c r="BN4"/>
  <c r="J52" s="1"/>
  <c r="BV53" s="1"/>
  <c r="BM4"/>
  <c r="X39" s="1"/>
  <c r="BS174" s="1"/>
  <c r="BN3"/>
  <c r="T64" s="1"/>
  <c r="BV132" s="1"/>
  <c r="BM3"/>
  <c r="BB37" s="1"/>
  <c r="BS373" s="1"/>
  <c r="BN2"/>
  <c r="AN44" s="1"/>
  <c r="BV246" s="1"/>
  <c r="BM2"/>
  <c r="BB45" s="1"/>
  <c r="BS381" s="1"/>
  <c r="BN1"/>
  <c r="AT50" s="1"/>
  <c r="BT319" s="1"/>
  <c r="BM1"/>
  <c r="X7" s="1"/>
  <c r="BS142" s="1"/>
  <c r="BL1"/>
  <c r="BL3" s="1"/>
  <c r="F15" l="1"/>
  <c r="BT16" s="1"/>
  <c r="R18"/>
  <c r="BU86" s="1"/>
  <c r="AN26"/>
  <c r="BV228" s="1"/>
  <c r="AX29"/>
  <c r="BV298" s="1"/>
  <c r="BH29"/>
  <c r="BV365" s="1"/>
  <c r="AB7"/>
  <c r="BU142" s="1"/>
  <c r="AB38"/>
  <c r="BU173" s="1"/>
  <c r="AD7"/>
  <c r="BV142" s="1"/>
  <c r="T11"/>
  <c r="BV79" s="1"/>
  <c r="P13"/>
  <c r="BT81" s="1"/>
  <c r="BD13"/>
  <c r="BT349" s="1"/>
  <c r="D14"/>
  <c r="BS15" s="1"/>
  <c r="AT17"/>
  <c r="BT286" s="1"/>
  <c r="AR18"/>
  <c r="BS287" s="1"/>
  <c r="BB18"/>
  <c r="BS354" s="1"/>
  <c r="AN19"/>
  <c r="BV221" s="1"/>
  <c r="R20"/>
  <c r="BU88" s="1"/>
  <c r="D22"/>
  <c r="BS23" s="1"/>
  <c r="N22"/>
  <c r="BS90" s="1"/>
  <c r="AH22"/>
  <c r="BS224" s="1"/>
  <c r="BB22"/>
  <c r="BS358" s="1"/>
  <c r="F25"/>
  <c r="BT26" s="1"/>
  <c r="Z25"/>
  <c r="BT160" s="1"/>
  <c r="BD25"/>
  <c r="BT361" s="1"/>
  <c r="D26"/>
  <c r="BS27" s="1"/>
  <c r="BB26"/>
  <c r="BS362" s="1"/>
  <c r="H28"/>
  <c r="BU29" s="1"/>
  <c r="Z29"/>
  <c r="BT164" s="1"/>
  <c r="N30"/>
  <c r="BS98" s="1"/>
  <c r="T31"/>
  <c r="BV99" s="1"/>
  <c r="AD31"/>
  <c r="BV166" s="1"/>
  <c r="AX31"/>
  <c r="BV300" s="1"/>
  <c r="AL32"/>
  <c r="BU234" s="1"/>
  <c r="F33"/>
  <c r="BT34" s="1"/>
  <c r="P33"/>
  <c r="BT101" s="1"/>
  <c r="AJ33"/>
  <c r="BT235" s="1"/>
  <c r="D34"/>
  <c r="BS35" s="1"/>
  <c r="N34"/>
  <c r="BS102" s="1"/>
  <c r="X34"/>
  <c r="BS169" s="1"/>
  <c r="AR34"/>
  <c r="BS303" s="1"/>
  <c r="AD35"/>
  <c r="BV170" s="1"/>
  <c r="AN35"/>
  <c r="BV237" s="1"/>
  <c r="AX35"/>
  <c r="BV304" s="1"/>
  <c r="AB36"/>
  <c r="BU171" s="1"/>
  <c r="AV36"/>
  <c r="BU305" s="1"/>
  <c r="BF36"/>
  <c r="BU372" s="1"/>
  <c r="BD37"/>
  <c r="BT373" s="1"/>
  <c r="X38"/>
  <c r="BS173" s="1"/>
  <c r="AH38"/>
  <c r="BS240" s="1"/>
  <c r="AR38"/>
  <c r="BS307" s="1"/>
  <c r="BB38"/>
  <c r="BS374" s="1"/>
  <c r="AN39"/>
  <c r="BV241" s="1"/>
  <c r="AL40"/>
  <c r="BU242" s="1"/>
  <c r="AV40"/>
  <c r="BU309" s="1"/>
  <c r="P41"/>
  <c r="BT109" s="1"/>
  <c r="AT41"/>
  <c r="BT310" s="1"/>
  <c r="N42"/>
  <c r="BS110" s="1"/>
  <c r="AH42"/>
  <c r="BS244" s="1"/>
  <c r="AR42"/>
  <c r="BS311" s="1"/>
  <c r="AD43"/>
  <c r="BV178" s="1"/>
  <c r="BH43"/>
  <c r="BV379" s="1"/>
  <c r="AB44"/>
  <c r="BU179" s="1"/>
  <c r="AL44"/>
  <c r="BU246" s="1"/>
  <c r="AV44"/>
  <c r="BU313" s="1"/>
  <c r="BF44"/>
  <c r="BU380" s="1"/>
  <c r="F45"/>
  <c r="BT46" s="1"/>
  <c r="P45"/>
  <c r="BT113" s="1"/>
  <c r="AJ45"/>
  <c r="BT247" s="1"/>
  <c r="AT45"/>
  <c r="BT314" s="1"/>
  <c r="BD45"/>
  <c r="BT381" s="1"/>
  <c r="N46"/>
  <c r="BS114" s="1"/>
  <c r="AH46"/>
  <c r="BS248" s="1"/>
  <c r="BB46"/>
  <c r="BS382" s="1"/>
  <c r="J47"/>
  <c r="BV48" s="1"/>
  <c r="AX47"/>
  <c r="BV316" s="1"/>
  <c r="R48"/>
  <c r="BU116" s="1"/>
  <c r="AV48"/>
  <c r="BU317" s="1"/>
  <c r="F49"/>
  <c r="BT50" s="1"/>
  <c r="BD49"/>
  <c r="BT385" s="1"/>
  <c r="AR50"/>
  <c r="BS319" s="1"/>
  <c r="BB50"/>
  <c r="BS386" s="1"/>
  <c r="T51"/>
  <c r="BV119" s="1"/>
  <c r="AN51"/>
  <c r="BV253" s="1"/>
  <c r="BH51"/>
  <c r="BV387" s="1"/>
  <c r="H52"/>
  <c r="BU53" s="1"/>
  <c r="AL52"/>
  <c r="BU254" s="1"/>
  <c r="AV52"/>
  <c r="BU321" s="1"/>
  <c r="BF52"/>
  <c r="BU388" s="1"/>
  <c r="D54"/>
  <c r="BS55" s="1"/>
  <c r="X54"/>
  <c r="BS189" s="1"/>
  <c r="AR54"/>
  <c r="BS323" s="1"/>
  <c r="AD55"/>
  <c r="BV190" s="1"/>
  <c r="BH55"/>
  <c r="BV391" s="1"/>
  <c r="AB56"/>
  <c r="BU191" s="1"/>
  <c r="F57"/>
  <c r="BT58" s="1"/>
  <c r="P57"/>
  <c r="BT125" s="1"/>
  <c r="AT57"/>
  <c r="BT326" s="1"/>
  <c r="BD57"/>
  <c r="BT393" s="1"/>
  <c r="N58"/>
  <c r="BS126" s="1"/>
  <c r="AH58"/>
  <c r="BS260" s="1"/>
  <c r="BB58"/>
  <c r="BS394" s="1"/>
  <c r="J59"/>
  <c r="BV60" s="1"/>
  <c r="AN59"/>
  <c r="BV261" s="1"/>
  <c r="P61"/>
  <c r="BT129" s="1"/>
  <c r="AH62"/>
  <c r="BS264" s="1"/>
  <c r="BB62"/>
  <c r="BS398" s="1"/>
  <c r="J63"/>
  <c r="BV64" s="1"/>
  <c r="AD63"/>
  <c r="BV198" s="1"/>
  <c r="AX63"/>
  <c r="BV332" s="1"/>
  <c r="BH63"/>
  <c r="BV399" s="1"/>
  <c r="H64"/>
  <c r="BU65" s="1"/>
  <c r="R64"/>
  <c r="BU132" s="1"/>
  <c r="AV64"/>
  <c r="BU333" s="1"/>
  <c r="BF64"/>
  <c r="BU400" s="1"/>
  <c r="AX10"/>
  <c r="BV279" s="1"/>
  <c r="N13"/>
  <c r="BS81" s="1"/>
  <c r="BB13"/>
  <c r="BS349" s="1"/>
  <c r="BD16"/>
  <c r="BT352" s="1"/>
  <c r="AR17"/>
  <c r="BS286" s="1"/>
  <c r="T18"/>
  <c r="BV86" s="1"/>
  <c r="AX18"/>
  <c r="BV287" s="1"/>
  <c r="AL19"/>
  <c r="BU221" s="1"/>
  <c r="T22"/>
  <c r="BV90" s="1"/>
  <c r="P24"/>
  <c r="BT92" s="1"/>
  <c r="AT24"/>
  <c r="BT293" s="1"/>
  <c r="D25"/>
  <c r="BS26" s="1"/>
  <c r="X25"/>
  <c r="BS160" s="1"/>
  <c r="BB25"/>
  <c r="BS361" s="1"/>
  <c r="P28"/>
  <c r="BT96" s="1"/>
  <c r="Z28"/>
  <c r="BT163" s="1"/>
  <c r="X29"/>
  <c r="BS164" s="1"/>
  <c r="AD30"/>
  <c r="BV165" s="1"/>
  <c r="AX30"/>
  <c r="BV299" s="1"/>
  <c r="R31"/>
  <c r="BU99" s="1"/>
  <c r="AB31"/>
  <c r="BU166" s="1"/>
  <c r="AV31"/>
  <c r="BU300" s="1"/>
  <c r="F32"/>
  <c r="BT33" s="1"/>
  <c r="P32"/>
  <c r="BT100" s="1"/>
  <c r="D33"/>
  <c r="BS34" s="1"/>
  <c r="N33"/>
  <c r="BS101" s="1"/>
  <c r="AH33"/>
  <c r="BS235" s="1"/>
  <c r="AD34"/>
  <c r="BV169" s="1"/>
  <c r="AX34"/>
  <c r="BV303" s="1"/>
  <c r="AB35"/>
  <c r="BU170" s="1"/>
  <c r="AL35"/>
  <c r="BU237" s="1"/>
  <c r="AV35"/>
  <c r="BU304" s="1"/>
  <c r="J38"/>
  <c r="BV39" s="1"/>
  <c r="AL39"/>
  <c r="BU241" s="1"/>
  <c r="Z40"/>
  <c r="BT175" s="1"/>
  <c r="AT40"/>
  <c r="BT309" s="1"/>
  <c r="N41"/>
  <c r="BS109" s="1"/>
  <c r="AR41"/>
  <c r="BS310" s="1"/>
  <c r="AN42"/>
  <c r="BV244" s="1"/>
  <c r="AX42"/>
  <c r="BV311" s="1"/>
  <c r="BH42"/>
  <c r="BV378" s="1"/>
  <c r="AB43"/>
  <c r="BU178" s="1"/>
  <c r="BF43"/>
  <c r="BU379" s="1"/>
  <c r="D45"/>
  <c r="BS46" s="1"/>
  <c r="N45"/>
  <c r="BS113" s="1"/>
  <c r="AH45"/>
  <c r="BS247" s="1"/>
  <c r="AR45"/>
  <c r="BS314" s="1"/>
  <c r="AD46"/>
  <c r="BV181" s="1"/>
  <c r="AN46"/>
  <c r="BV248" s="1"/>
  <c r="H47"/>
  <c r="BU48" s="1"/>
  <c r="AV47"/>
  <c r="BU316" s="1"/>
  <c r="Z48"/>
  <c r="BT183" s="1"/>
  <c r="AJ48"/>
  <c r="BT250" s="1"/>
  <c r="BD48"/>
  <c r="BT384" s="1"/>
  <c r="D49"/>
  <c r="BS50" s="1"/>
  <c r="BB49"/>
  <c r="BS385" s="1"/>
  <c r="AX50"/>
  <c r="BV319" s="1"/>
  <c r="R51"/>
  <c r="BU119" s="1"/>
  <c r="AL51"/>
  <c r="BU253" s="1"/>
  <c r="BF51"/>
  <c r="BU387" s="1"/>
  <c r="P52"/>
  <c r="BT120" s="1"/>
  <c r="Z52"/>
  <c r="BT187" s="1"/>
  <c r="AT52"/>
  <c r="BT321" s="1"/>
  <c r="BD52"/>
  <c r="BT388" s="1"/>
  <c r="AD54"/>
  <c r="BV189" s="1"/>
  <c r="AB55"/>
  <c r="BU190" s="1"/>
  <c r="BF55"/>
  <c r="BU391" s="1"/>
  <c r="F56"/>
  <c r="BT57" s="1"/>
  <c r="P56"/>
  <c r="BT124" s="1"/>
  <c r="Z56"/>
  <c r="BT191" s="1"/>
  <c r="AJ56"/>
  <c r="BT258" s="1"/>
  <c r="D57"/>
  <c r="BS58" s="1"/>
  <c r="AR57"/>
  <c r="BS326" s="1"/>
  <c r="BB57"/>
  <c r="BS393" s="1"/>
  <c r="AD58"/>
  <c r="BV193" s="1"/>
  <c r="BH58"/>
  <c r="BV394" s="1"/>
  <c r="H59"/>
  <c r="BU60" s="1"/>
  <c r="AL59"/>
  <c r="BU261" s="1"/>
  <c r="F60"/>
  <c r="BT61" s="1"/>
  <c r="AT60"/>
  <c r="BT329" s="1"/>
  <c r="J62"/>
  <c r="BV63" s="1"/>
  <c r="AD62"/>
  <c r="BV197" s="1"/>
  <c r="BH62"/>
  <c r="BV398" s="1"/>
  <c r="H63"/>
  <c r="BU64" s="1"/>
  <c r="AB63"/>
  <c r="BU198" s="1"/>
  <c r="AV63"/>
  <c r="BU332" s="1"/>
  <c r="BF63"/>
  <c r="BU399" s="1"/>
  <c r="F64"/>
  <c r="BT65" s="1"/>
  <c r="AJ64"/>
  <c r="BT266" s="1"/>
  <c r="BD64"/>
  <c r="BT400" s="1"/>
  <c r="AT11"/>
  <c r="BT280" s="1"/>
  <c r="AN13"/>
  <c r="BV215" s="1"/>
  <c r="BB16"/>
  <c r="BS352" s="1"/>
  <c r="AV18"/>
  <c r="BU287" s="1"/>
  <c r="Z19"/>
  <c r="BT154" s="1"/>
  <c r="BD19"/>
  <c r="BT355" s="1"/>
  <c r="R22"/>
  <c r="BU90" s="1"/>
  <c r="F23"/>
  <c r="BT24" s="1"/>
  <c r="P23"/>
  <c r="BT91" s="1"/>
  <c r="N24"/>
  <c r="BS92" s="1"/>
  <c r="AR24"/>
  <c r="BS293" s="1"/>
  <c r="F27"/>
  <c r="BT28" s="1"/>
  <c r="P27"/>
  <c r="BT95" s="1"/>
  <c r="AJ27"/>
  <c r="BT229" s="1"/>
  <c r="N28"/>
  <c r="BS96" s="1"/>
  <c r="X28"/>
  <c r="BS163" s="1"/>
  <c r="J29"/>
  <c r="BV30" s="1"/>
  <c r="AB30"/>
  <c r="BU165" s="1"/>
  <c r="AV30"/>
  <c r="BU299" s="1"/>
  <c r="F31"/>
  <c r="BT32" s="1"/>
  <c r="AJ31"/>
  <c r="BT233" s="1"/>
  <c r="D32"/>
  <c r="BS33" s="1"/>
  <c r="N32"/>
  <c r="BS100" s="1"/>
  <c r="AB34"/>
  <c r="BU169" s="1"/>
  <c r="AV34"/>
  <c r="BU303" s="1"/>
  <c r="F35"/>
  <c r="BT36" s="1"/>
  <c r="AJ35"/>
  <c r="BT237" s="1"/>
  <c r="H38"/>
  <c r="BU39" s="1"/>
  <c r="Z39"/>
  <c r="BT174" s="1"/>
  <c r="X40"/>
  <c r="BS175" s="1"/>
  <c r="J41"/>
  <c r="BV42" s="1"/>
  <c r="T41"/>
  <c r="BV109" s="1"/>
  <c r="AX41"/>
  <c r="BV310" s="1"/>
  <c r="AL42"/>
  <c r="BU244" s="1"/>
  <c r="AV42"/>
  <c r="BU311" s="1"/>
  <c r="BF42"/>
  <c r="BU378" s="1"/>
  <c r="Z43"/>
  <c r="BT178" s="1"/>
  <c r="AT43"/>
  <c r="BT312" s="1"/>
  <c r="AD45"/>
  <c r="BV180" s="1"/>
  <c r="AN45"/>
  <c r="BV247" s="1"/>
  <c r="AX45"/>
  <c r="BV314" s="1"/>
  <c r="AB46"/>
  <c r="BU181" s="1"/>
  <c r="AL46"/>
  <c r="BU248" s="1"/>
  <c r="F47"/>
  <c r="BT48" s="1"/>
  <c r="BD47"/>
  <c r="BT383" s="1"/>
  <c r="AH48"/>
  <c r="BS250" s="1"/>
  <c r="BB48"/>
  <c r="BS384" s="1"/>
  <c r="J49"/>
  <c r="BV50" s="1"/>
  <c r="T49"/>
  <c r="BV117" s="1"/>
  <c r="BH49"/>
  <c r="BV385" s="1"/>
  <c r="AV50"/>
  <c r="BU319" s="1"/>
  <c r="F51"/>
  <c r="BT52" s="1"/>
  <c r="N52"/>
  <c r="BS120" s="1"/>
  <c r="X52"/>
  <c r="BS187" s="1"/>
  <c r="AR52"/>
  <c r="BS321" s="1"/>
  <c r="BB52"/>
  <c r="BS388" s="1"/>
  <c r="Z55"/>
  <c r="BT190" s="1"/>
  <c r="AJ55"/>
  <c r="BT257" s="1"/>
  <c r="D56"/>
  <c r="BS57" s="1"/>
  <c r="N56"/>
  <c r="BS124" s="1"/>
  <c r="AH56"/>
  <c r="BS258" s="1"/>
  <c r="AD57"/>
  <c r="BV192" s="1"/>
  <c r="AB58"/>
  <c r="BU193" s="1"/>
  <c r="AT59"/>
  <c r="BT328" s="1"/>
  <c r="AR60"/>
  <c r="BS329" s="1"/>
  <c r="J61"/>
  <c r="BV62" s="1"/>
  <c r="T61"/>
  <c r="BV129" s="1"/>
  <c r="AX61"/>
  <c r="BV330" s="1"/>
  <c r="AB62"/>
  <c r="BU197" s="1"/>
  <c r="BF62"/>
  <c r="BU398" s="1"/>
  <c r="Z63"/>
  <c r="BT198" s="1"/>
  <c r="AJ63"/>
  <c r="BT265" s="1"/>
  <c r="D64"/>
  <c r="BS65" s="1"/>
  <c r="AH64"/>
  <c r="BS266" s="1"/>
  <c r="BB64"/>
  <c r="BS400" s="1"/>
  <c r="P7"/>
  <c r="BT75" s="1"/>
  <c r="N7"/>
  <c r="BS75" s="1"/>
  <c r="AR11"/>
  <c r="BS280" s="1"/>
  <c r="AL13"/>
  <c r="BU215" s="1"/>
  <c r="F14"/>
  <c r="BT15" s="1"/>
  <c r="D15"/>
  <c r="BS16" s="1"/>
  <c r="AT18"/>
  <c r="BT287" s="1"/>
  <c r="BD18"/>
  <c r="BT354" s="1"/>
  <c r="BB19"/>
  <c r="BS355" s="1"/>
  <c r="T20"/>
  <c r="BV88" s="1"/>
  <c r="F22"/>
  <c r="BT23" s="1"/>
  <c r="AJ22"/>
  <c r="BT224" s="1"/>
  <c r="BD22"/>
  <c r="BT358" s="1"/>
  <c r="D23"/>
  <c r="BS24" s="1"/>
  <c r="F26"/>
  <c r="BT27" s="1"/>
  <c r="BD26"/>
  <c r="BT362" s="1"/>
  <c r="N27"/>
  <c r="BS95" s="1"/>
  <c r="AH27"/>
  <c r="BS229" s="1"/>
  <c r="J28"/>
  <c r="BV29" s="1"/>
  <c r="H29"/>
  <c r="BU30" s="1"/>
  <c r="AV29"/>
  <c r="BU298" s="1"/>
  <c r="BF29"/>
  <c r="BU365" s="1"/>
  <c r="P30"/>
  <c r="BT98" s="1"/>
  <c r="AH31"/>
  <c r="BS233" s="1"/>
  <c r="F34"/>
  <c r="BT35" s="1"/>
  <c r="Z34"/>
  <c r="BT169" s="1"/>
  <c r="AT34"/>
  <c r="BT303" s="1"/>
  <c r="D35"/>
  <c r="BS36" s="1"/>
  <c r="AH35"/>
  <c r="BS237" s="1"/>
  <c r="AD36"/>
  <c r="BV171" s="1"/>
  <c r="AX36"/>
  <c r="BV305" s="1"/>
  <c r="BH36"/>
  <c r="BV372" s="1"/>
  <c r="H41"/>
  <c r="BU42" s="1"/>
  <c r="R41"/>
  <c r="BU109" s="1"/>
  <c r="X43"/>
  <c r="BS178" s="1"/>
  <c r="AX44"/>
  <c r="BV313" s="1"/>
  <c r="AV45"/>
  <c r="BU314" s="1"/>
  <c r="P46"/>
  <c r="BT114" s="1"/>
  <c r="BB47"/>
  <c r="BS383" s="1"/>
  <c r="T48"/>
  <c r="BV116" s="1"/>
  <c r="AX48"/>
  <c r="BV317" s="1"/>
  <c r="R49"/>
  <c r="BU117" s="1"/>
  <c r="D51"/>
  <c r="BS52" s="1"/>
  <c r="BH52"/>
  <c r="BV388" s="1"/>
  <c r="AJ58"/>
  <c r="BT260" s="1"/>
  <c r="AJ5" i="35" l="1"/>
  <c r="H129"/>
  <c r="AB123"/>
  <c r="AB15"/>
  <c r="AB41"/>
  <c r="AB36"/>
  <c r="AB23"/>
  <c r="AB11"/>
  <c r="AB25"/>
  <c r="AB119"/>
  <c r="AB81"/>
  <c r="AB9"/>
  <c r="AB99"/>
  <c r="AB85"/>
  <c r="AB84"/>
  <c r="AB130"/>
  <c r="AB114"/>
  <c r="AB103"/>
  <c r="AB96"/>
  <c r="AB90"/>
  <c r="AB10"/>
  <c r="AB93"/>
  <c r="AB121"/>
  <c r="AB128"/>
  <c r="AB28"/>
  <c r="AB118"/>
  <c r="AB4"/>
  <c r="AB5"/>
  <c r="AB38"/>
  <c r="AB26"/>
  <c r="AB32"/>
  <c r="AB40"/>
  <c r="AB109"/>
  <c r="AB70"/>
  <c r="AB97"/>
  <c r="AB104"/>
  <c r="AB24"/>
  <c r="AB129"/>
  <c r="AB17"/>
  <c r="AB116"/>
  <c r="AB89"/>
  <c r="AB66"/>
  <c r="AB72"/>
  <c r="AB126"/>
  <c r="AB115"/>
  <c r="AB37"/>
  <c r="AB14"/>
  <c r="AB68"/>
  <c r="AB35"/>
  <c r="AB78"/>
  <c r="AB20"/>
  <c r="AB98"/>
  <c r="AB22"/>
  <c r="AB117"/>
  <c r="AB77"/>
  <c r="AB8"/>
  <c r="AB125"/>
  <c r="AB51"/>
  <c r="AB108"/>
  <c r="AB27"/>
  <c r="AB120"/>
  <c r="AB69"/>
  <c r="AB112"/>
  <c r="AB82"/>
  <c r="AB18"/>
  <c r="AB54"/>
  <c r="AB50"/>
  <c r="AB124"/>
  <c r="AB111"/>
  <c r="AB60"/>
  <c r="AB79"/>
  <c r="AB19"/>
  <c r="AB47"/>
  <c r="AB43"/>
  <c r="AB92"/>
  <c r="AB61"/>
  <c r="AB53"/>
  <c r="AB42"/>
  <c r="AB122"/>
  <c r="AB7"/>
  <c r="AB6"/>
  <c r="AB67"/>
  <c r="AB80"/>
  <c r="AB58"/>
  <c r="AB33"/>
  <c r="AB102"/>
  <c r="AB31"/>
  <c r="AB83"/>
  <c r="AB21"/>
  <c r="AB75"/>
  <c r="AB87"/>
  <c r="AB62"/>
  <c r="AB101"/>
  <c r="AB12"/>
  <c r="AB29"/>
  <c r="AB64"/>
  <c r="AB55"/>
  <c r="AB88"/>
  <c r="AB113"/>
  <c r="AB49"/>
  <c r="AB39"/>
  <c r="AB59"/>
  <c r="AB106"/>
  <c r="AB110"/>
  <c r="AB127"/>
  <c r="AB57"/>
  <c r="AB63"/>
  <c r="AB76"/>
  <c r="AB52"/>
  <c r="AB48"/>
  <c r="AB86"/>
  <c r="AB46"/>
  <c r="AB34"/>
  <c r="AB3"/>
  <c r="AB74"/>
  <c r="AB94"/>
  <c r="AB105"/>
  <c r="AB107"/>
  <c r="AB44"/>
  <c r="AB16"/>
  <c r="AB30"/>
  <c r="AB45"/>
  <c r="AB71"/>
  <c r="AB73"/>
  <c r="AB100"/>
  <c r="AB91"/>
  <c r="AB56"/>
  <c r="AB95"/>
  <c r="AB13"/>
  <c r="AB65"/>
  <c r="O136" l="1"/>
  <c r="N136"/>
  <c r="M136"/>
  <c r="L136"/>
  <c r="K136"/>
  <c r="J136"/>
  <c r="I136"/>
  <c r="H136"/>
  <c r="G136"/>
  <c r="F136"/>
  <c r="E136"/>
  <c r="D136"/>
  <c r="O135"/>
  <c r="N135"/>
  <c r="M135"/>
  <c r="L135"/>
  <c r="K135"/>
  <c r="J135"/>
  <c r="I135"/>
  <c r="H135"/>
  <c r="G135"/>
  <c r="F135"/>
  <c r="E135"/>
  <c r="D135"/>
  <c r="O134"/>
  <c r="N134"/>
  <c r="M134"/>
  <c r="L134"/>
  <c r="K134"/>
  <c r="J134"/>
  <c r="I134"/>
  <c r="H134"/>
  <c r="G134"/>
  <c r="F134"/>
  <c r="E134"/>
  <c r="D134"/>
  <c r="O133"/>
  <c r="N133"/>
  <c r="M133"/>
  <c r="L133"/>
  <c r="K133"/>
  <c r="J133"/>
  <c r="I133"/>
  <c r="H133"/>
  <c r="G133"/>
  <c r="F133"/>
  <c r="E133"/>
  <c r="D133"/>
  <c r="O132"/>
  <c r="N132"/>
  <c r="M132"/>
  <c r="L132"/>
  <c r="K132"/>
  <c r="J132"/>
  <c r="I132"/>
  <c r="H132"/>
  <c r="G132"/>
  <c r="F132"/>
  <c r="E132"/>
  <c r="D132"/>
  <c r="O131"/>
  <c r="N131"/>
  <c r="M131"/>
  <c r="L131"/>
  <c r="K131"/>
  <c r="J131"/>
  <c r="I131"/>
  <c r="H131"/>
  <c r="G131"/>
  <c r="F131"/>
  <c r="E131"/>
  <c r="D131"/>
  <c r="O129"/>
  <c r="N129"/>
  <c r="M129"/>
  <c r="L129"/>
  <c r="K129"/>
  <c r="J129"/>
  <c r="I129"/>
  <c r="G129"/>
  <c r="F129"/>
  <c r="E129"/>
  <c r="D129"/>
  <c r="Q128"/>
  <c r="P128"/>
  <c r="Q127"/>
  <c r="P127"/>
  <c r="Q126"/>
  <c r="P126"/>
  <c r="Q125"/>
  <c r="P125"/>
  <c r="Q124"/>
  <c r="P124"/>
  <c r="Q123"/>
  <c r="P123"/>
  <c r="Q122"/>
  <c r="P122"/>
  <c r="Q121"/>
  <c r="P121"/>
  <c r="Q120"/>
  <c r="P120"/>
  <c r="Q119"/>
  <c r="P119"/>
  <c r="Q118"/>
  <c r="P118"/>
  <c r="Q117"/>
  <c r="P117"/>
  <c r="Q116"/>
  <c r="P116"/>
  <c r="Q115"/>
  <c r="P115"/>
  <c r="Q114"/>
  <c r="P114"/>
  <c r="Q113"/>
  <c r="P113"/>
  <c r="Q112"/>
  <c r="P112"/>
  <c r="Q111"/>
  <c r="P111"/>
  <c r="Q110"/>
  <c r="P110"/>
  <c r="Q109"/>
  <c r="P109"/>
  <c r="Q108"/>
  <c r="P108"/>
  <c r="Q107"/>
  <c r="P107"/>
  <c r="Q106"/>
  <c r="P106"/>
  <c r="Q105"/>
  <c r="P105"/>
  <c r="Q104"/>
  <c r="P104"/>
  <c r="Q103"/>
  <c r="P103"/>
  <c r="Q102"/>
  <c r="P102"/>
  <c r="Q101"/>
  <c r="P101"/>
  <c r="Q100"/>
  <c r="P100"/>
  <c r="Q99"/>
  <c r="P99"/>
  <c r="Q98"/>
  <c r="P98"/>
  <c r="Q97"/>
  <c r="P97"/>
  <c r="Q96"/>
  <c r="P96"/>
  <c r="Q95"/>
  <c r="P95"/>
  <c r="Q94"/>
  <c r="P94"/>
  <c r="Q93"/>
  <c r="P93"/>
  <c r="Q92"/>
  <c r="P92"/>
  <c r="Q91"/>
  <c r="P91"/>
  <c r="Q90"/>
  <c r="P90"/>
  <c r="Q89"/>
  <c r="P89"/>
  <c r="Q88"/>
  <c r="P88"/>
  <c r="Q87"/>
  <c r="P87"/>
  <c r="Q86"/>
  <c r="P86"/>
  <c r="Q85"/>
  <c r="P85"/>
  <c r="Q84"/>
  <c r="P84"/>
  <c r="Q83"/>
  <c r="P83"/>
  <c r="Q82"/>
  <c r="P82"/>
  <c r="Q81"/>
  <c r="P81"/>
  <c r="Q80"/>
  <c r="P80"/>
  <c r="Q79"/>
  <c r="P79"/>
  <c r="Q78"/>
  <c r="P78"/>
  <c r="Q77"/>
  <c r="P77"/>
  <c r="Q76"/>
  <c r="P76"/>
  <c r="Q75"/>
  <c r="P75"/>
  <c r="Q74"/>
  <c r="P74"/>
  <c r="Q73"/>
  <c r="P73"/>
  <c r="Q72"/>
  <c r="P72"/>
  <c r="Q71"/>
  <c r="P71"/>
  <c r="Q70"/>
  <c r="P70"/>
  <c r="Q69"/>
  <c r="P69"/>
  <c r="Q68"/>
  <c r="P68"/>
  <c r="Q67"/>
  <c r="P67"/>
  <c r="Q66"/>
  <c r="P66"/>
  <c r="Q65"/>
  <c r="P65"/>
  <c r="Q64"/>
  <c r="P64"/>
  <c r="Q63"/>
  <c r="P63"/>
  <c r="Q62"/>
  <c r="P62"/>
  <c r="Q61"/>
  <c r="P61"/>
  <c r="Q60"/>
  <c r="P60"/>
  <c r="Q59"/>
  <c r="P59"/>
  <c r="Q58"/>
  <c r="P58"/>
  <c r="Q57"/>
  <c r="P57"/>
  <c r="Q56"/>
  <c r="P56"/>
  <c r="Q55"/>
  <c r="P55"/>
  <c r="Q54"/>
  <c r="P54"/>
  <c r="Q53"/>
  <c r="P53"/>
  <c r="Q52"/>
  <c r="P52"/>
  <c r="Q51"/>
  <c r="P51"/>
  <c r="Q50"/>
  <c r="P50"/>
  <c r="Q49"/>
  <c r="P49"/>
  <c r="Q48"/>
  <c r="P48"/>
  <c r="Q47"/>
  <c r="P47"/>
  <c r="Q46"/>
  <c r="P46"/>
  <c r="Q45"/>
  <c r="P45"/>
  <c r="Q44"/>
  <c r="P44"/>
  <c r="Q43"/>
  <c r="P43"/>
  <c r="Q42"/>
  <c r="P42"/>
  <c r="Q41"/>
  <c r="P41"/>
  <c r="Q40"/>
  <c r="P40"/>
  <c r="Q39"/>
  <c r="P39"/>
  <c r="Q38"/>
  <c r="P38"/>
  <c r="Q37"/>
  <c r="P37"/>
  <c r="Q36"/>
  <c r="P36"/>
  <c r="Q35"/>
  <c r="P35"/>
  <c r="Q34"/>
  <c r="P34"/>
  <c r="Q33"/>
  <c r="P33"/>
  <c r="Q32"/>
  <c r="P32"/>
  <c r="Q31"/>
  <c r="P31"/>
  <c r="Q30"/>
  <c r="P30"/>
  <c r="Q29"/>
  <c r="P29"/>
  <c r="Q28"/>
  <c r="P28"/>
  <c r="Q27"/>
  <c r="P27"/>
  <c r="Q26"/>
  <c r="P26"/>
  <c r="Q25"/>
  <c r="P25"/>
  <c r="Q24"/>
  <c r="P24"/>
  <c r="Q23"/>
  <c r="P23"/>
  <c r="Q22"/>
  <c r="P22"/>
  <c r="Q21"/>
  <c r="P21"/>
  <c r="Q20"/>
  <c r="P20"/>
  <c r="Q19"/>
  <c r="P19"/>
  <c r="Q18"/>
  <c r="P18"/>
  <c r="Q17"/>
  <c r="P17"/>
  <c r="Q16"/>
  <c r="P16"/>
  <c r="Q15"/>
  <c r="P15"/>
  <c r="Q14"/>
  <c r="P14"/>
  <c r="Q13"/>
  <c r="P13"/>
  <c r="Q12"/>
  <c r="P12"/>
  <c r="Q11"/>
  <c r="P11"/>
  <c r="Q10"/>
  <c r="P10"/>
  <c r="Q9"/>
  <c r="P9"/>
  <c r="Q8"/>
  <c r="P8"/>
  <c r="Q7"/>
  <c r="P7"/>
  <c r="Q6"/>
  <c r="P6"/>
  <c r="Q5"/>
  <c r="P5"/>
  <c r="Q4"/>
  <c r="P4"/>
  <c r="Q3"/>
  <c r="P3"/>
  <c r="Q2"/>
  <c r="P2"/>
  <c r="Q1"/>
  <c r="P1"/>
  <c r="AC45"/>
  <c r="AD53"/>
  <c r="AD82"/>
  <c r="AC27"/>
  <c r="AD96"/>
  <c r="AD41"/>
  <c r="AD35"/>
  <c r="AD6"/>
  <c r="AC48"/>
  <c r="AC117"/>
  <c r="AD3"/>
  <c r="AD39"/>
  <c r="AC37"/>
  <c r="AC67"/>
  <c r="AD54"/>
  <c r="AD91"/>
  <c r="AD42"/>
  <c r="AC65"/>
  <c r="AC62"/>
  <c r="AC52"/>
  <c r="AD126"/>
  <c r="AD4"/>
  <c r="AD120"/>
  <c r="AC47"/>
  <c r="AD93"/>
  <c r="AC116"/>
  <c r="AC122"/>
  <c r="AC9"/>
  <c r="AD10"/>
  <c r="AC118"/>
  <c r="AD121"/>
  <c r="AC95"/>
  <c r="AC24"/>
  <c r="AD129"/>
  <c r="AD130"/>
  <c r="AC64"/>
  <c r="AC55"/>
  <c r="AD110"/>
  <c r="AD33"/>
  <c r="AD105"/>
  <c r="AC22"/>
  <c r="AC11"/>
  <c r="AD37"/>
  <c r="AD51"/>
  <c r="AD74"/>
  <c r="AD23"/>
  <c r="AC13"/>
  <c r="AD17"/>
  <c r="AD58"/>
  <c r="AD77"/>
  <c r="AD25"/>
  <c r="AD84"/>
  <c r="AC25"/>
  <c r="AC44"/>
  <c r="AC129"/>
  <c r="AD16"/>
  <c r="AD57"/>
  <c r="AC68"/>
  <c r="AD122"/>
  <c r="AD27"/>
  <c r="AC6"/>
  <c r="AC126"/>
  <c r="AC91"/>
  <c r="AC50"/>
  <c r="AC15"/>
  <c r="AD61"/>
  <c r="AC79"/>
  <c r="AC29"/>
  <c r="AC112"/>
  <c r="AC35"/>
  <c r="AD98"/>
  <c r="AD64"/>
  <c r="AD89"/>
  <c r="AD26"/>
  <c r="AC106"/>
  <c r="AC32"/>
  <c r="AC86"/>
  <c r="AC121"/>
  <c r="AD128"/>
  <c r="AC63"/>
  <c r="AC92"/>
  <c r="AD114"/>
  <c r="AC16"/>
  <c r="AD12"/>
  <c r="AD55"/>
  <c r="AC93"/>
  <c r="AC128"/>
  <c r="AD108"/>
  <c r="AC43"/>
  <c r="AD62"/>
  <c r="AD107"/>
  <c r="AC14"/>
  <c r="AD81"/>
  <c r="AC89"/>
  <c r="AD106"/>
  <c r="AC107"/>
  <c r="AD30"/>
  <c r="AC80"/>
  <c r="AC90"/>
  <c r="AC3"/>
  <c r="AD71"/>
  <c r="AD56"/>
  <c r="AC41"/>
  <c r="AC57"/>
  <c r="AD83"/>
  <c r="AD70"/>
  <c r="AD44"/>
  <c r="AD48"/>
  <c r="AC96"/>
  <c r="AC19"/>
  <c r="AC53"/>
  <c r="AD95"/>
  <c r="AD24"/>
  <c r="AC115"/>
  <c r="AD85"/>
  <c r="AC49"/>
  <c r="AD21"/>
  <c r="AD100"/>
  <c r="AC36"/>
  <c r="AD88"/>
  <c r="AC98"/>
  <c r="AC82"/>
  <c r="AD38"/>
  <c r="AD18"/>
  <c r="AD94"/>
  <c r="AD112"/>
  <c r="AD22"/>
  <c r="AD119"/>
  <c r="AD73"/>
  <c r="AD99"/>
  <c r="AD46"/>
  <c r="AD69"/>
  <c r="AD28"/>
  <c r="AC4"/>
  <c r="AD104"/>
  <c r="AD113"/>
  <c r="AD49"/>
  <c r="AC104"/>
  <c r="AC127"/>
  <c r="AD68"/>
  <c r="AC33"/>
  <c r="AD79"/>
  <c r="AC70"/>
  <c r="AD36"/>
  <c r="AD60"/>
  <c r="AD50"/>
  <c r="AC101"/>
  <c r="AD31"/>
  <c r="AD87"/>
  <c r="AD43"/>
  <c r="AD117"/>
  <c r="AD13"/>
  <c r="AD67"/>
  <c r="AC73"/>
  <c r="AC109"/>
  <c r="AC77"/>
  <c r="AC74"/>
  <c r="AC30"/>
  <c r="AC7"/>
  <c r="AC78"/>
  <c r="AC8"/>
  <c r="AD115"/>
  <c r="AD116"/>
  <c r="AC59"/>
  <c r="AD97"/>
  <c r="AC123"/>
  <c r="AD118"/>
  <c r="AC12"/>
  <c r="AD111"/>
  <c r="AC130"/>
  <c r="AD29"/>
  <c r="AD20"/>
  <c r="AC108"/>
  <c r="AC23"/>
  <c r="AD72"/>
  <c r="AC60"/>
  <c r="AC111"/>
  <c r="AC124"/>
  <c r="AC81"/>
  <c r="AD32"/>
  <c r="AC71"/>
  <c r="AC20"/>
  <c r="AD90"/>
  <c r="AC69"/>
  <c r="AD59"/>
  <c r="AC39"/>
  <c r="AD52"/>
  <c r="AC110"/>
  <c r="AD127"/>
  <c r="AD109"/>
  <c r="AD19"/>
  <c r="AC88"/>
  <c r="AC102"/>
  <c r="AD47"/>
  <c r="AC87"/>
  <c r="AC83"/>
  <c r="AD76"/>
  <c r="AD75"/>
  <c r="AC31"/>
  <c r="AC114"/>
  <c r="AC26"/>
  <c r="AC54"/>
  <c r="AC38"/>
  <c r="AD124"/>
  <c r="AD66"/>
  <c r="AC34"/>
  <c r="AC5"/>
  <c r="AD40"/>
  <c r="AC56"/>
  <c r="AC72"/>
  <c r="AC66"/>
  <c r="AD92"/>
  <c r="AC97"/>
  <c r="AC40"/>
  <c r="AC75"/>
  <c r="AC42"/>
  <c r="AD34"/>
  <c r="AC10"/>
  <c r="AC46"/>
  <c r="AC85"/>
  <c r="AD8"/>
  <c r="AC51"/>
  <c r="AC103"/>
  <c r="AD103"/>
  <c r="AD14"/>
  <c r="AC17"/>
  <c r="AC100"/>
  <c r="AC84"/>
  <c r="AC119"/>
  <c r="AD80"/>
  <c r="AC61"/>
  <c r="AD65"/>
  <c r="AD9"/>
  <c r="AC58"/>
  <c r="AD11"/>
  <c r="AD7"/>
  <c r="AD78"/>
  <c r="AC21"/>
  <c r="AD86"/>
  <c r="AC113"/>
  <c r="AC76"/>
  <c r="AD45"/>
  <c r="AC105"/>
  <c r="AC94"/>
  <c r="AD63"/>
  <c r="AC99"/>
  <c r="AD123"/>
  <c r="AD15"/>
  <c r="AC120"/>
  <c r="AD5"/>
  <c r="AC18"/>
  <c r="AC28"/>
  <c r="AD101"/>
  <c r="AC125"/>
  <c r="AD125"/>
  <c r="AD102"/>
  <c r="N130" l="1"/>
  <c r="J130"/>
  <c r="F130"/>
  <c r="P130"/>
  <c r="D130"/>
  <c r="H130"/>
  <c r="L130"/>
  <c r="AG2" l="1"/>
  <c r="AI5" l="1"/>
  <c r="S22" i="5" l="1"/>
  <c r="S21"/>
  <c r="S20"/>
  <c r="S19"/>
  <c r="S18"/>
  <c r="S17"/>
  <c r="S16"/>
  <c r="S15"/>
  <c r="S14"/>
  <c r="S13"/>
  <c r="S12"/>
  <c r="S11"/>
  <c r="S10"/>
  <c r="S9"/>
  <c r="S8"/>
  <c r="S7"/>
  <c r="S6"/>
  <c r="S5"/>
  <c r="S4"/>
  <c r="S3"/>
  <c r="S2"/>
  <c r="S1"/>
  <c r="R1" i="35" l="1"/>
</calcChain>
</file>

<file path=xl/sharedStrings.xml><?xml version="1.0" encoding="utf-8"?>
<sst xmlns="http://schemas.openxmlformats.org/spreadsheetml/2006/main" count="1300" uniqueCount="196">
  <si>
    <t>2ème tour</t>
  </si>
  <si>
    <t>1er tour</t>
  </si>
  <si>
    <t>3ème tour</t>
  </si>
  <si>
    <t>4ème tour</t>
  </si>
  <si>
    <t>5ème tour</t>
  </si>
  <si>
    <t>6ème tour</t>
  </si>
  <si>
    <t>Eq 10  : .</t>
  </si>
  <si>
    <t>Eq 11 : .</t>
  </si>
  <si>
    <t>Eq 12 : .</t>
  </si>
  <si>
    <t>Eq 13  : .</t>
  </si>
  <si>
    <t>Eq 14  : .</t>
  </si>
  <si>
    <t>Eq 15  : .</t>
  </si>
  <si>
    <t>Eq 16  : .</t>
  </si>
  <si>
    <t>Eq 17  : .</t>
  </si>
  <si>
    <t>Eq 18  : .</t>
  </si>
  <si>
    <t>Eq 19  : .</t>
  </si>
  <si>
    <t>Eq 20  : .</t>
  </si>
  <si>
    <t>Eq 21 : .</t>
  </si>
  <si>
    <t>Eq 22 : .</t>
  </si>
  <si>
    <t>Durand - Dupont</t>
  </si>
  <si>
    <t xml:space="preserve">Terrain  </t>
  </si>
  <si>
    <t>Eq 01  : .</t>
  </si>
  <si>
    <t>Eq 02  : .</t>
  </si>
  <si>
    <t>Eq 03  : .</t>
  </si>
  <si>
    <t>Eq 04  : .</t>
  </si>
  <si>
    <t>Eq 05  : .</t>
  </si>
  <si>
    <t>Eq 06  : .</t>
  </si>
  <si>
    <t>Eq 07  : .</t>
  </si>
  <si>
    <t>Eq 08  : .</t>
  </si>
  <si>
    <t>Eq 09  : .</t>
  </si>
  <si>
    <t>Norbert</t>
  </si>
  <si>
    <t>Père &amp; Fils</t>
  </si>
  <si>
    <t>Nestor</t>
  </si>
  <si>
    <t>Marius</t>
  </si>
  <si>
    <t>Vincent</t>
  </si>
  <si>
    <t>Achille</t>
  </si>
  <si>
    <t>Roland</t>
  </si>
  <si>
    <t>Charles- Casimir</t>
  </si>
  <si>
    <t>Vivien- Rose</t>
  </si>
  <si>
    <t>Alban - Audrey</t>
  </si>
  <si>
    <t>Gilbert- Médard</t>
  </si>
  <si>
    <t>Alexis - Claude</t>
  </si>
  <si>
    <t>Edouard- Odilon</t>
  </si>
  <si>
    <t>Marcel- Rémi</t>
  </si>
  <si>
    <t>Gildas- Martine</t>
  </si>
  <si>
    <t>Hugues - Sandrine</t>
  </si>
  <si>
    <t>e pensez à remettre le score..                                      ...Bonne partie à tous   &amp;  A la fin de la parti</t>
  </si>
  <si>
    <t>CLASSEMENT FINAL</t>
  </si>
  <si>
    <t>N° eq</t>
  </si>
  <si>
    <t>Nom équipes</t>
  </si>
  <si>
    <t>Parties gagnées</t>
  </si>
  <si>
    <t>Goal average</t>
  </si>
  <si>
    <t>Nb eq 1er tableau</t>
  </si>
  <si>
    <t xml:space="preserve"> </t>
  </si>
  <si>
    <t>Equ</t>
  </si>
  <si>
    <r>
      <t xml:space="preserve">                                                 6 è tour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</si>
  <si>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t>Poule Gagnants</t>
  </si>
  <si>
    <t>Poule Perdants</t>
  </si>
  <si>
    <t>Parties 1 &amp; 2</t>
  </si>
  <si>
    <t>CLASSEMENT FINAL POULE A</t>
  </si>
  <si>
    <t>CLASSEMENT FINAL POULE B</t>
  </si>
  <si>
    <t>Nb Poule A</t>
  </si>
  <si>
    <t>Nb Poule B</t>
  </si>
  <si>
    <t>PETER</t>
  </si>
  <si>
    <t>FRANCIS</t>
  </si>
  <si>
    <t>MARCO</t>
  </si>
  <si>
    <t>DENISE</t>
  </si>
  <si>
    <t>YVON</t>
  </si>
  <si>
    <t>JACQUES</t>
  </si>
  <si>
    <t>PIERRE</t>
  </si>
  <si>
    <t>THIBAULT</t>
  </si>
  <si>
    <t>SEBASTIEN</t>
  </si>
  <si>
    <t>JOHN</t>
  </si>
  <si>
    <t>ALAIN</t>
  </si>
  <si>
    <t>JEAN PIERRE</t>
  </si>
  <si>
    <t>CHRISTOPHE</t>
  </si>
  <si>
    <t>JEAN PAUL</t>
  </si>
  <si>
    <t>MICKAEL</t>
  </si>
  <si>
    <t xml:space="preserve">LAURENT    </t>
  </si>
  <si>
    <t xml:space="preserve">CHARLES  </t>
  </si>
  <si>
    <t xml:space="preserve">SYLVAIN   </t>
  </si>
  <si>
    <t>JONATHAN</t>
  </si>
  <si>
    <t>GEGE</t>
  </si>
  <si>
    <t xml:space="preserve">LANDRY   </t>
  </si>
  <si>
    <t>MARTIAL</t>
  </si>
  <si>
    <t>AURELIEN</t>
  </si>
  <si>
    <t xml:space="preserve">THIERRY  </t>
  </si>
  <si>
    <t xml:space="preserve">PHILIPPE  </t>
  </si>
  <si>
    <t xml:space="preserve">RENE  </t>
  </si>
  <si>
    <t xml:space="preserve">YOANN   </t>
  </si>
  <si>
    <t xml:space="preserve">PATRICK   </t>
  </si>
  <si>
    <t>EDOUARD</t>
  </si>
  <si>
    <t xml:space="preserve">ADELINE  </t>
  </si>
  <si>
    <t xml:space="preserve">BRUNO  </t>
  </si>
  <si>
    <t xml:space="preserve">JOE  </t>
  </si>
  <si>
    <t>MARTIN</t>
  </si>
  <si>
    <t xml:space="preserve">ALCIDE  </t>
  </si>
  <si>
    <t>CLEMENT</t>
  </si>
  <si>
    <t xml:space="preserve">ROMAIN  </t>
  </si>
  <si>
    <t xml:space="preserve">NICO  </t>
  </si>
  <si>
    <t>VINCENT</t>
  </si>
  <si>
    <t>ETIENNE</t>
  </si>
  <si>
    <t xml:space="preserve">FREDDY  </t>
  </si>
  <si>
    <t>ALLAIRE</t>
  </si>
  <si>
    <t>GUY JEAN</t>
  </si>
  <si>
    <t>RENAUD</t>
  </si>
  <si>
    <t xml:space="preserve">SERGE  </t>
  </si>
  <si>
    <t>HERMAN</t>
  </si>
  <si>
    <t>LUC</t>
  </si>
  <si>
    <t>OLIVIER</t>
  </si>
  <si>
    <t>FLORENTIN</t>
  </si>
  <si>
    <t>BEAUDOUIN</t>
  </si>
  <si>
    <t>ABEL</t>
  </si>
  <si>
    <t>DAMIEN</t>
  </si>
  <si>
    <t>GREGOIRE</t>
  </si>
  <si>
    <t>ARSENE</t>
  </si>
  <si>
    <t>NADEGE</t>
  </si>
  <si>
    <t>EDITH</t>
  </si>
  <si>
    <t>COME</t>
  </si>
  <si>
    <t>DIMITRI</t>
  </si>
  <si>
    <t>FIRMIN</t>
  </si>
  <si>
    <t>QUENTIN</t>
  </si>
  <si>
    <t>GEOFFROY</t>
  </si>
  <si>
    <t>FLORIAN</t>
  </si>
  <si>
    <t>YVONNICK</t>
  </si>
  <si>
    <t>BRICE</t>
  </si>
  <si>
    <t>ALBERT</t>
  </si>
  <si>
    <t>TANGUY</t>
  </si>
  <si>
    <t>JIMMY</t>
  </si>
  <si>
    <t>DELPHINE</t>
  </si>
  <si>
    <t>EDMOND</t>
  </si>
  <si>
    <t>GERALD</t>
  </si>
  <si>
    <t>NICOLAS</t>
  </si>
  <si>
    <t>AMBROISE</t>
  </si>
  <si>
    <t>DANIEL</t>
  </si>
  <si>
    <t>GAEL</t>
  </si>
  <si>
    <t>GATIEN</t>
  </si>
  <si>
    <t>LUCIE</t>
  </si>
  <si>
    <t>THEOPHILE</t>
  </si>
  <si>
    <t>URBAIN</t>
  </si>
  <si>
    <t>BASILE</t>
  </si>
  <si>
    <t>RAYMOND</t>
  </si>
  <si>
    <t>LUCIEN</t>
  </si>
  <si>
    <t>GUILLAUME</t>
  </si>
  <si>
    <t>BERNARD</t>
  </si>
  <si>
    <t>VALENTIN</t>
  </si>
  <si>
    <t>VALERIE</t>
  </si>
  <si>
    <t>ROMAIN</t>
  </si>
  <si>
    <t>JOSEPH</t>
  </si>
  <si>
    <t>HUGUES</t>
  </si>
  <si>
    <t>RICHARD</t>
  </si>
  <si>
    <t>GAUTIER</t>
  </si>
  <si>
    <t>MATTHIAS</t>
  </si>
  <si>
    <t>STANISLAS</t>
  </si>
  <si>
    <t>ROLANDE</t>
  </si>
  <si>
    <t>CONSTANTIN</t>
  </si>
  <si>
    <t>HONORE</t>
  </si>
  <si>
    <t>DONATIEN</t>
  </si>
  <si>
    <t>GERMAIN</t>
  </si>
  <si>
    <t>RODRIGUE</t>
  </si>
  <si>
    <t>CYRILL</t>
  </si>
  <si>
    <t>LOUISE</t>
  </si>
  <si>
    <t>GONTRAN</t>
  </si>
  <si>
    <t>ISIDORE</t>
  </si>
  <si>
    <t>MARCELLIN</t>
  </si>
  <si>
    <t>ANICET</t>
  </si>
  <si>
    <t>SOLANGE</t>
  </si>
  <si>
    <t>AYMAR</t>
  </si>
  <si>
    <t>NORBERT</t>
  </si>
  <si>
    <t>BARNABE</t>
  </si>
  <si>
    <t>LEON</t>
  </si>
  <si>
    <t>ALBAN</t>
  </si>
  <si>
    <t>PROSPER</t>
  </si>
  <si>
    <t>FERNAND</t>
  </si>
  <si>
    <t>MARTINIEN</t>
  </si>
  <si>
    <t>ELOI</t>
  </si>
  <si>
    <t>AIME</t>
  </si>
  <si>
    <t>GINET</t>
  </si>
  <si>
    <t>JEAN JACQUES</t>
  </si>
  <si>
    <t>ROBERT</t>
  </si>
  <si>
    <t>MICHEL</t>
  </si>
  <si>
    <t>HENRI</t>
  </si>
  <si>
    <r>
      <t xml:space="preserve">                                                 1er tour                                  </t>
    </r>
    <r>
      <rPr>
        <sz val="26"/>
        <color theme="0"/>
        <rFont val="Eras Bold ITC"/>
        <family val="2"/>
      </rPr>
      <t xml:space="preserve"> </t>
    </r>
    <r>
      <rPr>
        <b/>
        <sz val="26"/>
        <color theme="0"/>
        <rFont val="Eras Bold ITC"/>
        <family val="2"/>
      </rPr>
      <t xml:space="preserve">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</si>
  <si>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2è tour                                                      </t>
    </r>
    <r>
      <rPr>
        <b/>
        <sz val="12"/>
        <color theme="0"/>
        <rFont val="DejaVu Sans Condensed"/>
        <family val="2"/>
      </rPr>
      <t xml:space="preserve"> résultat</t>
    </r>
  </si>
  <si>
    <r>
      <t xml:space="preserve">                                                3 è tour                                                   </t>
    </r>
    <r>
      <rPr>
        <b/>
        <sz val="12"/>
        <color theme="0"/>
        <rFont val="DejaVu Sans Condensed"/>
        <family val="2"/>
      </rPr>
      <t xml:space="preserve">   résultat</t>
    </r>
  </si>
  <si>
    <r>
      <t xml:space="preserve">                                             4è tour       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</si>
  <si>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 5 è tour    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</si>
  <si>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t>Terrain</t>
  </si>
  <si>
    <t>1 er tour</t>
  </si>
  <si>
    <t>Resultat</t>
  </si>
  <si>
    <t>Copie résultat 1</t>
  </si>
  <si>
    <t xml:space="preserve"> 2 è tour</t>
  </si>
  <si>
    <t>3 è tour</t>
  </si>
  <si>
    <t>4 è tour</t>
  </si>
  <si>
    <t>5 è tour</t>
  </si>
  <si>
    <t>6 è tour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</si>
</sst>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;;;"/>
  </numFmts>
  <fonts count="47">
    <font>
      <sz val="10"/>
      <name val="Arial"/>
    </font>
    <font>
      <sz val="10"/>
      <name val="Arial"/>
      <family val="2"/>
    </font>
    <font>
      <sz val="16"/>
      <name val="Arial"/>
      <family val="2"/>
    </font>
    <font>
      <sz val="14"/>
      <name val="Eras Bold ITC"/>
      <family val="2"/>
    </font>
    <font>
      <b/>
      <sz val="14"/>
      <name val="Eras Bold ITC"/>
      <family val="2"/>
    </font>
    <font>
      <sz val="20"/>
      <color rgb="FFFF0000"/>
      <name val="Arial"/>
      <family val="2"/>
    </font>
    <font>
      <sz val="20"/>
      <name val="Arial"/>
      <family val="2"/>
    </font>
    <font>
      <sz val="12"/>
      <name val="Calibri"/>
      <family val="2"/>
      <scheme val="minor"/>
    </font>
    <font>
      <sz val="12"/>
      <name val="Arial"/>
      <family val="2"/>
    </font>
    <font>
      <sz val="14"/>
      <name val="Arial"/>
      <family val="2"/>
    </font>
    <font>
      <sz val="10"/>
      <color indexed="39"/>
      <name val="Arial"/>
      <family val="2"/>
    </font>
    <font>
      <sz val="10"/>
      <color indexed="14"/>
      <name val="Arial"/>
      <family val="2"/>
    </font>
    <font>
      <sz val="20"/>
      <name val="Berlin Sans FB Demi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indexed="12"/>
      <name val="Arial"/>
      <family val="2"/>
    </font>
    <font>
      <sz val="26"/>
      <name val="Eras Bold ITC"/>
      <family val="2"/>
    </font>
    <font>
      <sz val="10"/>
      <name val="Calibri"/>
      <family val="2"/>
    </font>
    <font>
      <b/>
      <sz val="14"/>
      <name val="DejaVu Sans Condensed"/>
      <family val="2"/>
    </font>
    <font>
      <b/>
      <sz val="8"/>
      <color rgb="FF2600FF"/>
      <name val="Courier New"/>
      <family val="3"/>
    </font>
    <font>
      <sz val="9"/>
      <color rgb="FF111111"/>
      <name val="Courier New"/>
      <family val="3"/>
    </font>
    <font>
      <sz val="14"/>
      <color rgb="FFFF0000"/>
      <name val="Arial"/>
      <family val="2"/>
    </font>
    <font>
      <b/>
      <sz val="12"/>
      <color theme="0"/>
      <name val="DejaVu Sans Condensed"/>
      <family val="2"/>
    </font>
    <font>
      <b/>
      <i/>
      <sz val="16"/>
      <color rgb="FF000000"/>
      <name val="Times New Roman"/>
      <family val="1"/>
    </font>
    <font>
      <b/>
      <vertAlign val="superscript"/>
      <sz val="12"/>
      <color rgb="FFFFFFFF"/>
      <name val="Arial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8"/>
      <color theme="0"/>
      <name val="Cambria"/>
      <family val="1"/>
      <scheme val="major"/>
    </font>
    <font>
      <sz val="8"/>
      <color theme="0"/>
      <name val="Arial"/>
      <family val="2"/>
    </font>
    <font>
      <sz val="8"/>
      <color theme="1"/>
      <name val="Arial"/>
      <family val="2"/>
    </font>
    <font>
      <sz val="10"/>
      <color rgb="FF333333"/>
      <name val="Trebuchet MS"/>
      <family val="2"/>
    </font>
    <font>
      <b/>
      <sz val="10"/>
      <color indexed="37"/>
      <name val="Calibri"/>
      <family val="2"/>
    </font>
    <font>
      <b/>
      <sz val="9"/>
      <color indexed="16"/>
      <name val="Calibri"/>
      <family val="2"/>
    </font>
    <font>
      <sz val="10"/>
      <color rgb="FF33CC33"/>
      <name val="Arial"/>
      <family val="2"/>
    </font>
    <font>
      <b/>
      <sz val="10"/>
      <name val="Arial"/>
      <family val="2"/>
    </font>
    <font>
      <sz val="9"/>
      <color indexed="60"/>
      <name val="Arial"/>
      <family val="2"/>
    </font>
    <font>
      <sz val="9"/>
      <color indexed="18"/>
      <name val="Arial"/>
      <family val="2"/>
    </font>
    <font>
      <b/>
      <sz val="10"/>
      <color indexed="18"/>
      <name val="Calibri"/>
      <family val="2"/>
    </font>
    <font>
      <sz val="8"/>
      <color rgb="FF000000"/>
      <name val="DejaVu Serif Condensed"/>
      <family val="1"/>
    </font>
    <font>
      <b/>
      <sz val="14"/>
      <color theme="0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rgb="FFFF0000"/>
      <name val="Arial"/>
      <family val="2"/>
    </font>
    <font>
      <sz val="26"/>
      <color theme="0"/>
      <name val="Eras Bold ITC"/>
      <family val="2"/>
    </font>
    <font>
      <b/>
      <sz val="26"/>
      <color theme="0"/>
      <name val="Eras Bold ITC"/>
      <family val="2"/>
    </font>
    <font>
      <sz val="16"/>
      <name val="Eras Bold ITC"/>
      <family val="2"/>
    </font>
    <font>
      <sz val="12"/>
      <name val="Eras Bold ITC"/>
      <family val="2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BDB7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BFA63B"/>
        <bgColor indexed="64"/>
      </patternFill>
    </fill>
    <fill>
      <patternFill patternType="solid">
        <fgColor rgb="FFED841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gray125">
        <bgColor rgb="FFFFFF00"/>
      </patternFill>
    </fill>
    <fill>
      <patternFill patternType="gray125">
        <bgColor rgb="FFBFA63B"/>
      </patternFill>
    </fill>
    <fill>
      <patternFill patternType="gray125">
        <bgColor rgb="FFFF9933"/>
      </patternFill>
    </fill>
    <fill>
      <patternFill patternType="solid">
        <fgColor rgb="FFC00000"/>
        <bgColor indexed="64"/>
      </patternFill>
    </fill>
    <fill>
      <patternFill patternType="gray125"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gray125">
        <bgColor theme="3" tint="0.59999389629810485"/>
      </patternFill>
    </fill>
    <fill>
      <patternFill patternType="solid">
        <fgColor theme="4" tint="-0.249977111117893"/>
        <bgColor indexed="64"/>
      </patternFill>
    </fill>
    <fill>
      <patternFill patternType="gray125">
        <bgColor theme="9" tint="0.59999389629810485"/>
      </patternFill>
    </fill>
    <fill>
      <patternFill patternType="solid">
        <fgColor rgb="FF665920"/>
        <bgColor indexed="64"/>
      </patternFill>
    </fill>
    <fill>
      <patternFill patternType="solid">
        <fgColor rgb="FFC864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EDFA76"/>
        <bgColor indexed="64"/>
      </patternFill>
    </fill>
    <fill>
      <patternFill patternType="solid">
        <fgColor indexed="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/>
    <xf numFmtId="0" fontId="2" fillId="0" borderId="0" xfId="0" applyFont="1"/>
    <xf numFmtId="0" fontId="1" fillId="0" borderId="0" xfId="0" applyFont="1" applyProtection="1">
      <protection locked="0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left"/>
    </xf>
    <xf numFmtId="0" fontId="3" fillId="2" borderId="5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4" borderId="5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left"/>
    </xf>
    <xf numFmtId="0" fontId="3" fillId="5" borderId="2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/>
    </xf>
    <xf numFmtId="0" fontId="3" fillId="0" borderId="0" xfId="0" applyFont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protection locked="0"/>
    </xf>
    <xf numFmtId="0" fontId="7" fillId="6" borderId="1" xfId="0" applyFont="1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left"/>
    </xf>
    <xf numFmtId="0" fontId="3" fillId="10" borderId="5" xfId="0" applyFont="1" applyFill="1" applyBorder="1" applyAlignment="1">
      <alignment horizontal="left"/>
    </xf>
    <xf numFmtId="0" fontId="3" fillId="11" borderId="1" xfId="0" applyFont="1" applyFill="1" applyBorder="1" applyAlignment="1">
      <alignment horizontal="left"/>
    </xf>
    <xf numFmtId="0" fontId="3" fillId="11" borderId="2" xfId="0" applyFont="1" applyFill="1" applyBorder="1" applyAlignment="1">
      <alignment horizontal="left"/>
    </xf>
    <xf numFmtId="0" fontId="9" fillId="0" borderId="0" xfId="0" applyFont="1" applyAlignment="1">
      <alignment horizontal="center"/>
    </xf>
    <xf numFmtId="0" fontId="0" fillId="17" borderId="0" xfId="0" applyFill="1"/>
    <xf numFmtId="0" fontId="0" fillId="18" borderId="0" xfId="0" applyFill="1"/>
    <xf numFmtId="0" fontId="1" fillId="18" borderId="9" xfId="0" applyFont="1" applyFill="1" applyBorder="1" applyAlignment="1">
      <alignment horizontal="center"/>
    </xf>
    <xf numFmtId="0" fontId="0" fillId="0" borderId="0" xfId="0" applyFill="1"/>
    <xf numFmtId="0" fontId="13" fillId="0" borderId="9" xfId="0" applyFont="1" applyFill="1" applyBorder="1" applyAlignment="1">
      <alignment horizontal="center"/>
    </xf>
    <xf numFmtId="0" fontId="8" fillId="14" borderId="9" xfId="0" applyFont="1" applyFill="1" applyBorder="1" applyAlignment="1">
      <alignment horizontal="center"/>
    </xf>
    <xf numFmtId="0" fontId="8" fillId="15" borderId="9" xfId="0" applyFont="1" applyFill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0" fillId="10" borderId="0" xfId="0" applyFill="1" applyAlignment="1">
      <alignment horizontal="center" vertical="center"/>
    </xf>
    <xf numFmtId="0" fontId="9" fillId="18" borderId="0" xfId="0" applyFont="1" applyFill="1"/>
    <xf numFmtId="0" fontId="13" fillId="0" borderId="9" xfId="0" applyFont="1" applyFill="1" applyBorder="1" applyAlignment="1">
      <alignment horizontal="center" vertical="center"/>
    </xf>
    <xf numFmtId="0" fontId="9" fillId="0" borderId="0" xfId="0" applyFont="1" applyFill="1"/>
    <xf numFmtId="0" fontId="1" fillId="0" borderId="5" xfId="0" applyFont="1" applyBorder="1" applyAlignment="1">
      <alignment horizontal="center"/>
    </xf>
    <xf numFmtId="0" fontId="14" fillId="18" borderId="9" xfId="0" applyFont="1" applyFill="1" applyBorder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/>
    <xf numFmtId="0" fontId="8" fillId="9" borderId="0" xfId="0" applyFont="1" applyFill="1" applyAlignment="1">
      <alignment horizontal="center"/>
    </xf>
    <xf numFmtId="0" fontId="1" fillId="0" borderId="0" xfId="0" applyFont="1" applyProtection="1"/>
    <xf numFmtId="0" fontId="13" fillId="16" borderId="9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/>
    <xf numFmtId="0" fontId="8" fillId="14" borderId="13" xfId="0" applyFont="1" applyFill="1" applyBorder="1" applyAlignment="1">
      <alignment horizontal="center"/>
    </xf>
    <xf numFmtId="0" fontId="0" fillId="6" borderId="0" xfId="0" applyFill="1"/>
    <xf numFmtId="0" fontId="3" fillId="6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/>
    <xf numFmtId="0" fontId="20" fillId="0" borderId="0" xfId="0" applyFont="1"/>
    <xf numFmtId="0" fontId="8" fillId="24" borderId="14" xfId="0" applyFont="1" applyFill="1" applyBorder="1" applyAlignment="1" applyProtection="1">
      <alignment horizontal="center"/>
      <protection locked="0"/>
    </xf>
    <xf numFmtId="0" fontId="8" fillId="24" borderId="18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Border="1" applyAlignment="1" applyProtection="1">
      <alignment horizontal="center" vertical="top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2" fillId="0" borderId="0" xfId="0" applyFont="1" applyFill="1" applyProtection="1"/>
    <xf numFmtId="0" fontId="8" fillId="0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164" fontId="21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right"/>
    </xf>
    <xf numFmtId="0" fontId="18" fillId="2" borderId="5" xfId="0" applyFont="1" applyFill="1" applyBorder="1" applyAlignment="1" applyProtection="1">
      <alignment horizontal="center" vertical="center"/>
    </xf>
    <xf numFmtId="0" fontId="18" fillId="2" borderId="10" xfId="0" applyFont="1" applyFill="1" applyBorder="1" applyAlignment="1" applyProtection="1">
      <alignment horizontal="center" vertical="top"/>
    </xf>
    <xf numFmtId="0" fontId="18" fillId="2" borderId="16" xfId="0" applyFont="1" applyFill="1" applyBorder="1" applyAlignment="1" applyProtection="1">
      <alignment horizontal="left"/>
    </xf>
    <xf numFmtId="0" fontId="18" fillId="2" borderId="17" xfId="0" applyFont="1" applyFill="1" applyBorder="1" applyAlignment="1" applyProtection="1">
      <alignment horizontal="left"/>
    </xf>
    <xf numFmtId="0" fontId="18" fillId="2" borderId="10" xfId="0" applyFont="1" applyFill="1" applyBorder="1" applyAlignment="1" applyProtection="1">
      <alignment horizontal="right"/>
    </xf>
    <xf numFmtId="0" fontId="18" fillId="9" borderId="5" xfId="0" applyFont="1" applyFill="1" applyBorder="1" applyAlignment="1" applyProtection="1">
      <alignment horizontal="center" vertical="center"/>
    </xf>
    <xf numFmtId="0" fontId="18" fillId="9" borderId="10" xfId="0" applyFont="1" applyFill="1" applyBorder="1" applyAlignment="1" applyProtection="1">
      <alignment horizontal="center" vertical="top"/>
    </xf>
    <xf numFmtId="0" fontId="18" fillId="9" borderId="17" xfId="0" applyFont="1" applyFill="1" applyBorder="1" applyAlignment="1" applyProtection="1">
      <alignment horizontal="left"/>
    </xf>
    <xf numFmtId="0" fontId="18" fillId="9" borderId="10" xfId="0" applyFont="1" applyFill="1" applyBorder="1" applyAlignment="1" applyProtection="1">
      <alignment horizontal="right"/>
    </xf>
    <xf numFmtId="0" fontId="18" fillId="25" borderId="5" xfId="0" applyFont="1" applyFill="1" applyBorder="1" applyAlignment="1" applyProtection="1">
      <alignment horizontal="center" vertical="center"/>
    </xf>
    <xf numFmtId="0" fontId="18" fillId="25" borderId="10" xfId="0" applyFont="1" applyFill="1" applyBorder="1" applyAlignment="1" applyProtection="1">
      <alignment horizontal="center" vertical="top"/>
    </xf>
    <xf numFmtId="0" fontId="18" fillId="25" borderId="17" xfId="0" applyFont="1" applyFill="1" applyBorder="1" applyAlignment="1" applyProtection="1">
      <alignment horizontal="left"/>
    </xf>
    <xf numFmtId="0" fontId="18" fillId="25" borderId="10" xfId="0" applyFont="1" applyFill="1" applyBorder="1" applyAlignment="1" applyProtection="1">
      <alignment horizontal="right"/>
    </xf>
    <xf numFmtId="0" fontId="18" fillId="15" borderId="5" xfId="0" applyFont="1" applyFill="1" applyBorder="1" applyAlignment="1" applyProtection="1">
      <alignment horizontal="center" vertical="center"/>
    </xf>
    <xf numFmtId="0" fontId="18" fillId="15" borderId="10" xfId="0" applyFont="1" applyFill="1" applyBorder="1" applyAlignment="1" applyProtection="1">
      <alignment horizontal="center" vertical="top"/>
    </xf>
    <xf numFmtId="0" fontId="18" fillId="15" borderId="17" xfId="0" applyFont="1" applyFill="1" applyBorder="1" applyAlignment="1" applyProtection="1">
      <alignment horizontal="left"/>
    </xf>
    <xf numFmtId="0" fontId="18" fillId="15" borderId="10" xfId="0" applyFont="1" applyFill="1" applyBorder="1" applyAlignment="1" applyProtection="1">
      <alignment horizontal="right"/>
    </xf>
    <xf numFmtId="0" fontId="18" fillId="12" borderId="5" xfId="0" applyFont="1" applyFill="1" applyBorder="1" applyAlignment="1" applyProtection="1">
      <alignment horizontal="center" vertical="center"/>
    </xf>
    <xf numFmtId="0" fontId="18" fillId="12" borderId="10" xfId="0" applyFont="1" applyFill="1" applyBorder="1" applyAlignment="1" applyProtection="1">
      <alignment horizontal="center" vertical="top"/>
    </xf>
    <xf numFmtId="0" fontId="18" fillId="12" borderId="17" xfId="0" applyFont="1" applyFill="1" applyBorder="1" applyAlignment="1" applyProtection="1">
      <alignment horizontal="left"/>
    </xf>
    <xf numFmtId="0" fontId="18" fillId="12" borderId="10" xfId="0" applyFont="1" applyFill="1" applyBorder="1" applyAlignment="1" applyProtection="1">
      <alignment horizontal="right"/>
    </xf>
    <xf numFmtId="0" fontId="18" fillId="13" borderId="5" xfId="0" applyFont="1" applyFill="1" applyBorder="1" applyAlignment="1" applyProtection="1">
      <alignment horizontal="center" vertical="center"/>
    </xf>
    <xf numFmtId="0" fontId="18" fillId="13" borderId="10" xfId="0" applyFont="1" applyFill="1" applyBorder="1" applyAlignment="1" applyProtection="1">
      <alignment horizontal="center" vertical="top"/>
    </xf>
    <xf numFmtId="0" fontId="18" fillId="13" borderId="17" xfId="0" applyFont="1" applyFill="1" applyBorder="1" applyAlignment="1" applyProtection="1">
      <alignment horizontal="left"/>
    </xf>
    <xf numFmtId="0" fontId="18" fillId="13" borderId="10" xfId="0" applyFont="1" applyFill="1" applyBorder="1" applyAlignment="1" applyProtection="1">
      <alignment horizontal="right"/>
    </xf>
    <xf numFmtId="0" fontId="0" fillId="0" borderId="0" xfId="0" applyAlignment="1" applyProtection="1"/>
    <xf numFmtId="0" fontId="0" fillId="6" borderId="0" xfId="0" applyFill="1" applyAlignment="1" applyProtection="1"/>
    <xf numFmtId="0" fontId="8" fillId="6" borderId="0" xfId="0" applyFont="1" applyFill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right"/>
    </xf>
    <xf numFmtId="0" fontId="0" fillId="0" borderId="0" xfId="0" applyFill="1" applyBorder="1" applyAlignment="1" applyProtection="1">
      <alignment horizontal="center"/>
    </xf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 vertical="top"/>
    </xf>
    <xf numFmtId="0" fontId="18" fillId="0" borderId="0" xfId="0" applyFont="1" applyFill="1" applyBorder="1" applyAlignment="1" applyProtection="1">
      <alignment horizontal="left"/>
    </xf>
    <xf numFmtId="0" fontId="18" fillId="0" borderId="0" xfId="0" applyFont="1" applyFill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right"/>
    </xf>
    <xf numFmtId="0" fontId="1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/>
    </xf>
    <xf numFmtId="0" fontId="0" fillId="0" borderId="19" xfId="0" applyFill="1" applyBorder="1" applyAlignment="1" applyProtection="1">
      <alignment horizontal="center"/>
    </xf>
    <xf numFmtId="0" fontId="0" fillId="6" borderId="0" xfId="0" applyFill="1" applyProtection="1"/>
    <xf numFmtId="0" fontId="8" fillId="26" borderId="14" xfId="0" applyFont="1" applyFill="1" applyBorder="1" applyAlignment="1" applyProtection="1">
      <alignment horizontal="center"/>
      <protection locked="0"/>
    </xf>
    <xf numFmtId="0" fontId="8" fillId="26" borderId="18" xfId="0" applyFont="1" applyFill="1" applyBorder="1" applyAlignment="1" applyProtection="1">
      <alignment horizontal="center"/>
      <protection locked="0"/>
    </xf>
    <xf numFmtId="0" fontId="8" fillId="28" borderId="14" xfId="0" applyFont="1" applyFill="1" applyBorder="1" applyAlignment="1" applyProtection="1">
      <alignment horizontal="center"/>
      <protection locked="0"/>
    </xf>
    <xf numFmtId="0" fontId="8" fillId="28" borderId="18" xfId="0" applyFont="1" applyFill="1" applyBorder="1" applyAlignment="1" applyProtection="1">
      <alignment horizontal="center"/>
      <protection locked="0"/>
    </xf>
    <xf numFmtId="0" fontId="8" fillId="21" borderId="14" xfId="0" applyFont="1" applyFill="1" applyBorder="1" applyAlignment="1" applyProtection="1">
      <alignment horizontal="center"/>
      <protection locked="0"/>
    </xf>
    <xf numFmtId="0" fontId="8" fillId="21" borderId="18" xfId="0" applyFont="1" applyFill="1" applyBorder="1" applyAlignment="1" applyProtection="1">
      <alignment horizontal="center"/>
      <protection locked="0"/>
    </xf>
    <xf numFmtId="0" fontId="8" fillId="22" borderId="14" xfId="0" applyFont="1" applyFill="1" applyBorder="1" applyAlignment="1" applyProtection="1">
      <alignment horizontal="center"/>
      <protection locked="0"/>
    </xf>
    <xf numFmtId="0" fontId="8" fillId="22" borderId="18" xfId="0" applyFont="1" applyFill="1" applyBorder="1" applyAlignment="1" applyProtection="1">
      <alignment horizontal="center"/>
      <protection locked="0"/>
    </xf>
    <xf numFmtId="0" fontId="18" fillId="9" borderId="16" xfId="0" applyFont="1" applyFill="1" applyBorder="1" applyAlignment="1" applyProtection="1">
      <alignment horizontal="left"/>
    </xf>
    <xf numFmtId="0" fontId="18" fillId="12" borderId="16" xfId="0" applyFont="1" applyFill="1" applyBorder="1" applyAlignment="1" applyProtection="1">
      <alignment horizontal="left"/>
    </xf>
    <xf numFmtId="0" fontId="18" fillId="13" borderId="16" xfId="0" applyFont="1" applyFill="1" applyBorder="1" applyAlignment="1" applyProtection="1">
      <alignment horizontal="left"/>
    </xf>
    <xf numFmtId="0" fontId="18" fillId="15" borderId="16" xfId="0" applyFont="1" applyFill="1" applyBorder="1" applyAlignment="1" applyProtection="1">
      <alignment horizontal="left"/>
    </xf>
    <xf numFmtId="0" fontId="18" fillId="25" borderId="16" xfId="0" applyFont="1" applyFill="1" applyBorder="1" applyAlignment="1" applyProtection="1">
      <alignment horizontal="left"/>
    </xf>
    <xf numFmtId="0" fontId="0" fillId="6" borderId="0" xfId="0" applyFill="1" applyAlignment="1" applyProtection="1">
      <alignment horizontal="center"/>
    </xf>
    <xf numFmtId="0" fontId="1" fillId="0" borderId="0" xfId="0" applyFont="1" applyFill="1"/>
    <xf numFmtId="0" fontId="18" fillId="2" borderId="10" xfId="0" applyFont="1" applyFill="1" applyBorder="1" applyAlignment="1">
      <alignment horizontal="center"/>
    </xf>
    <xf numFmtId="0" fontId="18" fillId="9" borderId="10" xfId="0" applyFont="1" applyFill="1" applyBorder="1" applyAlignment="1">
      <alignment horizontal="center"/>
    </xf>
    <xf numFmtId="0" fontId="18" fillId="25" borderId="10" xfId="0" applyFont="1" applyFill="1" applyBorder="1" applyAlignment="1">
      <alignment horizontal="center"/>
    </xf>
    <xf numFmtId="0" fontId="18" fillId="15" borderId="10" xfId="0" applyFont="1" applyFill="1" applyBorder="1" applyAlignment="1">
      <alignment horizontal="center"/>
    </xf>
    <xf numFmtId="0" fontId="18" fillId="12" borderId="10" xfId="0" applyFont="1" applyFill="1" applyBorder="1" applyAlignment="1">
      <alignment horizontal="center"/>
    </xf>
    <xf numFmtId="0" fontId="18" fillId="13" borderId="10" xfId="0" applyFont="1" applyFill="1" applyBorder="1" applyAlignment="1">
      <alignment horizontal="center"/>
    </xf>
    <xf numFmtId="0" fontId="8" fillId="16" borderId="9" xfId="0" applyFont="1" applyFill="1" applyBorder="1" applyAlignment="1">
      <alignment horizontal="center"/>
    </xf>
    <xf numFmtId="0" fontId="0" fillId="30" borderId="0" xfId="0" applyFill="1" applyProtection="1"/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8" fillId="16" borderId="9" xfId="0" applyFont="1" applyFill="1" applyBorder="1" applyAlignment="1">
      <alignment horizontal="center" vertical="center"/>
    </xf>
    <xf numFmtId="49" fontId="8" fillId="16" borderId="9" xfId="0" applyNumberFormat="1" applyFont="1" applyFill="1" applyBorder="1" applyAlignment="1">
      <alignment horizontal="center" vertical="center"/>
    </xf>
    <xf numFmtId="0" fontId="8" fillId="20" borderId="1" xfId="0" applyFont="1" applyFill="1" applyBorder="1" applyAlignment="1" applyProtection="1">
      <alignment horizontal="center"/>
      <protection locked="0"/>
    </xf>
    <xf numFmtId="0" fontId="25" fillId="0" borderId="0" xfId="0" applyFont="1" applyAlignment="1">
      <alignment horizontal="center"/>
    </xf>
    <xf numFmtId="0" fontId="1" fillId="0" borderId="0" xfId="0" applyFont="1" applyFill="1" applyProtection="1"/>
    <xf numFmtId="0" fontId="0" fillId="8" borderId="0" xfId="0" applyFill="1" applyProtection="1"/>
    <xf numFmtId="0" fontId="26" fillId="0" borderId="0" xfId="0" applyFont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8" fillId="20" borderId="13" xfId="0" applyFont="1" applyFill="1" applyBorder="1" applyAlignment="1" applyProtection="1">
      <alignment horizontal="center"/>
      <protection locked="0"/>
    </xf>
    <xf numFmtId="0" fontId="14" fillId="18" borderId="9" xfId="0" applyFont="1" applyFill="1" applyBorder="1"/>
    <xf numFmtId="0" fontId="30" fillId="0" borderId="0" xfId="0" applyFont="1"/>
    <xf numFmtId="0" fontId="9" fillId="16" borderId="9" xfId="0" applyFont="1" applyFill="1" applyBorder="1" applyAlignment="1">
      <alignment horizontal="left"/>
    </xf>
    <xf numFmtId="0" fontId="9" fillId="16" borderId="9" xfId="0" applyFont="1" applyFill="1" applyBorder="1" applyAlignment="1">
      <alignment horizontal="center"/>
    </xf>
    <xf numFmtId="0" fontId="0" fillId="0" borderId="0" xfId="0" applyAlignment="1">
      <alignment horizontal="center"/>
    </xf>
    <xf numFmtId="49" fontId="1" fillId="0" borderId="0" xfId="0" quotePrefix="1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13" fillId="16" borderId="9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0" fillId="31" borderId="0" xfId="0" applyFill="1"/>
    <xf numFmtId="0" fontId="33" fillId="32" borderId="0" xfId="0" applyFont="1" applyFill="1"/>
    <xf numFmtId="0" fontId="34" fillId="32" borderId="0" xfId="0" applyFont="1" applyFill="1" applyAlignment="1">
      <alignment horizontal="center"/>
    </xf>
    <xf numFmtId="0" fontId="34" fillId="18" borderId="0" xfId="0" applyFont="1" applyFill="1" applyAlignment="1">
      <alignment horizontal="center"/>
    </xf>
    <xf numFmtId="0" fontId="34" fillId="17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9" fillId="16" borderId="5" xfId="0" applyFont="1" applyFill="1" applyBorder="1" applyAlignment="1">
      <alignment horizontal="center"/>
    </xf>
    <xf numFmtId="0" fontId="0" fillId="17" borderId="0" xfId="0" applyFill="1" applyBorder="1"/>
    <xf numFmtId="0" fontId="9" fillId="17" borderId="0" xfId="0" applyFont="1" applyFill="1" applyBorder="1"/>
    <xf numFmtId="0" fontId="0" fillId="0" borderId="0" xfId="0" applyBorder="1"/>
    <xf numFmtId="0" fontId="9" fillId="17" borderId="0" xfId="0" applyFont="1" applyFill="1" applyBorder="1" applyAlignment="1">
      <alignment horizontal="center"/>
    </xf>
    <xf numFmtId="0" fontId="38" fillId="0" borderId="0" xfId="0" applyFont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left"/>
    </xf>
    <xf numFmtId="0" fontId="9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8" fillId="16" borderId="0" xfId="0" applyFont="1" applyFill="1" applyAlignment="1">
      <alignment horizontal="center"/>
    </xf>
    <xf numFmtId="0" fontId="9" fillId="16" borderId="0" xfId="0" applyFont="1" applyFill="1"/>
    <xf numFmtId="0" fontId="14" fillId="16" borderId="9" xfId="0" applyFont="1" applyFill="1" applyBorder="1"/>
    <xf numFmtId="0" fontId="14" fillId="16" borderId="9" xfId="0" applyFont="1" applyFill="1" applyBorder="1" applyAlignment="1">
      <alignment horizontal="left"/>
    </xf>
    <xf numFmtId="0" fontId="1" fillId="16" borderId="9" xfId="0" applyFont="1" applyFill="1" applyBorder="1" applyAlignment="1">
      <alignment horizontal="center"/>
    </xf>
    <xf numFmtId="0" fontId="13" fillId="16" borderId="15" xfId="0" applyFont="1" applyFill="1" applyBorder="1" applyAlignment="1">
      <alignment horizontal="center"/>
    </xf>
    <xf numFmtId="0" fontId="9" fillId="16" borderId="15" xfId="0" applyFont="1" applyFill="1" applyBorder="1" applyAlignment="1">
      <alignment horizontal="left"/>
    </xf>
    <xf numFmtId="0" fontId="9" fillId="16" borderId="15" xfId="0" applyFont="1" applyFill="1" applyBorder="1" applyAlignment="1">
      <alignment horizontal="center"/>
    </xf>
    <xf numFmtId="0" fontId="13" fillId="16" borderId="0" xfId="0" applyFont="1" applyFill="1" applyBorder="1" applyAlignment="1">
      <alignment horizontal="center"/>
    </xf>
    <xf numFmtId="0" fontId="9" fillId="16" borderId="0" xfId="0" applyFont="1" applyFill="1" applyBorder="1" applyAlignment="1">
      <alignment horizontal="left"/>
    </xf>
    <xf numFmtId="0" fontId="9" fillId="16" borderId="0" xfId="0" applyFont="1" applyFill="1" applyBorder="1" applyAlignment="1">
      <alignment horizontal="center"/>
    </xf>
    <xf numFmtId="0" fontId="13" fillId="16" borderId="0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/>
    </xf>
    <xf numFmtId="0" fontId="0" fillId="16" borderId="0" xfId="0" applyFill="1"/>
    <xf numFmtId="165" fontId="8" fillId="0" borderId="0" xfId="0" applyNumberFormat="1" applyFont="1" applyAlignment="1">
      <alignment horizontal="center"/>
    </xf>
    <xf numFmtId="0" fontId="9" fillId="9" borderId="0" xfId="0" applyFont="1" applyFill="1" applyBorder="1" applyAlignment="1">
      <alignment horizontal="center"/>
    </xf>
    <xf numFmtId="0" fontId="8" fillId="25" borderId="0" xfId="0" applyFont="1" applyFill="1" applyAlignment="1">
      <alignment horizontal="center"/>
    </xf>
    <xf numFmtId="0" fontId="13" fillId="9" borderId="12" xfId="0" applyFont="1" applyFill="1" applyBorder="1" applyAlignment="1">
      <alignment horizontal="center"/>
    </xf>
    <xf numFmtId="0" fontId="13" fillId="25" borderId="12" xfId="0" applyFont="1" applyFill="1" applyBorder="1" applyAlignment="1">
      <alignment horizontal="center"/>
    </xf>
    <xf numFmtId="0" fontId="39" fillId="23" borderId="12" xfId="0" applyFont="1" applyFill="1" applyBorder="1" applyAlignment="1">
      <alignment horizontal="center"/>
    </xf>
    <xf numFmtId="0" fontId="1" fillId="0" borderId="9" xfId="0" applyFont="1" applyFill="1" applyBorder="1" applyAlignment="1" applyProtection="1">
      <alignment horizontal="left"/>
      <protection locked="0"/>
    </xf>
    <xf numFmtId="0" fontId="0" fillId="0" borderId="9" xfId="0" applyFont="1" applyFill="1" applyBorder="1" applyAlignment="1" applyProtection="1">
      <alignment horizontal="left"/>
      <protection locked="0"/>
    </xf>
    <xf numFmtId="0" fontId="8" fillId="0" borderId="9" xfId="0" applyFont="1" applyFill="1" applyBorder="1" applyProtection="1">
      <protection locked="0"/>
    </xf>
    <xf numFmtId="0" fontId="40" fillId="16" borderId="9" xfId="0" applyFont="1" applyFill="1" applyBorder="1" applyAlignment="1" applyProtection="1">
      <alignment horizontal="left"/>
      <protection locked="0"/>
    </xf>
    <xf numFmtId="0" fontId="7" fillId="16" borderId="9" xfId="0" applyFont="1" applyFill="1" applyBorder="1" applyProtection="1">
      <protection locked="0"/>
    </xf>
    <xf numFmtId="1" fontId="40" fillId="16" borderId="9" xfId="0" applyNumberFormat="1" applyFont="1" applyFill="1" applyBorder="1" applyProtection="1">
      <protection locked="0"/>
    </xf>
    <xf numFmtId="0" fontId="1" fillId="0" borderId="0" xfId="0" applyFont="1" applyBorder="1"/>
    <xf numFmtId="0" fontId="17" fillId="0" borderId="0" xfId="0" applyFont="1" applyFill="1" applyBorder="1" applyAlignment="1">
      <alignment horizontal="center" wrapText="1"/>
    </xf>
    <xf numFmtId="0" fontId="17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41" fillId="31" borderId="0" xfId="0" applyFont="1" applyFill="1" applyAlignment="1">
      <alignment horizontal="center"/>
    </xf>
    <xf numFmtId="0" fontId="39" fillId="31" borderId="12" xfId="0" applyFont="1" applyFill="1" applyBorder="1" applyAlignment="1">
      <alignment horizontal="center"/>
    </xf>
    <xf numFmtId="0" fontId="8" fillId="16" borderId="0" xfId="0" applyFont="1" applyFill="1"/>
    <xf numFmtId="0" fontId="9" fillId="16" borderId="0" xfId="0" applyFont="1" applyFill="1" applyAlignment="1">
      <alignment horizontal="center"/>
    </xf>
    <xf numFmtId="0" fontId="38" fillId="16" borderId="0" xfId="0" applyFont="1" applyFill="1" applyAlignment="1">
      <alignment horizontal="center"/>
    </xf>
    <xf numFmtId="0" fontId="8" fillId="0" borderId="0" xfId="0" applyNumberFormat="1" applyFont="1" applyAlignment="1">
      <alignment horizontal="center"/>
    </xf>
    <xf numFmtId="0" fontId="8" fillId="0" borderId="0" xfId="0" quotePrefix="1" applyNumberFormat="1" applyFont="1" applyAlignment="1">
      <alignment horizontal="center"/>
    </xf>
    <xf numFmtId="0" fontId="0" fillId="0" borderId="0" xfId="0" applyFill="1" applyAlignment="1">
      <alignment horizontal="center"/>
    </xf>
    <xf numFmtId="0" fontId="17" fillId="16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center" vertical="center"/>
    </xf>
    <xf numFmtId="0" fontId="1" fillId="34" borderId="0" xfId="0" applyFont="1" applyFill="1"/>
    <xf numFmtId="0" fontId="1" fillId="33" borderId="0" xfId="0" applyFont="1" applyFill="1"/>
    <xf numFmtId="0" fontId="1" fillId="33" borderId="0" xfId="0" applyFont="1" applyFill="1" applyBorder="1"/>
    <xf numFmtId="0" fontId="1" fillId="16" borderId="0" xfId="0" applyFont="1" applyFill="1"/>
    <xf numFmtId="0" fontId="0" fillId="16" borderId="0" xfId="0" applyFill="1" applyAlignment="1">
      <alignment horizontal="center"/>
    </xf>
    <xf numFmtId="0" fontId="1" fillId="16" borderId="0" xfId="0" applyFont="1" applyFill="1" applyBorder="1"/>
    <xf numFmtId="0" fontId="8" fillId="16" borderId="20" xfId="0" applyFont="1" applyFill="1" applyBorder="1" applyAlignment="1">
      <alignment horizontal="center" vertical="center"/>
    </xf>
    <xf numFmtId="0" fontId="8" fillId="35" borderId="9" xfId="0" applyFont="1" applyFill="1" applyBorder="1" applyAlignment="1">
      <alignment horizontal="center"/>
    </xf>
    <xf numFmtId="1" fontId="40" fillId="35" borderId="9" xfId="0" applyNumberFormat="1" applyFont="1" applyFill="1" applyBorder="1" applyProtection="1">
      <protection locked="0"/>
    </xf>
    <xf numFmtId="0" fontId="13" fillId="35" borderId="9" xfId="0" applyFont="1" applyFill="1" applyBorder="1" applyAlignment="1">
      <alignment horizontal="center"/>
    </xf>
    <xf numFmtId="0" fontId="9" fillId="35" borderId="9" xfId="0" applyFont="1" applyFill="1" applyBorder="1" applyAlignment="1">
      <alignment horizontal="left"/>
    </xf>
    <xf numFmtId="0" fontId="9" fillId="35" borderId="9" xfId="0" applyFont="1" applyFill="1" applyBorder="1" applyAlignment="1">
      <alignment horizontal="center"/>
    </xf>
    <xf numFmtId="0" fontId="8" fillId="35" borderId="9" xfId="0" applyFont="1" applyFill="1" applyBorder="1" applyAlignment="1">
      <alignment horizontal="center" vertical="center"/>
    </xf>
    <xf numFmtId="0" fontId="40" fillId="35" borderId="9" xfId="0" applyFont="1" applyFill="1" applyBorder="1" applyAlignment="1" applyProtection="1">
      <alignment horizontal="left"/>
      <protection locked="0"/>
    </xf>
    <xf numFmtId="0" fontId="13" fillId="35" borderId="9" xfId="0" applyFont="1" applyFill="1" applyBorder="1" applyAlignment="1">
      <alignment horizontal="center" vertical="center"/>
    </xf>
    <xf numFmtId="49" fontId="8" fillId="35" borderId="9" xfId="0" applyNumberFormat="1" applyFont="1" applyFill="1" applyBorder="1" applyAlignment="1">
      <alignment horizontal="center" vertical="center"/>
    </xf>
    <xf numFmtId="0" fontId="17" fillId="35" borderId="0" xfId="0" applyFont="1" applyFill="1" applyBorder="1" applyAlignment="1">
      <alignment horizontal="center" wrapText="1"/>
    </xf>
    <xf numFmtId="0" fontId="7" fillId="35" borderId="9" xfId="0" applyFont="1" applyFill="1" applyBorder="1" applyProtection="1">
      <protection locked="0"/>
    </xf>
    <xf numFmtId="0" fontId="12" fillId="18" borderId="0" xfId="0" applyFont="1" applyFill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5" fillId="7" borderId="0" xfId="0" applyFont="1" applyFill="1" applyAlignment="1" applyProtection="1">
      <protection locked="0"/>
    </xf>
    <xf numFmtId="0" fontId="5" fillId="4" borderId="0" xfId="0" applyFont="1" applyFill="1" applyAlignment="1" applyProtection="1">
      <protection locked="0"/>
    </xf>
    <xf numFmtId="0" fontId="6" fillId="4" borderId="0" xfId="0" applyFont="1" applyFill="1" applyAlignment="1" applyProtection="1">
      <protection locked="0"/>
    </xf>
    <xf numFmtId="0" fontId="5" fillId="8" borderId="0" xfId="0" applyFont="1" applyFill="1" applyAlignment="1" applyProtection="1">
      <protection locked="0"/>
    </xf>
    <xf numFmtId="0" fontId="0" fillId="8" borderId="0" xfId="0" applyFill="1" applyAlignment="1" applyProtection="1">
      <protection locked="0"/>
    </xf>
    <xf numFmtId="0" fontId="6" fillId="2" borderId="0" xfId="0" applyFont="1" applyFill="1" applyAlignment="1" applyProtection="1">
      <protection locked="0"/>
    </xf>
    <xf numFmtId="0" fontId="4" fillId="10" borderId="7" xfId="0" applyFont="1" applyFill="1" applyBorder="1" applyAlignment="1">
      <alignment horizontal="center"/>
    </xf>
    <xf numFmtId="0" fontId="4" fillId="10" borderId="8" xfId="0" applyFont="1" applyFill="1" applyBorder="1" applyAlignment="1">
      <alignment horizontal="center"/>
    </xf>
    <xf numFmtId="0" fontId="4" fillId="11" borderId="7" xfId="0" applyFont="1" applyFill="1" applyBorder="1" applyAlignment="1">
      <alignment horizontal="center"/>
    </xf>
    <xf numFmtId="0" fontId="4" fillId="11" borderId="8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16" fillId="8" borderId="0" xfId="0" applyFont="1" applyFill="1" applyBorder="1" applyAlignment="1" applyProtection="1">
      <alignment horizontal="center"/>
    </xf>
    <xf numFmtId="0" fontId="16" fillId="27" borderId="11" xfId="0" applyFont="1" applyFill="1" applyBorder="1" applyAlignment="1" applyProtection="1">
      <alignment horizontal="center"/>
    </xf>
    <xf numFmtId="0" fontId="16" fillId="27" borderId="0" xfId="0" applyFont="1" applyFill="1" applyBorder="1" applyAlignment="1" applyProtection="1">
      <alignment horizontal="center"/>
    </xf>
    <xf numFmtId="0" fontId="16" fillId="18" borderId="0" xfId="0" applyFont="1" applyFill="1" applyBorder="1" applyAlignment="1" applyProtection="1">
      <alignment horizontal="center"/>
    </xf>
    <xf numFmtId="0" fontId="16" fillId="29" borderId="11" xfId="0" applyFont="1" applyFill="1" applyBorder="1" applyAlignment="1" applyProtection="1">
      <alignment horizontal="center"/>
    </xf>
    <xf numFmtId="0" fontId="16" fillId="30" borderId="0" xfId="0" applyFont="1" applyFill="1" applyBorder="1" applyAlignment="1" applyProtection="1">
      <alignment horizontal="center"/>
    </xf>
    <xf numFmtId="0" fontId="16" fillId="19" borderId="11" xfId="0" applyFont="1" applyFill="1" applyBorder="1" applyAlignment="1" applyProtection="1">
      <alignment horizontal="center"/>
    </xf>
    <xf numFmtId="0" fontId="16" fillId="19" borderId="0" xfId="0" applyFont="1" applyFill="1" applyBorder="1" applyAlignment="1" applyProtection="1">
      <alignment horizontal="center"/>
    </xf>
    <xf numFmtId="0" fontId="27" fillId="0" borderId="0" xfId="0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0" fontId="8" fillId="0" borderId="0" xfId="0" applyFont="1" applyFill="1" applyAlignment="1" applyProtection="1">
      <alignment horizontal="left"/>
    </xf>
    <xf numFmtId="14" fontId="42" fillId="0" borderId="0" xfId="0" applyNumberFormat="1" applyFont="1" applyProtection="1"/>
    <xf numFmtId="0" fontId="45" fillId="0" borderId="21" xfId="0" applyFont="1" applyFill="1" applyBorder="1" applyAlignment="1" applyProtection="1">
      <alignment horizontal="center"/>
    </xf>
    <xf numFmtId="0" fontId="45" fillId="0" borderId="22" xfId="0" applyFont="1" applyFill="1" applyBorder="1" applyAlignment="1" applyProtection="1">
      <alignment horizontal="center"/>
    </xf>
    <xf numFmtId="0" fontId="46" fillId="0" borderId="23" xfId="0" applyFont="1" applyFill="1" applyBorder="1" applyAlignment="1" applyProtection="1">
      <alignment horizontal="center"/>
    </xf>
    <xf numFmtId="0" fontId="46" fillId="0" borderId="24" xfId="0" applyFont="1" applyFill="1" applyBorder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8" fillId="0" borderId="5" xfId="0" applyFont="1" applyBorder="1" applyAlignment="1" applyProtection="1">
      <alignment horizontal="center"/>
    </xf>
    <xf numFmtId="0" fontId="8" fillId="0" borderId="5" xfId="0" applyFont="1" applyBorder="1" applyAlignment="1" applyProtection="1">
      <alignment horizontal="left"/>
    </xf>
    <xf numFmtId="0" fontId="8" fillId="0" borderId="25" xfId="0" applyFont="1" applyBorder="1" applyAlignment="1" applyProtection="1">
      <alignment horizontal="center"/>
    </xf>
    <xf numFmtId="0" fontId="8" fillId="0" borderId="9" xfId="0" applyFont="1" applyBorder="1" applyAlignment="1" applyProtection="1">
      <alignment horizontal="left"/>
    </xf>
    <xf numFmtId="0" fontId="46" fillId="0" borderId="9" xfId="0" applyFont="1" applyBorder="1" applyAlignment="1" applyProtection="1">
      <alignment horizontal="right"/>
    </xf>
    <xf numFmtId="0" fontId="46" fillId="0" borderId="0" xfId="0" applyFont="1" applyBorder="1" applyAlignment="1" applyProtection="1">
      <alignment horizontal="right"/>
    </xf>
    <xf numFmtId="0" fontId="8" fillId="0" borderId="0" xfId="0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left"/>
    </xf>
    <xf numFmtId="0" fontId="8" fillId="0" borderId="9" xfId="0" applyFont="1" applyFill="1" applyBorder="1" applyAlignment="1" applyProtection="1">
      <alignment horizontal="left"/>
    </xf>
    <xf numFmtId="0" fontId="8" fillId="0" borderId="9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DFA76"/>
      <color rgb="FFED8411"/>
      <color rgb="FF993366"/>
      <color rgb="FF33CC33"/>
      <color rgb="FFFF9900"/>
      <color rgb="FF336600"/>
      <color rgb="FFC86400"/>
      <color rgb="FFBFA63B"/>
      <color rgb="FF800000"/>
      <color rgb="FF66592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199159</xdr:colOff>
      <xdr:row>18</xdr:row>
      <xdr:rowOff>155863</xdr:rowOff>
    </xdr:from>
    <xdr:to>
      <xdr:col>18</xdr:col>
      <xdr:colOff>623454</xdr:colOff>
      <xdr:row>20</xdr:row>
      <xdr:rowOff>77932</xdr:rowOff>
    </xdr:to>
    <xdr:sp macro="[0]!Feuil6.ecr_tabequipe" textlink="">
      <xdr:nvSpPr>
        <xdr:cNvPr id="2" name="Flèche droite 1"/>
        <xdr:cNvSpPr/>
      </xdr:nvSpPr>
      <xdr:spPr>
        <a:xfrm>
          <a:off x="9767454" y="4398818"/>
          <a:ext cx="1376795" cy="372341"/>
        </a:xfrm>
        <a:prstGeom prst="righ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900"/>
            <a:t>Retour</a:t>
          </a:r>
          <a:r>
            <a:rPr lang="fr-FR" sz="900" baseline="0"/>
            <a:t>   écran   tableau</a:t>
          </a:r>
          <a:endParaRPr lang="fr-FR" sz="900"/>
        </a:p>
      </xdr:txBody>
    </xdr:sp>
    <xdr:clientData/>
  </xdr:twoCellAnchor>
  <xdr:twoCellAnchor>
    <xdr:from>
      <xdr:col>17</xdr:col>
      <xdr:colOff>0</xdr:colOff>
      <xdr:row>131</xdr:row>
      <xdr:rowOff>0</xdr:rowOff>
    </xdr:from>
    <xdr:to>
      <xdr:col>18</xdr:col>
      <xdr:colOff>424295</xdr:colOff>
      <xdr:row>132</xdr:row>
      <xdr:rowOff>147205</xdr:rowOff>
    </xdr:to>
    <xdr:sp macro="[0]!Feuil6.ecr_tabequipe" textlink="">
      <xdr:nvSpPr>
        <xdr:cNvPr id="3" name="Flèche droite 2"/>
        <xdr:cNvSpPr/>
      </xdr:nvSpPr>
      <xdr:spPr>
        <a:xfrm>
          <a:off x="9568295" y="29683364"/>
          <a:ext cx="1376795" cy="372341"/>
        </a:xfrm>
        <a:prstGeom prst="righ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900"/>
            <a:t>Retour</a:t>
          </a:r>
          <a:r>
            <a:rPr lang="fr-FR" sz="900" baseline="0"/>
            <a:t>   écran   tirage</a:t>
          </a:r>
          <a:endParaRPr lang="fr-FR" sz="900"/>
        </a:p>
      </xdr:txBody>
    </xdr:sp>
    <xdr:clientData/>
  </xdr:twoCellAnchor>
  <xdr:twoCellAnchor>
    <xdr:from>
      <xdr:col>32</xdr:col>
      <xdr:colOff>180976</xdr:colOff>
      <xdr:row>6</xdr:row>
      <xdr:rowOff>7792</xdr:rowOff>
    </xdr:from>
    <xdr:to>
      <xdr:col>34</xdr:col>
      <xdr:colOff>1281547</xdr:colOff>
      <xdr:row>7</xdr:row>
      <xdr:rowOff>158460</xdr:rowOff>
    </xdr:to>
    <xdr:sp macro="[0]!Feuil6.tabl_1" textlink="">
      <xdr:nvSpPr>
        <xdr:cNvPr id="4" name="Rogner un rectangle à un seul coin 3"/>
        <xdr:cNvSpPr/>
      </xdr:nvSpPr>
      <xdr:spPr>
        <a:xfrm>
          <a:off x="20583526" y="1541317"/>
          <a:ext cx="1624446" cy="379268"/>
        </a:xfrm>
        <a:prstGeom prst="snip1Rect">
          <a:avLst/>
        </a:prstGeom>
        <a:solidFill>
          <a:schemeClr val="accent2">
            <a:lumMod val="75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Tableau  tour</a:t>
          </a:r>
          <a:r>
            <a:rPr lang="fr-FR" sz="1200" b="1" baseline="0"/>
            <a:t> 1 et  2</a:t>
          </a:r>
        </a:p>
        <a:p>
          <a:pPr algn="ctr"/>
          <a:endParaRPr lang="fr-FR" sz="1100"/>
        </a:p>
      </xdr:txBody>
    </xdr:sp>
    <xdr:clientData/>
  </xdr:twoCellAnchor>
  <xdr:twoCellAnchor>
    <xdr:from>
      <xdr:col>32</xdr:col>
      <xdr:colOff>169719</xdr:colOff>
      <xdr:row>10</xdr:row>
      <xdr:rowOff>45893</xdr:rowOff>
    </xdr:from>
    <xdr:to>
      <xdr:col>35</xdr:col>
      <xdr:colOff>1732</xdr:colOff>
      <xdr:row>11</xdr:row>
      <xdr:rowOff>149803</xdr:rowOff>
    </xdr:to>
    <xdr:sp macro="[0]!Feuil6.tabl_pa" textlink="">
      <xdr:nvSpPr>
        <xdr:cNvPr id="5" name="Rogner un rectangle à un seul coin 4"/>
        <xdr:cNvSpPr/>
      </xdr:nvSpPr>
      <xdr:spPr>
        <a:xfrm>
          <a:off x="20572269" y="2493818"/>
          <a:ext cx="1660813" cy="33251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Poule </a:t>
          </a:r>
          <a:r>
            <a:rPr lang="fr-FR" sz="1400" b="1" baseline="0"/>
            <a:t> A</a:t>
          </a:r>
          <a:endParaRPr lang="fr-FR" sz="1200" b="1"/>
        </a:p>
      </xdr:txBody>
    </xdr:sp>
    <xdr:clientData/>
  </xdr:twoCellAnchor>
  <xdr:twoCellAnchor>
    <xdr:from>
      <xdr:col>32</xdr:col>
      <xdr:colOff>187903</xdr:colOff>
      <xdr:row>13</xdr:row>
      <xdr:rowOff>38100</xdr:rowOff>
    </xdr:from>
    <xdr:to>
      <xdr:col>35</xdr:col>
      <xdr:colOff>19916</xdr:colOff>
      <xdr:row>14</xdr:row>
      <xdr:rowOff>142010</xdr:rowOff>
    </xdr:to>
    <xdr:sp macro="[0]!Feuil6.tabl_pb" textlink="">
      <xdr:nvSpPr>
        <xdr:cNvPr id="7" name="Rogner un rectangle à un seul coin 6"/>
        <xdr:cNvSpPr/>
      </xdr:nvSpPr>
      <xdr:spPr>
        <a:xfrm>
          <a:off x="20590453" y="3171825"/>
          <a:ext cx="1660813" cy="33251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Poule </a:t>
          </a:r>
          <a:r>
            <a:rPr lang="fr-FR" sz="1400" b="1" baseline="0">
              <a:solidFill>
                <a:schemeClr val="lt1"/>
              </a:solidFill>
              <a:latin typeface="+mn-lt"/>
              <a:ea typeface="+mn-ea"/>
              <a:cs typeface="+mn-cs"/>
            </a:rPr>
            <a:t> B</a:t>
          </a:r>
          <a:endParaRPr lang="fr-FR" sz="1400" b="1">
            <a:solidFill>
              <a:schemeClr val="lt1"/>
            </a:solidFill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oneCellAnchor>
    <xdr:from>
      <xdr:col>18</xdr:col>
      <xdr:colOff>308796</xdr:colOff>
      <xdr:row>0</xdr:row>
      <xdr:rowOff>62762</xdr:rowOff>
    </xdr:from>
    <xdr:ext cx="615130" cy="455501"/>
    <xdr:sp macro="[0]!Feuil6.plein_ecran" textlink="">
      <xdr:nvSpPr>
        <xdr:cNvPr id="8" name="Flèche vers le haut 7"/>
        <xdr:cNvSpPr/>
      </xdr:nvSpPr>
      <xdr:spPr>
        <a:xfrm>
          <a:off x="10862496" y="62762"/>
          <a:ext cx="615130" cy="455501"/>
        </a:xfrm>
        <a:prstGeom prst="upArrow">
          <a:avLst>
            <a:gd name="adj1" fmla="val 50000"/>
            <a:gd name="adj2" fmla="val 50000"/>
          </a:avLst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36000" bIns="0" rtlCol="0" anchor="ctr">
          <a:noAutofit/>
        </a:bodyPr>
        <a:lstStyle/>
        <a:p>
          <a:pPr algn="ctr"/>
          <a:r>
            <a:rPr lang="fr-FR" sz="800"/>
            <a:t>plein</a:t>
          </a:r>
        </a:p>
        <a:p>
          <a:pPr algn="ctr"/>
          <a:r>
            <a:rPr lang="fr-FR" sz="800"/>
            <a:t>ecran</a:t>
          </a:r>
        </a:p>
      </xdr:txBody>
    </xdr:sp>
    <xdr:clientData/>
  </xdr:oneCellAnchor>
  <xdr:twoCellAnchor>
    <xdr:from>
      <xdr:col>18</xdr:col>
      <xdr:colOff>314324</xdr:colOff>
      <xdr:row>2</xdr:row>
      <xdr:rowOff>123825</xdr:rowOff>
    </xdr:from>
    <xdr:to>
      <xdr:col>19</xdr:col>
      <xdr:colOff>114299</xdr:colOff>
      <xdr:row>4</xdr:row>
      <xdr:rowOff>161925</xdr:rowOff>
    </xdr:to>
    <xdr:sp macro="[0]!Feuil6.ecran_normal" textlink="">
      <xdr:nvSpPr>
        <xdr:cNvPr id="9" name="Flèche vers le bas 8"/>
        <xdr:cNvSpPr/>
      </xdr:nvSpPr>
      <xdr:spPr>
        <a:xfrm>
          <a:off x="10868024" y="723900"/>
          <a:ext cx="561975" cy="514350"/>
        </a:xfrm>
        <a:prstGeom prst="downArrow">
          <a:avLst>
            <a:gd name="adj1" fmla="val 50000"/>
            <a:gd name="adj2" fmla="val 50000"/>
          </a:avLst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fer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pl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ecr</a:t>
          </a:r>
        </a:p>
      </xdr:txBody>
    </xdr:sp>
    <xdr:clientData/>
  </xdr:twoCellAnchor>
  <xdr:oneCellAnchor>
    <xdr:from>
      <xdr:col>58</xdr:col>
      <xdr:colOff>80196</xdr:colOff>
      <xdr:row>0</xdr:row>
      <xdr:rowOff>158012</xdr:rowOff>
    </xdr:from>
    <xdr:ext cx="615130" cy="455501"/>
    <xdr:sp macro="[0]!Feuil6.plein_ecran" textlink="">
      <xdr:nvSpPr>
        <xdr:cNvPr id="10" name="Flèche vers le haut 9"/>
        <xdr:cNvSpPr/>
      </xdr:nvSpPr>
      <xdr:spPr>
        <a:xfrm>
          <a:off x="38799321" y="158012"/>
          <a:ext cx="615130" cy="455501"/>
        </a:xfrm>
        <a:prstGeom prst="upArrow">
          <a:avLst>
            <a:gd name="adj1" fmla="val 50000"/>
            <a:gd name="adj2" fmla="val 50000"/>
          </a:avLst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36000" bIns="0" rtlCol="0" anchor="ctr">
          <a:noAutofit/>
        </a:bodyPr>
        <a:lstStyle/>
        <a:p>
          <a:pPr algn="ctr"/>
          <a:r>
            <a:rPr lang="fr-FR" sz="800"/>
            <a:t>plein</a:t>
          </a:r>
        </a:p>
        <a:p>
          <a:pPr algn="ctr"/>
          <a:r>
            <a:rPr lang="fr-FR" sz="800"/>
            <a:t>ecran</a:t>
          </a:r>
        </a:p>
      </xdr:txBody>
    </xdr:sp>
    <xdr:clientData/>
  </xdr:oneCellAnchor>
  <xdr:twoCellAnchor>
    <xdr:from>
      <xdr:col>58</xdr:col>
      <xdr:colOff>95249</xdr:colOff>
      <xdr:row>2</xdr:row>
      <xdr:rowOff>133350</xdr:rowOff>
    </xdr:from>
    <xdr:to>
      <xdr:col>58</xdr:col>
      <xdr:colOff>657224</xdr:colOff>
      <xdr:row>4</xdr:row>
      <xdr:rowOff>171450</xdr:rowOff>
    </xdr:to>
    <xdr:sp macro="[0]!Feuil6.ecran_normal" textlink="">
      <xdr:nvSpPr>
        <xdr:cNvPr id="11" name="Flèche vers le bas 10"/>
        <xdr:cNvSpPr/>
      </xdr:nvSpPr>
      <xdr:spPr>
        <a:xfrm>
          <a:off x="38814374" y="733425"/>
          <a:ext cx="561975" cy="514350"/>
        </a:xfrm>
        <a:prstGeom prst="downArrow">
          <a:avLst>
            <a:gd name="adj1" fmla="val 50000"/>
            <a:gd name="adj2" fmla="val 50000"/>
          </a:avLst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fer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pl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ecr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215900</xdr:colOff>
      <xdr:row>16</xdr:row>
      <xdr:rowOff>254000</xdr:rowOff>
    </xdr:from>
    <xdr:to>
      <xdr:col>1</xdr:col>
      <xdr:colOff>614042</xdr:colOff>
      <xdr:row>21</xdr:row>
      <xdr:rowOff>196850</xdr:rowOff>
    </xdr:to>
    <xdr:pic>
      <xdr:nvPicPr>
        <xdr:cNvPr id="2" name="Image 1" descr="boules pé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5900" y="4425950"/>
          <a:ext cx="1503042" cy="12446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68</xdr:row>
      <xdr:rowOff>247650</xdr:rowOff>
    </xdr:from>
    <xdr:to>
      <xdr:col>12</xdr:col>
      <xdr:colOff>9525</xdr:colOff>
      <xdr:row>70</xdr:row>
      <xdr:rowOff>28575</xdr:rowOff>
    </xdr:to>
    <xdr:sp macro="[0]!Feuil8.copy_1p" textlink="">
      <xdr:nvSpPr>
        <xdr:cNvPr id="10" name="Arrondir un rectangle avec un coin diagonal 9"/>
        <xdr:cNvSpPr/>
      </xdr:nvSpPr>
      <xdr:spPr>
        <a:xfrm>
          <a:off x="8896350" y="17811750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1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60</xdr:col>
      <xdr:colOff>28575</xdr:colOff>
      <xdr:row>69</xdr:row>
      <xdr:rowOff>9525</xdr:rowOff>
    </xdr:from>
    <xdr:to>
      <xdr:col>61</xdr:col>
      <xdr:colOff>647700</xdr:colOff>
      <xdr:row>70</xdr:row>
      <xdr:rowOff>47625</xdr:rowOff>
    </xdr:to>
    <xdr:sp macro="[0]!Feuil8.copy_6p" textlink="">
      <xdr:nvSpPr>
        <xdr:cNvPr id="9" name="Arrondir un rectangle avec un coin diagonal 8"/>
        <xdr:cNvSpPr/>
      </xdr:nvSpPr>
      <xdr:spPr>
        <a:xfrm>
          <a:off x="58464450" y="17887950"/>
          <a:ext cx="12763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6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50</xdr:col>
      <xdr:colOff>47625</xdr:colOff>
      <xdr:row>69</xdr:row>
      <xdr:rowOff>9525</xdr:rowOff>
    </xdr:from>
    <xdr:to>
      <xdr:col>51</xdr:col>
      <xdr:colOff>647700</xdr:colOff>
      <xdr:row>70</xdr:row>
      <xdr:rowOff>47625</xdr:rowOff>
    </xdr:to>
    <xdr:sp macro="[0]!Feuil8.copy_5p" textlink="">
      <xdr:nvSpPr>
        <xdr:cNvPr id="12" name="Arrondir un rectangle avec un coin diagonal 11"/>
        <xdr:cNvSpPr/>
      </xdr:nvSpPr>
      <xdr:spPr>
        <a:xfrm>
          <a:off x="47167800" y="17887950"/>
          <a:ext cx="125730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5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9525</xdr:colOff>
      <xdr:row>69</xdr:row>
      <xdr:rowOff>0</xdr:rowOff>
    </xdr:from>
    <xdr:to>
      <xdr:col>22</xdr:col>
      <xdr:colOff>9525</xdr:colOff>
      <xdr:row>70</xdr:row>
      <xdr:rowOff>38100</xdr:rowOff>
    </xdr:to>
    <xdr:sp macro="[0]!Feuil8.copy_2p" textlink="">
      <xdr:nvSpPr>
        <xdr:cNvPr id="13" name="Arrondir un rectangle avec un coin diagonal 12"/>
        <xdr:cNvSpPr/>
      </xdr:nvSpPr>
      <xdr:spPr>
        <a:xfrm>
          <a:off x="17449800" y="17821275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2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40</xdr:col>
      <xdr:colOff>66675</xdr:colOff>
      <xdr:row>69</xdr:row>
      <xdr:rowOff>0</xdr:rowOff>
    </xdr:from>
    <xdr:to>
      <xdr:col>41</xdr:col>
      <xdr:colOff>638175</xdr:colOff>
      <xdr:row>70</xdr:row>
      <xdr:rowOff>38100</xdr:rowOff>
    </xdr:to>
    <xdr:sp macro="[0]!Feuil8.copy_4p" textlink="">
      <xdr:nvSpPr>
        <xdr:cNvPr id="14" name="Arrondir un rectangle avec un coin diagonal 13"/>
        <xdr:cNvSpPr/>
      </xdr:nvSpPr>
      <xdr:spPr>
        <a:xfrm>
          <a:off x="35871150" y="17878425"/>
          <a:ext cx="1228725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4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30</xdr:col>
      <xdr:colOff>0</xdr:colOff>
      <xdr:row>69</xdr:row>
      <xdr:rowOff>9525</xdr:rowOff>
    </xdr:from>
    <xdr:to>
      <xdr:col>32</xdr:col>
      <xdr:colOff>0</xdr:colOff>
      <xdr:row>70</xdr:row>
      <xdr:rowOff>47625</xdr:rowOff>
    </xdr:to>
    <xdr:sp macro="[0]!Feuil8.copy_3p" textlink="">
      <xdr:nvSpPr>
        <xdr:cNvPr id="15" name="Arrondir un rectangle avec un coin diagonal 14"/>
        <xdr:cNvSpPr/>
      </xdr:nvSpPr>
      <xdr:spPr>
        <a:xfrm>
          <a:off x="25993725" y="17830800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3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333376</xdr:colOff>
      <xdr:row>4</xdr:row>
      <xdr:rowOff>314323</xdr:rowOff>
    </xdr:from>
    <xdr:to>
      <xdr:col>0</xdr:col>
      <xdr:colOff>1362076</xdr:colOff>
      <xdr:row>6</xdr:row>
      <xdr:rowOff>130341</xdr:rowOff>
    </xdr:to>
    <xdr:sp macro="[0]!Module66.plein_ecran" textlink="">
      <xdr:nvSpPr>
        <xdr:cNvPr id="17" name="Flèche vers le haut 16"/>
        <xdr:cNvSpPr/>
      </xdr:nvSpPr>
      <xdr:spPr>
        <a:xfrm>
          <a:off x="333376" y="314323"/>
          <a:ext cx="1028700" cy="487781"/>
        </a:xfrm>
        <a:prstGeom prst="upArrow">
          <a:avLst/>
        </a:prstGeom>
        <a:solidFill>
          <a:srgbClr val="7030A0"/>
        </a:solidFill>
        <a:ln>
          <a:solidFill>
            <a:srgbClr val="5E283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t" anchorCtr="0"/>
        <a:lstStyle/>
        <a:p>
          <a:pPr algn="ctr"/>
          <a:r>
            <a:rPr lang="fr-FR" sz="1100"/>
            <a:t>Plein ecran</a:t>
          </a:r>
        </a:p>
      </xdr:txBody>
    </xdr:sp>
    <xdr:clientData/>
  </xdr:twoCellAnchor>
  <xdr:twoCellAnchor>
    <xdr:from>
      <xdr:col>0</xdr:col>
      <xdr:colOff>19050</xdr:colOff>
      <xdr:row>7</xdr:row>
      <xdr:rowOff>247650</xdr:rowOff>
    </xdr:from>
    <xdr:to>
      <xdr:col>0</xdr:col>
      <xdr:colOff>1590676</xdr:colOff>
      <xdr:row>11</xdr:row>
      <xdr:rowOff>66675</xdr:rowOff>
    </xdr:to>
    <xdr:sp macro="[0]!tabl_128" textlink="">
      <xdr:nvSpPr>
        <xdr:cNvPr id="19" name="Rogner et arrondir un rectangle à un seul coin 18"/>
        <xdr:cNvSpPr/>
      </xdr:nvSpPr>
      <xdr:spPr>
        <a:xfrm>
          <a:off x="19050" y="2295525"/>
          <a:ext cx="1571626" cy="847725"/>
        </a:xfrm>
        <a:prstGeom prst="snipRoundRect">
          <a:avLst/>
        </a:prstGeom>
        <a:solidFill>
          <a:schemeClr val="accent6">
            <a:lumMod val="75000"/>
          </a:schemeClr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</a:rPr>
            <a:t>Lancer   les   tableaux</a:t>
          </a:r>
        </a:p>
      </xdr:txBody>
    </xdr:sp>
    <xdr:clientData/>
  </xdr:twoCellAnchor>
  <xdr:twoCellAnchor>
    <xdr:from>
      <xdr:col>0</xdr:col>
      <xdr:colOff>95250</xdr:colOff>
      <xdr:row>11</xdr:row>
      <xdr:rowOff>190500</xdr:rowOff>
    </xdr:from>
    <xdr:to>
      <xdr:col>0</xdr:col>
      <xdr:colOff>1476375</xdr:colOff>
      <xdr:row>12</xdr:row>
      <xdr:rowOff>123824</xdr:rowOff>
    </xdr:to>
    <xdr:sp macro="[0]!Module66.ecran_normal" textlink="">
      <xdr:nvSpPr>
        <xdr:cNvPr id="20" name="Rectangle 19"/>
        <xdr:cNvSpPr/>
      </xdr:nvSpPr>
      <xdr:spPr>
        <a:xfrm>
          <a:off x="95250" y="3267075"/>
          <a:ext cx="1381125" cy="190499"/>
        </a:xfrm>
        <a:prstGeom prst="rect">
          <a:avLst/>
        </a:prstGeom>
        <a:solidFill>
          <a:srgbClr val="665920"/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Fermer plein ecran</a:t>
          </a:r>
        </a:p>
      </xdr:txBody>
    </xdr:sp>
    <xdr:clientData/>
  </xdr:twoCellAnchor>
  <xdr:twoCellAnchor>
    <xdr:from>
      <xdr:col>0</xdr:col>
      <xdr:colOff>228600</xdr:colOff>
      <xdr:row>71</xdr:row>
      <xdr:rowOff>28575</xdr:rowOff>
    </xdr:from>
    <xdr:to>
      <xdr:col>1</xdr:col>
      <xdr:colOff>495300</xdr:colOff>
      <xdr:row>71</xdr:row>
      <xdr:rowOff>219074</xdr:rowOff>
    </xdr:to>
    <xdr:sp macro="[0]!Module66.ecran_normal" textlink="">
      <xdr:nvSpPr>
        <xdr:cNvPr id="21" name="Rectangle 20"/>
        <xdr:cNvSpPr/>
      </xdr:nvSpPr>
      <xdr:spPr>
        <a:xfrm>
          <a:off x="228600" y="18364200"/>
          <a:ext cx="1295400" cy="190499"/>
        </a:xfrm>
        <a:prstGeom prst="rect">
          <a:avLst/>
        </a:prstGeom>
        <a:solidFill>
          <a:srgbClr val="665920"/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Fermer plein ecran</a:t>
          </a:r>
        </a:p>
      </xdr:txBody>
    </xdr:sp>
    <xdr:clientData/>
  </xdr:twoCellAnchor>
  <xdr:twoCellAnchor>
    <xdr:from>
      <xdr:col>0</xdr:col>
      <xdr:colOff>200024</xdr:colOff>
      <xdr:row>76</xdr:row>
      <xdr:rowOff>247650</xdr:rowOff>
    </xdr:from>
    <xdr:to>
      <xdr:col>1</xdr:col>
      <xdr:colOff>523875</xdr:colOff>
      <xdr:row>78</xdr:row>
      <xdr:rowOff>57150</xdr:rowOff>
    </xdr:to>
    <xdr:sp macro="[0]!Module66.Imprimer_tab_1et2" textlink="">
      <xdr:nvSpPr>
        <xdr:cNvPr id="22" name="Parchemin horizontal 21"/>
        <xdr:cNvSpPr/>
      </xdr:nvSpPr>
      <xdr:spPr>
        <a:xfrm>
          <a:off x="200024" y="19173825"/>
          <a:ext cx="2876551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1 et  2</a:t>
          </a:r>
        </a:p>
      </xdr:txBody>
    </xdr:sp>
    <xdr:clientData/>
  </xdr:twoCellAnchor>
  <xdr:twoCellAnchor>
    <xdr:from>
      <xdr:col>0</xdr:col>
      <xdr:colOff>200026</xdr:colOff>
      <xdr:row>78</xdr:row>
      <xdr:rowOff>161925</xdr:rowOff>
    </xdr:from>
    <xdr:to>
      <xdr:col>1</xdr:col>
      <xdr:colOff>523876</xdr:colOff>
      <xdr:row>79</xdr:row>
      <xdr:rowOff>228600</xdr:rowOff>
    </xdr:to>
    <xdr:sp macro="[0]!Module66.Imprimer_tab_3et4" textlink="">
      <xdr:nvSpPr>
        <xdr:cNvPr id="23" name="Parchemin horizontal 22"/>
        <xdr:cNvSpPr/>
      </xdr:nvSpPr>
      <xdr:spPr>
        <a:xfrm>
          <a:off x="200026" y="19602450"/>
          <a:ext cx="2876550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3 et  4</a:t>
          </a:r>
        </a:p>
      </xdr:txBody>
    </xdr:sp>
    <xdr:clientData/>
  </xdr:twoCellAnchor>
  <xdr:twoCellAnchor>
    <xdr:from>
      <xdr:col>0</xdr:col>
      <xdr:colOff>209549</xdr:colOff>
      <xdr:row>80</xdr:row>
      <xdr:rowOff>95250</xdr:rowOff>
    </xdr:from>
    <xdr:to>
      <xdr:col>1</xdr:col>
      <xdr:colOff>533400</xdr:colOff>
      <xdr:row>81</xdr:row>
      <xdr:rowOff>161925</xdr:rowOff>
    </xdr:to>
    <xdr:sp macro="[0]!Module66.Imprimer_tab_5et6" textlink="">
      <xdr:nvSpPr>
        <xdr:cNvPr id="24" name="Parchemin horizontal 23"/>
        <xdr:cNvSpPr/>
      </xdr:nvSpPr>
      <xdr:spPr>
        <a:xfrm>
          <a:off x="209549" y="20050125"/>
          <a:ext cx="2876551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5 et  6</a:t>
          </a:r>
        </a:p>
      </xdr:txBody>
    </xdr:sp>
    <xdr:clientData/>
  </xdr:twoCellAnchor>
  <xdr:twoCellAnchor>
    <xdr:from>
      <xdr:col>0</xdr:col>
      <xdr:colOff>485775</xdr:colOff>
      <xdr:row>72</xdr:row>
      <xdr:rowOff>257175</xdr:rowOff>
    </xdr:from>
    <xdr:to>
      <xdr:col>0</xdr:col>
      <xdr:colOff>2238375</xdr:colOff>
      <xdr:row>74</xdr:row>
      <xdr:rowOff>152400</xdr:rowOff>
    </xdr:to>
    <xdr:sp macro="[0]!Module66.ecr_resu" textlink="">
      <xdr:nvSpPr>
        <xdr:cNvPr id="32" name="Flèche gauche 31"/>
        <xdr:cNvSpPr/>
      </xdr:nvSpPr>
      <xdr:spPr>
        <a:xfrm>
          <a:off x="485775" y="18916650"/>
          <a:ext cx="1752600" cy="419100"/>
        </a:xfrm>
        <a:prstGeom prst="leftArrow">
          <a:avLst/>
        </a:prstGeom>
        <a:solidFill>
          <a:schemeClr val="accent3">
            <a:lumMod val="50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Accès</a:t>
          </a:r>
          <a:r>
            <a:rPr lang="fr-FR" sz="1100" baseline="0"/>
            <a:t> onglet Resultat</a:t>
          </a:r>
          <a:endParaRPr lang="fr-FR" sz="1100"/>
        </a:p>
      </xdr:txBody>
    </xdr:sp>
    <xdr:clientData/>
  </xdr:twoCellAnchor>
  <xdr:twoCellAnchor>
    <xdr:from>
      <xdr:col>10</xdr:col>
      <xdr:colOff>0</xdr:colOff>
      <xdr:row>100</xdr:row>
      <xdr:rowOff>0</xdr:rowOff>
    </xdr:from>
    <xdr:to>
      <xdr:col>12</xdr:col>
      <xdr:colOff>38100</xdr:colOff>
      <xdr:row>102</xdr:row>
      <xdr:rowOff>219075</xdr:rowOff>
    </xdr:to>
    <xdr:sp macro="" textlink="">
      <xdr:nvSpPr>
        <xdr:cNvPr id="51" name="Rectangle 50"/>
        <xdr:cNvSpPr/>
      </xdr:nvSpPr>
      <xdr:spPr>
        <a:xfrm>
          <a:off x="13173075" y="24745950"/>
          <a:ext cx="1352550" cy="7334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20</xdr:col>
      <xdr:colOff>0</xdr:colOff>
      <xdr:row>100</xdr:row>
      <xdr:rowOff>0</xdr:rowOff>
    </xdr:from>
    <xdr:to>
      <xdr:col>22</xdr:col>
      <xdr:colOff>38100</xdr:colOff>
      <xdr:row>102</xdr:row>
      <xdr:rowOff>219075</xdr:rowOff>
    </xdr:to>
    <xdr:sp macro="" textlink="">
      <xdr:nvSpPr>
        <xdr:cNvPr id="52" name="Rectangle 51"/>
        <xdr:cNvSpPr/>
      </xdr:nvSpPr>
      <xdr:spPr>
        <a:xfrm>
          <a:off x="24488775" y="24745950"/>
          <a:ext cx="1352550" cy="7334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30</xdr:col>
      <xdr:colOff>0</xdr:colOff>
      <xdr:row>100</xdr:row>
      <xdr:rowOff>0</xdr:rowOff>
    </xdr:from>
    <xdr:to>
      <xdr:col>32</xdr:col>
      <xdr:colOff>38100</xdr:colOff>
      <xdr:row>102</xdr:row>
      <xdr:rowOff>219075</xdr:rowOff>
    </xdr:to>
    <xdr:sp macro="" textlink="">
      <xdr:nvSpPr>
        <xdr:cNvPr id="53" name="Rectangle 52"/>
        <xdr:cNvSpPr/>
      </xdr:nvSpPr>
      <xdr:spPr>
        <a:xfrm>
          <a:off x="35804475" y="24745950"/>
          <a:ext cx="1352550" cy="7334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40</xdr:col>
      <xdr:colOff>0</xdr:colOff>
      <xdr:row>100</xdr:row>
      <xdr:rowOff>0</xdr:rowOff>
    </xdr:from>
    <xdr:to>
      <xdr:col>42</xdr:col>
      <xdr:colOff>38100</xdr:colOff>
      <xdr:row>102</xdr:row>
      <xdr:rowOff>219075</xdr:rowOff>
    </xdr:to>
    <xdr:sp macro="" textlink="">
      <xdr:nvSpPr>
        <xdr:cNvPr id="55" name="Rectangle 54"/>
        <xdr:cNvSpPr/>
      </xdr:nvSpPr>
      <xdr:spPr>
        <a:xfrm>
          <a:off x="47120175" y="24745950"/>
          <a:ext cx="1352550" cy="7334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50</xdr:col>
      <xdr:colOff>0</xdr:colOff>
      <xdr:row>100</xdr:row>
      <xdr:rowOff>0</xdr:rowOff>
    </xdr:from>
    <xdr:to>
      <xdr:col>52</xdr:col>
      <xdr:colOff>38100</xdr:colOff>
      <xdr:row>103</xdr:row>
      <xdr:rowOff>0</xdr:rowOff>
    </xdr:to>
    <xdr:sp macro="" textlink="">
      <xdr:nvSpPr>
        <xdr:cNvPr id="50" name="Rectangle 49"/>
        <xdr:cNvSpPr/>
      </xdr:nvSpPr>
      <xdr:spPr>
        <a:xfrm>
          <a:off x="58435875" y="24555450"/>
          <a:ext cx="1352550" cy="2000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60</xdr:col>
      <xdr:colOff>0</xdr:colOff>
      <xdr:row>100</xdr:row>
      <xdr:rowOff>0</xdr:rowOff>
    </xdr:from>
    <xdr:to>
      <xdr:col>62</xdr:col>
      <xdr:colOff>38100</xdr:colOff>
      <xdr:row>103</xdr:row>
      <xdr:rowOff>0</xdr:rowOff>
    </xdr:to>
    <xdr:sp macro="" textlink="">
      <xdr:nvSpPr>
        <xdr:cNvPr id="54" name="Rectangle 53"/>
        <xdr:cNvSpPr/>
      </xdr:nvSpPr>
      <xdr:spPr>
        <a:xfrm>
          <a:off x="69751575" y="24555450"/>
          <a:ext cx="1352550" cy="2000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10</xdr:col>
      <xdr:colOff>9525</xdr:colOff>
      <xdr:row>68</xdr:row>
      <xdr:rowOff>247650</xdr:rowOff>
    </xdr:from>
    <xdr:to>
      <xdr:col>12</xdr:col>
      <xdr:colOff>9525</xdr:colOff>
      <xdr:row>70</xdr:row>
      <xdr:rowOff>28575</xdr:rowOff>
    </xdr:to>
    <xdr:sp macro="[1]!Feuil8.copy_1p" textlink="">
      <xdr:nvSpPr>
        <xdr:cNvPr id="25" name="Arrondir un rectangle avec un coin diagonal 24"/>
        <xdr:cNvSpPr/>
      </xdr:nvSpPr>
      <xdr:spPr>
        <a:xfrm>
          <a:off x="13182600" y="17697450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1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60</xdr:col>
      <xdr:colOff>28575</xdr:colOff>
      <xdr:row>69</xdr:row>
      <xdr:rowOff>9525</xdr:rowOff>
    </xdr:from>
    <xdr:to>
      <xdr:col>61</xdr:col>
      <xdr:colOff>647700</xdr:colOff>
      <xdr:row>70</xdr:row>
      <xdr:rowOff>47625</xdr:rowOff>
    </xdr:to>
    <xdr:sp macro="[1]!Feuil8.copy_6p" textlink="">
      <xdr:nvSpPr>
        <xdr:cNvPr id="26" name="Arrondir un rectangle avec un coin diagonal 25"/>
        <xdr:cNvSpPr/>
      </xdr:nvSpPr>
      <xdr:spPr>
        <a:xfrm>
          <a:off x="69780150" y="17716500"/>
          <a:ext cx="12763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6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50</xdr:col>
      <xdr:colOff>47625</xdr:colOff>
      <xdr:row>69</xdr:row>
      <xdr:rowOff>9525</xdr:rowOff>
    </xdr:from>
    <xdr:to>
      <xdr:col>51</xdr:col>
      <xdr:colOff>647700</xdr:colOff>
      <xdr:row>70</xdr:row>
      <xdr:rowOff>47625</xdr:rowOff>
    </xdr:to>
    <xdr:sp macro="[1]!Feuil8.copy_5p" textlink="">
      <xdr:nvSpPr>
        <xdr:cNvPr id="27" name="Arrondir un rectangle avec un coin diagonal 26"/>
        <xdr:cNvSpPr/>
      </xdr:nvSpPr>
      <xdr:spPr>
        <a:xfrm>
          <a:off x="58483500" y="17716500"/>
          <a:ext cx="125730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5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9525</xdr:colOff>
      <xdr:row>69</xdr:row>
      <xdr:rowOff>0</xdr:rowOff>
    </xdr:from>
    <xdr:to>
      <xdr:col>22</xdr:col>
      <xdr:colOff>9525</xdr:colOff>
      <xdr:row>70</xdr:row>
      <xdr:rowOff>38100</xdr:rowOff>
    </xdr:to>
    <xdr:sp macro="[1]!Feuil8.copy_2p" textlink="">
      <xdr:nvSpPr>
        <xdr:cNvPr id="28" name="Arrondir un rectangle avec un coin diagonal 27"/>
        <xdr:cNvSpPr/>
      </xdr:nvSpPr>
      <xdr:spPr>
        <a:xfrm>
          <a:off x="24498300" y="17706975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2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40</xdr:col>
      <xdr:colOff>66675</xdr:colOff>
      <xdr:row>69</xdr:row>
      <xdr:rowOff>0</xdr:rowOff>
    </xdr:from>
    <xdr:to>
      <xdr:col>41</xdr:col>
      <xdr:colOff>638175</xdr:colOff>
      <xdr:row>70</xdr:row>
      <xdr:rowOff>38100</xdr:rowOff>
    </xdr:to>
    <xdr:sp macro="[1]!Feuil8.copy_4p" textlink="">
      <xdr:nvSpPr>
        <xdr:cNvPr id="29" name="Arrondir un rectangle avec un coin diagonal 28"/>
        <xdr:cNvSpPr/>
      </xdr:nvSpPr>
      <xdr:spPr>
        <a:xfrm>
          <a:off x="47186850" y="17706975"/>
          <a:ext cx="1228725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4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30</xdr:col>
      <xdr:colOff>0</xdr:colOff>
      <xdr:row>69</xdr:row>
      <xdr:rowOff>9525</xdr:rowOff>
    </xdr:from>
    <xdr:to>
      <xdr:col>32</xdr:col>
      <xdr:colOff>0</xdr:colOff>
      <xdr:row>70</xdr:row>
      <xdr:rowOff>47625</xdr:rowOff>
    </xdr:to>
    <xdr:sp macro="[1]!Feuil8.copy_3p" textlink="">
      <xdr:nvSpPr>
        <xdr:cNvPr id="30" name="Arrondir un rectangle avec un coin diagonal 29"/>
        <xdr:cNvSpPr/>
      </xdr:nvSpPr>
      <xdr:spPr>
        <a:xfrm>
          <a:off x="35804475" y="17716500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3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333376</xdr:colOff>
      <xdr:row>4</xdr:row>
      <xdr:rowOff>314323</xdr:rowOff>
    </xdr:from>
    <xdr:to>
      <xdr:col>0</xdr:col>
      <xdr:colOff>1362076</xdr:colOff>
      <xdr:row>6</xdr:row>
      <xdr:rowOff>130341</xdr:rowOff>
    </xdr:to>
    <xdr:sp macro="[1]!Module66.plein_ecran" textlink="">
      <xdr:nvSpPr>
        <xdr:cNvPr id="31" name="Flèche vers le haut 30"/>
        <xdr:cNvSpPr/>
      </xdr:nvSpPr>
      <xdr:spPr>
        <a:xfrm>
          <a:off x="333376" y="1266823"/>
          <a:ext cx="1028700" cy="482768"/>
        </a:xfrm>
        <a:prstGeom prst="upArrow">
          <a:avLst/>
        </a:prstGeom>
        <a:solidFill>
          <a:srgbClr val="7030A0"/>
        </a:solidFill>
        <a:ln>
          <a:solidFill>
            <a:srgbClr val="5E283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t" anchorCtr="0"/>
        <a:lstStyle/>
        <a:p>
          <a:pPr algn="ctr"/>
          <a:r>
            <a:rPr lang="fr-FR" sz="1100"/>
            <a:t>Plein ecran</a:t>
          </a:r>
        </a:p>
      </xdr:txBody>
    </xdr:sp>
    <xdr:clientData/>
  </xdr:twoCellAnchor>
  <xdr:twoCellAnchor>
    <xdr:from>
      <xdr:col>0</xdr:col>
      <xdr:colOff>19050</xdr:colOff>
      <xdr:row>7</xdr:row>
      <xdr:rowOff>247650</xdr:rowOff>
    </xdr:from>
    <xdr:to>
      <xdr:col>0</xdr:col>
      <xdr:colOff>1590676</xdr:colOff>
      <xdr:row>11</xdr:row>
      <xdr:rowOff>66675</xdr:rowOff>
    </xdr:to>
    <xdr:sp macro="[1]!tabl_128" textlink="">
      <xdr:nvSpPr>
        <xdr:cNvPr id="33" name="Rogner et arrondir un rectangle à un seul coin 32"/>
        <xdr:cNvSpPr/>
      </xdr:nvSpPr>
      <xdr:spPr>
        <a:xfrm>
          <a:off x="19050" y="2124075"/>
          <a:ext cx="1571626" cy="847725"/>
        </a:xfrm>
        <a:prstGeom prst="snipRoundRect">
          <a:avLst/>
        </a:prstGeom>
        <a:solidFill>
          <a:schemeClr val="accent6">
            <a:lumMod val="75000"/>
          </a:schemeClr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</a:rPr>
            <a:t>Lancer   les   tableaux</a:t>
          </a:r>
        </a:p>
      </xdr:txBody>
    </xdr:sp>
    <xdr:clientData/>
  </xdr:twoCellAnchor>
  <xdr:twoCellAnchor>
    <xdr:from>
      <xdr:col>0</xdr:col>
      <xdr:colOff>95250</xdr:colOff>
      <xdr:row>11</xdr:row>
      <xdr:rowOff>190500</xdr:rowOff>
    </xdr:from>
    <xdr:to>
      <xdr:col>0</xdr:col>
      <xdr:colOff>1476375</xdr:colOff>
      <xdr:row>12</xdr:row>
      <xdr:rowOff>123824</xdr:rowOff>
    </xdr:to>
    <xdr:sp macro="[1]!Module66.ecran_normal" textlink="">
      <xdr:nvSpPr>
        <xdr:cNvPr id="34" name="Rectangle 33"/>
        <xdr:cNvSpPr/>
      </xdr:nvSpPr>
      <xdr:spPr>
        <a:xfrm>
          <a:off x="95250" y="3095625"/>
          <a:ext cx="1381125" cy="190499"/>
        </a:xfrm>
        <a:prstGeom prst="rect">
          <a:avLst/>
        </a:prstGeom>
        <a:solidFill>
          <a:srgbClr val="665920"/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Fermer plein ecran</a:t>
          </a:r>
        </a:p>
      </xdr:txBody>
    </xdr:sp>
    <xdr:clientData/>
  </xdr:twoCellAnchor>
  <xdr:twoCellAnchor>
    <xdr:from>
      <xdr:col>0</xdr:col>
      <xdr:colOff>228600</xdr:colOff>
      <xdr:row>71</xdr:row>
      <xdr:rowOff>28575</xdr:rowOff>
    </xdr:from>
    <xdr:to>
      <xdr:col>1</xdr:col>
      <xdr:colOff>495300</xdr:colOff>
      <xdr:row>71</xdr:row>
      <xdr:rowOff>219074</xdr:rowOff>
    </xdr:to>
    <xdr:sp macro="[1]!Module66.ecran_normal" textlink="">
      <xdr:nvSpPr>
        <xdr:cNvPr id="35" name="Rectangle 34"/>
        <xdr:cNvSpPr/>
      </xdr:nvSpPr>
      <xdr:spPr>
        <a:xfrm>
          <a:off x="228600" y="18249900"/>
          <a:ext cx="2819400" cy="190499"/>
        </a:xfrm>
        <a:prstGeom prst="rect">
          <a:avLst/>
        </a:prstGeom>
        <a:solidFill>
          <a:srgbClr val="665920"/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Fermer plein ecran</a:t>
          </a:r>
        </a:p>
      </xdr:txBody>
    </xdr:sp>
    <xdr:clientData/>
  </xdr:twoCellAnchor>
  <xdr:twoCellAnchor>
    <xdr:from>
      <xdr:col>0</xdr:col>
      <xdr:colOff>200024</xdr:colOff>
      <xdr:row>76</xdr:row>
      <xdr:rowOff>247650</xdr:rowOff>
    </xdr:from>
    <xdr:to>
      <xdr:col>1</xdr:col>
      <xdr:colOff>523875</xdr:colOff>
      <xdr:row>78</xdr:row>
      <xdr:rowOff>57150</xdr:rowOff>
    </xdr:to>
    <xdr:sp macro="[1]!Module66.Imprimer_tab_1et2" textlink="">
      <xdr:nvSpPr>
        <xdr:cNvPr id="36" name="Parchemin horizontal 35"/>
        <xdr:cNvSpPr/>
      </xdr:nvSpPr>
      <xdr:spPr>
        <a:xfrm>
          <a:off x="200024" y="19773900"/>
          <a:ext cx="2876551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1 et  2</a:t>
          </a:r>
        </a:p>
      </xdr:txBody>
    </xdr:sp>
    <xdr:clientData/>
  </xdr:twoCellAnchor>
  <xdr:twoCellAnchor>
    <xdr:from>
      <xdr:col>0</xdr:col>
      <xdr:colOff>200026</xdr:colOff>
      <xdr:row>78</xdr:row>
      <xdr:rowOff>161925</xdr:rowOff>
    </xdr:from>
    <xdr:to>
      <xdr:col>1</xdr:col>
      <xdr:colOff>523876</xdr:colOff>
      <xdr:row>79</xdr:row>
      <xdr:rowOff>228600</xdr:rowOff>
    </xdr:to>
    <xdr:sp macro="[1]!Module66.Imprimer_tab_3et4" textlink="">
      <xdr:nvSpPr>
        <xdr:cNvPr id="37" name="Parchemin horizontal 36"/>
        <xdr:cNvSpPr/>
      </xdr:nvSpPr>
      <xdr:spPr>
        <a:xfrm>
          <a:off x="200026" y="20202525"/>
          <a:ext cx="2876550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3 et  4</a:t>
          </a:r>
        </a:p>
      </xdr:txBody>
    </xdr:sp>
    <xdr:clientData/>
  </xdr:twoCellAnchor>
  <xdr:twoCellAnchor>
    <xdr:from>
      <xdr:col>0</xdr:col>
      <xdr:colOff>209549</xdr:colOff>
      <xdr:row>80</xdr:row>
      <xdr:rowOff>95250</xdr:rowOff>
    </xdr:from>
    <xdr:to>
      <xdr:col>1</xdr:col>
      <xdr:colOff>533400</xdr:colOff>
      <xdr:row>81</xdr:row>
      <xdr:rowOff>161925</xdr:rowOff>
    </xdr:to>
    <xdr:sp macro="[1]!Module66.Imprimer_tab_5et6" textlink="">
      <xdr:nvSpPr>
        <xdr:cNvPr id="38" name="Parchemin horizontal 37"/>
        <xdr:cNvSpPr/>
      </xdr:nvSpPr>
      <xdr:spPr>
        <a:xfrm>
          <a:off x="209549" y="20650200"/>
          <a:ext cx="2876551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5 et  6</a:t>
          </a:r>
        </a:p>
      </xdr:txBody>
    </xdr:sp>
    <xdr:clientData/>
  </xdr:twoCellAnchor>
  <xdr:twoCellAnchor>
    <xdr:from>
      <xdr:col>0</xdr:col>
      <xdr:colOff>485775</xdr:colOff>
      <xdr:row>72</xdr:row>
      <xdr:rowOff>257175</xdr:rowOff>
    </xdr:from>
    <xdr:to>
      <xdr:col>0</xdr:col>
      <xdr:colOff>2238375</xdr:colOff>
      <xdr:row>74</xdr:row>
      <xdr:rowOff>152400</xdr:rowOff>
    </xdr:to>
    <xdr:sp macro="[1]!Module66.ecr_resu" textlink="">
      <xdr:nvSpPr>
        <xdr:cNvPr id="39" name="Flèche gauche 38"/>
        <xdr:cNvSpPr/>
      </xdr:nvSpPr>
      <xdr:spPr>
        <a:xfrm>
          <a:off x="485775" y="18745200"/>
          <a:ext cx="1752600" cy="419100"/>
        </a:xfrm>
        <a:prstGeom prst="leftArrow">
          <a:avLst/>
        </a:prstGeom>
        <a:solidFill>
          <a:schemeClr val="accent3">
            <a:lumMod val="50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Accès</a:t>
          </a:r>
          <a:r>
            <a:rPr lang="fr-FR" sz="1100" baseline="0"/>
            <a:t> onglet Resultat</a:t>
          </a:r>
          <a:endParaRPr lang="fr-FR" sz="1100"/>
        </a:p>
      </xdr:txBody>
    </xdr:sp>
    <xdr:clientData/>
  </xdr:twoCellAnchor>
  <xdr:twoCellAnchor>
    <xdr:from>
      <xdr:col>10</xdr:col>
      <xdr:colOff>0</xdr:colOff>
      <xdr:row>100</xdr:row>
      <xdr:rowOff>0</xdr:rowOff>
    </xdr:from>
    <xdr:to>
      <xdr:col>12</xdr:col>
      <xdr:colOff>38100</xdr:colOff>
      <xdr:row>102</xdr:row>
      <xdr:rowOff>219075</xdr:rowOff>
    </xdr:to>
    <xdr:sp macro="" textlink="">
      <xdr:nvSpPr>
        <xdr:cNvPr id="40" name="Rectangle 39"/>
        <xdr:cNvSpPr/>
      </xdr:nvSpPr>
      <xdr:spPr>
        <a:xfrm>
          <a:off x="13173075" y="25736550"/>
          <a:ext cx="1352550" cy="7715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20</xdr:col>
      <xdr:colOff>0</xdr:colOff>
      <xdr:row>100</xdr:row>
      <xdr:rowOff>0</xdr:rowOff>
    </xdr:from>
    <xdr:to>
      <xdr:col>22</xdr:col>
      <xdr:colOff>38100</xdr:colOff>
      <xdr:row>102</xdr:row>
      <xdr:rowOff>219075</xdr:rowOff>
    </xdr:to>
    <xdr:sp macro="" textlink="">
      <xdr:nvSpPr>
        <xdr:cNvPr id="41" name="Rectangle 40"/>
        <xdr:cNvSpPr/>
      </xdr:nvSpPr>
      <xdr:spPr>
        <a:xfrm>
          <a:off x="24488775" y="25736550"/>
          <a:ext cx="1352550" cy="7715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30</xdr:col>
      <xdr:colOff>0</xdr:colOff>
      <xdr:row>100</xdr:row>
      <xdr:rowOff>0</xdr:rowOff>
    </xdr:from>
    <xdr:to>
      <xdr:col>32</xdr:col>
      <xdr:colOff>38100</xdr:colOff>
      <xdr:row>102</xdr:row>
      <xdr:rowOff>219075</xdr:rowOff>
    </xdr:to>
    <xdr:sp macro="" textlink="">
      <xdr:nvSpPr>
        <xdr:cNvPr id="42" name="Rectangle 41"/>
        <xdr:cNvSpPr/>
      </xdr:nvSpPr>
      <xdr:spPr>
        <a:xfrm>
          <a:off x="35804475" y="25736550"/>
          <a:ext cx="1352550" cy="7715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40</xdr:col>
      <xdr:colOff>0</xdr:colOff>
      <xdr:row>100</xdr:row>
      <xdr:rowOff>0</xdr:rowOff>
    </xdr:from>
    <xdr:to>
      <xdr:col>42</xdr:col>
      <xdr:colOff>38100</xdr:colOff>
      <xdr:row>102</xdr:row>
      <xdr:rowOff>219075</xdr:rowOff>
    </xdr:to>
    <xdr:sp macro="" textlink="">
      <xdr:nvSpPr>
        <xdr:cNvPr id="43" name="Rectangle 42"/>
        <xdr:cNvSpPr/>
      </xdr:nvSpPr>
      <xdr:spPr>
        <a:xfrm>
          <a:off x="47120175" y="25736550"/>
          <a:ext cx="1352550" cy="7715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50</xdr:col>
      <xdr:colOff>0</xdr:colOff>
      <xdr:row>100</xdr:row>
      <xdr:rowOff>0</xdr:rowOff>
    </xdr:from>
    <xdr:to>
      <xdr:col>52</xdr:col>
      <xdr:colOff>38100</xdr:colOff>
      <xdr:row>103</xdr:row>
      <xdr:rowOff>0</xdr:rowOff>
    </xdr:to>
    <xdr:sp macro="" textlink="">
      <xdr:nvSpPr>
        <xdr:cNvPr id="44" name="Rectangle 43"/>
        <xdr:cNvSpPr/>
      </xdr:nvSpPr>
      <xdr:spPr>
        <a:xfrm>
          <a:off x="58435875" y="25736550"/>
          <a:ext cx="1352550" cy="82867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60</xdr:col>
      <xdr:colOff>0</xdr:colOff>
      <xdr:row>100</xdr:row>
      <xdr:rowOff>0</xdr:rowOff>
    </xdr:from>
    <xdr:to>
      <xdr:col>62</xdr:col>
      <xdr:colOff>38100</xdr:colOff>
      <xdr:row>103</xdr:row>
      <xdr:rowOff>0</xdr:rowOff>
    </xdr:to>
    <xdr:sp macro="" textlink="">
      <xdr:nvSpPr>
        <xdr:cNvPr id="45" name="Rectangle 44"/>
        <xdr:cNvSpPr/>
      </xdr:nvSpPr>
      <xdr:spPr>
        <a:xfrm>
          <a:off x="69751575" y="25736550"/>
          <a:ext cx="1352550" cy="82867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ours_2p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utilisation"/>
      <sheetName val="resultat"/>
      <sheetName val="tirage"/>
      <sheetName val="22 eq"/>
      <sheetName val="16_40 eq"/>
      <sheetName val="42_64 eq"/>
      <sheetName val="tirage_po"/>
      <sheetName val="42_64 3t"/>
      <sheetName val="66_128 eq"/>
      <sheetName val="tableau"/>
      <sheetName val="128_2po"/>
      <sheetName val="tab_2po"/>
    </sheetNames>
    <definedNames>
      <definedName name="copy_1ppo"/>
      <definedName name="Feuil8.copy_1p"/>
      <definedName name="Feuil8.copy_2p"/>
      <definedName name="Feuil8.copy_3p"/>
      <definedName name="Feuil8.copy_4p"/>
      <definedName name="Feuil8.copy_5p"/>
      <definedName name="Feuil8.copy_6p"/>
      <definedName name="Module66.ecr_resu"/>
      <definedName name="Module66.ecran_normal"/>
      <definedName name="Module66.Imprimer_tab_1et2"/>
      <definedName name="Module66.Imprimer_tab_3et4"/>
      <definedName name="Module66.Imprimer_tab_5et6"/>
      <definedName name="Module66.plein_ecran"/>
      <definedName name="tabl_128"/>
    </definedNames>
    <sheetDataSet>
      <sheetData sheetId="0" refreshError="1"/>
      <sheetData sheetId="1">
        <row r="1">
          <cell r="AL1">
            <v>1</v>
          </cell>
          <cell r="AM1" t="str">
            <v>PETER</v>
          </cell>
        </row>
        <row r="2">
          <cell r="AI2">
            <v>118</v>
          </cell>
          <cell r="AL2">
            <v>2</v>
          </cell>
          <cell r="AM2" t="str">
            <v>FRANCIS</v>
          </cell>
        </row>
        <row r="3">
          <cell r="AL3">
            <v>3</v>
          </cell>
          <cell r="AM3" t="str">
            <v>MARCO</v>
          </cell>
        </row>
        <row r="4">
          <cell r="AL4">
            <v>4</v>
          </cell>
          <cell r="AM4" t="str">
            <v>DENISE</v>
          </cell>
        </row>
        <row r="5">
          <cell r="AL5">
            <v>5</v>
          </cell>
          <cell r="AM5" t="str">
            <v>YVON</v>
          </cell>
        </row>
        <row r="6">
          <cell r="AL6">
            <v>6</v>
          </cell>
          <cell r="AM6" t="str">
            <v>JACQUES</v>
          </cell>
        </row>
        <row r="7">
          <cell r="AL7">
            <v>7</v>
          </cell>
          <cell r="AM7" t="str">
            <v>PIERRE</v>
          </cell>
        </row>
        <row r="8">
          <cell r="AL8">
            <v>8</v>
          </cell>
          <cell r="AM8" t="str">
            <v>THIBAULT</v>
          </cell>
        </row>
        <row r="9">
          <cell r="AL9">
            <v>9</v>
          </cell>
          <cell r="AM9" t="str">
            <v>SEBASTIEN</v>
          </cell>
        </row>
        <row r="10">
          <cell r="AL10">
            <v>10</v>
          </cell>
          <cell r="AM10" t="str">
            <v>PETER</v>
          </cell>
        </row>
        <row r="11">
          <cell r="AL11">
            <v>11</v>
          </cell>
          <cell r="AM11" t="str">
            <v>JOHN</v>
          </cell>
        </row>
        <row r="12">
          <cell r="AL12">
            <v>12</v>
          </cell>
          <cell r="AM12" t="str">
            <v>ALAIN</v>
          </cell>
        </row>
        <row r="13">
          <cell r="AL13">
            <v>13</v>
          </cell>
          <cell r="AM13" t="str">
            <v>JEAN PIERRE</v>
          </cell>
        </row>
        <row r="14">
          <cell r="AL14">
            <v>14</v>
          </cell>
          <cell r="AM14" t="str">
            <v>CHRISTOPHE</v>
          </cell>
        </row>
        <row r="15">
          <cell r="AL15">
            <v>15</v>
          </cell>
          <cell r="AM15" t="str">
            <v>JEAN PAUL</v>
          </cell>
        </row>
        <row r="16">
          <cell r="AL16">
            <v>16</v>
          </cell>
          <cell r="AM16" t="str">
            <v>MICKAEL</v>
          </cell>
        </row>
        <row r="17">
          <cell r="AL17">
            <v>17</v>
          </cell>
          <cell r="AM17" t="str">
            <v xml:space="preserve">LAURENT    </v>
          </cell>
        </row>
        <row r="18">
          <cell r="AL18">
            <v>18</v>
          </cell>
          <cell r="AM18" t="str">
            <v xml:space="preserve">CHARLES  </v>
          </cell>
        </row>
        <row r="19">
          <cell r="AL19">
            <v>19</v>
          </cell>
          <cell r="AM19" t="str">
            <v xml:space="preserve">SYLVAIN   </v>
          </cell>
        </row>
        <row r="20">
          <cell r="AL20">
            <v>20</v>
          </cell>
          <cell r="AM20" t="str">
            <v>JONATHAN</v>
          </cell>
        </row>
        <row r="21">
          <cell r="AL21">
            <v>21</v>
          </cell>
          <cell r="AM21" t="str">
            <v>GEGE</v>
          </cell>
        </row>
        <row r="22">
          <cell r="AL22">
            <v>22</v>
          </cell>
          <cell r="AM22" t="str">
            <v xml:space="preserve">LANDRY   </v>
          </cell>
        </row>
        <row r="23">
          <cell r="AL23">
            <v>23</v>
          </cell>
          <cell r="AM23" t="str">
            <v>MARTIAL</v>
          </cell>
        </row>
        <row r="24">
          <cell r="AL24">
            <v>24</v>
          </cell>
          <cell r="AM24" t="str">
            <v>JACQUES</v>
          </cell>
        </row>
        <row r="25">
          <cell r="AL25">
            <v>25</v>
          </cell>
          <cell r="AM25" t="str">
            <v>AURELIEN</v>
          </cell>
        </row>
        <row r="26">
          <cell r="AL26">
            <v>26</v>
          </cell>
          <cell r="AM26" t="str">
            <v xml:space="preserve">THIERRY  </v>
          </cell>
        </row>
        <row r="27">
          <cell r="AL27">
            <v>27</v>
          </cell>
          <cell r="AM27" t="str">
            <v xml:space="preserve">PHILIPPE  </v>
          </cell>
        </row>
        <row r="28">
          <cell r="AL28">
            <v>28</v>
          </cell>
          <cell r="AM28" t="str">
            <v xml:space="preserve">RENE  </v>
          </cell>
        </row>
        <row r="29">
          <cell r="AL29">
            <v>29</v>
          </cell>
          <cell r="AM29" t="str">
            <v xml:space="preserve">YOANN   </v>
          </cell>
        </row>
        <row r="30">
          <cell r="AL30">
            <v>30</v>
          </cell>
          <cell r="AM30" t="str">
            <v xml:space="preserve">PATRICK   </v>
          </cell>
        </row>
        <row r="31">
          <cell r="AL31">
            <v>31</v>
          </cell>
          <cell r="AM31" t="str">
            <v>EDOUARD</v>
          </cell>
        </row>
        <row r="32">
          <cell r="AL32">
            <v>32</v>
          </cell>
          <cell r="AM32" t="str">
            <v xml:space="preserve">ADELINE  </v>
          </cell>
        </row>
        <row r="33">
          <cell r="AL33">
            <v>33</v>
          </cell>
          <cell r="AM33" t="str">
            <v xml:space="preserve">BRUNO  </v>
          </cell>
        </row>
        <row r="34">
          <cell r="AL34">
            <v>34</v>
          </cell>
          <cell r="AM34" t="str">
            <v xml:space="preserve">JOE  </v>
          </cell>
        </row>
        <row r="35">
          <cell r="AL35">
            <v>35</v>
          </cell>
          <cell r="AM35" t="str">
            <v>MARTIN</v>
          </cell>
        </row>
        <row r="36">
          <cell r="AL36">
            <v>36</v>
          </cell>
          <cell r="AM36" t="str">
            <v xml:space="preserve">ALCIDE  </v>
          </cell>
        </row>
        <row r="37">
          <cell r="AL37">
            <v>37</v>
          </cell>
          <cell r="AM37" t="str">
            <v>CLEMENT</v>
          </cell>
        </row>
        <row r="38">
          <cell r="AL38">
            <v>38</v>
          </cell>
          <cell r="AM38" t="str">
            <v xml:space="preserve">ROMAIN  </v>
          </cell>
        </row>
        <row r="39">
          <cell r="AL39">
            <v>39</v>
          </cell>
          <cell r="AM39" t="str">
            <v xml:space="preserve">NICO  </v>
          </cell>
        </row>
        <row r="40">
          <cell r="AL40">
            <v>40</v>
          </cell>
          <cell r="AM40" t="str">
            <v>VINCENT</v>
          </cell>
        </row>
        <row r="41">
          <cell r="AL41">
            <v>41</v>
          </cell>
          <cell r="AM41" t="str">
            <v>ETIENNE</v>
          </cell>
        </row>
        <row r="42">
          <cell r="AL42">
            <v>42</v>
          </cell>
          <cell r="AM42" t="str">
            <v xml:space="preserve">FREDDY  </v>
          </cell>
        </row>
        <row r="43">
          <cell r="AL43">
            <v>43</v>
          </cell>
          <cell r="AM43" t="str">
            <v>ALLAIRE</v>
          </cell>
        </row>
        <row r="44">
          <cell r="AL44">
            <v>44</v>
          </cell>
          <cell r="AM44" t="str">
            <v>GUY JEAN</v>
          </cell>
        </row>
        <row r="45">
          <cell r="AL45">
            <v>45</v>
          </cell>
          <cell r="AM45" t="str">
            <v>RENAUD</v>
          </cell>
        </row>
        <row r="46">
          <cell r="AL46">
            <v>46</v>
          </cell>
          <cell r="AM46" t="str">
            <v xml:space="preserve">SERGE  </v>
          </cell>
        </row>
        <row r="47">
          <cell r="AL47">
            <v>47</v>
          </cell>
          <cell r="AM47" t="str">
            <v>HERMAN</v>
          </cell>
        </row>
        <row r="48">
          <cell r="AL48">
            <v>48</v>
          </cell>
          <cell r="AM48" t="str">
            <v>LUC</v>
          </cell>
        </row>
        <row r="49">
          <cell r="AL49">
            <v>49</v>
          </cell>
          <cell r="AM49" t="str">
            <v>OLIVIER</v>
          </cell>
        </row>
        <row r="50">
          <cell r="AL50">
            <v>50</v>
          </cell>
          <cell r="AM50" t="str">
            <v>FLORENTIN</v>
          </cell>
        </row>
        <row r="51">
          <cell r="AL51">
            <v>51</v>
          </cell>
          <cell r="AM51" t="str">
            <v>BEAUDOUIN</v>
          </cell>
        </row>
        <row r="52">
          <cell r="AL52">
            <v>52</v>
          </cell>
          <cell r="AM52" t="str">
            <v>ABEL</v>
          </cell>
        </row>
        <row r="53">
          <cell r="AL53">
            <v>53</v>
          </cell>
          <cell r="AM53" t="str">
            <v>AURELIEN</v>
          </cell>
        </row>
        <row r="54">
          <cell r="AL54">
            <v>54</v>
          </cell>
          <cell r="AM54" t="str">
            <v>DAMIEN</v>
          </cell>
        </row>
        <row r="55">
          <cell r="AL55">
            <v>55</v>
          </cell>
          <cell r="AM55" t="str">
            <v>GREGOIRE</v>
          </cell>
        </row>
        <row r="56">
          <cell r="AL56">
            <v>56</v>
          </cell>
          <cell r="AM56" t="str">
            <v xml:space="preserve">RENE  </v>
          </cell>
        </row>
        <row r="57">
          <cell r="AL57">
            <v>57</v>
          </cell>
          <cell r="AM57" t="str">
            <v>ARSENE</v>
          </cell>
        </row>
        <row r="58">
          <cell r="AL58">
            <v>58</v>
          </cell>
          <cell r="AM58" t="str">
            <v>FRANCIS</v>
          </cell>
        </row>
        <row r="59">
          <cell r="AL59">
            <v>59</v>
          </cell>
          <cell r="AM59" t="str">
            <v>NADEGE</v>
          </cell>
        </row>
        <row r="60">
          <cell r="AL60">
            <v>60</v>
          </cell>
          <cell r="AM60" t="str">
            <v>EDITH</v>
          </cell>
        </row>
        <row r="61">
          <cell r="AL61">
            <v>61</v>
          </cell>
          <cell r="AM61" t="str">
            <v>COME</v>
          </cell>
        </row>
        <row r="62">
          <cell r="AL62">
            <v>62</v>
          </cell>
          <cell r="AM62" t="str">
            <v>DIMITRI</v>
          </cell>
        </row>
        <row r="63">
          <cell r="AL63">
            <v>63</v>
          </cell>
          <cell r="AM63" t="str">
            <v>FIRMIN</v>
          </cell>
        </row>
        <row r="64">
          <cell r="AL64">
            <v>64</v>
          </cell>
          <cell r="AM64" t="str">
            <v>QUENTIN</v>
          </cell>
        </row>
        <row r="65">
          <cell r="AL65">
            <v>65</v>
          </cell>
          <cell r="AM65" t="str">
            <v>GEOFFROY</v>
          </cell>
        </row>
        <row r="66">
          <cell r="AL66">
            <v>66</v>
          </cell>
          <cell r="AM66" t="str">
            <v>FLORIAN</v>
          </cell>
        </row>
        <row r="67">
          <cell r="AL67">
            <v>67</v>
          </cell>
          <cell r="AM67" t="str">
            <v>YVONNICK</v>
          </cell>
        </row>
        <row r="68">
          <cell r="AL68">
            <v>68</v>
          </cell>
          <cell r="AM68" t="str">
            <v>BRICE</v>
          </cell>
        </row>
        <row r="69">
          <cell r="AL69">
            <v>69</v>
          </cell>
          <cell r="AM69" t="str">
            <v>ALBERT</v>
          </cell>
        </row>
        <row r="70">
          <cell r="AL70">
            <v>70</v>
          </cell>
          <cell r="AM70" t="str">
            <v>TANGUY</v>
          </cell>
        </row>
        <row r="71">
          <cell r="AL71">
            <v>71</v>
          </cell>
          <cell r="AM71" t="str">
            <v>JIMMY</v>
          </cell>
        </row>
        <row r="72">
          <cell r="AL72">
            <v>72</v>
          </cell>
          <cell r="AM72" t="str">
            <v>DELPHINE</v>
          </cell>
        </row>
        <row r="73">
          <cell r="AL73">
            <v>73</v>
          </cell>
          <cell r="AM73" t="str">
            <v>EDMOND</v>
          </cell>
        </row>
        <row r="74">
          <cell r="AL74">
            <v>74</v>
          </cell>
          <cell r="AM74" t="str">
            <v>GERALD</v>
          </cell>
        </row>
        <row r="75">
          <cell r="AL75">
            <v>75</v>
          </cell>
          <cell r="AM75" t="str">
            <v>NICOLAS</v>
          </cell>
        </row>
        <row r="76">
          <cell r="AL76">
            <v>76</v>
          </cell>
          <cell r="AM76" t="str">
            <v>AMBROISE</v>
          </cell>
        </row>
        <row r="77">
          <cell r="AL77">
            <v>77</v>
          </cell>
          <cell r="AM77" t="str">
            <v>DANIEL</v>
          </cell>
        </row>
        <row r="78">
          <cell r="AL78">
            <v>78</v>
          </cell>
          <cell r="AM78" t="str">
            <v>GAEL</v>
          </cell>
        </row>
        <row r="79">
          <cell r="AL79">
            <v>79</v>
          </cell>
          <cell r="AM79" t="str">
            <v>GATIEN</v>
          </cell>
        </row>
        <row r="80">
          <cell r="AL80">
            <v>80</v>
          </cell>
          <cell r="AM80" t="str">
            <v>LUCIE</v>
          </cell>
        </row>
        <row r="81">
          <cell r="AL81">
            <v>81</v>
          </cell>
          <cell r="AM81" t="str">
            <v>THEOPHILE</v>
          </cell>
        </row>
        <row r="82">
          <cell r="AL82">
            <v>82</v>
          </cell>
          <cell r="AM82" t="str">
            <v>URBAIN</v>
          </cell>
        </row>
        <row r="83">
          <cell r="AL83">
            <v>83</v>
          </cell>
          <cell r="AM83" t="str">
            <v>ETIENNE</v>
          </cell>
        </row>
        <row r="84">
          <cell r="AL84">
            <v>84</v>
          </cell>
          <cell r="AM84" t="str">
            <v>BASILE</v>
          </cell>
        </row>
        <row r="85">
          <cell r="AL85">
            <v>85</v>
          </cell>
          <cell r="AM85" t="str">
            <v>RAYMOND</v>
          </cell>
        </row>
        <row r="86">
          <cell r="AL86">
            <v>86</v>
          </cell>
          <cell r="AM86" t="str">
            <v>LUCIEN</v>
          </cell>
        </row>
        <row r="87">
          <cell r="AL87">
            <v>87</v>
          </cell>
          <cell r="AM87" t="str">
            <v>GUILLAUME</v>
          </cell>
        </row>
        <row r="88">
          <cell r="AL88">
            <v>88</v>
          </cell>
          <cell r="AM88" t="str">
            <v>VINCENT</v>
          </cell>
        </row>
        <row r="89">
          <cell r="AL89">
            <v>89</v>
          </cell>
          <cell r="AM89" t="str">
            <v>BERNARD</v>
          </cell>
        </row>
        <row r="90">
          <cell r="AL90">
            <v>90</v>
          </cell>
          <cell r="AM90" t="str">
            <v>VALENTIN</v>
          </cell>
        </row>
        <row r="91">
          <cell r="AL91">
            <v>91</v>
          </cell>
          <cell r="AM91" t="str">
            <v>VALERIE</v>
          </cell>
        </row>
        <row r="92">
          <cell r="AL92">
            <v>92</v>
          </cell>
          <cell r="AM92" t="str">
            <v>ROMAIN</v>
          </cell>
        </row>
        <row r="93">
          <cell r="AL93">
            <v>93</v>
          </cell>
          <cell r="AM93" t="str">
            <v>JOSEPH</v>
          </cell>
        </row>
        <row r="94">
          <cell r="AL94">
            <v>94</v>
          </cell>
          <cell r="AM94" t="str">
            <v>HUGUES</v>
          </cell>
        </row>
        <row r="95">
          <cell r="AL95">
            <v>95</v>
          </cell>
          <cell r="AM95" t="str">
            <v>RICHARD</v>
          </cell>
        </row>
        <row r="96">
          <cell r="AL96">
            <v>96</v>
          </cell>
          <cell r="AM96" t="str">
            <v>GAUTIER</v>
          </cell>
        </row>
        <row r="97">
          <cell r="AL97">
            <v>97</v>
          </cell>
          <cell r="AM97" t="str">
            <v>MATTHIAS</v>
          </cell>
        </row>
        <row r="98">
          <cell r="AL98">
            <v>98</v>
          </cell>
          <cell r="AM98" t="str">
            <v>STANISLAS</v>
          </cell>
        </row>
        <row r="99">
          <cell r="AL99">
            <v>99</v>
          </cell>
          <cell r="AM99" t="str">
            <v>ROLANDE</v>
          </cell>
        </row>
        <row r="100">
          <cell r="AL100">
            <v>100</v>
          </cell>
          <cell r="AM100" t="str">
            <v>CONSTANTIN</v>
          </cell>
        </row>
        <row r="101">
          <cell r="AL101">
            <v>101</v>
          </cell>
          <cell r="AM101" t="str">
            <v>HONORE</v>
          </cell>
        </row>
        <row r="102">
          <cell r="AL102">
            <v>102</v>
          </cell>
          <cell r="AM102" t="str">
            <v>DONATIEN</v>
          </cell>
        </row>
        <row r="103">
          <cell r="AL103">
            <v>103</v>
          </cell>
          <cell r="AM103" t="str">
            <v>GERMAIN</v>
          </cell>
        </row>
        <row r="104">
          <cell r="AL104">
            <v>104</v>
          </cell>
          <cell r="AM104" t="str">
            <v>RODRIGUE</v>
          </cell>
        </row>
        <row r="105">
          <cell r="AL105">
            <v>105</v>
          </cell>
          <cell r="AM105" t="str">
            <v>CYRILL</v>
          </cell>
        </row>
        <row r="106">
          <cell r="AL106">
            <v>106</v>
          </cell>
          <cell r="AM106" t="str">
            <v>LOUISE</v>
          </cell>
        </row>
        <row r="107">
          <cell r="AL107">
            <v>107</v>
          </cell>
          <cell r="AM107" t="str">
            <v>GONTRAN</v>
          </cell>
        </row>
        <row r="108">
          <cell r="AL108">
            <v>108</v>
          </cell>
          <cell r="AM108" t="str">
            <v>ISIDORE</v>
          </cell>
        </row>
        <row r="109">
          <cell r="AL109">
            <v>109</v>
          </cell>
          <cell r="AM109" t="str">
            <v>MARCELLIN</v>
          </cell>
        </row>
        <row r="110">
          <cell r="AL110">
            <v>110</v>
          </cell>
          <cell r="AM110" t="str">
            <v>ANICET</v>
          </cell>
        </row>
        <row r="111">
          <cell r="AL111">
            <v>111</v>
          </cell>
          <cell r="AM111" t="str">
            <v>SOLANGE</v>
          </cell>
        </row>
        <row r="112">
          <cell r="AL112">
            <v>112</v>
          </cell>
          <cell r="AM112" t="str">
            <v>AYMAR</v>
          </cell>
        </row>
        <row r="113">
          <cell r="AL113">
            <v>113</v>
          </cell>
          <cell r="AM113" t="str">
            <v>NORBERT</v>
          </cell>
        </row>
        <row r="114">
          <cell r="AL114">
            <v>114</v>
          </cell>
          <cell r="AM114" t="str">
            <v>BARNABE</v>
          </cell>
        </row>
        <row r="115">
          <cell r="AL115">
            <v>115</v>
          </cell>
          <cell r="AM115" t="str">
            <v>LEON</v>
          </cell>
        </row>
        <row r="116">
          <cell r="AL116">
            <v>116</v>
          </cell>
          <cell r="AM116" t="str">
            <v>ALBAN</v>
          </cell>
        </row>
        <row r="117">
          <cell r="AL117">
            <v>117</v>
          </cell>
          <cell r="AM117" t="str">
            <v>PROSPER</v>
          </cell>
        </row>
        <row r="118">
          <cell r="AL118">
            <v>118</v>
          </cell>
          <cell r="AM118" t="str">
            <v>FERNAND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00B050"/>
    <pageSetUpPr fitToPage="1"/>
  </sheetPr>
  <dimension ref="A1:BQ328"/>
  <sheetViews>
    <sheetView zoomScaleNormal="100" workbookViewId="0">
      <pane ySplit="2" topLeftCell="A3" activePane="bottomLeft" state="frozen"/>
      <selection activeCell="C32" sqref="C32"/>
      <selection pane="bottomLeft" activeCell="D1" sqref="D1:E128"/>
    </sheetView>
  </sheetViews>
  <sheetFormatPr baseColWidth="10" defaultRowHeight="18"/>
  <cols>
    <col min="1" max="1" width="6" style="37" customWidth="1"/>
    <col min="2" max="2" width="8" style="37" customWidth="1"/>
    <col min="3" max="3" width="22.42578125" style="197" customWidth="1"/>
    <col min="4" max="15" width="6.140625" style="37" customWidth="1"/>
    <col min="16" max="17" width="11.42578125" style="37"/>
    <col min="18" max="18" width="14.28515625" customWidth="1"/>
    <col min="20" max="22" width="3.140625" customWidth="1"/>
    <col min="23" max="23" width="17.28515625" customWidth="1"/>
    <col min="24" max="24" width="3.140625" customWidth="1"/>
    <col min="25" max="25" width="13.85546875" customWidth="1"/>
    <col min="26" max="26" width="7.85546875" style="41" customWidth="1"/>
    <col min="27" max="27" width="6.85546875" style="28" customWidth="1"/>
    <col min="28" max="28" width="34.140625" style="44" customWidth="1"/>
    <col min="29" max="29" width="15" style="28" customWidth="1"/>
    <col min="30" max="30" width="11.42578125" style="28"/>
    <col min="31" max="31" width="13.7109375" style="32" customWidth="1"/>
    <col min="32" max="32" width="3.5703125" customWidth="1"/>
    <col min="33" max="33" width="4.140625" customWidth="1"/>
    <col min="34" max="34" width="3.7109375" customWidth="1"/>
    <col min="35" max="35" width="19.5703125" customWidth="1"/>
    <col min="36" max="36" width="19.140625" customWidth="1"/>
    <col min="37" max="37" width="4" customWidth="1"/>
    <col min="38" max="38" width="6.28515625" style="156" customWidth="1"/>
    <col min="39" max="39" width="22.28515625" style="49" customWidth="1"/>
    <col min="40" max="40" width="7.7109375" style="153" customWidth="1"/>
    <col min="41" max="41" width="22" style="168" customWidth="1"/>
    <col min="42" max="42" width="6" style="153" customWidth="1"/>
    <col min="43" max="43" width="20.85546875" style="7" customWidth="1"/>
    <col min="44" max="44" width="8.85546875" style="7" customWidth="1"/>
    <col min="45" max="48" width="9.42578125" style="7" customWidth="1"/>
    <col min="49" max="49" width="7" style="7" customWidth="1"/>
    <col min="50" max="50" width="7.28515625" customWidth="1"/>
    <col min="51" max="51" width="15" customWidth="1"/>
    <col min="52" max="52" width="11.7109375" customWidth="1"/>
    <col min="53" max="53" width="10" customWidth="1"/>
    <col min="54" max="54" width="11.42578125" style="32"/>
    <col min="55" max="55" width="27.42578125" style="32" customWidth="1"/>
    <col min="56" max="57" width="11.42578125" style="164"/>
    <col min="58" max="58" width="11.7109375" style="45" customWidth="1"/>
    <col min="59" max="59" width="11.42578125" style="28"/>
    <col min="60" max="60" width="11.7109375" style="28" customWidth="1"/>
    <col min="61" max="61" width="10" customWidth="1"/>
    <col min="63" max="63" width="27.42578125" customWidth="1"/>
    <col min="66" max="66" width="11.7109375" style="168" customWidth="1"/>
  </cols>
  <sheetData>
    <row r="1" spans="1:69" ht="26.25" thickBot="1">
      <c r="A1" s="36"/>
      <c r="B1" s="224">
        <v>1</v>
      </c>
      <c r="C1" s="230" t="s">
        <v>63</v>
      </c>
      <c r="D1" s="34">
        <v>13</v>
      </c>
      <c r="E1" s="34">
        <v>7</v>
      </c>
      <c r="F1" s="35"/>
      <c r="G1" s="35"/>
      <c r="H1" s="34"/>
      <c r="I1" s="34"/>
      <c r="J1" s="35"/>
      <c r="K1" s="35"/>
      <c r="L1" s="34"/>
      <c r="M1" s="34"/>
      <c r="N1" s="35"/>
      <c r="O1" s="35"/>
      <c r="P1" s="36">
        <f t="shared" ref="P1:P64" si="0">(D1+F1+H1+J1+L1+N1)-(E1+G1+I1+K1+M1+O1)</f>
        <v>6</v>
      </c>
      <c r="Q1" s="224">
        <f t="shared" ref="Q1:Q64" si="1">COUNTIF(D1,13)+COUNTIF(F1,13)+COUNTIF(H1,13)+COUNTIF(J1,13)+COUNTIF(L1,13)+COUNTIF(N1,13)</f>
        <v>1</v>
      </c>
      <c r="R1" s="38">
        <f>P130</f>
        <v>0</v>
      </c>
      <c r="Y1" s="30"/>
      <c r="Z1" s="235" t="s">
        <v>47</v>
      </c>
      <c r="AA1" s="235"/>
      <c r="AB1" s="235"/>
      <c r="AC1" s="235"/>
      <c r="AD1" s="235"/>
      <c r="AE1" s="30"/>
      <c r="AI1" s="46" t="s">
        <v>52</v>
      </c>
      <c r="AJ1" s="205" t="s">
        <v>61</v>
      </c>
      <c r="AK1" s="7"/>
      <c r="AL1" s="154">
        <v>1</v>
      </c>
      <c r="AM1" s="49" t="s">
        <v>63</v>
      </c>
      <c r="AN1" s="153">
        <v>1</v>
      </c>
      <c r="AO1" s="201" t="s">
        <v>63</v>
      </c>
      <c r="AP1" s="202">
        <v>61</v>
      </c>
      <c r="AQ1" s="7" t="s">
        <v>118</v>
      </c>
      <c r="AR1" s="217"/>
      <c r="AS1" s="218"/>
      <c r="AY1" s="50"/>
      <c r="AZ1" s="30"/>
      <c r="BA1" s="235" t="s">
        <v>59</v>
      </c>
      <c r="BB1" s="235"/>
      <c r="BC1" s="235"/>
      <c r="BD1" s="235"/>
      <c r="BE1" s="235"/>
      <c r="BF1" s="30"/>
      <c r="BH1" s="29"/>
      <c r="BI1" s="236" t="s">
        <v>60</v>
      </c>
      <c r="BJ1" s="236"/>
      <c r="BK1" s="236"/>
      <c r="BL1" s="236"/>
      <c r="BM1" s="236"/>
      <c r="BN1" s="166"/>
      <c r="BQ1">
        <v>1</v>
      </c>
    </row>
    <row r="2" spans="1:69" ht="18.75" thickBot="1">
      <c r="A2" s="36"/>
      <c r="B2" s="224">
        <v>2</v>
      </c>
      <c r="C2" s="230" t="s">
        <v>64</v>
      </c>
      <c r="D2" s="34">
        <v>13</v>
      </c>
      <c r="E2" s="34">
        <v>7</v>
      </c>
      <c r="F2" s="35"/>
      <c r="G2" s="35"/>
      <c r="H2" s="34"/>
      <c r="I2" s="34"/>
      <c r="J2" s="35"/>
      <c r="K2" s="35"/>
      <c r="L2" s="34"/>
      <c r="M2" s="34"/>
      <c r="N2" s="35"/>
      <c r="O2" s="35"/>
      <c r="P2" s="36">
        <f t="shared" si="0"/>
        <v>6</v>
      </c>
      <c r="Q2" s="224">
        <f t="shared" si="1"/>
        <v>1</v>
      </c>
      <c r="Y2" s="30"/>
      <c r="Z2" s="39"/>
      <c r="AA2" s="149" t="s">
        <v>48</v>
      </c>
      <c r="AB2" s="43" t="s">
        <v>49</v>
      </c>
      <c r="AC2" s="31" t="s">
        <v>50</v>
      </c>
      <c r="AD2" s="31" t="s">
        <v>51</v>
      </c>
      <c r="AE2" s="30"/>
      <c r="AG2" t="e">
        <f>#REF!</f>
        <v>#REF!</v>
      </c>
      <c r="AI2" s="192">
        <v>118</v>
      </c>
      <c r="AJ2" s="206">
        <v>60</v>
      </c>
      <c r="AK2" s="7"/>
      <c r="AL2" s="155">
        <v>2</v>
      </c>
      <c r="AM2" s="49" t="s">
        <v>64</v>
      </c>
      <c r="AN2" s="153">
        <v>2</v>
      </c>
      <c r="AO2" s="201" t="s">
        <v>64</v>
      </c>
      <c r="AP2" s="202">
        <v>62</v>
      </c>
      <c r="AQ2" s="7" t="s">
        <v>119</v>
      </c>
      <c r="AR2" s="217"/>
      <c r="AS2" s="218"/>
      <c r="AU2" s="220"/>
      <c r="AV2" s="220"/>
      <c r="AW2" s="220"/>
      <c r="AX2" s="188"/>
      <c r="AY2" s="207"/>
      <c r="AZ2" s="188"/>
      <c r="BA2" s="176"/>
      <c r="BB2" s="177"/>
      <c r="BC2" s="178"/>
      <c r="BD2" s="179"/>
      <c r="BE2" s="179"/>
      <c r="BF2" s="188"/>
      <c r="BG2" s="208"/>
      <c r="BH2" s="188"/>
      <c r="BI2" s="176"/>
      <c r="BJ2" s="177"/>
      <c r="BK2" s="178"/>
      <c r="BL2" s="179"/>
      <c r="BM2" s="187"/>
      <c r="BN2" s="166"/>
      <c r="BQ2">
        <v>2</v>
      </c>
    </row>
    <row r="3" spans="1:69" ht="18.75" thickBot="1">
      <c r="A3" s="140"/>
      <c r="B3" s="140">
        <v>3</v>
      </c>
      <c r="C3" s="198" t="s">
        <v>65</v>
      </c>
      <c r="D3" s="34">
        <v>7</v>
      </c>
      <c r="E3" s="34">
        <v>13</v>
      </c>
      <c r="F3" s="35"/>
      <c r="G3" s="35"/>
      <c r="H3" s="34"/>
      <c r="I3" s="34"/>
      <c r="J3" s="35"/>
      <c r="K3" s="35"/>
      <c r="L3" s="34"/>
      <c r="M3" s="34"/>
      <c r="N3" s="35"/>
      <c r="O3" s="35"/>
      <c r="P3" s="36">
        <f t="shared" si="0"/>
        <v>-6</v>
      </c>
      <c r="Q3" s="136">
        <f t="shared" si="1"/>
        <v>0</v>
      </c>
      <c r="W3" s="161" t="s">
        <v>58</v>
      </c>
      <c r="Y3" s="30"/>
      <c r="Z3" s="40">
        <v>1</v>
      </c>
      <c r="AA3" s="231">
        <v>1</v>
      </c>
      <c r="AB3" s="227" t="str">
        <f ca="1">INDIRECT("c1")</f>
        <v>PETER</v>
      </c>
      <c r="AC3" s="228">
        <f ca="1">INDIRECT("q1")</f>
        <v>1</v>
      </c>
      <c r="AD3" s="228">
        <f ca="1">INDIRECT("p1")</f>
        <v>6</v>
      </c>
      <c r="AE3" s="30"/>
      <c r="AI3" s="46"/>
      <c r="AJ3" s="191" t="s">
        <v>62</v>
      </c>
      <c r="AK3" s="7"/>
      <c r="AL3" s="155">
        <v>3</v>
      </c>
      <c r="AM3" s="49" t="s">
        <v>65</v>
      </c>
      <c r="AN3" s="153">
        <v>3</v>
      </c>
      <c r="AO3" s="201" t="s">
        <v>65</v>
      </c>
      <c r="AP3" s="202">
        <v>63</v>
      </c>
      <c r="AQ3" s="7" t="s">
        <v>120</v>
      </c>
      <c r="AR3" s="217"/>
      <c r="AS3" s="218"/>
      <c r="AU3" s="220"/>
      <c r="AV3" s="220"/>
      <c r="AW3" s="220"/>
      <c r="AX3" s="188"/>
      <c r="AY3" s="207"/>
      <c r="AZ3" s="188"/>
      <c r="BA3" s="48"/>
      <c r="BB3" s="157"/>
      <c r="BC3" s="151"/>
      <c r="BD3" s="152"/>
      <c r="BE3" s="152"/>
      <c r="BF3" s="176"/>
      <c r="BG3" s="208"/>
      <c r="BH3" s="188"/>
      <c r="BI3" s="48"/>
      <c r="BJ3" s="157"/>
      <c r="BK3" s="151"/>
      <c r="BL3" s="152"/>
      <c r="BM3" s="152"/>
      <c r="BN3" s="169"/>
      <c r="BQ3">
        <v>3</v>
      </c>
    </row>
    <row r="4" spans="1:69" ht="18.75" thickBot="1">
      <c r="A4" s="140"/>
      <c r="B4" s="140">
        <v>4</v>
      </c>
      <c r="C4" s="198" t="s">
        <v>66</v>
      </c>
      <c r="D4" s="34">
        <v>7</v>
      </c>
      <c r="E4" s="34">
        <v>13</v>
      </c>
      <c r="F4" s="35"/>
      <c r="G4" s="35"/>
      <c r="H4" s="34"/>
      <c r="I4" s="34"/>
      <c r="J4" s="35"/>
      <c r="K4" s="35"/>
      <c r="L4" s="34"/>
      <c r="M4" s="34"/>
      <c r="N4" s="35"/>
      <c r="O4" s="35"/>
      <c r="P4" s="36">
        <f t="shared" si="0"/>
        <v>-6</v>
      </c>
      <c r="Q4" s="136">
        <f t="shared" si="1"/>
        <v>0</v>
      </c>
      <c r="W4" s="160"/>
      <c r="Y4" s="30"/>
      <c r="Z4" s="40">
        <v>2</v>
      </c>
      <c r="AA4" s="231">
        <v>2</v>
      </c>
      <c r="AB4" s="227" t="str">
        <f ca="1">INDIRECT("c2")</f>
        <v>FRANCIS</v>
      </c>
      <c r="AC4" s="228">
        <f ca="1">INDIRECT("q2")</f>
        <v>1</v>
      </c>
      <c r="AD4" s="228">
        <f ca="1">INDIRECT("p2")</f>
        <v>6</v>
      </c>
      <c r="AE4" s="30"/>
      <c r="AI4" s="190"/>
      <c r="AJ4" s="193">
        <v>58</v>
      </c>
      <c r="AK4" s="7"/>
      <c r="AL4" s="155">
        <v>4</v>
      </c>
      <c r="AM4" s="49" t="s">
        <v>66</v>
      </c>
      <c r="AN4" s="153">
        <v>4</v>
      </c>
      <c r="AO4" s="201" t="s">
        <v>66</v>
      </c>
      <c r="AP4" s="202">
        <v>64</v>
      </c>
      <c r="AQ4" s="7" t="s">
        <v>121</v>
      </c>
      <c r="AR4" s="217"/>
      <c r="AS4" s="218"/>
      <c r="AU4" s="220"/>
      <c r="AV4" s="220"/>
      <c r="AW4" s="220"/>
      <c r="AX4" s="188"/>
      <c r="AY4" s="207"/>
      <c r="AZ4" s="188"/>
      <c r="BA4" s="48"/>
      <c r="BB4" s="48"/>
      <c r="BC4" s="151"/>
      <c r="BD4" s="152"/>
      <c r="BE4" s="152"/>
      <c r="BF4" s="176"/>
      <c r="BG4" s="209"/>
      <c r="BH4" s="188"/>
      <c r="BI4" s="48"/>
      <c r="BJ4" s="157"/>
      <c r="BK4" s="151"/>
      <c r="BL4" s="152"/>
      <c r="BM4" s="152"/>
      <c r="BN4" s="169"/>
      <c r="BQ4">
        <v>4</v>
      </c>
    </row>
    <row r="5" spans="1:69" ht="18.75" thickBot="1">
      <c r="A5" s="140"/>
      <c r="B5" s="229">
        <v>5</v>
      </c>
      <c r="C5" s="230" t="s">
        <v>67</v>
      </c>
      <c r="D5" s="34">
        <v>13</v>
      </c>
      <c r="E5" s="34">
        <v>7</v>
      </c>
      <c r="F5" s="35"/>
      <c r="G5" s="35"/>
      <c r="H5" s="34"/>
      <c r="I5" s="34"/>
      <c r="J5" s="35"/>
      <c r="K5" s="35"/>
      <c r="L5" s="34"/>
      <c r="M5" s="34"/>
      <c r="N5" s="35"/>
      <c r="O5" s="35"/>
      <c r="P5" s="36">
        <f t="shared" si="0"/>
        <v>6</v>
      </c>
      <c r="Q5" s="224">
        <f t="shared" si="1"/>
        <v>1</v>
      </c>
      <c r="W5" s="160"/>
      <c r="Y5" s="30"/>
      <c r="Z5" s="40">
        <v>3</v>
      </c>
      <c r="AA5" s="48">
        <v>3</v>
      </c>
      <c r="AB5" s="151" t="str">
        <f ca="1">INDIRECT("c3")</f>
        <v>MARCO</v>
      </c>
      <c r="AC5" s="152">
        <f ca="1">INDIRECT("q3")</f>
        <v>0</v>
      </c>
      <c r="AD5" s="152">
        <f ca="1">INDIRECT("p3")</f>
        <v>-6</v>
      </c>
      <c r="AE5" s="30"/>
      <c r="AI5" s="194">
        <f>AI2+AI4</f>
        <v>118</v>
      </c>
      <c r="AJ5" s="194">
        <f>AJ2+AJ4</f>
        <v>118</v>
      </c>
      <c r="AK5" s="7"/>
      <c r="AL5" s="156">
        <v>5</v>
      </c>
      <c r="AM5" s="49" t="s">
        <v>67</v>
      </c>
      <c r="AN5" s="153">
        <v>5</v>
      </c>
      <c r="AO5" s="201" t="s">
        <v>67</v>
      </c>
      <c r="AP5" s="202">
        <v>65</v>
      </c>
      <c r="AQ5" s="7" t="s">
        <v>122</v>
      </c>
      <c r="AR5" s="217"/>
      <c r="AS5" s="218"/>
      <c r="AU5" s="220"/>
      <c r="AV5" s="220"/>
      <c r="AW5" s="220"/>
      <c r="AX5" s="188"/>
      <c r="AY5" s="207"/>
      <c r="AZ5" s="188"/>
      <c r="BA5" s="48"/>
      <c r="BB5" s="157"/>
      <c r="BC5" s="151"/>
      <c r="BD5" s="152"/>
      <c r="BE5" s="152"/>
      <c r="BF5" s="176"/>
      <c r="BG5" s="209"/>
      <c r="BH5" s="188"/>
      <c r="BI5" s="48"/>
      <c r="BJ5" s="157"/>
      <c r="BK5" s="151"/>
      <c r="BL5" s="152"/>
      <c r="BM5" s="152"/>
      <c r="BN5" s="169"/>
      <c r="BQ5">
        <v>5</v>
      </c>
    </row>
    <row r="6" spans="1:69">
      <c r="A6" s="140"/>
      <c r="B6" s="140">
        <v>6</v>
      </c>
      <c r="C6" s="198" t="s">
        <v>68</v>
      </c>
      <c r="D6" s="34">
        <v>7</v>
      </c>
      <c r="E6" s="34">
        <v>13</v>
      </c>
      <c r="F6" s="35"/>
      <c r="G6" s="35"/>
      <c r="H6" s="34"/>
      <c r="I6" s="34"/>
      <c r="J6" s="35"/>
      <c r="K6" s="35"/>
      <c r="L6" s="34"/>
      <c r="M6" s="34"/>
      <c r="N6" s="35"/>
      <c r="O6" s="35"/>
      <c r="P6" s="36">
        <f t="shared" si="0"/>
        <v>-6</v>
      </c>
      <c r="Q6" s="136">
        <f t="shared" si="1"/>
        <v>0</v>
      </c>
      <c r="R6" s="159"/>
      <c r="S6" s="170"/>
      <c r="W6" s="160"/>
      <c r="Y6" s="30"/>
      <c r="Z6" s="40">
        <v>4</v>
      </c>
      <c r="AA6" s="48">
        <v>4</v>
      </c>
      <c r="AB6" s="151" t="str">
        <f ca="1">INDIRECT("c4")</f>
        <v>DENISE</v>
      </c>
      <c r="AC6" s="152">
        <f ca="1">INDIRECT("q4")</f>
        <v>0</v>
      </c>
      <c r="AD6" s="152">
        <f ca="1">INDIRECT("p4")</f>
        <v>-6</v>
      </c>
      <c r="AE6" s="30"/>
      <c r="AK6" s="7"/>
      <c r="AL6" s="156">
        <v>6</v>
      </c>
      <c r="AM6" s="49" t="s">
        <v>68</v>
      </c>
      <c r="AN6" s="153">
        <v>6</v>
      </c>
      <c r="AO6" s="201" t="s">
        <v>68</v>
      </c>
      <c r="AP6" s="202">
        <v>66</v>
      </c>
      <c r="AQ6" s="7" t="s">
        <v>123</v>
      </c>
      <c r="AR6" s="217"/>
      <c r="AS6" s="218"/>
      <c r="AU6" s="220"/>
      <c r="AV6" s="220"/>
      <c r="AW6" s="220"/>
      <c r="AX6" s="188"/>
      <c r="AY6" s="207"/>
      <c r="AZ6" s="188"/>
      <c r="BA6" s="48"/>
      <c r="BB6" s="157"/>
      <c r="BC6" s="151"/>
      <c r="BD6" s="152"/>
      <c r="BE6" s="152"/>
      <c r="BF6" s="176"/>
      <c r="BG6" s="209"/>
      <c r="BH6" s="188"/>
      <c r="BI6" s="48"/>
      <c r="BJ6" s="157"/>
      <c r="BK6" s="151"/>
      <c r="BL6" s="152"/>
      <c r="BM6" s="152"/>
      <c r="BN6" s="169"/>
      <c r="BQ6">
        <v>6</v>
      </c>
    </row>
    <row r="7" spans="1:69">
      <c r="A7" s="140"/>
      <c r="B7" s="229">
        <v>7</v>
      </c>
      <c r="C7" s="230" t="s">
        <v>69</v>
      </c>
      <c r="D7" s="34">
        <v>13</v>
      </c>
      <c r="E7" s="34">
        <v>7</v>
      </c>
      <c r="F7" s="35"/>
      <c r="G7" s="35"/>
      <c r="H7" s="34"/>
      <c r="I7" s="34"/>
      <c r="J7" s="35"/>
      <c r="K7" s="35"/>
      <c r="L7" s="34"/>
      <c r="M7" s="34"/>
      <c r="N7" s="35"/>
      <c r="O7" s="35"/>
      <c r="P7" s="36">
        <f t="shared" si="0"/>
        <v>6</v>
      </c>
      <c r="Q7" s="224">
        <f t="shared" si="1"/>
        <v>1</v>
      </c>
      <c r="R7" s="159"/>
      <c r="S7" s="170"/>
      <c r="W7" s="160"/>
      <c r="Y7" s="30"/>
      <c r="Z7" s="40">
        <v>5</v>
      </c>
      <c r="AA7" s="231">
        <v>5</v>
      </c>
      <c r="AB7" s="227" t="str">
        <f ca="1">INDIRECT("c5")</f>
        <v>YVON</v>
      </c>
      <c r="AC7" s="228">
        <f ca="1">INDIRECT("q5")</f>
        <v>1</v>
      </c>
      <c r="AD7" s="228">
        <f ca="1">INDIRECT("p5")</f>
        <v>6</v>
      </c>
      <c r="AE7" s="30"/>
      <c r="AI7" s="32"/>
      <c r="AK7" s="7"/>
      <c r="AL7" s="156">
        <v>7</v>
      </c>
      <c r="AM7" s="49" t="s">
        <v>69</v>
      </c>
      <c r="AN7" s="153">
        <v>7</v>
      </c>
      <c r="AO7" s="201" t="s">
        <v>69</v>
      </c>
      <c r="AP7" s="202">
        <v>67</v>
      </c>
      <c r="AQ7" s="7" t="s">
        <v>124</v>
      </c>
      <c r="AR7" s="217"/>
      <c r="AS7" s="218"/>
      <c r="AU7" s="220"/>
      <c r="AV7" s="220"/>
      <c r="AW7" s="220"/>
      <c r="AX7" s="188"/>
      <c r="AY7" s="207"/>
      <c r="AZ7" s="188"/>
      <c r="BA7" s="48"/>
      <c r="BB7" s="157"/>
      <c r="BC7" s="151"/>
      <c r="BD7" s="152"/>
      <c r="BE7" s="152"/>
      <c r="BF7" s="176"/>
      <c r="BG7" s="208"/>
      <c r="BH7" s="188"/>
      <c r="BI7" s="48"/>
      <c r="BJ7" s="157"/>
      <c r="BK7" s="151"/>
      <c r="BL7" s="152"/>
      <c r="BM7" s="152"/>
      <c r="BN7" s="169"/>
      <c r="BQ7">
        <v>7</v>
      </c>
    </row>
    <row r="8" spans="1:69">
      <c r="A8" s="140"/>
      <c r="B8" s="229">
        <v>8</v>
      </c>
      <c r="C8" s="230" t="s">
        <v>70</v>
      </c>
      <c r="D8" s="34">
        <v>13</v>
      </c>
      <c r="E8" s="34">
        <v>7</v>
      </c>
      <c r="F8" s="35"/>
      <c r="G8" s="35"/>
      <c r="H8" s="34"/>
      <c r="I8" s="34"/>
      <c r="J8" s="35"/>
      <c r="K8" s="35"/>
      <c r="L8" s="34"/>
      <c r="M8" s="34"/>
      <c r="N8" s="35"/>
      <c r="O8" s="35"/>
      <c r="P8" s="36">
        <f t="shared" si="0"/>
        <v>6</v>
      </c>
      <c r="Q8" s="224">
        <f t="shared" si="1"/>
        <v>1</v>
      </c>
      <c r="R8" s="159"/>
      <c r="S8" s="170"/>
      <c r="W8" s="160"/>
      <c r="Y8" s="30"/>
      <c r="Z8" s="40">
        <v>6</v>
      </c>
      <c r="AA8" s="48">
        <v>6</v>
      </c>
      <c r="AB8" s="151" t="str">
        <f ca="1">INDIRECT("c6")</f>
        <v>JACQUES</v>
      </c>
      <c r="AC8" s="152">
        <f ca="1">INDIRECT("q6")</f>
        <v>0</v>
      </c>
      <c r="AD8" s="152">
        <f ca="1">INDIRECT("p6")</f>
        <v>-6</v>
      </c>
      <c r="AE8" s="30"/>
      <c r="AI8" s="32"/>
      <c r="AK8" s="7"/>
      <c r="AL8" s="156">
        <v>8</v>
      </c>
      <c r="AM8" s="49" t="s">
        <v>70</v>
      </c>
      <c r="AN8" s="153">
        <v>8</v>
      </c>
      <c r="AO8" s="201" t="s">
        <v>70</v>
      </c>
      <c r="AP8" s="202">
        <v>68</v>
      </c>
      <c r="AQ8" s="7" t="s">
        <v>125</v>
      </c>
      <c r="AR8" s="217"/>
      <c r="AS8" s="218"/>
      <c r="AU8" s="220"/>
      <c r="AV8" s="220"/>
      <c r="AW8" s="220"/>
      <c r="AX8" s="188"/>
      <c r="AY8" s="207"/>
      <c r="AZ8" s="188"/>
      <c r="BA8" s="48"/>
      <c r="BB8" s="157"/>
      <c r="BC8" s="151"/>
      <c r="BD8" s="152"/>
      <c r="BE8" s="152"/>
      <c r="BF8" s="176"/>
      <c r="BG8" s="208"/>
      <c r="BH8" s="188"/>
      <c r="BI8" s="48"/>
      <c r="BJ8" s="48"/>
      <c r="BK8" s="151"/>
      <c r="BL8" s="152"/>
      <c r="BM8" s="152"/>
      <c r="BN8" s="169"/>
      <c r="BQ8">
        <v>8</v>
      </c>
    </row>
    <row r="9" spans="1:69">
      <c r="A9" s="140"/>
      <c r="B9" s="229">
        <v>9</v>
      </c>
      <c r="C9" s="230" t="s">
        <v>71</v>
      </c>
      <c r="D9" s="34">
        <v>13</v>
      </c>
      <c r="E9" s="34">
        <v>7</v>
      </c>
      <c r="F9" s="35"/>
      <c r="G9" s="35"/>
      <c r="H9" s="34"/>
      <c r="I9" s="34"/>
      <c r="J9" s="35"/>
      <c r="K9" s="35"/>
      <c r="L9" s="34"/>
      <c r="M9" s="34"/>
      <c r="N9" s="35"/>
      <c r="O9" s="35"/>
      <c r="P9" s="36">
        <f t="shared" si="0"/>
        <v>6</v>
      </c>
      <c r="Q9" s="224">
        <f t="shared" si="1"/>
        <v>1</v>
      </c>
      <c r="R9" s="159"/>
      <c r="Y9" s="30"/>
      <c r="Z9" s="40">
        <v>7</v>
      </c>
      <c r="AA9" s="231">
        <v>7</v>
      </c>
      <c r="AB9" s="227" t="str">
        <f ca="1">INDIRECT("c7")</f>
        <v>PIERRE</v>
      </c>
      <c r="AC9" s="228">
        <f ca="1">INDIRECT("q7")</f>
        <v>1</v>
      </c>
      <c r="AD9" s="228">
        <f ca="1">INDIRECT("p7")</f>
        <v>6</v>
      </c>
      <c r="AE9" s="30"/>
      <c r="AI9" s="32"/>
      <c r="AK9" s="7"/>
      <c r="AL9" s="156">
        <v>9</v>
      </c>
      <c r="AM9" s="49" t="s">
        <v>71</v>
      </c>
      <c r="AN9" s="153">
        <v>9</v>
      </c>
      <c r="AO9" s="201" t="s">
        <v>71</v>
      </c>
      <c r="AP9" s="202">
        <v>69</v>
      </c>
      <c r="AQ9" s="7" t="s">
        <v>126</v>
      </c>
      <c r="AR9" s="217"/>
      <c r="AS9" s="218"/>
      <c r="AU9" s="220"/>
      <c r="AV9" s="220"/>
      <c r="AW9" s="220"/>
      <c r="AX9" s="188"/>
      <c r="AY9" s="207"/>
      <c r="AZ9" s="188"/>
      <c r="BA9" s="48"/>
      <c r="BB9" s="157"/>
      <c r="BC9" s="151"/>
      <c r="BD9" s="152"/>
      <c r="BE9" s="152"/>
      <c r="BF9" s="176"/>
      <c r="BG9" s="208"/>
      <c r="BH9" s="188"/>
      <c r="BI9" s="48"/>
      <c r="BJ9" s="157"/>
      <c r="BK9" s="151"/>
      <c r="BL9" s="152"/>
      <c r="BM9" s="152"/>
      <c r="BN9" s="169"/>
      <c r="BQ9">
        <v>9</v>
      </c>
    </row>
    <row r="10" spans="1:69">
      <c r="A10" s="140"/>
      <c r="B10" s="229">
        <v>10</v>
      </c>
      <c r="C10" s="230" t="s">
        <v>63</v>
      </c>
      <c r="D10" s="34">
        <v>13</v>
      </c>
      <c r="E10" s="34">
        <v>7</v>
      </c>
      <c r="F10" s="35"/>
      <c r="G10" s="35"/>
      <c r="H10" s="34"/>
      <c r="I10" s="34"/>
      <c r="J10" s="35"/>
      <c r="K10" s="35"/>
      <c r="L10" s="34"/>
      <c r="M10" s="34"/>
      <c r="N10" s="35"/>
      <c r="O10" s="35"/>
      <c r="P10" s="36">
        <f t="shared" si="0"/>
        <v>6</v>
      </c>
      <c r="Q10" s="224">
        <f t="shared" si="1"/>
        <v>1</v>
      </c>
      <c r="R10" s="159"/>
      <c r="W10" s="162" t="s">
        <v>56</v>
      </c>
      <c r="Y10" s="30"/>
      <c r="Z10" s="40">
        <v>8</v>
      </c>
      <c r="AA10" s="231">
        <v>8</v>
      </c>
      <c r="AB10" s="227" t="str">
        <f ca="1">INDIRECT("c8")</f>
        <v>THIBAULT</v>
      </c>
      <c r="AC10" s="228">
        <f ca="1">INDIRECT("q8")</f>
        <v>1</v>
      </c>
      <c r="AD10" s="228">
        <f ca="1">INDIRECT("p8")</f>
        <v>6</v>
      </c>
      <c r="AE10" s="30"/>
      <c r="AG10" s="7"/>
      <c r="AI10" s="32"/>
      <c r="AK10" s="7"/>
      <c r="AL10" s="156">
        <v>10</v>
      </c>
      <c r="AM10" s="49" t="s">
        <v>63</v>
      </c>
      <c r="AN10" s="153">
        <v>10</v>
      </c>
      <c r="AO10" s="201" t="s">
        <v>63</v>
      </c>
      <c r="AP10" s="202">
        <v>70</v>
      </c>
      <c r="AQ10" s="7" t="s">
        <v>127</v>
      </c>
      <c r="AR10" s="217"/>
      <c r="AS10" s="218"/>
      <c r="AU10" s="220"/>
      <c r="AV10" s="220"/>
      <c r="AW10" s="220"/>
      <c r="AX10" s="188"/>
      <c r="AY10" s="207"/>
      <c r="AZ10" s="188"/>
      <c r="BA10" s="48"/>
      <c r="BB10" s="157"/>
      <c r="BC10" s="151"/>
      <c r="BD10" s="152"/>
      <c r="BE10" s="152"/>
      <c r="BF10" s="176"/>
      <c r="BG10" s="208"/>
      <c r="BH10" s="188"/>
      <c r="BI10" s="48"/>
      <c r="BJ10" s="48"/>
      <c r="BK10" s="151"/>
      <c r="BL10" s="152"/>
      <c r="BM10" s="152"/>
      <c r="BN10" s="169"/>
      <c r="BQ10">
        <v>10</v>
      </c>
    </row>
    <row r="11" spans="1:69">
      <c r="A11" s="140"/>
      <c r="B11" s="140">
        <v>11</v>
      </c>
      <c r="C11" s="198" t="s">
        <v>72</v>
      </c>
      <c r="D11" s="34">
        <v>7</v>
      </c>
      <c r="E11" s="34">
        <v>13</v>
      </c>
      <c r="F11" s="35"/>
      <c r="G11" s="35"/>
      <c r="H11" s="34"/>
      <c r="I11" s="34"/>
      <c r="J11" s="35"/>
      <c r="K11" s="35"/>
      <c r="L11" s="34"/>
      <c r="M11" s="34"/>
      <c r="N11" s="35"/>
      <c r="O11" s="35"/>
      <c r="P11" s="36">
        <f t="shared" si="0"/>
        <v>-6</v>
      </c>
      <c r="Q11" s="136">
        <f t="shared" si="1"/>
        <v>0</v>
      </c>
      <c r="R11" s="159"/>
      <c r="W11" s="30"/>
      <c r="Y11" s="30"/>
      <c r="Z11" s="40">
        <v>9</v>
      </c>
      <c r="AA11" s="231">
        <v>9</v>
      </c>
      <c r="AB11" s="227" t="str">
        <f ca="1">INDIRECT("c9")</f>
        <v>SEBASTIEN</v>
      </c>
      <c r="AC11" s="228">
        <f ca="1">INDIRECT("q9")</f>
        <v>1</v>
      </c>
      <c r="AD11" s="228">
        <f ca="1">INDIRECT("p9")</f>
        <v>6</v>
      </c>
      <c r="AE11" s="30"/>
      <c r="AG11" s="7"/>
      <c r="AI11" s="32"/>
      <c r="AK11" s="7"/>
      <c r="AL11" s="156">
        <v>11</v>
      </c>
      <c r="AM11" s="49" t="s">
        <v>72</v>
      </c>
      <c r="AN11" s="153">
        <v>11</v>
      </c>
      <c r="AO11" s="201" t="s">
        <v>72</v>
      </c>
      <c r="AP11" s="202">
        <v>71</v>
      </c>
      <c r="AQ11" s="7" t="s">
        <v>128</v>
      </c>
      <c r="AR11" s="217"/>
      <c r="AS11" s="218"/>
      <c r="AU11" s="220"/>
      <c r="AV11" s="220"/>
      <c r="AW11" s="220"/>
      <c r="AX11" s="188"/>
      <c r="AY11" s="207"/>
      <c r="AZ11" s="188"/>
      <c r="BA11" s="48"/>
      <c r="BB11" s="48"/>
      <c r="BC11" s="151"/>
      <c r="BD11" s="152"/>
      <c r="BE11" s="152"/>
      <c r="BF11" s="176"/>
      <c r="BG11" s="208"/>
      <c r="BH11" s="188"/>
      <c r="BI11" s="48"/>
      <c r="BJ11" s="48"/>
      <c r="BK11" s="151"/>
      <c r="BL11" s="152"/>
      <c r="BM11" s="152"/>
      <c r="BN11" s="169"/>
      <c r="BQ11">
        <v>11</v>
      </c>
    </row>
    <row r="12" spans="1:69">
      <c r="A12" s="140"/>
      <c r="B12" s="140">
        <v>12</v>
      </c>
      <c r="C12" s="198" t="s">
        <v>73</v>
      </c>
      <c r="D12" s="34">
        <v>7</v>
      </c>
      <c r="E12" s="34">
        <v>13</v>
      </c>
      <c r="F12" s="35"/>
      <c r="G12" s="35"/>
      <c r="H12" s="34"/>
      <c r="I12" s="34"/>
      <c r="J12" s="35"/>
      <c r="K12" s="35"/>
      <c r="L12" s="34"/>
      <c r="M12" s="34"/>
      <c r="N12" s="35"/>
      <c r="O12" s="35"/>
      <c r="P12" s="36">
        <f t="shared" si="0"/>
        <v>-6</v>
      </c>
      <c r="Q12" s="136">
        <f t="shared" si="1"/>
        <v>0</v>
      </c>
      <c r="R12" s="159"/>
      <c r="W12" s="30"/>
      <c r="Y12" s="30"/>
      <c r="Z12" s="40">
        <v>10</v>
      </c>
      <c r="AA12" s="231">
        <v>10</v>
      </c>
      <c r="AB12" s="227" t="str">
        <f ca="1">INDIRECT("c10")</f>
        <v>PETER</v>
      </c>
      <c r="AC12" s="228">
        <f ca="1">INDIRECT("q10")</f>
        <v>1</v>
      </c>
      <c r="AD12" s="228">
        <f ca="1">INDIRECT("p10")</f>
        <v>6</v>
      </c>
      <c r="AE12" s="30"/>
      <c r="AI12" s="32"/>
      <c r="AK12" s="7"/>
      <c r="AL12" s="156">
        <v>12</v>
      </c>
      <c r="AM12" s="49" t="s">
        <v>73</v>
      </c>
      <c r="AN12" s="212">
        <v>12</v>
      </c>
      <c r="AO12" s="204" t="s">
        <v>73</v>
      </c>
      <c r="AP12" s="202">
        <v>72</v>
      </c>
      <c r="AQ12" s="129" t="s">
        <v>129</v>
      </c>
      <c r="AR12" s="217"/>
      <c r="AS12" s="218"/>
      <c r="AU12" s="220"/>
      <c r="AV12" s="220"/>
      <c r="AW12" s="220"/>
      <c r="AX12" s="188"/>
      <c r="AY12" s="207"/>
      <c r="AZ12" s="188"/>
      <c r="BA12" s="48"/>
      <c r="BB12" s="157"/>
      <c r="BC12" s="151"/>
      <c r="BD12" s="152"/>
      <c r="BE12" s="152"/>
      <c r="BF12" s="176"/>
      <c r="BG12" s="208"/>
      <c r="BH12" s="188"/>
      <c r="BI12" s="48"/>
      <c r="BJ12" s="157"/>
      <c r="BK12" s="151"/>
      <c r="BL12" s="152"/>
      <c r="BM12" s="152"/>
      <c r="BN12" s="169"/>
      <c r="BQ12">
        <v>12</v>
      </c>
    </row>
    <row r="13" spans="1:69">
      <c r="A13" s="140"/>
      <c r="B13" s="229">
        <v>13</v>
      </c>
      <c r="C13" s="230" t="s">
        <v>74</v>
      </c>
      <c r="D13" s="34">
        <v>13</v>
      </c>
      <c r="E13" s="34">
        <v>7</v>
      </c>
      <c r="F13" s="35"/>
      <c r="G13" s="35"/>
      <c r="H13" s="34"/>
      <c r="I13" s="34"/>
      <c r="J13" s="35"/>
      <c r="K13" s="35"/>
      <c r="L13" s="34"/>
      <c r="M13" s="34"/>
      <c r="N13" s="35"/>
      <c r="O13" s="35"/>
      <c r="P13" s="36">
        <f t="shared" si="0"/>
        <v>6</v>
      </c>
      <c r="Q13" s="224">
        <f t="shared" si="1"/>
        <v>1</v>
      </c>
      <c r="R13" s="159"/>
      <c r="W13" s="30"/>
      <c r="Y13" s="30"/>
      <c r="Z13" s="33">
        <v>11</v>
      </c>
      <c r="AA13" s="157">
        <v>11</v>
      </c>
      <c r="AB13" s="151" t="str">
        <f ca="1">INDIRECT("c11")</f>
        <v>JOHN</v>
      </c>
      <c r="AC13" s="152">
        <f ca="1">INDIRECT("q11")</f>
        <v>0</v>
      </c>
      <c r="AD13" s="152">
        <f ca="1">INDIRECT("p11")</f>
        <v>-6</v>
      </c>
      <c r="AE13" s="30"/>
      <c r="AI13" s="32"/>
      <c r="AK13" s="7"/>
      <c r="AL13" s="156">
        <v>13</v>
      </c>
      <c r="AM13" s="49" t="s">
        <v>74</v>
      </c>
      <c r="AN13" s="202">
        <v>13</v>
      </c>
      <c r="AO13" s="129" t="s">
        <v>74</v>
      </c>
      <c r="AP13" s="202">
        <v>73</v>
      </c>
      <c r="AQ13" s="129" t="s">
        <v>130</v>
      </c>
      <c r="AR13" s="217"/>
      <c r="AS13" s="218"/>
      <c r="AU13" s="220"/>
      <c r="AV13" s="220"/>
      <c r="AW13" s="220"/>
      <c r="AX13" s="188"/>
      <c r="AY13" s="207"/>
      <c r="AZ13" s="188"/>
      <c r="BA13" s="157"/>
      <c r="BB13" s="157"/>
      <c r="BC13" s="151"/>
      <c r="BD13" s="152"/>
      <c r="BE13" s="152"/>
      <c r="BF13" s="176"/>
      <c r="BG13" s="208"/>
      <c r="BH13" s="188"/>
      <c r="BI13" s="157"/>
      <c r="BJ13" s="157"/>
      <c r="BK13" s="151"/>
      <c r="BL13" s="152"/>
      <c r="BM13" s="152"/>
      <c r="BN13" s="169"/>
      <c r="BQ13">
        <v>13</v>
      </c>
    </row>
    <row r="14" spans="1:69">
      <c r="A14" s="140"/>
      <c r="B14" s="229">
        <v>14</v>
      </c>
      <c r="C14" s="230" t="s">
        <v>75</v>
      </c>
      <c r="D14" s="34">
        <v>13</v>
      </c>
      <c r="E14" s="34">
        <v>7</v>
      </c>
      <c r="F14" s="35"/>
      <c r="G14" s="35"/>
      <c r="H14" s="34"/>
      <c r="I14" s="34"/>
      <c r="J14" s="35"/>
      <c r="K14" s="35"/>
      <c r="L14" s="34"/>
      <c r="M14" s="34"/>
      <c r="N14" s="35"/>
      <c r="O14" s="35"/>
      <c r="P14" s="36">
        <f t="shared" si="0"/>
        <v>6</v>
      </c>
      <c r="Q14" s="224">
        <f t="shared" si="1"/>
        <v>1</v>
      </c>
      <c r="R14" s="159"/>
      <c r="W14" s="30"/>
      <c r="Y14" s="30"/>
      <c r="Z14" s="33">
        <v>12</v>
      </c>
      <c r="AA14" s="157">
        <v>12</v>
      </c>
      <c r="AB14" s="151" t="str">
        <f ca="1">INDIRECT("c12")</f>
        <v>ALAIN</v>
      </c>
      <c r="AC14" s="152">
        <f ca="1">INDIRECT("q12")</f>
        <v>0</v>
      </c>
      <c r="AD14" s="152">
        <f ca="1">INDIRECT("p12")</f>
        <v>-6</v>
      </c>
      <c r="AE14" s="30"/>
      <c r="AK14" s="7"/>
      <c r="AL14" s="156">
        <v>14</v>
      </c>
      <c r="AM14" s="49" t="s">
        <v>75</v>
      </c>
      <c r="AN14" s="212">
        <v>14</v>
      </c>
      <c r="AO14" s="204" t="s">
        <v>75</v>
      </c>
      <c r="AP14" s="202">
        <v>74</v>
      </c>
      <c r="AQ14" s="129" t="s">
        <v>131</v>
      </c>
      <c r="AR14" s="217"/>
      <c r="AS14" s="218"/>
      <c r="AU14" s="220"/>
      <c r="AV14" s="220"/>
      <c r="AW14" s="220"/>
      <c r="AX14" s="188"/>
      <c r="AY14" s="207"/>
      <c r="AZ14" s="188"/>
      <c r="BA14" s="157"/>
      <c r="BB14" s="157"/>
      <c r="BC14" s="151"/>
      <c r="BD14" s="152"/>
      <c r="BE14" s="152"/>
      <c r="BF14" s="176"/>
      <c r="BG14" s="208"/>
      <c r="BH14" s="188"/>
      <c r="BI14" s="157"/>
      <c r="BJ14" s="157"/>
      <c r="BK14" s="151"/>
      <c r="BL14" s="152"/>
      <c r="BM14" s="152"/>
      <c r="BN14" s="169"/>
      <c r="BQ14">
        <v>14</v>
      </c>
    </row>
    <row r="15" spans="1:69">
      <c r="A15" s="140"/>
      <c r="B15" s="229">
        <v>15</v>
      </c>
      <c r="C15" s="230" t="s">
        <v>76</v>
      </c>
      <c r="D15" s="34">
        <v>13</v>
      </c>
      <c r="E15" s="34">
        <v>7</v>
      </c>
      <c r="F15" s="35"/>
      <c r="G15" s="35"/>
      <c r="H15" s="34"/>
      <c r="I15" s="34"/>
      <c r="J15" s="35"/>
      <c r="K15" s="35"/>
      <c r="L15" s="34"/>
      <c r="M15" s="34"/>
      <c r="N15" s="35"/>
      <c r="O15" s="35"/>
      <c r="P15" s="36">
        <f t="shared" si="0"/>
        <v>6</v>
      </c>
      <c r="Q15" s="224">
        <f t="shared" si="1"/>
        <v>1</v>
      </c>
      <c r="R15" s="159"/>
      <c r="W15" s="30"/>
      <c r="Y15" s="30"/>
      <c r="Z15" s="33">
        <v>13</v>
      </c>
      <c r="AA15" s="226">
        <v>13</v>
      </c>
      <c r="AB15" s="227" t="str">
        <f ca="1">INDIRECT("c13")</f>
        <v>JEAN PIERRE</v>
      </c>
      <c r="AC15" s="228">
        <f ca="1">INDIRECT("q13")</f>
        <v>1</v>
      </c>
      <c r="AD15" s="228">
        <f ca="1">INDIRECT("p13")</f>
        <v>6</v>
      </c>
      <c r="AE15" s="30"/>
      <c r="AK15" s="7"/>
      <c r="AL15" s="156">
        <v>15</v>
      </c>
      <c r="AM15" s="49" t="s">
        <v>76</v>
      </c>
      <c r="AN15" s="212">
        <v>15</v>
      </c>
      <c r="AO15" s="204" t="s">
        <v>76</v>
      </c>
      <c r="AP15" s="202">
        <v>75</v>
      </c>
      <c r="AQ15" s="129" t="s">
        <v>132</v>
      </c>
      <c r="AR15" s="217"/>
      <c r="AS15" s="218"/>
      <c r="AU15" s="220"/>
      <c r="AV15" s="220"/>
      <c r="AW15" s="220"/>
      <c r="AX15" s="188"/>
      <c r="AY15" s="207"/>
      <c r="AZ15" s="188"/>
      <c r="BA15" s="157"/>
      <c r="BB15" s="157"/>
      <c r="BC15" s="151"/>
      <c r="BD15" s="152"/>
      <c r="BE15" s="152"/>
      <c r="BF15" s="176"/>
      <c r="BG15" s="208"/>
      <c r="BH15" s="188"/>
      <c r="BI15" s="157"/>
      <c r="BJ15" s="48"/>
      <c r="BK15" s="151"/>
      <c r="BL15" s="152"/>
      <c r="BM15" s="152"/>
      <c r="BN15" s="169"/>
      <c r="BQ15">
        <v>15</v>
      </c>
    </row>
    <row r="16" spans="1:69">
      <c r="A16" s="140"/>
      <c r="B16" s="229">
        <v>16</v>
      </c>
      <c r="C16" s="230" t="s">
        <v>77</v>
      </c>
      <c r="D16" s="34">
        <v>13</v>
      </c>
      <c r="E16" s="34">
        <v>7</v>
      </c>
      <c r="F16" s="35"/>
      <c r="G16" s="35"/>
      <c r="H16" s="34"/>
      <c r="I16" s="34"/>
      <c r="J16" s="35"/>
      <c r="K16" s="35"/>
      <c r="L16" s="34"/>
      <c r="M16" s="34"/>
      <c r="N16" s="35"/>
      <c r="O16" s="35"/>
      <c r="P16" s="36">
        <f t="shared" si="0"/>
        <v>6</v>
      </c>
      <c r="Q16" s="224">
        <f t="shared" si="1"/>
        <v>1</v>
      </c>
      <c r="R16" s="159"/>
      <c r="W16" s="30"/>
      <c r="Y16" s="30"/>
      <c r="Z16" s="33">
        <v>14</v>
      </c>
      <c r="AA16" s="226">
        <v>14</v>
      </c>
      <c r="AB16" s="227" t="str">
        <f ca="1">INDIRECT("c14")</f>
        <v>CHRISTOPHE</v>
      </c>
      <c r="AC16" s="228">
        <f ca="1">INDIRECT("q14")</f>
        <v>1</v>
      </c>
      <c r="AD16" s="228">
        <f ca="1">INDIRECT("p14")</f>
        <v>6</v>
      </c>
      <c r="AE16" s="30"/>
      <c r="AK16" s="7"/>
      <c r="AL16" s="156">
        <v>16</v>
      </c>
      <c r="AM16" s="49" t="s">
        <v>77</v>
      </c>
      <c r="AN16" s="212">
        <v>16</v>
      </c>
      <c r="AO16" s="204" t="s">
        <v>77</v>
      </c>
      <c r="AP16" s="202">
        <v>76</v>
      </c>
      <c r="AQ16" s="129" t="s">
        <v>133</v>
      </c>
      <c r="AR16" s="217"/>
      <c r="AS16" s="218"/>
      <c r="AU16" s="221"/>
      <c r="AV16" s="220"/>
      <c r="AW16" s="220"/>
      <c r="AX16" s="188"/>
      <c r="AY16" s="207"/>
      <c r="AZ16" s="188"/>
      <c r="BA16" s="157"/>
      <c r="BB16" s="157"/>
      <c r="BC16" s="151"/>
      <c r="BD16" s="152"/>
      <c r="BE16" s="152"/>
      <c r="BF16" s="176"/>
      <c r="BG16" s="208"/>
      <c r="BH16" s="188"/>
      <c r="BI16" s="157"/>
      <c r="BJ16" s="157"/>
      <c r="BK16" s="151"/>
      <c r="BL16" s="152"/>
      <c r="BM16" s="152"/>
      <c r="BN16" s="169"/>
      <c r="BQ16">
        <v>16</v>
      </c>
    </row>
    <row r="17" spans="1:69">
      <c r="A17" s="140"/>
      <c r="B17" s="229">
        <v>17</v>
      </c>
      <c r="C17" s="230" t="s">
        <v>78</v>
      </c>
      <c r="D17" s="34">
        <v>13</v>
      </c>
      <c r="E17" s="34">
        <v>7</v>
      </c>
      <c r="F17" s="35"/>
      <c r="G17" s="35"/>
      <c r="H17" s="34"/>
      <c r="I17" s="34"/>
      <c r="J17" s="35"/>
      <c r="K17" s="35"/>
      <c r="L17" s="34"/>
      <c r="M17" s="34"/>
      <c r="N17" s="35"/>
      <c r="O17" s="35"/>
      <c r="P17" s="36">
        <f t="shared" si="0"/>
        <v>6</v>
      </c>
      <c r="Q17" s="224">
        <f t="shared" si="1"/>
        <v>1</v>
      </c>
      <c r="R17" s="159"/>
      <c r="Y17" s="30"/>
      <c r="Z17" s="33">
        <v>15</v>
      </c>
      <c r="AA17" s="226">
        <v>15</v>
      </c>
      <c r="AB17" s="227" t="str">
        <f ca="1">INDIRECT("c15")</f>
        <v>JEAN PAUL</v>
      </c>
      <c r="AC17" s="228">
        <f ca="1">INDIRECT("q15")</f>
        <v>1</v>
      </c>
      <c r="AD17" s="228">
        <f ca="1">INDIRECT("p15")</f>
        <v>6</v>
      </c>
      <c r="AE17" s="30"/>
      <c r="AI17" s="52" t="s">
        <v>53</v>
      </c>
      <c r="AK17" s="7"/>
      <c r="AL17" s="156">
        <v>17</v>
      </c>
      <c r="AM17" s="49" t="s">
        <v>78</v>
      </c>
      <c r="AN17" s="212">
        <v>17</v>
      </c>
      <c r="AO17" s="204" t="s">
        <v>78</v>
      </c>
      <c r="AP17" s="202">
        <v>77</v>
      </c>
      <c r="AQ17" s="129" t="s">
        <v>134</v>
      </c>
      <c r="AR17" s="217"/>
      <c r="AS17" s="218"/>
      <c r="AU17" s="220"/>
      <c r="AV17" s="220"/>
      <c r="AW17" s="220"/>
      <c r="AX17" s="188"/>
      <c r="AY17" s="207"/>
      <c r="AZ17" s="188"/>
      <c r="BA17" s="157"/>
      <c r="BB17" s="157"/>
      <c r="BC17" s="151"/>
      <c r="BD17" s="152"/>
      <c r="BE17" s="152"/>
      <c r="BF17" s="176"/>
      <c r="BG17" s="208"/>
      <c r="BH17" s="188"/>
      <c r="BI17" s="157"/>
      <c r="BJ17" s="157"/>
      <c r="BK17" s="151"/>
      <c r="BL17" s="152"/>
      <c r="BM17" s="152"/>
      <c r="BN17" s="169"/>
      <c r="BQ17">
        <v>17</v>
      </c>
    </row>
    <row r="18" spans="1:69">
      <c r="A18" s="140"/>
      <c r="B18" s="140">
        <v>18</v>
      </c>
      <c r="C18" s="198" t="s">
        <v>79</v>
      </c>
      <c r="D18" s="34">
        <v>7</v>
      </c>
      <c r="E18" s="34">
        <v>13</v>
      </c>
      <c r="F18" s="35"/>
      <c r="G18" s="35"/>
      <c r="H18" s="34"/>
      <c r="I18" s="34"/>
      <c r="J18" s="35"/>
      <c r="K18" s="35"/>
      <c r="L18" s="34"/>
      <c r="M18" s="34"/>
      <c r="N18" s="35"/>
      <c r="O18" s="35"/>
      <c r="P18" s="36">
        <f t="shared" si="0"/>
        <v>-6</v>
      </c>
      <c r="Q18" s="136">
        <f t="shared" si="1"/>
        <v>0</v>
      </c>
      <c r="R18" s="159"/>
      <c r="W18" s="163" t="s">
        <v>57</v>
      </c>
      <c r="Y18" s="30"/>
      <c r="Z18" s="33">
        <v>16</v>
      </c>
      <c r="AA18" s="226">
        <v>16</v>
      </c>
      <c r="AB18" s="227" t="str">
        <f ca="1">INDIRECT("c16")</f>
        <v>MICKAEL</v>
      </c>
      <c r="AC18" s="228">
        <f ca="1">INDIRECT("q16")</f>
        <v>1</v>
      </c>
      <c r="AD18" s="228">
        <f ca="1">INDIRECT("p16")</f>
        <v>6</v>
      </c>
      <c r="AE18" s="30"/>
      <c r="AI18" s="7"/>
      <c r="AK18" s="7"/>
      <c r="AL18" s="156">
        <v>18</v>
      </c>
      <c r="AM18" s="49" t="s">
        <v>79</v>
      </c>
      <c r="AN18" s="212">
        <v>18</v>
      </c>
      <c r="AO18" s="204" t="s">
        <v>79</v>
      </c>
      <c r="AP18" s="202">
        <v>78</v>
      </c>
      <c r="AQ18" s="129" t="s">
        <v>135</v>
      </c>
      <c r="AR18" s="217"/>
      <c r="AS18" s="218"/>
      <c r="AU18" s="221"/>
      <c r="AV18" s="220"/>
      <c r="AW18" s="220"/>
      <c r="AX18" s="188"/>
      <c r="AY18" s="207"/>
      <c r="AZ18" s="188"/>
      <c r="BA18" s="157"/>
      <c r="BB18" s="157"/>
      <c r="BC18" s="151"/>
      <c r="BD18" s="152"/>
      <c r="BE18" s="152"/>
      <c r="BF18" s="176"/>
      <c r="BG18" s="208"/>
      <c r="BH18" s="188"/>
      <c r="BI18" s="157"/>
      <c r="BJ18" s="157"/>
      <c r="BK18" s="151"/>
      <c r="BL18" s="152"/>
      <c r="BM18" s="152"/>
      <c r="BN18" s="169"/>
      <c r="BQ18">
        <v>18</v>
      </c>
    </row>
    <row r="19" spans="1:69">
      <c r="A19" s="140"/>
      <c r="B19" s="140">
        <v>19</v>
      </c>
      <c r="C19" s="198" t="s">
        <v>80</v>
      </c>
      <c r="D19" s="34">
        <v>7</v>
      </c>
      <c r="E19" s="34">
        <v>13</v>
      </c>
      <c r="F19" s="35"/>
      <c r="G19" s="35"/>
      <c r="H19" s="34"/>
      <c r="I19" s="34"/>
      <c r="J19" s="35"/>
      <c r="K19" s="35"/>
      <c r="L19" s="34"/>
      <c r="M19" s="34"/>
      <c r="N19" s="35"/>
      <c r="O19" s="35"/>
      <c r="P19" s="36">
        <f t="shared" si="0"/>
        <v>-6</v>
      </c>
      <c r="Q19" s="136">
        <f t="shared" si="1"/>
        <v>0</v>
      </c>
      <c r="R19" s="32"/>
      <c r="W19" s="29"/>
      <c r="Y19" s="30"/>
      <c r="Z19" s="33">
        <v>17</v>
      </c>
      <c r="AA19" s="226">
        <v>17</v>
      </c>
      <c r="AB19" s="227" t="str">
        <f ca="1">INDIRECT("c17")</f>
        <v xml:space="preserve">LAURENT    </v>
      </c>
      <c r="AC19" s="228">
        <f ca="1">INDIRECT("q17")</f>
        <v>1</v>
      </c>
      <c r="AD19" s="228">
        <f ca="1">INDIRECT("p17")</f>
        <v>6</v>
      </c>
      <c r="AE19" s="30"/>
      <c r="AK19" s="7"/>
      <c r="AL19" s="156">
        <v>19</v>
      </c>
      <c r="AM19" s="49" t="s">
        <v>80</v>
      </c>
      <c r="AN19" s="212">
        <v>19</v>
      </c>
      <c r="AO19" s="204" t="s">
        <v>80</v>
      </c>
      <c r="AP19" s="202">
        <v>79</v>
      </c>
      <c r="AQ19" s="129" t="s">
        <v>136</v>
      </c>
      <c r="AR19" s="217"/>
      <c r="AS19" s="218"/>
      <c r="AU19" s="220"/>
      <c r="AV19" s="220"/>
      <c r="AW19" s="220"/>
      <c r="AX19" s="188"/>
      <c r="AY19" s="207"/>
      <c r="AZ19" s="188"/>
      <c r="BA19" s="157"/>
      <c r="BB19" s="157"/>
      <c r="BC19" s="151"/>
      <c r="BD19" s="152"/>
      <c r="BE19" s="152"/>
      <c r="BF19" s="176"/>
      <c r="BG19" s="208"/>
      <c r="BH19" s="188"/>
      <c r="BI19" s="157"/>
      <c r="BJ19" s="48"/>
      <c r="BK19" s="151"/>
      <c r="BL19" s="152"/>
      <c r="BM19" s="152"/>
      <c r="BN19" s="169"/>
      <c r="BQ19">
        <v>19</v>
      </c>
    </row>
    <row r="20" spans="1:69">
      <c r="A20" s="140"/>
      <c r="B20" s="229">
        <v>20</v>
      </c>
      <c r="C20" s="230" t="s">
        <v>81</v>
      </c>
      <c r="D20" s="34">
        <v>13</v>
      </c>
      <c r="E20" s="34">
        <v>7</v>
      </c>
      <c r="F20" s="35"/>
      <c r="G20" s="35"/>
      <c r="H20" s="34"/>
      <c r="I20" s="34"/>
      <c r="J20" s="35"/>
      <c r="K20" s="35"/>
      <c r="L20" s="34"/>
      <c r="M20" s="34"/>
      <c r="N20" s="35"/>
      <c r="O20" s="35"/>
      <c r="P20" s="36">
        <f t="shared" si="0"/>
        <v>6</v>
      </c>
      <c r="Q20" s="224">
        <f t="shared" si="1"/>
        <v>1</v>
      </c>
      <c r="W20" s="29"/>
      <c r="Y20" s="30"/>
      <c r="Z20" s="33">
        <v>18</v>
      </c>
      <c r="AA20" s="157">
        <v>18</v>
      </c>
      <c r="AB20" s="151" t="str">
        <f ca="1">INDIRECT("c18")</f>
        <v xml:space="preserve">CHARLES  </v>
      </c>
      <c r="AC20" s="152">
        <f ca="1">INDIRECT("q18")</f>
        <v>0</v>
      </c>
      <c r="AD20" s="152">
        <f ca="1">INDIRECT("p18")</f>
        <v>-6</v>
      </c>
      <c r="AE20" s="30"/>
      <c r="AK20" s="7"/>
      <c r="AL20" s="156">
        <v>20</v>
      </c>
      <c r="AM20" s="49" t="s">
        <v>81</v>
      </c>
      <c r="AN20" s="212">
        <v>20</v>
      </c>
      <c r="AO20" s="204" t="s">
        <v>81</v>
      </c>
      <c r="AP20" s="202">
        <v>80</v>
      </c>
      <c r="AQ20" s="129" t="s">
        <v>137</v>
      </c>
      <c r="AR20" s="217"/>
      <c r="AS20" s="218"/>
      <c r="AT20" s="153"/>
      <c r="AU20" s="220"/>
      <c r="AV20" s="220"/>
      <c r="AW20" s="220"/>
      <c r="AX20" s="188"/>
      <c r="AY20" s="207"/>
      <c r="AZ20" s="188"/>
      <c r="BA20" s="157"/>
      <c r="BB20" s="48"/>
      <c r="BC20" s="151"/>
      <c r="BD20" s="152"/>
      <c r="BE20" s="152"/>
      <c r="BF20" s="176"/>
      <c r="BG20" s="208"/>
      <c r="BH20" s="188"/>
      <c r="BI20" s="157"/>
      <c r="BJ20" s="157"/>
      <c r="BK20" s="151"/>
      <c r="BL20" s="152"/>
      <c r="BM20" s="152"/>
      <c r="BN20" s="169"/>
      <c r="BQ20">
        <v>20</v>
      </c>
    </row>
    <row r="21" spans="1:69">
      <c r="A21" s="140"/>
      <c r="B21" s="229">
        <v>21</v>
      </c>
      <c r="C21" s="230" t="s">
        <v>82</v>
      </c>
      <c r="D21" s="34">
        <v>13</v>
      </c>
      <c r="E21" s="34">
        <v>7</v>
      </c>
      <c r="F21" s="35"/>
      <c r="G21" s="35"/>
      <c r="H21" s="34"/>
      <c r="I21" s="34"/>
      <c r="J21" s="35"/>
      <c r="K21" s="35"/>
      <c r="L21" s="34"/>
      <c r="M21" s="34"/>
      <c r="N21" s="35"/>
      <c r="O21" s="35"/>
      <c r="P21" s="36">
        <f t="shared" si="0"/>
        <v>6</v>
      </c>
      <c r="Q21" s="224">
        <f t="shared" si="1"/>
        <v>1</v>
      </c>
      <c r="W21" s="29"/>
      <c r="Y21" s="30"/>
      <c r="Z21" s="33">
        <v>19</v>
      </c>
      <c r="AA21" s="157">
        <v>19</v>
      </c>
      <c r="AB21" s="151" t="str">
        <f ca="1">INDIRECT("c19")</f>
        <v xml:space="preserve">SYLVAIN   </v>
      </c>
      <c r="AC21" s="152">
        <f ca="1">INDIRECT("q19")</f>
        <v>0</v>
      </c>
      <c r="AD21" s="152">
        <f ca="1">INDIRECT("p19")</f>
        <v>-6</v>
      </c>
      <c r="AE21" s="30"/>
      <c r="AK21" s="7"/>
      <c r="AL21" s="156">
        <v>21</v>
      </c>
      <c r="AM21" s="49" t="s">
        <v>82</v>
      </c>
      <c r="AN21" s="212">
        <v>21</v>
      </c>
      <c r="AO21" s="204" t="s">
        <v>82</v>
      </c>
      <c r="AP21" s="202">
        <v>81</v>
      </c>
      <c r="AQ21" s="129" t="s">
        <v>138</v>
      </c>
      <c r="AR21" s="217"/>
      <c r="AS21" s="218"/>
      <c r="AU21" s="220"/>
      <c r="AV21" s="220"/>
      <c r="AW21" s="220"/>
      <c r="AX21" s="188"/>
      <c r="AY21" s="207"/>
      <c r="AZ21" s="188"/>
      <c r="BA21" s="157"/>
      <c r="BB21" s="157"/>
      <c r="BC21" s="151"/>
      <c r="BD21" s="152"/>
      <c r="BE21" s="152"/>
      <c r="BF21" s="176"/>
      <c r="BG21" s="208"/>
      <c r="BH21" s="188"/>
      <c r="BI21" s="157"/>
      <c r="BJ21" s="157"/>
      <c r="BK21" s="151"/>
      <c r="BL21" s="152"/>
      <c r="BM21" s="152"/>
      <c r="BN21" s="169"/>
      <c r="BQ21">
        <v>21</v>
      </c>
    </row>
    <row r="22" spans="1:69">
      <c r="A22" s="140"/>
      <c r="B22" s="229">
        <v>22</v>
      </c>
      <c r="C22" s="230" t="s">
        <v>83</v>
      </c>
      <c r="D22" s="34">
        <v>13</v>
      </c>
      <c r="E22" s="34">
        <v>7</v>
      </c>
      <c r="F22" s="35"/>
      <c r="G22" s="35"/>
      <c r="H22" s="34"/>
      <c r="I22" s="34"/>
      <c r="J22" s="35"/>
      <c r="K22" s="35"/>
      <c r="L22" s="34"/>
      <c r="M22" s="34"/>
      <c r="N22" s="35"/>
      <c r="O22" s="35"/>
      <c r="P22" s="36">
        <f t="shared" si="0"/>
        <v>6</v>
      </c>
      <c r="Q22" s="224">
        <f t="shared" si="1"/>
        <v>1</v>
      </c>
      <c r="R22" s="158"/>
      <c r="S22" s="158"/>
      <c r="T22" s="158"/>
      <c r="U22" s="158"/>
      <c r="W22" s="29"/>
      <c r="Y22" s="30"/>
      <c r="Z22" s="33">
        <v>20</v>
      </c>
      <c r="AA22" s="226">
        <v>20</v>
      </c>
      <c r="AB22" s="227" t="str">
        <f ca="1">INDIRECT("C20")</f>
        <v>JONATHAN</v>
      </c>
      <c r="AC22" s="228">
        <f ca="1">INDIRECT("q20")</f>
        <v>1</v>
      </c>
      <c r="AD22" s="228">
        <f ca="1">INDIRECT("p20")</f>
        <v>6</v>
      </c>
      <c r="AE22" s="30"/>
      <c r="AK22" s="7"/>
      <c r="AL22" s="156">
        <v>22</v>
      </c>
      <c r="AM22" s="49" t="s">
        <v>83</v>
      </c>
      <c r="AN22" s="212">
        <v>22</v>
      </c>
      <c r="AO22" s="204" t="s">
        <v>83</v>
      </c>
      <c r="AP22" s="202">
        <v>82</v>
      </c>
      <c r="AQ22" s="129" t="s">
        <v>139</v>
      </c>
      <c r="AR22" s="217"/>
      <c r="AS22" s="218"/>
      <c r="AU22" s="220"/>
      <c r="AV22" s="220"/>
      <c r="AW22" s="220"/>
      <c r="AX22" s="188"/>
      <c r="AY22" s="207"/>
      <c r="AZ22" s="188"/>
      <c r="BA22" s="157"/>
      <c r="BB22" s="157"/>
      <c r="BC22" s="151"/>
      <c r="BD22" s="152"/>
      <c r="BE22" s="152"/>
      <c r="BF22" s="176"/>
      <c r="BG22" s="208"/>
      <c r="BH22" s="188"/>
      <c r="BI22" s="157"/>
      <c r="BJ22" s="48"/>
      <c r="BK22" s="151"/>
      <c r="BL22" s="152"/>
      <c r="BM22" s="152"/>
      <c r="BN22" s="169"/>
      <c r="BQ22">
        <v>22</v>
      </c>
    </row>
    <row r="23" spans="1:69">
      <c r="A23" s="140"/>
      <c r="B23" s="140">
        <v>23</v>
      </c>
      <c r="C23" s="198" t="s">
        <v>84</v>
      </c>
      <c r="D23" s="34">
        <v>7</v>
      </c>
      <c r="E23" s="34">
        <v>13</v>
      </c>
      <c r="F23" s="35"/>
      <c r="G23" s="35"/>
      <c r="H23" s="34"/>
      <c r="I23" s="34"/>
      <c r="J23" s="35"/>
      <c r="K23" s="35"/>
      <c r="L23" s="34"/>
      <c r="M23" s="34"/>
      <c r="N23" s="35"/>
      <c r="O23" s="35"/>
      <c r="P23" s="36">
        <f t="shared" si="0"/>
        <v>-6</v>
      </c>
      <c r="Q23" s="136">
        <f t="shared" si="1"/>
        <v>0</v>
      </c>
      <c r="R23" s="158"/>
      <c r="S23" s="158"/>
      <c r="T23" s="158"/>
      <c r="U23" s="158"/>
      <c r="W23" s="29"/>
      <c r="Y23" s="30"/>
      <c r="Z23" s="33">
        <v>21</v>
      </c>
      <c r="AA23" s="226">
        <v>21</v>
      </c>
      <c r="AB23" s="227" t="str">
        <f ca="1">INDIRECT("C21")</f>
        <v>GEGE</v>
      </c>
      <c r="AC23" s="228">
        <f ca="1">INDIRECT("q21")</f>
        <v>1</v>
      </c>
      <c r="AD23" s="228">
        <f ca="1">INDIRECT("p21")</f>
        <v>6</v>
      </c>
      <c r="AE23" s="30"/>
      <c r="AK23" s="7"/>
      <c r="AL23" s="156">
        <v>23</v>
      </c>
      <c r="AM23" s="49" t="s">
        <v>84</v>
      </c>
      <c r="AN23" s="212">
        <v>23</v>
      </c>
      <c r="AO23" s="204" t="s">
        <v>84</v>
      </c>
      <c r="AP23" s="202">
        <v>83</v>
      </c>
      <c r="AQ23" s="129" t="s">
        <v>101</v>
      </c>
      <c r="AR23" s="217"/>
      <c r="AS23" s="218"/>
      <c r="AU23" s="221"/>
      <c r="AV23" s="220"/>
      <c r="AW23" s="220"/>
      <c r="AX23" s="188"/>
      <c r="AY23" s="207"/>
      <c r="AZ23" s="188"/>
      <c r="BA23" s="157"/>
      <c r="BB23" s="157"/>
      <c r="BC23" s="151"/>
      <c r="BD23" s="152"/>
      <c r="BE23" s="152"/>
      <c r="BF23" s="176"/>
      <c r="BG23" s="208"/>
      <c r="BH23" s="188"/>
      <c r="BI23" s="157"/>
      <c r="BJ23" s="157"/>
      <c r="BK23" s="151"/>
      <c r="BL23" s="152"/>
      <c r="BM23" s="152"/>
      <c r="BN23" s="169"/>
      <c r="BQ23">
        <v>23</v>
      </c>
    </row>
    <row r="24" spans="1:69" ht="17.25" customHeight="1">
      <c r="A24" s="140"/>
      <c r="B24" s="140">
        <v>24</v>
      </c>
      <c r="C24" s="198" t="s">
        <v>68</v>
      </c>
      <c r="D24" s="34">
        <v>7</v>
      </c>
      <c r="E24" s="34">
        <v>13</v>
      </c>
      <c r="F24" s="35"/>
      <c r="G24" s="35"/>
      <c r="H24" s="34"/>
      <c r="I24" s="34"/>
      <c r="J24" s="35"/>
      <c r="K24" s="35"/>
      <c r="L24" s="34"/>
      <c r="M24" s="34"/>
      <c r="N24" s="35"/>
      <c r="O24" s="35"/>
      <c r="P24" s="36">
        <f t="shared" si="0"/>
        <v>-6</v>
      </c>
      <c r="Q24" s="136">
        <f t="shared" si="1"/>
        <v>0</v>
      </c>
      <c r="R24" s="158"/>
      <c r="S24" s="158"/>
      <c r="T24" s="158"/>
      <c r="U24" s="158"/>
      <c r="W24" s="29"/>
      <c r="Y24" s="30"/>
      <c r="Z24" s="33">
        <v>22</v>
      </c>
      <c r="AA24" s="226">
        <v>22</v>
      </c>
      <c r="AB24" s="227" t="str">
        <f ca="1">INDIRECT("C22")</f>
        <v xml:space="preserve">LANDRY   </v>
      </c>
      <c r="AC24" s="228">
        <f ca="1">INDIRECT("q22")</f>
        <v>1</v>
      </c>
      <c r="AD24" s="228">
        <f ca="1">INDIRECT("p22")</f>
        <v>6</v>
      </c>
      <c r="AE24" s="30"/>
      <c r="AG24" s="54"/>
      <c r="AK24" s="7"/>
      <c r="AL24" s="156">
        <v>24</v>
      </c>
      <c r="AM24" s="49" t="s">
        <v>68</v>
      </c>
      <c r="AN24" s="212">
        <v>24</v>
      </c>
      <c r="AO24" s="204" t="s">
        <v>68</v>
      </c>
      <c r="AP24" s="202">
        <v>84</v>
      </c>
      <c r="AQ24" s="129" t="s">
        <v>140</v>
      </c>
      <c r="AR24" s="217"/>
      <c r="AS24" s="218"/>
      <c r="AU24" s="220"/>
      <c r="AV24" s="220"/>
      <c r="AW24" s="220"/>
      <c r="AX24" s="188"/>
      <c r="AY24" s="207"/>
      <c r="AZ24" s="188"/>
      <c r="BA24" s="157"/>
      <c r="BB24" s="157"/>
      <c r="BC24" s="151"/>
      <c r="BD24" s="152"/>
      <c r="BE24" s="152"/>
      <c r="BF24" s="176"/>
      <c r="BG24" s="208"/>
      <c r="BH24" s="188"/>
      <c r="BI24" s="157"/>
      <c r="BJ24" s="157"/>
      <c r="BK24" s="151"/>
      <c r="BL24" s="152"/>
      <c r="BM24" s="152"/>
      <c r="BN24" s="169"/>
      <c r="BQ24">
        <v>24</v>
      </c>
    </row>
    <row r="25" spans="1:69">
      <c r="A25" s="140"/>
      <c r="B25" s="140">
        <v>25</v>
      </c>
      <c r="C25" s="198" t="s">
        <v>85</v>
      </c>
      <c r="D25" s="34">
        <v>7</v>
      </c>
      <c r="E25" s="34">
        <v>13</v>
      </c>
      <c r="F25" s="35"/>
      <c r="G25" s="35"/>
      <c r="H25" s="34"/>
      <c r="I25" s="34"/>
      <c r="J25" s="35"/>
      <c r="K25" s="35"/>
      <c r="L25" s="34"/>
      <c r="M25" s="34"/>
      <c r="N25" s="35"/>
      <c r="O25" s="35"/>
      <c r="P25" s="36">
        <f t="shared" si="0"/>
        <v>-6</v>
      </c>
      <c r="Q25" s="136">
        <f t="shared" si="1"/>
        <v>0</v>
      </c>
      <c r="R25" s="158"/>
      <c r="S25" s="158"/>
      <c r="T25" s="158"/>
      <c r="U25" s="158"/>
      <c r="W25" s="32"/>
      <c r="Y25" s="30"/>
      <c r="Z25" s="33">
        <v>23</v>
      </c>
      <c r="AA25" s="157">
        <v>23</v>
      </c>
      <c r="AB25" s="151" t="str">
        <f ca="1">INDIRECT("C23")</f>
        <v>MARTIAL</v>
      </c>
      <c r="AC25" s="152">
        <f ca="1">INDIRECT("q23")</f>
        <v>0</v>
      </c>
      <c r="AD25" s="152">
        <f ca="1">INDIRECT("p23")</f>
        <v>-6</v>
      </c>
      <c r="AE25" s="30"/>
      <c r="AG25" s="55"/>
      <c r="AK25" s="7"/>
      <c r="AL25" s="156">
        <v>25</v>
      </c>
      <c r="AM25" s="49" t="s">
        <v>85</v>
      </c>
      <c r="AN25" s="212">
        <v>25</v>
      </c>
      <c r="AO25" s="204" t="s">
        <v>85</v>
      </c>
      <c r="AP25" s="202">
        <v>85</v>
      </c>
      <c r="AQ25" s="129" t="s">
        <v>141</v>
      </c>
      <c r="AR25" s="217"/>
      <c r="AS25" s="218"/>
      <c r="AU25" s="220"/>
      <c r="AV25" s="220"/>
      <c r="AW25" s="220"/>
      <c r="AX25" s="188"/>
      <c r="AY25" s="207"/>
      <c r="AZ25" s="188"/>
      <c r="BA25" s="157"/>
      <c r="BB25" s="157"/>
      <c r="BC25" s="151"/>
      <c r="BD25" s="152"/>
      <c r="BE25" s="152"/>
      <c r="BF25" s="176"/>
      <c r="BG25" s="208"/>
      <c r="BH25" s="188"/>
      <c r="BI25" s="157"/>
      <c r="BJ25" s="157"/>
      <c r="BK25" s="151"/>
      <c r="BL25" s="152"/>
      <c r="BM25" s="152"/>
      <c r="BN25" s="169"/>
      <c r="BQ25">
        <v>25</v>
      </c>
    </row>
    <row r="26" spans="1:69">
      <c r="A26" s="140"/>
      <c r="B26" s="229">
        <v>26</v>
      </c>
      <c r="C26" s="230" t="s">
        <v>86</v>
      </c>
      <c r="D26" s="34">
        <v>13</v>
      </c>
      <c r="E26" s="34">
        <v>7</v>
      </c>
      <c r="F26" s="35"/>
      <c r="G26" s="35"/>
      <c r="H26" s="34"/>
      <c r="I26" s="34"/>
      <c r="J26" s="35"/>
      <c r="K26" s="35"/>
      <c r="L26" s="34"/>
      <c r="M26" s="34"/>
      <c r="N26" s="35"/>
      <c r="O26" s="35"/>
      <c r="P26" s="36">
        <f t="shared" si="0"/>
        <v>6</v>
      </c>
      <c r="Q26" s="224">
        <f t="shared" si="1"/>
        <v>1</v>
      </c>
      <c r="R26" s="158"/>
      <c r="S26" s="158"/>
      <c r="T26" s="158"/>
      <c r="U26" s="158"/>
      <c r="Y26" s="30"/>
      <c r="Z26" s="33">
        <v>24</v>
      </c>
      <c r="AA26" s="157">
        <v>24</v>
      </c>
      <c r="AB26" s="151" t="str">
        <f ca="1">INDIRECT("C24")</f>
        <v>JACQUES</v>
      </c>
      <c r="AC26" s="152">
        <f ca="1">INDIRECT("q24")</f>
        <v>0</v>
      </c>
      <c r="AD26" s="152">
        <f ca="1">INDIRECT("p24")</f>
        <v>-6</v>
      </c>
      <c r="AE26" s="30"/>
      <c r="AG26" s="55"/>
      <c r="AK26" s="7"/>
      <c r="AL26" s="156">
        <v>26</v>
      </c>
      <c r="AM26" s="49" t="s">
        <v>86</v>
      </c>
      <c r="AN26" s="212">
        <v>26</v>
      </c>
      <c r="AO26" s="204" t="s">
        <v>86</v>
      </c>
      <c r="AP26" s="212">
        <v>86</v>
      </c>
      <c r="AQ26" s="204" t="s">
        <v>142</v>
      </c>
      <c r="AR26" s="217"/>
      <c r="AS26" s="218">
        <v>35</v>
      </c>
      <c r="AU26" s="220"/>
      <c r="AV26" s="220"/>
      <c r="AW26" s="220"/>
      <c r="AX26" s="188"/>
      <c r="AY26" s="207"/>
      <c r="AZ26" s="188"/>
      <c r="BA26" s="157"/>
      <c r="BB26" s="48"/>
      <c r="BC26" s="151"/>
      <c r="BD26" s="152"/>
      <c r="BE26" s="152"/>
      <c r="BF26" s="176"/>
      <c r="BG26" s="208"/>
      <c r="BH26" s="188"/>
      <c r="BI26" s="157"/>
      <c r="BJ26" s="157"/>
      <c r="BK26" s="151"/>
      <c r="BL26" s="152"/>
      <c r="BM26" s="152"/>
      <c r="BN26" s="169"/>
      <c r="BQ26">
        <v>26</v>
      </c>
    </row>
    <row r="27" spans="1:69">
      <c r="A27" s="140"/>
      <c r="B27" s="229">
        <v>27</v>
      </c>
      <c r="C27" s="230" t="s">
        <v>87</v>
      </c>
      <c r="D27" s="34">
        <v>13</v>
      </c>
      <c r="E27" s="34">
        <v>7</v>
      </c>
      <c r="F27" s="35"/>
      <c r="G27" s="35"/>
      <c r="H27" s="34"/>
      <c r="I27" s="34"/>
      <c r="J27" s="35"/>
      <c r="K27" s="35"/>
      <c r="L27" s="34"/>
      <c r="M27" s="34"/>
      <c r="N27" s="35"/>
      <c r="O27" s="35"/>
      <c r="P27" s="36">
        <f t="shared" si="0"/>
        <v>6</v>
      </c>
      <c r="Q27" s="224">
        <f t="shared" si="1"/>
        <v>1</v>
      </c>
      <c r="R27" s="158"/>
      <c r="S27" s="158"/>
      <c r="T27" s="158"/>
      <c r="U27" s="158"/>
      <c r="Y27" s="30"/>
      <c r="Z27" s="33">
        <v>25</v>
      </c>
      <c r="AA27" s="157">
        <v>25</v>
      </c>
      <c r="AB27" s="151" t="str">
        <f ca="1">INDIRECT("C25")</f>
        <v>AURELIEN</v>
      </c>
      <c r="AC27" s="152">
        <f ca="1">INDIRECT("q25")</f>
        <v>0</v>
      </c>
      <c r="AD27" s="152">
        <f ca="1">INDIRECT("p25")</f>
        <v>-6</v>
      </c>
      <c r="AE27" s="30"/>
      <c r="AK27" s="7"/>
      <c r="AL27" s="156">
        <v>27</v>
      </c>
      <c r="AM27" s="49" t="s">
        <v>87</v>
      </c>
      <c r="AN27" s="212">
        <v>27</v>
      </c>
      <c r="AO27" s="204" t="s">
        <v>87</v>
      </c>
      <c r="AP27" s="202">
        <v>87</v>
      </c>
      <c r="AQ27" s="129" t="s">
        <v>143</v>
      </c>
      <c r="AR27" s="217"/>
      <c r="AS27" s="218">
        <v>36</v>
      </c>
      <c r="AU27" s="220"/>
      <c r="AV27" s="220"/>
      <c r="AW27" s="220"/>
      <c r="AX27" s="188"/>
      <c r="AY27" s="207"/>
      <c r="AZ27" s="188"/>
      <c r="BA27" s="157"/>
      <c r="BB27" s="157"/>
      <c r="BC27" s="151"/>
      <c r="BD27" s="152"/>
      <c r="BE27" s="152"/>
      <c r="BF27" s="176"/>
      <c r="BG27" s="208"/>
      <c r="BH27" s="188"/>
      <c r="BI27" s="157"/>
      <c r="BJ27" s="157"/>
      <c r="BK27" s="151"/>
      <c r="BL27" s="152"/>
      <c r="BM27" s="152"/>
      <c r="BN27" s="169"/>
      <c r="BQ27">
        <v>27</v>
      </c>
    </row>
    <row r="28" spans="1:69">
      <c r="A28" s="141"/>
      <c r="B28" s="141">
        <v>28</v>
      </c>
      <c r="C28" s="198" t="s">
        <v>88</v>
      </c>
      <c r="D28" s="34">
        <v>7</v>
      </c>
      <c r="E28" s="34">
        <v>13</v>
      </c>
      <c r="F28" s="35"/>
      <c r="G28" s="35"/>
      <c r="H28" s="34"/>
      <c r="I28" s="34"/>
      <c r="J28" s="35"/>
      <c r="K28" s="35"/>
      <c r="L28" s="34"/>
      <c r="M28" s="34"/>
      <c r="N28" s="35"/>
      <c r="O28" s="35"/>
      <c r="P28" s="36">
        <f t="shared" si="0"/>
        <v>-6</v>
      </c>
      <c r="Q28" s="136">
        <f t="shared" si="1"/>
        <v>0</v>
      </c>
      <c r="R28" s="158"/>
      <c r="S28" s="158"/>
      <c r="T28" s="158"/>
      <c r="U28" s="158"/>
      <c r="Y28" s="30"/>
      <c r="Z28" s="33">
        <v>26</v>
      </c>
      <c r="AA28" s="226">
        <v>26</v>
      </c>
      <c r="AB28" s="227" t="str">
        <f ca="1">INDIRECT("C26")</f>
        <v xml:space="preserve">THIERRY  </v>
      </c>
      <c r="AC28" s="228">
        <f ca="1">INDIRECT("q26")</f>
        <v>1</v>
      </c>
      <c r="AD28" s="228">
        <f ca="1">INDIRECT("p26")</f>
        <v>6</v>
      </c>
      <c r="AE28" s="30"/>
      <c r="AK28" s="7"/>
      <c r="AL28" s="156">
        <v>28</v>
      </c>
      <c r="AM28" s="49" t="s">
        <v>88</v>
      </c>
      <c r="AN28" s="212">
        <v>28</v>
      </c>
      <c r="AO28" s="204" t="s">
        <v>88</v>
      </c>
      <c r="AP28" s="202">
        <v>88</v>
      </c>
      <c r="AQ28" s="129" t="s">
        <v>100</v>
      </c>
      <c r="AR28" s="217"/>
      <c r="AS28" s="218">
        <v>37</v>
      </c>
      <c r="AU28" s="220"/>
      <c r="AV28" s="220"/>
      <c r="AW28" s="220"/>
      <c r="AX28" s="188"/>
      <c r="AY28" s="207"/>
      <c r="AZ28" s="188"/>
      <c r="BA28" s="157"/>
      <c r="BB28" s="157"/>
      <c r="BC28" s="151"/>
      <c r="BD28" s="152"/>
      <c r="BE28" s="152"/>
      <c r="BF28" s="176"/>
      <c r="BG28" s="208"/>
      <c r="BH28" s="188"/>
      <c r="BI28" s="157"/>
      <c r="BJ28" s="157"/>
      <c r="BK28" s="151"/>
      <c r="BL28" s="152"/>
      <c r="BM28" s="152"/>
      <c r="BN28" s="169"/>
      <c r="BQ28">
        <v>28</v>
      </c>
    </row>
    <row r="29" spans="1:69">
      <c r="A29" s="141"/>
      <c r="B29" s="232">
        <v>29</v>
      </c>
      <c r="C29" s="230" t="s">
        <v>89</v>
      </c>
      <c r="D29" s="34">
        <v>13</v>
      </c>
      <c r="E29" s="34">
        <v>7</v>
      </c>
      <c r="F29" s="35"/>
      <c r="G29" s="35"/>
      <c r="H29" s="34"/>
      <c r="I29" s="34"/>
      <c r="J29" s="35"/>
      <c r="K29" s="35"/>
      <c r="L29" s="34"/>
      <c r="M29" s="34"/>
      <c r="N29" s="35"/>
      <c r="O29" s="35"/>
      <c r="P29" s="36">
        <f t="shared" si="0"/>
        <v>6</v>
      </c>
      <c r="Q29" s="224">
        <f t="shared" si="1"/>
        <v>1</v>
      </c>
      <c r="R29" s="158"/>
      <c r="S29" s="158"/>
      <c r="T29" s="158"/>
      <c r="U29" s="158"/>
      <c r="Y29" s="30"/>
      <c r="Z29" s="33">
        <v>27</v>
      </c>
      <c r="AA29" s="226">
        <v>27</v>
      </c>
      <c r="AB29" s="227" t="str">
        <f ca="1">INDIRECT("c27")</f>
        <v xml:space="preserve">PHILIPPE  </v>
      </c>
      <c r="AC29" s="228">
        <f ca="1">INDIRECT("q27")</f>
        <v>1</v>
      </c>
      <c r="AD29" s="228">
        <f ca="1">INDIRECT("p27")</f>
        <v>6</v>
      </c>
      <c r="AE29" s="30"/>
      <c r="AK29" s="7"/>
      <c r="AL29" s="156">
        <v>29</v>
      </c>
      <c r="AM29" s="49" t="s">
        <v>89</v>
      </c>
      <c r="AN29" s="212">
        <v>29</v>
      </c>
      <c r="AO29" s="204" t="s">
        <v>89</v>
      </c>
      <c r="AP29" s="202">
        <v>89</v>
      </c>
      <c r="AQ29" s="129" t="s">
        <v>144</v>
      </c>
      <c r="AR29" s="217"/>
      <c r="AS29" s="218">
        <v>38</v>
      </c>
      <c r="AU29" s="220"/>
      <c r="AV29" s="220"/>
      <c r="AW29" s="220"/>
      <c r="AX29" s="188"/>
      <c r="AY29" s="207"/>
      <c r="AZ29" s="188"/>
      <c r="BA29" s="157"/>
      <c r="BB29" s="48"/>
      <c r="BC29" s="151"/>
      <c r="BD29" s="152"/>
      <c r="BE29" s="152"/>
      <c r="BF29" s="176"/>
      <c r="BG29" s="208"/>
      <c r="BH29" s="188"/>
      <c r="BI29" s="157"/>
      <c r="BJ29" s="157"/>
      <c r="BK29" s="151"/>
      <c r="BL29" s="152"/>
      <c r="BM29" s="152"/>
      <c r="BN29" s="169"/>
      <c r="BQ29">
        <v>29</v>
      </c>
    </row>
    <row r="30" spans="1:69">
      <c r="A30" s="141"/>
      <c r="B30" s="232">
        <v>30</v>
      </c>
      <c r="C30" s="230" t="s">
        <v>90</v>
      </c>
      <c r="D30" s="34">
        <v>13</v>
      </c>
      <c r="E30" s="34">
        <v>7</v>
      </c>
      <c r="F30" s="35"/>
      <c r="G30" s="35"/>
      <c r="H30" s="34"/>
      <c r="I30" s="34"/>
      <c r="J30" s="35"/>
      <c r="K30" s="35"/>
      <c r="L30" s="34"/>
      <c r="M30" s="34"/>
      <c r="N30" s="35"/>
      <c r="O30" s="35"/>
      <c r="P30" s="36">
        <f t="shared" si="0"/>
        <v>6</v>
      </c>
      <c r="Q30" s="224">
        <f t="shared" si="1"/>
        <v>1</v>
      </c>
      <c r="R30" s="158"/>
      <c r="S30" s="158"/>
      <c r="T30" s="158"/>
      <c r="U30" s="158"/>
      <c r="Y30" s="30"/>
      <c r="Z30" s="33">
        <v>28</v>
      </c>
      <c r="AA30" s="157">
        <v>28</v>
      </c>
      <c r="AB30" s="151" t="str">
        <f ca="1">INDIRECT("c28")</f>
        <v xml:space="preserve">RENE  </v>
      </c>
      <c r="AC30" s="152">
        <f ca="1">INDIRECT("q28")</f>
        <v>0</v>
      </c>
      <c r="AD30" s="152">
        <f ca="1">INDIRECT("p28")</f>
        <v>-6</v>
      </c>
      <c r="AE30" s="30"/>
      <c r="AK30" s="7"/>
      <c r="AL30" s="156">
        <v>30</v>
      </c>
      <c r="AM30" s="49" t="s">
        <v>90</v>
      </c>
      <c r="AN30" s="212">
        <v>30</v>
      </c>
      <c r="AO30" s="204" t="s">
        <v>90</v>
      </c>
      <c r="AP30" s="212">
        <v>90</v>
      </c>
      <c r="AQ30" s="204" t="s">
        <v>145</v>
      </c>
      <c r="AR30" s="217"/>
      <c r="AS30" s="218">
        <v>39</v>
      </c>
      <c r="AT30" s="202">
        <v>80</v>
      </c>
      <c r="AU30" s="220"/>
      <c r="AV30" s="140"/>
      <c r="AW30" s="220"/>
      <c r="AX30" s="188"/>
      <c r="AY30" s="207"/>
      <c r="AZ30" s="188"/>
      <c r="BA30" s="157"/>
      <c r="BB30" s="157"/>
      <c r="BC30" s="151"/>
      <c r="BD30" s="152"/>
      <c r="BE30" s="152"/>
      <c r="BF30" s="176"/>
      <c r="BG30" s="208"/>
      <c r="BH30" s="188"/>
      <c r="BI30" s="157"/>
      <c r="BJ30" s="157"/>
      <c r="BK30" s="151"/>
      <c r="BL30" s="152"/>
      <c r="BM30" s="152"/>
      <c r="BN30" s="169"/>
      <c r="BQ30">
        <v>30</v>
      </c>
    </row>
    <row r="31" spans="1:69">
      <c r="A31" s="141"/>
      <c r="B31" s="141">
        <v>31</v>
      </c>
      <c r="C31" s="198" t="s">
        <v>91</v>
      </c>
      <c r="D31" s="34">
        <v>7</v>
      </c>
      <c r="E31" s="34">
        <v>13</v>
      </c>
      <c r="F31" s="35"/>
      <c r="G31" s="35"/>
      <c r="H31" s="34"/>
      <c r="I31" s="34"/>
      <c r="J31" s="35"/>
      <c r="K31" s="35"/>
      <c r="L31" s="34"/>
      <c r="M31" s="34"/>
      <c r="N31" s="35"/>
      <c r="O31" s="35"/>
      <c r="P31" s="36">
        <f t="shared" si="0"/>
        <v>-6</v>
      </c>
      <c r="Q31" s="136">
        <f t="shared" si="1"/>
        <v>0</v>
      </c>
      <c r="R31" s="158"/>
      <c r="S31" s="158"/>
      <c r="T31" s="158"/>
      <c r="U31" s="158"/>
      <c r="Y31" s="30"/>
      <c r="Z31" s="33">
        <v>29</v>
      </c>
      <c r="AA31" s="226">
        <v>29</v>
      </c>
      <c r="AB31" s="227" t="str">
        <f ca="1">INDIRECT("c29")</f>
        <v xml:space="preserve">YOANN   </v>
      </c>
      <c r="AC31" s="228">
        <f ca="1">INDIRECT("q29")</f>
        <v>1</v>
      </c>
      <c r="AD31" s="228">
        <f ca="1">INDIRECT("p29")</f>
        <v>6</v>
      </c>
      <c r="AE31" s="30"/>
      <c r="AK31" s="7"/>
      <c r="AL31" s="156">
        <v>31</v>
      </c>
      <c r="AM31" s="49" t="s">
        <v>91</v>
      </c>
      <c r="AN31" s="212">
        <v>31</v>
      </c>
      <c r="AO31" s="204" t="s">
        <v>91</v>
      </c>
      <c r="AP31" s="202">
        <v>91</v>
      </c>
      <c r="AQ31" s="129" t="s">
        <v>146</v>
      </c>
      <c r="AR31" s="217"/>
      <c r="AS31" s="218"/>
      <c r="AT31" s="212">
        <v>5</v>
      </c>
      <c r="AU31" s="222"/>
      <c r="AV31" s="140"/>
      <c r="AW31" s="220"/>
      <c r="AX31" s="188"/>
      <c r="AY31" s="207"/>
      <c r="AZ31" s="188"/>
      <c r="BA31" s="157"/>
      <c r="BB31" s="157"/>
      <c r="BC31" s="151"/>
      <c r="BD31" s="152"/>
      <c r="BE31" s="152"/>
      <c r="BF31" s="176"/>
      <c r="BG31" s="208"/>
      <c r="BH31" s="188"/>
      <c r="BI31" s="157"/>
      <c r="BJ31" s="157"/>
      <c r="BK31" s="151"/>
      <c r="BL31" s="152"/>
      <c r="BM31" s="152"/>
      <c r="BN31" s="169"/>
      <c r="BQ31">
        <v>31</v>
      </c>
    </row>
    <row r="32" spans="1:69">
      <c r="A32" s="141"/>
      <c r="B32" s="232">
        <v>32</v>
      </c>
      <c r="C32" s="230" t="s">
        <v>92</v>
      </c>
      <c r="D32" s="34">
        <v>13</v>
      </c>
      <c r="E32" s="34">
        <v>7</v>
      </c>
      <c r="F32" s="35"/>
      <c r="G32" s="35"/>
      <c r="H32" s="34"/>
      <c r="I32" s="34"/>
      <c r="J32" s="35"/>
      <c r="K32" s="35"/>
      <c r="L32" s="34"/>
      <c r="M32" s="34"/>
      <c r="N32" s="35"/>
      <c r="O32" s="35"/>
      <c r="P32" s="36">
        <f t="shared" si="0"/>
        <v>6</v>
      </c>
      <c r="Q32" s="224">
        <f t="shared" si="1"/>
        <v>1</v>
      </c>
      <c r="R32" s="158"/>
      <c r="S32" s="158"/>
      <c r="T32" s="158"/>
      <c r="U32" s="158"/>
      <c r="Y32" s="30"/>
      <c r="Z32" s="33">
        <v>30</v>
      </c>
      <c r="AA32" s="226">
        <v>30</v>
      </c>
      <c r="AB32" s="227" t="str">
        <f ca="1">INDIRECT("c30")</f>
        <v xml:space="preserve">PATRICK   </v>
      </c>
      <c r="AC32" s="228">
        <f ca="1">INDIRECT("q30")</f>
        <v>1</v>
      </c>
      <c r="AD32" s="228">
        <f ca="1">INDIRECT("p30")</f>
        <v>6</v>
      </c>
      <c r="AE32" s="30"/>
      <c r="AK32" s="7"/>
      <c r="AL32" s="156">
        <v>32</v>
      </c>
      <c r="AM32" s="49" t="s">
        <v>92</v>
      </c>
      <c r="AN32" s="202">
        <v>32</v>
      </c>
      <c r="AO32" s="129" t="s">
        <v>92</v>
      </c>
      <c r="AP32" s="202">
        <v>92</v>
      </c>
      <c r="AQ32" s="129" t="s">
        <v>147</v>
      </c>
      <c r="AR32" s="217"/>
      <c r="AS32" s="218"/>
      <c r="AT32" s="212">
        <v>111</v>
      </c>
      <c r="AU32" s="222"/>
      <c r="AV32" s="140"/>
      <c r="AW32" s="220"/>
      <c r="AX32" s="188"/>
      <c r="AY32" s="207"/>
      <c r="AZ32" s="188"/>
      <c r="BA32" s="157"/>
      <c r="BB32" s="157"/>
      <c r="BC32" s="151"/>
      <c r="BD32" s="152"/>
      <c r="BE32" s="152"/>
      <c r="BF32" s="176"/>
      <c r="BG32" s="208"/>
      <c r="BH32" s="188"/>
      <c r="BI32" s="157"/>
      <c r="BJ32" s="157"/>
      <c r="BK32" s="151"/>
      <c r="BL32" s="152"/>
      <c r="BM32" s="152"/>
      <c r="BN32" s="169"/>
      <c r="BQ32">
        <v>32</v>
      </c>
    </row>
    <row r="33" spans="1:69">
      <c r="A33" s="141"/>
      <c r="B33" s="141">
        <v>33</v>
      </c>
      <c r="C33" s="198" t="s">
        <v>93</v>
      </c>
      <c r="D33" s="34">
        <v>7</v>
      </c>
      <c r="E33" s="34">
        <v>13</v>
      </c>
      <c r="F33" s="35"/>
      <c r="G33" s="35"/>
      <c r="H33" s="34"/>
      <c r="I33" s="34"/>
      <c r="J33" s="35"/>
      <c r="K33" s="35"/>
      <c r="L33" s="34"/>
      <c r="M33" s="34"/>
      <c r="N33" s="35"/>
      <c r="O33" s="35"/>
      <c r="P33" s="36">
        <f t="shared" si="0"/>
        <v>-6</v>
      </c>
      <c r="Q33" s="136">
        <f t="shared" si="1"/>
        <v>0</v>
      </c>
      <c r="R33" s="158"/>
      <c r="S33" s="158"/>
      <c r="T33" s="158"/>
      <c r="U33" s="158"/>
      <c r="Y33" s="30"/>
      <c r="Z33" s="33">
        <v>31</v>
      </c>
      <c r="AA33" s="157">
        <v>31</v>
      </c>
      <c r="AB33" s="151" t="str">
        <f ca="1">INDIRECT("c31")</f>
        <v>EDOUARD</v>
      </c>
      <c r="AC33" s="152">
        <f ca="1">INDIRECT("q31")</f>
        <v>0</v>
      </c>
      <c r="AD33" s="152">
        <f ca="1">INDIRECT("p31")</f>
        <v>-6</v>
      </c>
      <c r="AE33" s="30"/>
      <c r="AK33" s="7"/>
      <c r="AL33" s="156">
        <v>33</v>
      </c>
      <c r="AM33" s="49" t="s">
        <v>93</v>
      </c>
      <c r="AN33" s="212">
        <v>33</v>
      </c>
      <c r="AO33" s="204" t="s">
        <v>93</v>
      </c>
      <c r="AP33" s="202">
        <v>93</v>
      </c>
      <c r="AQ33" s="129" t="s">
        <v>148</v>
      </c>
      <c r="AR33" s="217"/>
      <c r="AS33" s="218"/>
      <c r="AT33" s="212">
        <v>87</v>
      </c>
      <c r="AU33" s="222"/>
      <c r="AV33" s="140"/>
      <c r="AW33" s="220"/>
      <c r="AX33" s="188"/>
      <c r="AY33" s="207"/>
      <c r="AZ33" s="188"/>
      <c r="BA33" s="157"/>
      <c r="BB33" s="157"/>
      <c r="BC33" s="151"/>
      <c r="BD33" s="152"/>
      <c r="BE33" s="152"/>
      <c r="BF33" s="176"/>
      <c r="BG33" s="208"/>
      <c r="BH33" s="188"/>
      <c r="BI33" s="157"/>
      <c r="BJ33" s="157"/>
      <c r="BK33" s="151"/>
      <c r="BL33" s="152"/>
      <c r="BM33" s="152"/>
      <c r="BN33" s="169"/>
      <c r="BQ33">
        <v>33</v>
      </c>
    </row>
    <row r="34" spans="1:69">
      <c r="A34" s="141"/>
      <c r="B34" s="232">
        <v>34</v>
      </c>
      <c r="C34" s="230" t="s">
        <v>94</v>
      </c>
      <c r="D34" s="34">
        <v>13</v>
      </c>
      <c r="E34" s="34">
        <v>7</v>
      </c>
      <c r="F34" s="35"/>
      <c r="G34" s="35"/>
      <c r="H34" s="34"/>
      <c r="I34" s="34"/>
      <c r="J34" s="35"/>
      <c r="K34" s="35"/>
      <c r="L34" s="34"/>
      <c r="M34" s="34"/>
      <c r="N34" s="35"/>
      <c r="O34" s="35"/>
      <c r="P34" s="36">
        <f t="shared" si="0"/>
        <v>6</v>
      </c>
      <c r="Q34" s="224">
        <f t="shared" si="1"/>
        <v>1</v>
      </c>
      <c r="R34" s="158"/>
      <c r="S34" s="158"/>
      <c r="T34" s="158"/>
      <c r="U34" s="158"/>
      <c r="Y34" s="30"/>
      <c r="Z34" s="33">
        <v>32</v>
      </c>
      <c r="AA34" s="226">
        <v>32</v>
      </c>
      <c r="AB34" s="227" t="str">
        <f ca="1">INDIRECT("c32")</f>
        <v xml:space="preserve">ADELINE  </v>
      </c>
      <c r="AC34" s="228">
        <f ca="1">INDIRECT("q32")</f>
        <v>1</v>
      </c>
      <c r="AD34" s="228">
        <f ca="1">INDIRECT("p32")</f>
        <v>6</v>
      </c>
      <c r="AE34" s="30"/>
      <c r="AK34" s="7"/>
      <c r="AL34" s="156">
        <v>34</v>
      </c>
      <c r="AM34" s="49" t="s">
        <v>94</v>
      </c>
      <c r="AN34" s="212">
        <v>34</v>
      </c>
      <c r="AO34" s="204" t="s">
        <v>94</v>
      </c>
      <c r="AP34" s="202">
        <v>94</v>
      </c>
      <c r="AQ34" s="129" t="s">
        <v>149</v>
      </c>
      <c r="AR34" s="217"/>
      <c r="AS34" s="218"/>
      <c r="AT34" s="202">
        <v>63</v>
      </c>
      <c r="AU34" s="220"/>
      <c r="AV34" s="141"/>
      <c r="AW34" s="220"/>
      <c r="AX34" s="188"/>
      <c r="AY34" s="207"/>
      <c r="AZ34" s="188"/>
      <c r="BA34" s="157"/>
      <c r="BB34" s="157"/>
      <c r="BC34" s="151"/>
      <c r="BD34" s="152"/>
      <c r="BE34" s="152"/>
      <c r="BF34" s="176"/>
      <c r="BG34" s="208"/>
      <c r="BH34" s="188"/>
      <c r="BI34" s="157"/>
      <c r="BJ34" s="157"/>
      <c r="BK34" s="151"/>
      <c r="BL34" s="152"/>
      <c r="BM34" s="152"/>
      <c r="BN34" s="169"/>
      <c r="BQ34">
        <v>34</v>
      </c>
    </row>
    <row r="35" spans="1:69">
      <c r="A35" s="141"/>
      <c r="B35" s="232">
        <v>35</v>
      </c>
      <c r="C35" s="230" t="s">
        <v>95</v>
      </c>
      <c r="D35" s="34">
        <v>13</v>
      </c>
      <c r="E35" s="34">
        <v>7</v>
      </c>
      <c r="F35" s="35"/>
      <c r="G35" s="35"/>
      <c r="H35" s="34"/>
      <c r="I35" s="34"/>
      <c r="J35" s="35"/>
      <c r="K35" s="35"/>
      <c r="L35" s="34"/>
      <c r="M35" s="34"/>
      <c r="N35" s="35"/>
      <c r="O35" s="35"/>
      <c r="P35" s="36">
        <f t="shared" si="0"/>
        <v>6</v>
      </c>
      <c r="Q35" s="224">
        <f t="shared" si="1"/>
        <v>1</v>
      </c>
      <c r="R35" s="158"/>
      <c r="S35" s="158"/>
      <c r="T35" s="158"/>
      <c r="U35" s="158"/>
      <c r="Y35" s="30"/>
      <c r="Z35" s="33">
        <v>33</v>
      </c>
      <c r="AA35" s="157">
        <v>33</v>
      </c>
      <c r="AB35" s="151" t="str">
        <f ca="1">INDIRECT("c33")</f>
        <v xml:space="preserve">BRUNO  </v>
      </c>
      <c r="AC35" s="152">
        <f ca="1">INDIRECT("q33")</f>
        <v>0</v>
      </c>
      <c r="AD35" s="152">
        <f ca="1">INDIRECT("p33")</f>
        <v>-6</v>
      </c>
      <c r="AE35" s="30"/>
      <c r="AK35" s="7"/>
      <c r="AL35" s="156">
        <v>35</v>
      </c>
      <c r="AM35" s="49" t="s">
        <v>95</v>
      </c>
      <c r="AN35" s="212">
        <v>35</v>
      </c>
      <c r="AO35" s="204" t="s">
        <v>95</v>
      </c>
      <c r="AP35" s="202">
        <v>95</v>
      </c>
      <c r="AQ35" s="129" t="s">
        <v>150</v>
      </c>
      <c r="AR35" s="217"/>
      <c r="AS35" s="218"/>
      <c r="AT35" s="212">
        <v>77</v>
      </c>
      <c r="AU35" s="222"/>
      <c r="AV35" s="223"/>
      <c r="AW35" s="140"/>
      <c r="AX35" s="213"/>
      <c r="AY35" s="207"/>
      <c r="AZ35" s="188"/>
      <c r="BA35" s="180"/>
      <c r="BB35" s="180"/>
      <c r="BC35" s="181"/>
      <c r="BD35" s="182"/>
      <c r="BE35" s="182"/>
      <c r="BF35" s="176"/>
      <c r="BG35" s="208"/>
      <c r="BH35" s="188"/>
      <c r="BI35" s="157"/>
      <c r="BJ35" s="157"/>
      <c r="BK35" s="151"/>
      <c r="BL35" s="152"/>
      <c r="BM35" s="165"/>
      <c r="BN35" s="169"/>
      <c r="BQ35">
        <v>35</v>
      </c>
    </row>
    <row r="36" spans="1:69">
      <c r="A36" s="141"/>
      <c r="B36" s="141">
        <v>36</v>
      </c>
      <c r="C36" s="198" t="s">
        <v>96</v>
      </c>
      <c r="D36" s="34">
        <v>7</v>
      </c>
      <c r="E36" s="34">
        <v>13</v>
      </c>
      <c r="F36" s="35"/>
      <c r="G36" s="35"/>
      <c r="H36" s="34"/>
      <c r="I36" s="34"/>
      <c r="J36" s="35"/>
      <c r="K36" s="35"/>
      <c r="L36" s="34"/>
      <c r="M36" s="34"/>
      <c r="N36" s="35"/>
      <c r="O36" s="35"/>
      <c r="P36" s="36">
        <f t="shared" si="0"/>
        <v>-6</v>
      </c>
      <c r="Q36" s="136">
        <f t="shared" si="1"/>
        <v>0</v>
      </c>
      <c r="R36" s="158"/>
      <c r="S36" s="158"/>
      <c r="T36" s="158"/>
      <c r="U36" s="158"/>
      <c r="Y36" s="30"/>
      <c r="Z36" s="33">
        <v>34</v>
      </c>
      <c r="AA36" s="226">
        <v>34</v>
      </c>
      <c r="AB36" s="227" t="str">
        <f ca="1">INDIRECT("c34")</f>
        <v xml:space="preserve">JOE  </v>
      </c>
      <c r="AC36" s="228">
        <f ca="1">INDIRECT("q34")</f>
        <v>1</v>
      </c>
      <c r="AD36" s="228">
        <f ca="1">INDIRECT("p34")</f>
        <v>6</v>
      </c>
      <c r="AE36" s="30"/>
      <c r="AK36" s="7"/>
      <c r="AL36" s="156">
        <v>36</v>
      </c>
      <c r="AM36" s="49" t="s">
        <v>96</v>
      </c>
      <c r="AN36" s="212">
        <v>36</v>
      </c>
      <c r="AO36" s="204" t="s">
        <v>96</v>
      </c>
      <c r="AP36" s="202">
        <v>96</v>
      </c>
      <c r="AQ36" s="129" t="s">
        <v>151</v>
      </c>
      <c r="AR36" s="217"/>
      <c r="AS36" s="218"/>
      <c r="AT36" s="202">
        <v>41</v>
      </c>
      <c r="AU36" s="220"/>
      <c r="AV36" s="220"/>
      <c r="AW36" s="140"/>
      <c r="AX36" s="213"/>
      <c r="AY36" s="207"/>
      <c r="AZ36" s="188"/>
      <c r="BA36" s="183"/>
      <c r="BB36" s="183"/>
      <c r="BC36" s="184"/>
      <c r="BD36" s="185"/>
      <c r="BE36" s="185"/>
      <c r="BF36" s="176"/>
      <c r="BG36" s="208"/>
      <c r="BH36" s="188"/>
      <c r="BI36" s="157"/>
      <c r="BJ36" s="157"/>
      <c r="BK36" s="151"/>
      <c r="BL36" s="152"/>
      <c r="BM36" s="165"/>
      <c r="BN36" s="167"/>
      <c r="BQ36">
        <v>36</v>
      </c>
    </row>
    <row r="37" spans="1:69">
      <c r="A37" s="141"/>
      <c r="B37" s="232">
        <v>37</v>
      </c>
      <c r="C37" s="230" t="s">
        <v>97</v>
      </c>
      <c r="D37" s="34">
        <v>13</v>
      </c>
      <c r="E37" s="34">
        <v>7</v>
      </c>
      <c r="F37" s="35"/>
      <c r="G37" s="35"/>
      <c r="H37" s="34"/>
      <c r="I37" s="34"/>
      <c r="J37" s="35"/>
      <c r="K37" s="35"/>
      <c r="L37" s="34"/>
      <c r="M37" s="34"/>
      <c r="N37" s="35"/>
      <c r="O37" s="35"/>
      <c r="P37" s="36">
        <f t="shared" si="0"/>
        <v>6</v>
      </c>
      <c r="Q37" s="224">
        <f t="shared" si="1"/>
        <v>1</v>
      </c>
      <c r="R37" s="158"/>
      <c r="S37" s="158"/>
      <c r="T37" s="158"/>
      <c r="U37" s="158"/>
      <c r="Y37" s="30"/>
      <c r="Z37" s="33">
        <v>35</v>
      </c>
      <c r="AA37" s="226">
        <v>35</v>
      </c>
      <c r="AB37" s="227" t="str">
        <f ca="1">INDIRECT("c35")</f>
        <v>MARTIN</v>
      </c>
      <c r="AC37" s="228">
        <f ca="1">INDIRECT("q35")</f>
        <v>1</v>
      </c>
      <c r="AD37" s="228">
        <f ca="1">INDIRECT("p35")</f>
        <v>6</v>
      </c>
      <c r="AE37" s="30"/>
      <c r="AK37" s="7"/>
      <c r="AL37" s="156">
        <v>37</v>
      </c>
      <c r="AM37" s="49" t="s">
        <v>97</v>
      </c>
      <c r="AN37" s="212">
        <v>37</v>
      </c>
      <c r="AO37" s="204" t="s">
        <v>97</v>
      </c>
      <c r="AP37" s="202">
        <v>97</v>
      </c>
      <c r="AQ37" s="129" t="s">
        <v>152</v>
      </c>
      <c r="AR37" s="217"/>
      <c r="AS37" s="218"/>
      <c r="AT37" s="202">
        <v>47</v>
      </c>
      <c r="AU37" s="220"/>
      <c r="AV37" s="220"/>
      <c r="AW37" s="141"/>
      <c r="AX37" s="213"/>
      <c r="AY37" s="207"/>
      <c r="AZ37" s="188"/>
      <c r="BA37" s="183"/>
      <c r="BB37" s="183"/>
      <c r="BC37" s="184"/>
      <c r="BD37" s="185"/>
      <c r="BE37" s="185"/>
      <c r="BF37" s="176"/>
      <c r="BG37" s="208"/>
      <c r="BH37" s="208"/>
      <c r="BI37" s="188"/>
      <c r="BJ37" s="188"/>
      <c r="BK37" s="188"/>
      <c r="BL37" s="188"/>
      <c r="BM37" s="188"/>
      <c r="BQ37">
        <v>37</v>
      </c>
    </row>
    <row r="38" spans="1:69">
      <c r="A38" s="141"/>
      <c r="B38" s="232">
        <v>38</v>
      </c>
      <c r="C38" s="230" t="s">
        <v>98</v>
      </c>
      <c r="D38" s="34">
        <v>13</v>
      </c>
      <c r="E38" s="34">
        <v>7</v>
      </c>
      <c r="F38" s="35"/>
      <c r="G38" s="35"/>
      <c r="H38" s="34"/>
      <c r="I38" s="34"/>
      <c r="J38" s="35"/>
      <c r="K38" s="35"/>
      <c r="L38" s="34"/>
      <c r="M38" s="34"/>
      <c r="N38" s="35"/>
      <c r="O38" s="35"/>
      <c r="P38" s="36">
        <f t="shared" si="0"/>
        <v>6</v>
      </c>
      <c r="Q38" s="224">
        <f t="shared" si="1"/>
        <v>1</v>
      </c>
      <c r="R38" s="158"/>
      <c r="S38" s="158"/>
      <c r="T38" s="158"/>
      <c r="U38" s="158"/>
      <c r="Y38" s="30"/>
      <c r="Z38" s="33">
        <v>36</v>
      </c>
      <c r="AA38" s="157">
        <v>36</v>
      </c>
      <c r="AB38" s="151" t="str">
        <f ca="1">INDIRECT("c36")</f>
        <v xml:space="preserve">ALCIDE  </v>
      </c>
      <c r="AC38" s="152">
        <f ca="1">INDIRECT("q36")</f>
        <v>0</v>
      </c>
      <c r="AD38" s="152">
        <f ca="1">INDIRECT("p36")</f>
        <v>-6</v>
      </c>
      <c r="AE38" s="30"/>
      <c r="AK38" s="7"/>
      <c r="AL38" s="156">
        <v>38</v>
      </c>
      <c r="AM38" s="49" t="s">
        <v>98</v>
      </c>
      <c r="AN38" s="212">
        <v>38</v>
      </c>
      <c r="AO38" s="204" t="s">
        <v>98</v>
      </c>
      <c r="AP38" s="202">
        <v>98</v>
      </c>
      <c r="AQ38" s="129" t="s">
        <v>153</v>
      </c>
      <c r="AR38" s="217"/>
      <c r="AS38" s="218"/>
      <c r="AT38" s="202">
        <v>46</v>
      </c>
      <c r="AU38" s="220"/>
      <c r="AV38" s="220"/>
      <c r="AW38" s="141"/>
      <c r="AX38" s="213"/>
      <c r="AY38" s="207"/>
      <c r="AZ38" s="188"/>
      <c r="BA38" s="183"/>
      <c r="BB38" s="186"/>
      <c r="BC38" s="184"/>
      <c r="BD38" s="185"/>
      <c r="BE38" s="185"/>
      <c r="BF38" s="176"/>
      <c r="BG38" s="208"/>
      <c r="BH38" s="208"/>
      <c r="BI38" s="188"/>
      <c r="BJ38" s="188"/>
      <c r="BK38" s="188"/>
      <c r="BL38" s="188"/>
      <c r="BM38" s="188"/>
      <c r="BQ38">
        <v>38</v>
      </c>
    </row>
    <row r="39" spans="1:69">
      <c r="A39" s="141"/>
      <c r="B39" s="141">
        <v>39</v>
      </c>
      <c r="C39" s="198" t="s">
        <v>99</v>
      </c>
      <c r="D39" s="34">
        <v>7</v>
      </c>
      <c r="E39" s="34">
        <v>13</v>
      </c>
      <c r="F39" s="35"/>
      <c r="G39" s="35"/>
      <c r="H39" s="34"/>
      <c r="I39" s="34"/>
      <c r="J39" s="35"/>
      <c r="K39" s="35"/>
      <c r="L39" s="34"/>
      <c r="M39" s="34"/>
      <c r="N39" s="35"/>
      <c r="O39" s="35"/>
      <c r="P39" s="36">
        <f t="shared" si="0"/>
        <v>-6</v>
      </c>
      <c r="Q39" s="136">
        <f t="shared" si="1"/>
        <v>0</v>
      </c>
      <c r="R39" s="158"/>
      <c r="S39" s="158"/>
      <c r="T39" s="158"/>
      <c r="U39" s="158"/>
      <c r="Y39" s="30"/>
      <c r="Z39" s="33">
        <v>37</v>
      </c>
      <c r="AA39" s="226">
        <v>37</v>
      </c>
      <c r="AB39" s="227" t="str">
        <f ca="1">INDIRECT("c37")</f>
        <v>CLEMENT</v>
      </c>
      <c r="AC39" s="228">
        <f ca="1">INDIRECT("q37")</f>
        <v>1</v>
      </c>
      <c r="AD39" s="228">
        <f ca="1">INDIRECT("p37")</f>
        <v>6</v>
      </c>
      <c r="AE39" s="30"/>
      <c r="AK39" s="7"/>
      <c r="AL39" s="156">
        <v>39</v>
      </c>
      <c r="AM39" s="49" t="s">
        <v>99</v>
      </c>
      <c r="AN39" s="212">
        <v>39</v>
      </c>
      <c r="AO39" s="204" t="s">
        <v>99</v>
      </c>
      <c r="AP39" s="202">
        <v>99</v>
      </c>
      <c r="AQ39" s="129" t="s">
        <v>154</v>
      </c>
      <c r="AR39" s="217"/>
      <c r="AS39" s="218"/>
      <c r="AT39" s="212">
        <v>103</v>
      </c>
      <c r="AU39" s="222"/>
      <c r="AV39" s="220"/>
      <c r="AW39" s="141"/>
      <c r="AX39" s="213"/>
      <c r="AY39" s="207"/>
      <c r="AZ39" s="188"/>
      <c r="BA39" s="183"/>
      <c r="BB39" s="183"/>
      <c r="BC39" s="184"/>
      <c r="BD39" s="185"/>
      <c r="BE39" s="185"/>
      <c r="BF39" s="176"/>
      <c r="BG39" s="208"/>
      <c r="BH39" s="208"/>
      <c r="BI39" s="188"/>
      <c r="BJ39" s="188"/>
      <c r="BK39" s="188"/>
      <c r="BL39" s="188"/>
      <c r="BM39" s="188"/>
      <c r="BQ39">
        <v>39</v>
      </c>
    </row>
    <row r="40" spans="1:69">
      <c r="A40" s="141"/>
      <c r="B40" s="232">
        <v>40</v>
      </c>
      <c r="C40" s="230" t="s">
        <v>100</v>
      </c>
      <c r="D40" s="34">
        <v>13</v>
      </c>
      <c r="E40" s="34">
        <v>7</v>
      </c>
      <c r="F40" s="35"/>
      <c r="G40" s="35"/>
      <c r="H40" s="34"/>
      <c r="I40" s="34"/>
      <c r="J40" s="35"/>
      <c r="K40" s="35"/>
      <c r="L40" s="34"/>
      <c r="M40" s="34"/>
      <c r="N40" s="35"/>
      <c r="O40" s="35"/>
      <c r="P40" s="36">
        <f t="shared" si="0"/>
        <v>6</v>
      </c>
      <c r="Q40" s="224">
        <f t="shared" si="1"/>
        <v>1</v>
      </c>
      <c r="R40" s="158"/>
      <c r="S40" s="158"/>
      <c r="T40" s="158"/>
      <c r="U40" s="158"/>
      <c r="Y40" s="30"/>
      <c r="Z40" s="33">
        <v>38</v>
      </c>
      <c r="AA40" s="226">
        <v>38</v>
      </c>
      <c r="AB40" s="227" t="str">
        <f ca="1">INDIRECT("c38")</f>
        <v xml:space="preserve">ROMAIN  </v>
      </c>
      <c r="AC40" s="228">
        <f ca="1">INDIRECT("q38")</f>
        <v>1</v>
      </c>
      <c r="AD40" s="228">
        <f ca="1">INDIRECT("p38")</f>
        <v>6</v>
      </c>
      <c r="AE40" s="30"/>
      <c r="AK40" s="7"/>
      <c r="AL40" s="156">
        <v>40</v>
      </c>
      <c r="AM40" s="49" t="s">
        <v>100</v>
      </c>
      <c r="AN40" s="212">
        <v>40</v>
      </c>
      <c r="AO40" s="204" t="s">
        <v>100</v>
      </c>
      <c r="AP40" s="202">
        <v>100</v>
      </c>
      <c r="AQ40" s="129" t="s">
        <v>155</v>
      </c>
      <c r="AR40" s="217"/>
      <c r="AS40" s="218"/>
      <c r="AU40" s="220"/>
      <c r="AV40" s="220"/>
      <c r="AW40" s="220"/>
      <c r="AX40" s="188"/>
      <c r="AY40" s="207"/>
      <c r="AZ40" s="188"/>
      <c r="BA40" s="183"/>
      <c r="BB40" s="183"/>
      <c r="BC40" s="184"/>
      <c r="BD40" s="185"/>
      <c r="BE40" s="185"/>
      <c r="BF40" s="176"/>
      <c r="BG40" s="208"/>
      <c r="BH40" s="208"/>
      <c r="BI40" s="188"/>
      <c r="BJ40" s="188"/>
      <c r="BK40" s="188"/>
      <c r="BL40" s="188"/>
      <c r="BM40" s="188"/>
      <c r="BQ40">
        <v>40</v>
      </c>
    </row>
    <row r="41" spans="1:69">
      <c r="A41" s="141"/>
      <c r="B41" s="232">
        <v>41</v>
      </c>
      <c r="C41" s="230" t="s">
        <v>101</v>
      </c>
      <c r="D41" s="34">
        <v>13</v>
      </c>
      <c r="E41" s="34">
        <v>7</v>
      </c>
      <c r="F41" s="35"/>
      <c r="G41" s="35"/>
      <c r="H41" s="34"/>
      <c r="I41" s="34"/>
      <c r="J41" s="35"/>
      <c r="K41" s="35"/>
      <c r="L41" s="34"/>
      <c r="M41" s="34"/>
      <c r="N41" s="35"/>
      <c r="O41" s="35"/>
      <c r="P41" s="36">
        <f t="shared" si="0"/>
        <v>6</v>
      </c>
      <c r="Q41" s="224">
        <f t="shared" si="1"/>
        <v>1</v>
      </c>
      <c r="R41" s="158"/>
      <c r="S41" s="158"/>
      <c r="T41" s="158"/>
      <c r="U41" s="158"/>
      <c r="Y41" s="30"/>
      <c r="Z41" s="33">
        <v>39</v>
      </c>
      <c r="AA41" s="157">
        <v>39</v>
      </c>
      <c r="AB41" s="151" t="str">
        <f ca="1">INDIRECT("c39")</f>
        <v xml:space="preserve">NICO  </v>
      </c>
      <c r="AC41" s="152">
        <f ca="1">INDIRECT("q39")</f>
        <v>0</v>
      </c>
      <c r="AD41" s="152">
        <f ca="1">INDIRECT("p39")</f>
        <v>-6</v>
      </c>
      <c r="AE41" s="30"/>
      <c r="AK41" s="7"/>
      <c r="AL41" s="156">
        <v>41</v>
      </c>
      <c r="AM41" s="49" t="s">
        <v>101</v>
      </c>
      <c r="AN41" s="212">
        <v>41</v>
      </c>
      <c r="AO41" s="204" t="s">
        <v>101</v>
      </c>
      <c r="AP41" s="202">
        <v>101</v>
      </c>
      <c r="AQ41" s="129" t="s">
        <v>156</v>
      </c>
      <c r="AR41" s="217"/>
      <c r="AS41" s="218"/>
      <c r="AU41" s="220"/>
      <c r="AV41" s="220"/>
      <c r="AW41" s="220"/>
      <c r="AX41" s="188"/>
      <c r="AY41" s="207"/>
      <c r="AZ41" s="188"/>
      <c r="BA41" s="183"/>
      <c r="BB41" s="183"/>
      <c r="BC41" s="184"/>
      <c r="BD41" s="185"/>
      <c r="BE41" s="185"/>
      <c r="BF41" s="176"/>
      <c r="BG41" s="208"/>
      <c r="BH41" s="208"/>
      <c r="BI41" s="188"/>
      <c r="BJ41" s="188"/>
      <c r="BK41" s="188"/>
      <c r="BL41" s="188"/>
      <c r="BM41" s="188"/>
      <c r="BQ41">
        <v>41</v>
      </c>
    </row>
    <row r="42" spans="1:69">
      <c r="A42" s="141"/>
      <c r="B42" s="232">
        <v>42</v>
      </c>
      <c r="C42" s="230" t="s">
        <v>102</v>
      </c>
      <c r="D42" s="34">
        <v>13</v>
      </c>
      <c r="E42" s="34">
        <v>7</v>
      </c>
      <c r="F42" s="35"/>
      <c r="G42" s="35"/>
      <c r="H42" s="34"/>
      <c r="I42" s="34"/>
      <c r="J42" s="35"/>
      <c r="K42" s="35"/>
      <c r="L42" s="34"/>
      <c r="M42" s="34"/>
      <c r="N42" s="35"/>
      <c r="O42" s="35"/>
      <c r="P42" s="36">
        <f t="shared" si="0"/>
        <v>6</v>
      </c>
      <c r="Q42" s="224">
        <f t="shared" si="1"/>
        <v>1</v>
      </c>
      <c r="R42" s="158"/>
      <c r="S42" s="158"/>
      <c r="T42" s="158"/>
      <c r="U42" s="158"/>
      <c r="Y42" s="30"/>
      <c r="Z42" s="33">
        <v>40</v>
      </c>
      <c r="AA42" s="226">
        <v>40</v>
      </c>
      <c r="AB42" s="227" t="str">
        <f ca="1">INDIRECT("c40")</f>
        <v>VINCENT</v>
      </c>
      <c r="AC42" s="228">
        <f ca="1">INDIRECT("q40")</f>
        <v>1</v>
      </c>
      <c r="AD42" s="228">
        <f ca="1">INDIRECT("p40")</f>
        <v>6</v>
      </c>
      <c r="AE42" s="30"/>
      <c r="AK42" s="7"/>
      <c r="AL42" s="156">
        <v>42</v>
      </c>
      <c r="AM42" s="49" t="s">
        <v>102</v>
      </c>
      <c r="AN42" s="212">
        <v>42</v>
      </c>
      <c r="AO42" s="204" t="s">
        <v>102</v>
      </c>
      <c r="AP42" s="202">
        <v>102</v>
      </c>
      <c r="AQ42" s="129" t="s">
        <v>157</v>
      </c>
      <c r="AR42" s="217"/>
      <c r="AS42" s="218"/>
      <c r="AU42" s="220"/>
      <c r="AV42" s="220"/>
      <c r="AW42" s="220"/>
      <c r="AX42" s="188"/>
      <c r="AY42" s="207"/>
      <c r="AZ42" s="188"/>
      <c r="BA42" s="183"/>
      <c r="BB42" s="183"/>
      <c r="BC42" s="184"/>
      <c r="BD42" s="185"/>
      <c r="BE42" s="185"/>
      <c r="BF42" s="176"/>
      <c r="BG42" s="208"/>
      <c r="BH42" s="208"/>
      <c r="BI42" s="188"/>
      <c r="BJ42" s="188"/>
      <c r="BK42" s="188"/>
      <c r="BL42" s="188"/>
      <c r="BM42" s="188"/>
      <c r="BQ42">
        <v>42</v>
      </c>
    </row>
    <row r="43" spans="1:69">
      <c r="A43" s="141"/>
      <c r="B43" s="232">
        <v>43</v>
      </c>
      <c r="C43" s="230" t="s">
        <v>103</v>
      </c>
      <c r="D43" s="34">
        <v>13</v>
      </c>
      <c r="E43" s="34">
        <v>7</v>
      </c>
      <c r="F43" s="35"/>
      <c r="G43" s="35"/>
      <c r="H43" s="34"/>
      <c r="I43" s="34"/>
      <c r="J43" s="35"/>
      <c r="K43" s="35"/>
      <c r="L43" s="34"/>
      <c r="M43" s="34"/>
      <c r="N43" s="35"/>
      <c r="O43" s="35"/>
      <c r="P43" s="36">
        <f t="shared" si="0"/>
        <v>6</v>
      </c>
      <c r="Q43" s="224">
        <f t="shared" si="1"/>
        <v>1</v>
      </c>
      <c r="R43" s="158"/>
      <c r="S43" s="158"/>
      <c r="T43" s="158"/>
      <c r="U43" s="158"/>
      <c r="Y43" s="30"/>
      <c r="Z43" s="33">
        <v>41</v>
      </c>
      <c r="AA43" s="226">
        <v>41</v>
      </c>
      <c r="AB43" s="227" t="str">
        <f ca="1">INDIRECT("c41")</f>
        <v>ETIENNE</v>
      </c>
      <c r="AC43" s="228">
        <f ca="1">INDIRECT("q41")</f>
        <v>1</v>
      </c>
      <c r="AD43" s="228">
        <f ca="1">INDIRECT("p41")</f>
        <v>6</v>
      </c>
      <c r="AE43" s="30"/>
      <c r="AK43" s="7"/>
      <c r="AL43" s="156">
        <v>43</v>
      </c>
      <c r="AM43" s="49" t="s">
        <v>103</v>
      </c>
      <c r="AN43" s="212">
        <v>43</v>
      </c>
      <c r="AO43" s="204" t="s">
        <v>103</v>
      </c>
      <c r="AP43" s="202">
        <v>103</v>
      </c>
      <c r="AQ43" s="129" t="s">
        <v>158</v>
      </c>
      <c r="AR43" s="217"/>
      <c r="AS43" s="218"/>
      <c r="AU43" s="220"/>
      <c r="AV43" s="220"/>
      <c r="AW43" s="220"/>
      <c r="AX43" s="188"/>
      <c r="AY43" s="207"/>
      <c r="AZ43" s="188"/>
      <c r="BA43" s="183"/>
      <c r="BB43" s="183"/>
      <c r="BC43" s="184"/>
      <c r="BD43" s="185"/>
      <c r="BE43" s="185"/>
      <c r="BF43" s="176"/>
      <c r="BG43" s="208"/>
      <c r="BH43" s="208"/>
      <c r="BI43" s="188"/>
      <c r="BJ43" s="188"/>
      <c r="BK43" s="188"/>
      <c r="BL43" s="188"/>
      <c r="BM43" s="188"/>
      <c r="BQ43">
        <v>43</v>
      </c>
    </row>
    <row r="44" spans="1:69">
      <c r="A44" s="141"/>
      <c r="B44" s="141">
        <v>44</v>
      </c>
      <c r="C44" s="198" t="s">
        <v>104</v>
      </c>
      <c r="D44" s="34">
        <v>7</v>
      </c>
      <c r="E44" s="34">
        <v>13</v>
      </c>
      <c r="F44" s="35"/>
      <c r="G44" s="35"/>
      <c r="H44" s="34"/>
      <c r="I44" s="34"/>
      <c r="J44" s="35"/>
      <c r="K44" s="35"/>
      <c r="L44" s="34"/>
      <c r="M44" s="34"/>
      <c r="N44" s="35"/>
      <c r="O44" s="35"/>
      <c r="P44" s="36">
        <f t="shared" si="0"/>
        <v>-6</v>
      </c>
      <c r="Q44" s="136">
        <f t="shared" si="1"/>
        <v>0</v>
      </c>
      <c r="R44" s="158"/>
      <c r="S44" s="158"/>
      <c r="T44" s="158"/>
      <c r="U44" s="158"/>
      <c r="Y44" s="30"/>
      <c r="Z44" s="33">
        <v>42</v>
      </c>
      <c r="AA44" s="226">
        <v>42</v>
      </c>
      <c r="AB44" s="227" t="str">
        <f ca="1">INDIRECT("c42")</f>
        <v xml:space="preserve">FREDDY  </v>
      </c>
      <c r="AC44" s="228">
        <f ca="1">INDIRECT("q42")</f>
        <v>1</v>
      </c>
      <c r="AD44" s="228">
        <f ca="1">INDIRECT("p42")</f>
        <v>6</v>
      </c>
      <c r="AE44" s="30"/>
      <c r="AK44" s="7"/>
      <c r="AL44" s="156">
        <v>44</v>
      </c>
      <c r="AM44" s="49" t="s">
        <v>104</v>
      </c>
      <c r="AN44" s="212">
        <v>44</v>
      </c>
      <c r="AO44" s="204" t="s">
        <v>104</v>
      </c>
      <c r="AP44" s="202">
        <v>104</v>
      </c>
      <c r="AQ44" s="129" t="s">
        <v>159</v>
      </c>
      <c r="AR44" s="217"/>
      <c r="AS44" s="218"/>
      <c r="AU44" s="220"/>
      <c r="AV44" s="220"/>
      <c r="AW44" s="220"/>
      <c r="AX44" s="188"/>
      <c r="AY44" s="207"/>
      <c r="AZ44" s="188"/>
      <c r="BA44" s="183"/>
      <c r="BB44" s="183"/>
      <c r="BC44" s="184"/>
      <c r="BD44" s="185"/>
      <c r="BE44" s="185"/>
      <c r="BF44" s="176"/>
      <c r="BG44" s="208"/>
      <c r="BH44" s="208"/>
      <c r="BI44" s="188"/>
      <c r="BJ44" s="188"/>
      <c r="BK44" s="188"/>
      <c r="BL44" s="188"/>
      <c r="BM44" s="188"/>
      <c r="BQ44">
        <v>44</v>
      </c>
    </row>
    <row r="45" spans="1:69">
      <c r="A45" s="141"/>
      <c r="B45" s="232">
        <v>45</v>
      </c>
      <c r="C45" s="230" t="s">
        <v>105</v>
      </c>
      <c r="D45" s="34">
        <v>13</v>
      </c>
      <c r="E45" s="34">
        <v>7</v>
      </c>
      <c r="F45" s="35"/>
      <c r="G45" s="35"/>
      <c r="H45" s="34"/>
      <c r="I45" s="34"/>
      <c r="J45" s="35"/>
      <c r="K45" s="35"/>
      <c r="L45" s="34"/>
      <c r="M45" s="34"/>
      <c r="N45" s="35"/>
      <c r="O45" s="35"/>
      <c r="P45" s="36">
        <f t="shared" si="0"/>
        <v>6</v>
      </c>
      <c r="Q45" s="224">
        <f t="shared" si="1"/>
        <v>1</v>
      </c>
      <c r="R45" s="158"/>
      <c r="S45" s="158"/>
      <c r="T45" s="158"/>
      <c r="U45" s="158"/>
      <c r="Y45" s="30"/>
      <c r="Z45" s="33">
        <v>43</v>
      </c>
      <c r="AA45" s="226">
        <v>43</v>
      </c>
      <c r="AB45" s="227" t="str">
        <f ca="1">INDIRECT("c43")</f>
        <v>ALLAIRE</v>
      </c>
      <c r="AC45" s="228">
        <f ca="1">INDIRECT("q43")</f>
        <v>1</v>
      </c>
      <c r="AD45" s="228">
        <f ca="1">INDIRECT("p43")</f>
        <v>6</v>
      </c>
      <c r="AE45" s="30"/>
      <c r="AK45" s="7"/>
      <c r="AL45" s="156">
        <v>45</v>
      </c>
      <c r="AM45" s="49" t="s">
        <v>105</v>
      </c>
      <c r="AN45" s="212">
        <v>45</v>
      </c>
      <c r="AO45" s="204" t="s">
        <v>105</v>
      </c>
      <c r="AP45" s="202">
        <v>105</v>
      </c>
      <c r="AQ45" s="129" t="s">
        <v>160</v>
      </c>
      <c r="AR45" s="217"/>
      <c r="AS45" s="218"/>
      <c r="AU45" s="220"/>
      <c r="AV45" s="220"/>
      <c r="AW45" s="220"/>
      <c r="AX45" s="188"/>
      <c r="AY45" s="207"/>
      <c r="AZ45" s="188"/>
      <c r="BA45" s="183"/>
      <c r="BB45" s="183"/>
      <c r="BC45" s="184"/>
      <c r="BD45" s="185"/>
      <c r="BE45" s="185"/>
      <c r="BF45" s="176"/>
      <c r="BG45" s="208"/>
      <c r="BH45" s="208"/>
      <c r="BI45" s="188"/>
      <c r="BJ45" s="188"/>
      <c r="BK45" s="188"/>
      <c r="BL45" s="188"/>
      <c r="BM45" s="188"/>
      <c r="BQ45">
        <v>45</v>
      </c>
    </row>
    <row r="46" spans="1:69">
      <c r="A46" s="141"/>
      <c r="B46" s="141">
        <v>46</v>
      </c>
      <c r="C46" s="198" t="s">
        <v>106</v>
      </c>
      <c r="D46" s="34">
        <v>7</v>
      </c>
      <c r="E46" s="34">
        <v>13</v>
      </c>
      <c r="F46" s="35"/>
      <c r="G46" s="35"/>
      <c r="H46" s="34"/>
      <c r="I46" s="34"/>
      <c r="J46" s="35"/>
      <c r="K46" s="35"/>
      <c r="L46" s="34"/>
      <c r="M46" s="34"/>
      <c r="N46" s="35"/>
      <c r="O46" s="35"/>
      <c r="P46" s="36">
        <f t="shared" si="0"/>
        <v>-6</v>
      </c>
      <c r="Q46" s="136">
        <f t="shared" si="1"/>
        <v>0</v>
      </c>
      <c r="R46" s="158"/>
      <c r="S46" s="158"/>
      <c r="T46" s="158"/>
      <c r="U46" s="158"/>
      <c r="Y46" s="30"/>
      <c r="Z46" s="33">
        <v>44</v>
      </c>
      <c r="AA46" s="157">
        <v>44</v>
      </c>
      <c r="AB46" s="151" t="str">
        <f ca="1">INDIRECT("c44")</f>
        <v>GUY JEAN</v>
      </c>
      <c r="AC46" s="152">
        <f ca="1">INDIRECT("q44")</f>
        <v>0</v>
      </c>
      <c r="AD46" s="152">
        <f ca="1">INDIRECT("p44")</f>
        <v>-6</v>
      </c>
      <c r="AE46" s="30"/>
      <c r="AK46" s="7"/>
      <c r="AL46" s="156">
        <v>46</v>
      </c>
      <c r="AM46" s="49" t="s">
        <v>106</v>
      </c>
      <c r="AN46" s="212">
        <v>46</v>
      </c>
      <c r="AO46" s="204" t="s">
        <v>106</v>
      </c>
      <c r="AP46" s="202">
        <v>106</v>
      </c>
      <c r="AQ46" s="129" t="s">
        <v>161</v>
      </c>
      <c r="AR46" s="217"/>
      <c r="AS46" s="218"/>
      <c r="AU46" s="220"/>
      <c r="AV46" s="220"/>
      <c r="AW46" s="220"/>
      <c r="AX46" s="188"/>
      <c r="AY46" s="207"/>
      <c r="AZ46" s="188"/>
      <c r="BA46" s="183"/>
      <c r="BB46" s="186"/>
      <c r="BC46" s="184"/>
      <c r="BD46" s="185"/>
      <c r="BE46" s="185"/>
      <c r="BF46" s="176"/>
      <c r="BG46" s="208"/>
      <c r="BH46" s="208"/>
      <c r="BI46" s="188"/>
      <c r="BJ46" s="188"/>
      <c r="BK46" s="188"/>
      <c r="BL46" s="188"/>
      <c r="BM46" s="188"/>
      <c r="BQ46">
        <v>46</v>
      </c>
    </row>
    <row r="47" spans="1:69">
      <c r="A47" s="141"/>
      <c r="B47" s="232">
        <v>47</v>
      </c>
      <c r="C47" s="230" t="s">
        <v>107</v>
      </c>
      <c r="D47" s="34">
        <v>13</v>
      </c>
      <c r="E47" s="34">
        <v>7</v>
      </c>
      <c r="F47" s="35"/>
      <c r="G47" s="35"/>
      <c r="H47" s="34"/>
      <c r="I47" s="34"/>
      <c r="J47" s="35"/>
      <c r="K47" s="35"/>
      <c r="L47" s="34"/>
      <c r="M47" s="34"/>
      <c r="N47" s="35"/>
      <c r="O47" s="35"/>
      <c r="P47" s="36">
        <f t="shared" si="0"/>
        <v>6</v>
      </c>
      <c r="Q47" s="224">
        <f t="shared" si="1"/>
        <v>1</v>
      </c>
      <c r="R47" s="158"/>
      <c r="S47" s="158"/>
      <c r="T47" s="158"/>
      <c r="U47" s="158"/>
      <c r="Y47" s="30"/>
      <c r="Z47" s="33">
        <v>45</v>
      </c>
      <c r="AA47" s="226">
        <v>45</v>
      </c>
      <c r="AB47" s="227" t="str">
        <f ca="1">INDIRECT("c45")</f>
        <v>RENAUD</v>
      </c>
      <c r="AC47" s="228">
        <f ca="1">INDIRECT("q45")</f>
        <v>1</v>
      </c>
      <c r="AD47" s="228">
        <f ca="1">INDIRECT("p45")</f>
        <v>6</v>
      </c>
      <c r="AE47" s="30"/>
      <c r="AK47" s="7"/>
      <c r="AL47" s="156">
        <v>47</v>
      </c>
      <c r="AM47" s="49" t="s">
        <v>107</v>
      </c>
      <c r="AN47" s="212">
        <v>47</v>
      </c>
      <c r="AO47" s="204" t="s">
        <v>107</v>
      </c>
      <c r="AP47" s="202">
        <v>107</v>
      </c>
      <c r="AQ47" s="129" t="s">
        <v>162</v>
      </c>
      <c r="AR47" s="217"/>
      <c r="AS47" s="218"/>
      <c r="AU47" s="220"/>
      <c r="AV47" s="220"/>
      <c r="AW47" s="220"/>
      <c r="AX47" s="188"/>
      <c r="AY47" s="207"/>
      <c r="AZ47" s="188"/>
      <c r="BA47" s="183"/>
      <c r="BB47" s="183"/>
      <c r="BC47" s="184"/>
      <c r="BD47" s="185"/>
      <c r="BE47" s="185"/>
      <c r="BF47" s="176"/>
      <c r="BG47" s="208"/>
      <c r="BH47" s="208"/>
      <c r="BI47" s="188"/>
      <c r="BJ47" s="188"/>
      <c r="BK47" s="188"/>
      <c r="BL47" s="188"/>
      <c r="BM47" s="188"/>
      <c r="BQ47">
        <v>47</v>
      </c>
    </row>
    <row r="48" spans="1:69">
      <c r="A48" s="141"/>
      <c r="B48" s="141">
        <v>48</v>
      </c>
      <c r="C48" s="198" t="s">
        <v>108</v>
      </c>
      <c r="D48" s="34">
        <v>7</v>
      </c>
      <c r="E48" s="34">
        <v>13</v>
      </c>
      <c r="F48" s="35"/>
      <c r="G48" s="35"/>
      <c r="H48" s="34"/>
      <c r="I48" s="34"/>
      <c r="J48" s="35"/>
      <c r="K48" s="35"/>
      <c r="L48" s="34"/>
      <c r="M48" s="34"/>
      <c r="N48" s="35"/>
      <c r="O48" s="35"/>
      <c r="P48" s="36">
        <f t="shared" si="0"/>
        <v>-6</v>
      </c>
      <c r="Q48" s="136">
        <f t="shared" si="1"/>
        <v>0</v>
      </c>
      <c r="R48" s="158"/>
      <c r="S48" s="158"/>
      <c r="T48" s="158"/>
      <c r="U48" s="158"/>
      <c r="Y48" s="30"/>
      <c r="Z48" s="33">
        <v>46</v>
      </c>
      <c r="AA48" s="157">
        <v>46</v>
      </c>
      <c r="AB48" s="151" t="str">
        <f ca="1">INDIRECT("c46")</f>
        <v xml:space="preserve">SERGE  </v>
      </c>
      <c r="AC48" s="152">
        <f ca="1">INDIRECT("q46")</f>
        <v>0</v>
      </c>
      <c r="AD48" s="152">
        <f ca="1">INDIRECT("p46")</f>
        <v>-6</v>
      </c>
      <c r="AE48" s="30"/>
      <c r="AK48" s="7"/>
      <c r="AL48" s="156">
        <v>48</v>
      </c>
      <c r="AM48" s="49" t="s">
        <v>108</v>
      </c>
      <c r="AN48" s="212">
        <v>48</v>
      </c>
      <c r="AO48" s="204" t="s">
        <v>108</v>
      </c>
      <c r="AP48" s="202">
        <v>108</v>
      </c>
      <c r="AQ48" s="129" t="s">
        <v>163</v>
      </c>
      <c r="AR48" s="217"/>
      <c r="AS48" s="218"/>
      <c r="AU48" s="220"/>
      <c r="AV48" s="220"/>
      <c r="AW48" s="220"/>
      <c r="AX48" s="188"/>
      <c r="AY48" s="207"/>
      <c r="AZ48" s="188"/>
      <c r="BA48" s="183"/>
      <c r="BB48" s="183"/>
      <c r="BC48" s="184"/>
      <c r="BD48" s="185"/>
      <c r="BE48" s="185"/>
      <c r="BF48" s="176"/>
      <c r="BG48" s="208"/>
      <c r="BH48" s="208"/>
      <c r="BI48" s="188"/>
      <c r="BJ48" s="188"/>
      <c r="BK48" s="188"/>
      <c r="BL48" s="188"/>
      <c r="BM48" s="188"/>
      <c r="BQ48">
        <v>48</v>
      </c>
    </row>
    <row r="49" spans="1:69">
      <c r="A49" s="141"/>
      <c r="B49" s="141">
        <v>49</v>
      </c>
      <c r="C49" s="198" t="s">
        <v>109</v>
      </c>
      <c r="D49" s="34">
        <v>7</v>
      </c>
      <c r="E49" s="34">
        <v>13</v>
      </c>
      <c r="F49" s="35"/>
      <c r="G49" s="35"/>
      <c r="H49" s="34"/>
      <c r="I49" s="34"/>
      <c r="J49" s="35"/>
      <c r="K49" s="35"/>
      <c r="L49" s="34"/>
      <c r="M49" s="34"/>
      <c r="N49" s="35"/>
      <c r="O49" s="35"/>
      <c r="P49" s="36">
        <f t="shared" si="0"/>
        <v>-6</v>
      </c>
      <c r="Q49" s="136">
        <f t="shared" si="1"/>
        <v>0</v>
      </c>
      <c r="R49" s="158"/>
      <c r="S49" s="158"/>
      <c r="T49" s="158"/>
      <c r="U49" s="158"/>
      <c r="Y49" s="30"/>
      <c r="Z49" s="33">
        <v>47</v>
      </c>
      <c r="AA49" s="226">
        <v>47</v>
      </c>
      <c r="AB49" s="227" t="str">
        <f ca="1">INDIRECT("c47")</f>
        <v>HERMAN</v>
      </c>
      <c r="AC49" s="228">
        <f ca="1">INDIRECT("q47")</f>
        <v>1</v>
      </c>
      <c r="AD49" s="228">
        <f ca="1">INDIRECT("p47")</f>
        <v>6</v>
      </c>
      <c r="AE49" s="30"/>
      <c r="AK49" s="7"/>
      <c r="AL49" s="156">
        <v>49</v>
      </c>
      <c r="AM49" s="49" t="s">
        <v>109</v>
      </c>
      <c r="AN49" s="212">
        <v>49</v>
      </c>
      <c r="AO49" s="204" t="s">
        <v>109</v>
      </c>
      <c r="AP49" s="202">
        <v>109</v>
      </c>
      <c r="AQ49" s="129" t="s">
        <v>164</v>
      </c>
      <c r="AR49" s="217"/>
      <c r="AS49" s="218"/>
      <c r="AU49" s="220"/>
      <c r="AV49" s="220"/>
      <c r="AW49" s="220"/>
      <c r="AX49" s="188"/>
      <c r="AY49" s="207"/>
      <c r="AZ49" s="188"/>
      <c r="BA49" s="183"/>
      <c r="BB49" s="183"/>
      <c r="BC49" s="184"/>
      <c r="BD49" s="185"/>
      <c r="BE49" s="185"/>
      <c r="BF49" s="176"/>
      <c r="BG49" s="208"/>
      <c r="BH49" s="208"/>
      <c r="BI49" s="188"/>
      <c r="BJ49" s="188"/>
      <c r="BK49" s="188"/>
      <c r="BL49" s="188"/>
      <c r="BM49" s="188"/>
      <c r="BQ49">
        <v>49</v>
      </c>
    </row>
    <row r="50" spans="1:69">
      <c r="A50" s="141"/>
      <c r="B50" s="141">
        <v>50</v>
      </c>
      <c r="C50" s="198" t="s">
        <v>110</v>
      </c>
      <c r="D50" s="34">
        <v>7</v>
      </c>
      <c r="E50" s="34">
        <v>13</v>
      </c>
      <c r="F50" s="35"/>
      <c r="G50" s="35"/>
      <c r="H50" s="34"/>
      <c r="I50" s="34"/>
      <c r="J50" s="35"/>
      <c r="K50" s="35"/>
      <c r="L50" s="34"/>
      <c r="M50" s="34"/>
      <c r="N50" s="35"/>
      <c r="O50" s="35"/>
      <c r="P50" s="36">
        <f t="shared" si="0"/>
        <v>-6</v>
      </c>
      <c r="Q50" s="136">
        <f t="shared" si="1"/>
        <v>0</v>
      </c>
      <c r="R50" s="158"/>
      <c r="S50" s="158"/>
      <c r="T50" s="158"/>
      <c r="U50" s="158"/>
      <c r="Y50" s="30"/>
      <c r="Z50" s="33">
        <v>48</v>
      </c>
      <c r="AA50" s="157">
        <v>48</v>
      </c>
      <c r="AB50" s="151" t="str">
        <f ca="1">INDIRECT("c48")</f>
        <v>LUC</v>
      </c>
      <c r="AC50" s="152">
        <f ca="1">INDIRECT("q48")</f>
        <v>0</v>
      </c>
      <c r="AD50" s="152">
        <f ca="1">INDIRECT("p48")</f>
        <v>-6</v>
      </c>
      <c r="AE50" s="30"/>
      <c r="AK50" s="7"/>
      <c r="AL50" s="156">
        <v>50</v>
      </c>
      <c r="AM50" s="49" t="s">
        <v>110</v>
      </c>
      <c r="AN50" s="212">
        <v>50</v>
      </c>
      <c r="AO50" s="204" t="s">
        <v>110</v>
      </c>
      <c r="AP50" s="202">
        <v>110</v>
      </c>
      <c r="AQ50" s="129" t="s">
        <v>165</v>
      </c>
      <c r="AR50" s="217"/>
      <c r="AS50" s="218"/>
      <c r="AU50" s="220"/>
      <c r="AV50" s="220"/>
      <c r="AW50" s="220"/>
      <c r="AX50" s="188"/>
      <c r="AY50" s="207"/>
      <c r="AZ50" s="188"/>
      <c r="BA50" s="183"/>
      <c r="BB50" s="183"/>
      <c r="BC50" s="184"/>
      <c r="BD50" s="185"/>
      <c r="BE50" s="185"/>
      <c r="BF50" s="176"/>
      <c r="BG50" s="208"/>
      <c r="BH50" s="208"/>
      <c r="BI50" s="188"/>
      <c r="BJ50" s="188"/>
      <c r="BK50" s="188"/>
      <c r="BL50" s="188"/>
      <c r="BM50" s="188"/>
      <c r="BQ50">
        <v>50</v>
      </c>
    </row>
    <row r="51" spans="1:69">
      <c r="A51" s="141"/>
      <c r="B51" s="141">
        <v>51</v>
      </c>
      <c r="C51" s="198" t="s">
        <v>111</v>
      </c>
      <c r="D51" s="34">
        <v>7</v>
      </c>
      <c r="E51" s="34">
        <v>13</v>
      </c>
      <c r="F51" s="35"/>
      <c r="G51" s="35"/>
      <c r="H51" s="34"/>
      <c r="I51" s="34"/>
      <c r="J51" s="35"/>
      <c r="K51" s="35"/>
      <c r="L51" s="34"/>
      <c r="M51" s="34"/>
      <c r="N51" s="35"/>
      <c r="O51" s="35"/>
      <c r="P51" s="36">
        <f t="shared" si="0"/>
        <v>-6</v>
      </c>
      <c r="Q51" s="136">
        <f t="shared" si="1"/>
        <v>0</v>
      </c>
      <c r="R51" s="158"/>
      <c r="S51" s="158"/>
      <c r="T51" s="158"/>
      <c r="U51" s="158"/>
      <c r="Y51" s="30"/>
      <c r="Z51" s="33">
        <v>49</v>
      </c>
      <c r="AA51" s="157">
        <v>49</v>
      </c>
      <c r="AB51" s="151" t="str">
        <f ca="1">INDIRECT("c49")</f>
        <v>OLIVIER</v>
      </c>
      <c r="AC51" s="152">
        <f ca="1">INDIRECT("q49")</f>
        <v>0</v>
      </c>
      <c r="AD51" s="152">
        <f ca="1">INDIRECT("p49")</f>
        <v>-6</v>
      </c>
      <c r="AE51" s="30"/>
      <c r="AK51" s="7"/>
      <c r="AL51" s="156">
        <v>51</v>
      </c>
      <c r="AM51" s="49" t="s">
        <v>111</v>
      </c>
      <c r="AN51" s="212">
        <v>51</v>
      </c>
      <c r="AO51" s="204" t="s">
        <v>111</v>
      </c>
      <c r="AP51" s="202">
        <v>111</v>
      </c>
      <c r="AQ51" s="129" t="s">
        <v>166</v>
      </c>
      <c r="AR51" s="217"/>
      <c r="AS51" s="218"/>
      <c r="AU51" s="220"/>
      <c r="AV51" s="220"/>
      <c r="AW51" s="220"/>
      <c r="AX51" s="188"/>
      <c r="AY51" s="207"/>
      <c r="AZ51" s="188"/>
      <c r="BA51" s="183"/>
      <c r="BB51" s="183"/>
      <c r="BC51" s="184"/>
      <c r="BD51" s="185"/>
      <c r="BE51" s="185"/>
      <c r="BF51" s="176"/>
      <c r="BG51" s="208"/>
      <c r="BH51" s="208"/>
      <c r="BI51" s="188"/>
      <c r="BJ51" s="188"/>
      <c r="BK51" s="188"/>
      <c r="BL51" s="188"/>
      <c r="BM51" s="188"/>
      <c r="BQ51">
        <v>51</v>
      </c>
    </row>
    <row r="52" spans="1:69">
      <c r="A52" s="141"/>
      <c r="B52" s="141">
        <v>52</v>
      </c>
      <c r="C52" s="198" t="s">
        <v>112</v>
      </c>
      <c r="D52" s="34">
        <v>7</v>
      </c>
      <c r="E52" s="34">
        <v>13</v>
      </c>
      <c r="F52" s="35"/>
      <c r="G52" s="35"/>
      <c r="H52" s="34"/>
      <c r="I52" s="34"/>
      <c r="J52" s="35"/>
      <c r="K52" s="35"/>
      <c r="L52" s="34"/>
      <c r="M52" s="34"/>
      <c r="N52" s="35"/>
      <c r="O52" s="35"/>
      <c r="P52" s="36">
        <f t="shared" si="0"/>
        <v>-6</v>
      </c>
      <c r="Q52" s="136">
        <f t="shared" si="1"/>
        <v>0</v>
      </c>
      <c r="R52" s="158"/>
      <c r="S52" s="158"/>
      <c r="T52" s="158"/>
      <c r="U52" s="158"/>
      <c r="Y52" s="30"/>
      <c r="Z52" s="33">
        <v>50</v>
      </c>
      <c r="AA52" s="157">
        <v>50</v>
      </c>
      <c r="AB52" s="151" t="str">
        <f ca="1">INDIRECT("c50")</f>
        <v>FLORENTIN</v>
      </c>
      <c r="AC52" s="152">
        <f ca="1">INDIRECT("q50")</f>
        <v>0</v>
      </c>
      <c r="AD52" s="152">
        <f ca="1">INDIRECT("p50")</f>
        <v>-6</v>
      </c>
      <c r="AE52" s="30"/>
      <c r="AK52" s="7"/>
      <c r="AL52" s="156">
        <v>52</v>
      </c>
      <c r="AM52" s="49" t="s">
        <v>112</v>
      </c>
      <c r="AN52" s="212">
        <v>52</v>
      </c>
      <c r="AO52" s="204" t="s">
        <v>112</v>
      </c>
      <c r="AP52" s="202">
        <v>112</v>
      </c>
      <c r="AQ52" s="129" t="s">
        <v>167</v>
      </c>
      <c r="AR52" s="217"/>
      <c r="AS52" s="218"/>
      <c r="AU52" s="220"/>
      <c r="AV52" s="220"/>
      <c r="AW52" s="220"/>
      <c r="AX52" s="188"/>
      <c r="AY52" s="207"/>
      <c r="AZ52" s="188"/>
      <c r="BA52" s="183"/>
      <c r="BB52" s="183"/>
      <c r="BC52" s="184"/>
      <c r="BD52" s="185"/>
      <c r="BE52" s="185"/>
      <c r="BF52" s="176"/>
      <c r="BG52" s="208"/>
      <c r="BH52" s="208"/>
      <c r="BI52" s="188"/>
      <c r="BJ52" s="188"/>
      <c r="BK52" s="188"/>
      <c r="BL52" s="188"/>
      <c r="BM52" s="188"/>
      <c r="BQ52">
        <v>52</v>
      </c>
    </row>
    <row r="53" spans="1:69">
      <c r="A53" s="141"/>
      <c r="B53" s="141">
        <v>53</v>
      </c>
      <c r="C53" s="198" t="s">
        <v>85</v>
      </c>
      <c r="D53" s="34">
        <v>7</v>
      </c>
      <c r="E53" s="34">
        <v>13</v>
      </c>
      <c r="F53" s="35"/>
      <c r="G53" s="35"/>
      <c r="H53" s="34"/>
      <c r="I53" s="34"/>
      <c r="J53" s="35"/>
      <c r="K53" s="35"/>
      <c r="L53" s="34"/>
      <c r="M53" s="34"/>
      <c r="N53" s="35"/>
      <c r="O53" s="35"/>
      <c r="P53" s="36">
        <f t="shared" si="0"/>
        <v>-6</v>
      </c>
      <c r="Q53" s="136">
        <f t="shared" si="1"/>
        <v>0</v>
      </c>
      <c r="R53" s="158"/>
      <c r="S53" s="158"/>
      <c r="T53" s="158"/>
      <c r="U53" s="158"/>
      <c r="Y53" s="30"/>
      <c r="Z53" s="33">
        <v>51</v>
      </c>
      <c r="AA53" s="157">
        <v>51</v>
      </c>
      <c r="AB53" s="151" t="str">
        <f ca="1">INDIRECT("c51")</f>
        <v>BEAUDOUIN</v>
      </c>
      <c r="AC53" s="152">
        <f ca="1">INDIRECT("q51")</f>
        <v>0</v>
      </c>
      <c r="AD53" s="152">
        <f ca="1">INDIRECT("p51")</f>
        <v>-6</v>
      </c>
      <c r="AE53" s="30"/>
      <c r="AK53" s="7"/>
      <c r="AL53" s="156">
        <v>53</v>
      </c>
      <c r="AM53" s="49" t="s">
        <v>85</v>
      </c>
      <c r="AN53" s="212">
        <v>53</v>
      </c>
      <c r="AO53" s="204" t="s">
        <v>85</v>
      </c>
      <c r="AP53" s="202">
        <v>113</v>
      </c>
      <c r="AQ53" s="129" t="s">
        <v>168</v>
      </c>
      <c r="AR53" s="217"/>
      <c r="AS53" s="218"/>
      <c r="AY53" s="50"/>
      <c r="AZ53" s="32"/>
      <c r="BA53" s="171"/>
      <c r="BB53" s="174"/>
      <c r="BC53" s="172"/>
      <c r="BD53" s="173"/>
      <c r="BE53" s="173"/>
      <c r="BQ53">
        <v>53</v>
      </c>
    </row>
    <row r="54" spans="1:69">
      <c r="A54" s="141"/>
      <c r="B54" s="141">
        <v>54</v>
      </c>
      <c r="C54" s="198" t="s">
        <v>113</v>
      </c>
      <c r="D54" s="34">
        <v>7</v>
      </c>
      <c r="E54" s="34">
        <v>13</v>
      </c>
      <c r="F54" s="35"/>
      <c r="G54" s="35"/>
      <c r="H54" s="34"/>
      <c r="I54" s="34"/>
      <c r="J54" s="35"/>
      <c r="K54" s="35"/>
      <c r="L54" s="34"/>
      <c r="M54" s="34"/>
      <c r="N54" s="35"/>
      <c r="O54" s="35"/>
      <c r="P54" s="36">
        <f t="shared" si="0"/>
        <v>-6</v>
      </c>
      <c r="Q54" s="136">
        <f t="shared" si="1"/>
        <v>0</v>
      </c>
      <c r="R54" s="158"/>
      <c r="S54" s="158"/>
      <c r="T54" s="158"/>
      <c r="U54" s="158"/>
      <c r="Y54" s="30"/>
      <c r="Z54" s="33">
        <v>52</v>
      </c>
      <c r="AA54" s="157">
        <v>52</v>
      </c>
      <c r="AB54" s="151" t="str">
        <f ca="1">INDIRECT("c52")</f>
        <v>ABEL</v>
      </c>
      <c r="AC54" s="152">
        <f ca="1">INDIRECT("q52")</f>
        <v>0</v>
      </c>
      <c r="AD54" s="152">
        <f ca="1">INDIRECT("p52")</f>
        <v>-6</v>
      </c>
      <c r="AE54" s="30"/>
      <c r="AK54" s="7"/>
      <c r="AL54" s="156">
        <v>54</v>
      </c>
      <c r="AM54" s="49" t="s">
        <v>113</v>
      </c>
      <c r="AN54" s="212">
        <v>54</v>
      </c>
      <c r="AO54" s="204" t="s">
        <v>113</v>
      </c>
      <c r="AP54" s="202">
        <v>114</v>
      </c>
      <c r="AQ54" s="129" t="s">
        <v>169</v>
      </c>
      <c r="AR54" s="217"/>
      <c r="AS54" s="218"/>
      <c r="AY54" s="50"/>
      <c r="AZ54" s="32"/>
      <c r="BA54" s="171"/>
      <c r="BB54" s="171"/>
      <c r="BC54" s="172"/>
      <c r="BD54" s="173"/>
      <c r="BE54" s="173"/>
      <c r="BQ54">
        <v>54</v>
      </c>
    </row>
    <row r="55" spans="1:69">
      <c r="A55" s="141"/>
      <c r="B55" s="232">
        <v>55</v>
      </c>
      <c r="C55" s="230" t="s">
        <v>114</v>
      </c>
      <c r="D55" s="34">
        <v>13</v>
      </c>
      <c r="E55" s="34">
        <v>7</v>
      </c>
      <c r="F55" s="35"/>
      <c r="G55" s="35"/>
      <c r="H55" s="34"/>
      <c r="I55" s="34"/>
      <c r="J55" s="35"/>
      <c r="K55" s="35"/>
      <c r="L55" s="34"/>
      <c r="M55" s="34"/>
      <c r="N55" s="35"/>
      <c r="O55" s="35"/>
      <c r="P55" s="36">
        <f t="shared" si="0"/>
        <v>6</v>
      </c>
      <c r="Q55" s="224">
        <f t="shared" si="1"/>
        <v>1</v>
      </c>
      <c r="R55" s="158"/>
      <c r="S55" s="158"/>
      <c r="T55" s="158"/>
      <c r="U55" s="158"/>
      <c r="Y55" s="30"/>
      <c r="Z55" s="33">
        <v>53</v>
      </c>
      <c r="AA55" s="157">
        <v>53</v>
      </c>
      <c r="AB55" s="151" t="str">
        <f ca="1">INDIRECT("c53")</f>
        <v>AURELIEN</v>
      </c>
      <c r="AC55" s="152">
        <f ca="1">INDIRECT("q53")</f>
        <v>0</v>
      </c>
      <c r="AD55" s="152">
        <f ca="1">INDIRECT("p53")</f>
        <v>-6</v>
      </c>
      <c r="AE55" s="30"/>
      <c r="AK55" s="7"/>
      <c r="AL55" s="156">
        <v>55</v>
      </c>
      <c r="AM55" s="49" t="s">
        <v>114</v>
      </c>
      <c r="AN55" s="212">
        <v>55</v>
      </c>
      <c r="AO55" s="204" t="s">
        <v>114</v>
      </c>
      <c r="AP55" s="212">
        <v>115</v>
      </c>
      <c r="AQ55" s="204" t="s">
        <v>170</v>
      </c>
      <c r="AR55" s="217"/>
      <c r="AS55" s="219"/>
      <c r="AT55" s="204"/>
      <c r="AU55" s="204"/>
      <c r="AV55" s="204"/>
      <c r="AY55" s="50"/>
      <c r="AZ55" s="32"/>
      <c r="BA55" s="171"/>
      <c r="BB55" s="171"/>
      <c r="BC55" s="172"/>
      <c r="BD55" s="173"/>
      <c r="BE55" s="173"/>
      <c r="BQ55">
        <v>55</v>
      </c>
    </row>
    <row r="56" spans="1:69">
      <c r="A56" s="141"/>
      <c r="B56" s="141">
        <v>56</v>
      </c>
      <c r="C56" s="198" t="s">
        <v>88</v>
      </c>
      <c r="D56" s="34">
        <v>7</v>
      </c>
      <c r="E56" s="34">
        <v>13</v>
      </c>
      <c r="F56" s="35"/>
      <c r="G56" s="35"/>
      <c r="H56" s="34"/>
      <c r="I56" s="34"/>
      <c r="J56" s="35"/>
      <c r="K56" s="35"/>
      <c r="L56" s="34"/>
      <c r="M56" s="34"/>
      <c r="N56" s="35"/>
      <c r="O56" s="35"/>
      <c r="P56" s="36">
        <f t="shared" si="0"/>
        <v>-6</v>
      </c>
      <c r="Q56" s="136">
        <f t="shared" si="1"/>
        <v>0</v>
      </c>
      <c r="R56" s="158"/>
      <c r="S56" s="158"/>
      <c r="T56" s="158"/>
      <c r="U56" s="158"/>
      <c r="Y56" s="30"/>
      <c r="Z56" s="33">
        <v>54</v>
      </c>
      <c r="AA56" s="157">
        <v>54</v>
      </c>
      <c r="AB56" s="151" t="str">
        <f ca="1">INDIRECT("c54")</f>
        <v>DAMIEN</v>
      </c>
      <c r="AC56" s="152">
        <f ca="1">INDIRECT("q54")</f>
        <v>0</v>
      </c>
      <c r="AD56" s="152">
        <f ca="1">INDIRECT("p54")</f>
        <v>-6</v>
      </c>
      <c r="AE56" s="30"/>
      <c r="AK56" s="7"/>
      <c r="AL56" s="156">
        <v>56</v>
      </c>
      <c r="AM56" s="49" t="s">
        <v>88</v>
      </c>
      <c r="AN56" s="212">
        <v>56</v>
      </c>
      <c r="AO56" s="204" t="s">
        <v>88</v>
      </c>
      <c r="AP56" s="202">
        <v>116</v>
      </c>
      <c r="AQ56" s="129" t="s">
        <v>171</v>
      </c>
      <c r="AR56" s="217"/>
      <c r="AS56" s="219"/>
      <c r="AT56" s="201"/>
      <c r="AU56" s="201"/>
      <c r="AV56" s="201"/>
      <c r="AY56" s="50"/>
      <c r="AZ56" s="32"/>
      <c r="BA56" s="171"/>
      <c r="BB56" s="174"/>
      <c r="BC56" s="172"/>
      <c r="BD56" s="173"/>
      <c r="BE56" s="173"/>
      <c r="BQ56">
        <v>56</v>
      </c>
    </row>
    <row r="57" spans="1:69">
      <c r="A57" s="141"/>
      <c r="B57" s="141">
        <v>57</v>
      </c>
      <c r="C57" s="198" t="s">
        <v>115</v>
      </c>
      <c r="D57" s="34">
        <v>7</v>
      </c>
      <c r="E57" s="34">
        <v>13</v>
      </c>
      <c r="F57" s="35"/>
      <c r="G57" s="35"/>
      <c r="H57" s="34"/>
      <c r="I57" s="34"/>
      <c r="J57" s="35"/>
      <c r="K57" s="35"/>
      <c r="L57" s="34"/>
      <c r="M57" s="34"/>
      <c r="N57" s="35"/>
      <c r="O57" s="35"/>
      <c r="P57" s="36">
        <f t="shared" si="0"/>
        <v>-6</v>
      </c>
      <c r="Q57" s="136">
        <f t="shared" si="1"/>
        <v>0</v>
      </c>
      <c r="R57" s="158"/>
      <c r="S57" s="158"/>
      <c r="T57" s="158"/>
      <c r="U57" s="158"/>
      <c r="Y57" s="30"/>
      <c r="Z57" s="33">
        <v>55</v>
      </c>
      <c r="AA57" s="226">
        <v>55</v>
      </c>
      <c r="AB57" s="227" t="str">
        <f ca="1">INDIRECT("c55")</f>
        <v>GREGOIRE</v>
      </c>
      <c r="AC57" s="228">
        <f ca="1">INDIRECT("q55")</f>
        <v>1</v>
      </c>
      <c r="AD57" s="228">
        <f ca="1">INDIRECT("p55")</f>
        <v>6</v>
      </c>
      <c r="AE57" s="30"/>
      <c r="AK57" s="7"/>
      <c r="AL57" s="156">
        <v>57</v>
      </c>
      <c r="AM57" s="49" t="s">
        <v>115</v>
      </c>
      <c r="AN57" s="212">
        <v>57</v>
      </c>
      <c r="AO57" s="204" t="s">
        <v>115</v>
      </c>
      <c r="AP57" s="202">
        <v>117</v>
      </c>
      <c r="AQ57" s="129" t="s">
        <v>172</v>
      </c>
      <c r="AR57" s="217"/>
      <c r="AS57" s="218"/>
      <c r="AT57" s="129"/>
      <c r="AU57" s="129"/>
      <c r="AV57" s="129"/>
      <c r="AY57" s="50"/>
      <c r="AZ57" s="32"/>
      <c r="BA57" s="171"/>
      <c r="BB57" s="171"/>
      <c r="BC57" s="172"/>
      <c r="BD57" s="173"/>
      <c r="BE57" s="173"/>
      <c r="BQ57">
        <v>57</v>
      </c>
    </row>
    <row r="58" spans="1:69">
      <c r="A58" s="141"/>
      <c r="B58" s="141">
        <v>58</v>
      </c>
      <c r="C58" s="198" t="s">
        <v>64</v>
      </c>
      <c r="D58" s="34">
        <v>7</v>
      </c>
      <c r="E58" s="34">
        <v>13</v>
      </c>
      <c r="F58" s="35"/>
      <c r="G58" s="35"/>
      <c r="H58" s="34"/>
      <c r="I58" s="34"/>
      <c r="J58" s="35"/>
      <c r="K58" s="35"/>
      <c r="L58" s="34"/>
      <c r="M58" s="34"/>
      <c r="N58" s="35"/>
      <c r="O58" s="35"/>
      <c r="P58" s="36">
        <f t="shared" si="0"/>
        <v>-6</v>
      </c>
      <c r="Q58" s="136">
        <f t="shared" si="1"/>
        <v>0</v>
      </c>
      <c r="R58" s="158"/>
      <c r="S58" s="158"/>
      <c r="T58" s="158"/>
      <c r="U58" s="158"/>
      <c r="Y58" s="30"/>
      <c r="Z58" s="33">
        <v>56</v>
      </c>
      <c r="AA58" s="157">
        <v>56</v>
      </c>
      <c r="AB58" s="151" t="str">
        <f ca="1">INDIRECT("c56")</f>
        <v xml:space="preserve">RENE  </v>
      </c>
      <c r="AC58" s="152">
        <f ca="1">INDIRECT("q56")</f>
        <v>0</v>
      </c>
      <c r="AD58" s="152">
        <f ca="1">INDIRECT("p56")</f>
        <v>-6</v>
      </c>
      <c r="AE58" s="30"/>
      <c r="AK58" s="7"/>
      <c r="AL58" s="156">
        <v>58</v>
      </c>
      <c r="AM58" s="49" t="s">
        <v>64</v>
      </c>
      <c r="AN58" s="212">
        <v>58</v>
      </c>
      <c r="AO58" s="204" t="s">
        <v>64</v>
      </c>
      <c r="AP58" s="202">
        <v>118</v>
      </c>
      <c r="AQ58" s="129" t="s">
        <v>173</v>
      </c>
      <c r="AR58" s="217"/>
      <c r="AS58" s="218"/>
      <c r="AT58" s="129"/>
      <c r="AU58" s="129"/>
      <c r="AV58" s="129"/>
      <c r="AY58" s="50"/>
      <c r="AZ58" s="32"/>
      <c r="BA58" s="171"/>
      <c r="BB58" s="171"/>
      <c r="BC58" s="172"/>
      <c r="BD58" s="173"/>
      <c r="BE58" s="173"/>
      <c r="BQ58">
        <v>58</v>
      </c>
    </row>
    <row r="59" spans="1:69">
      <c r="A59" s="141"/>
      <c r="B59" s="232">
        <v>59</v>
      </c>
      <c r="C59" s="230" t="s">
        <v>116</v>
      </c>
      <c r="D59" s="34">
        <v>13</v>
      </c>
      <c r="E59" s="34">
        <v>7</v>
      </c>
      <c r="F59" s="35"/>
      <c r="G59" s="35"/>
      <c r="H59" s="34"/>
      <c r="I59" s="34"/>
      <c r="J59" s="35"/>
      <c r="K59" s="35"/>
      <c r="L59" s="34"/>
      <c r="M59" s="34"/>
      <c r="N59" s="35"/>
      <c r="O59" s="35"/>
      <c r="P59" s="36">
        <f t="shared" si="0"/>
        <v>6</v>
      </c>
      <c r="Q59" s="224">
        <f t="shared" si="1"/>
        <v>1</v>
      </c>
      <c r="R59" s="158"/>
      <c r="S59" s="158"/>
      <c r="T59" s="158"/>
      <c r="U59" s="158"/>
      <c r="Y59" s="30"/>
      <c r="Z59" s="33">
        <v>57</v>
      </c>
      <c r="AA59" s="157">
        <v>57</v>
      </c>
      <c r="AB59" s="151" t="str">
        <f ca="1">INDIRECT("c57")</f>
        <v>ARSENE</v>
      </c>
      <c r="AC59" s="152">
        <f ca="1">INDIRECT("q57")</f>
        <v>0</v>
      </c>
      <c r="AD59" s="152">
        <f ca="1">INDIRECT("p57")</f>
        <v>-6</v>
      </c>
      <c r="AE59" s="30"/>
      <c r="AK59" s="7"/>
      <c r="AL59" s="156">
        <v>59</v>
      </c>
      <c r="AM59" s="49" t="s">
        <v>116</v>
      </c>
      <c r="AN59" s="212">
        <v>59</v>
      </c>
      <c r="AO59" s="204" t="s">
        <v>116</v>
      </c>
      <c r="AP59" s="202"/>
      <c r="AQ59" s="129"/>
      <c r="AR59" s="217"/>
      <c r="AS59" s="218"/>
      <c r="AT59" s="129"/>
      <c r="AU59" s="129"/>
      <c r="AV59" s="129"/>
      <c r="AY59" s="50"/>
      <c r="AZ59" s="32"/>
      <c r="BA59" s="171"/>
      <c r="BB59" s="171"/>
      <c r="BC59" s="172"/>
      <c r="BD59" s="173"/>
      <c r="BE59" s="173"/>
      <c r="BQ59">
        <v>59</v>
      </c>
    </row>
    <row r="60" spans="1:69">
      <c r="A60" s="141"/>
      <c r="B60" s="141">
        <v>60</v>
      </c>
      <c r="C60" s="198" t="s">
        <v>117</v>
      </c>
      <c r="D60" s="34">
        <v>7</v>
      </c>
      <c r="E60" s="34">
        <v>13</v>
      </c>
      <c r="F60" s="35"/>
      <c r="G60" s="35"/>
      <c r="H60" s="34"/>
      <c r="I60" s="34"/>
      <c r="J60" s="35"/>
      <c r="K60" s="35"/>
      <c r="L60" s="34"/>
      <c r="M60" s="34"/>
      <c r="N60" s="35"/>
      <c r="O60" s="35"/>
      <c r="P60" s="36">
        <f t="shared" si="0"/>
        <v>-6</v>
      </c>
      <c r="Q60" s="136">
        <f t="shared" si="1"/>
        <v>0</v>
      </c>
      <c r="R60" s="158"/>
      <c r="S60" s="158"/>
      <c r="T60" s="158"/>
      <c r="U60" s="158"/>
      <c r="Y60" s="30"/>
      <c r="Z60" s="33">
        <v>58</v>
      </c>
      <c r="AA60" s="157">
        <v>58</v>
      </c>
      <c r="AB60" s="151" t="str">
        <f ca="1">INDIRECT("c58")</f>
        <v>FRANCIS</v>
      </c>
      <c r="AC60" s="152">
        <f ca="1">INDIRECT("q58")</f>
        <v>0</v>
      </c>
      <c r="AD60" s="152">
        <f ca="1">INDIRECT("p58")</f>
        <v>-6</v>
      </c>
      <c r="AE60" s="30"/>
      <c r="AK60" s="7"/>
      <c r="AL60" s="156">
        <v>60</v>
      </c>
      <c r="AM60" s="49" t="s">
        <v>117</v>
      </c>
      <c r="AN60" s="212">
        <v>60</v>
      </c>
      <c r="AO60" s="204" t="s">
        <v>117</v>
      </c>
      <c r="AP60" s="202"/>
      <c r="AQ60" s="129"/>
      <c r="AR60" s="217"/>
      <c r="AS60" s="218"/>
      <c r="AT60" s="129">
        <v>58</v>
      </c>
      <c r="AU60" s="129"/>
      <c r="AV60" s="129"/>
      <c r="AY60" s="50"/>
      <c r="AZ60" s="32"/>
      <c r="BA60" s="171"/>
      <c r="BB60" s="171"/>
      <c r="BC60" s="172"/>
      <c r="BD60" s="173"/>
      <c r="BE60" s="173"/>
      <c r="BQ60">
        <v>60</v>
      </c>
    </row>
    <row r="61" spans="1:69">
      <c r="A61" s="141"/>
      <c r="B61" s="232">
        <v>61</v>
      </c>
      <c r="C61" s="230" t="s">
        <v>118</v>
      </c>
      <c r="D61" s="34">
        <v>13</v>
      </c>
      <c r="E61" s="34">
        <v>7</v>
      </c>
      <c r="F61" s="35"/>
      <c r="G61" s="35"/>
      <c r="H61" s="34"/>
      <c r="I61" s="34"/>
      <c r="J61" s="35"/>
      <c r="K61" s="35"/>
      <c r="L61" s="34"/>
      <c r="M61" s="34"/>
      <c r="N61" s="35"/>
      <c r="O61" s="35"/>
      <c r="P61" s="36">
        <f t="shared" si="0"/>
        <v>6</v>
      </c>
      <c r="Q61" s="224">
        <f t="shared" si="1"/>
        <v>1</v>
      </c>
      <c r="R61" s="158"/>
      <c r="S61" s="158"/>
      <c r="T61" s="158"/>
      <c r="U61" s="158"/>
      <c r="Y61" s="30"/>
      <c r="Z61" s="33">
        <v>59</v>
      </c>
      <c r="AA61" s="226">
        <v>59</v>
      </c>
      <c r="AB61" s="227" t="str">
        <f ca="1">INDIRECT("c59")</f>
        <v>NADEGE</v>
      </c>
      <c r="AC61" s="228">
        <f ca="1">INDIRECT("q59")</f>
        <v>1</v>
      </c>
      <c r="AD61" s="228">
        <f ca="1">INDIRECT("p59")</f>
        <v>6</v>
      </c>
      <c r="AE61" s="30"/>
      <c r="AK61" s="7"/>
      <c r="AL61" s="156">
        <v>61</v>
      </c>
      <c r="AM61" s="49" t="s">
        <v>118</v>
      </c>
      <c r="AN61" s="212"/>
      <c r="AO61" s="204"/>
      <c r="AP61" s="202"/>
      <c r="AQ61" s="129"/>
      <c r="AR61" s="217"/>
      <c r="AS61" s="218"/>
      <c r="AT61" s="129"/>
      <c r="AU61" s="129"/>
      <c r="AV61" s="129"/>
      <c r="AY61" s="50"/>
      <c r="AZ61" s="32"/>
      <c r="BA61" s="171"/>
      <c r="BB61" s="171"/>
      <c r="BC61" s="172"/>
      <c r="BD61" s="173"/>
      <c r="BE61" s="173"/>
      <c r="BQ61">
        <v>61</v>
      </c>
    </row>
    <row r="62" spans="1:69">
      <c r="A62" s="141"/>
      <c r="B62" s="141">
        <v>62</v>
      </c>
      <c r="C62" s="198" t="s">
        <v>119</v>
      </c>
      <c r="D62" s="34">
        <v>7</v>
      </c>
      <c r="E62" s="34">
        <v>13</v>
      </c>
      <c r="F62" s="35"/>
      <c r="G62" s="35"/>
      <c r="H62" s="34"/>
      <c r="I62" s="34"/>
      <c r="J62" s="35"/>
      <c r="K62" s="35"/>
      <c r="L62" s="34"/>
      <c r="M62" s="34"/>
      <c r="N62" s="35"/>
      <c r="O62" s="35"/>
      <c r="P62" s="36">
        <f t="shared" si="0"/>
        <v>-6</v>
      </c>
      <c r="Q62" s="136">
        <f t="shared" si="1"/>
        <v>0</v>
      </c>
      <c r="R62" s="158"/>
      <c r="S62" s="158"/>
      <c r="T62" s="158"/>
      <c r="U62" s="158"/>
      <c r="Y62" s="30"/>
      <c r="Z62" s="33">
        <v>60</v>
      </c>
      <c r="AA62" s="157">
        <v>60</v>
      </c>
      <c r="AB62" s="151" t="str">
        <f ca="1">INDIRECT("c60")</f>
        <v>EDITH</v>
      </c>
      <c r="AC62" s="152">
        <f ca="1">INDIRECT("q60")</f>
        <v>0</v>
      </c>
      <c r="AD62" s="152">
        <f ca="1">INDIRECT("p60")</f>
        <v>-6</v>
      </c>
      <c r="AE62" s="30"/>
      <c r="AK62" s="7"/>
      <c r="AL62" s="156">
        <v>62</v>
      </c>
      <c r="AM62" s="49" t="s">
        <v>119</v>
      </c>
      <c r="AN62" s="212"/>
      <c r="AO62" s="204"/>
      <c r="AP62" s="202"/>
      <c r="AQ62" s="129"/>
      <c r="AR62" s="217"/>
      <c r="AS62" s="218"/>
      <c r="AT62" s="129"/>
      <c r="AU62" s="129"/>
      <c r="AV62" s="129"/>
      <c r="AY62" s="50"/>
      <c r="AZ62" s="32"/>
      <c r="BA62" s="171"/>
      <c r="BB62" s="171"/>
      <c r="BC62" s="172"/>
      <c r="BD62" s="173"/>
      <c r="BE62" s="173"/>
      <c r="BQ62">
        <v>62</v>
      </c>
    </row>
    <row r="63" spans="1:69">
      <c r="A63" s="141"/>
      <c r="B63" s="141">
        <v>63</v>
      </c>
      <c r="C63" s="198" t="s">
        <v>120</v>
      </c>
      <c r="D63" s="34">
        <v>7</v>
      </c>
      <c r="E63" s="34">
        <v>13</v>
      </c>
      <c r="F63" s="35"/>
      <c r="G63" s="35"/>
      <c r="H63" s="34"/>
      <c r="I63" s="34"/>
      <c r="J63" s="35"/>
      <c r="K63" s="35"/>
      <c r="L63" s="34"/>
      <c r="M63" s="34"/>
      <c r="N63" s="35"/>
      <c r="O63" s="35"/>
      <c r="P63" s="36">
        <f t="shared" si="0"/>
        <v>-6</v>
      </c>
      <c r="Q63" s="136">
        <f t="shared" si="1"/>
        <v>0</v>
      </c>
      <c r="R63" s="158"/>
      <c r="S63" s="158"/>
      <c r="T63" s="158"/>
      <c r="U63" s="158"/>
      <c r="Y63" s="30"/>
      <c r="Z63" s="33">
        <v>61</v>
      </c>
      <c r="AA63" s="226">
        <v>61</v>
      </c>
      <c r="AB63" s="227" t="str">
        <f ca="1">INDIRECT("C61")</f>
        <v>COME</v>
      </c>
      <c r="AC63" s="228">
        <f ca="1">INDIRECT("q61")</f>
        <v>1</v>
      </c>
      <c r="AD63" s="228">
        <f ca="1">INDIRECT("p61")</f>
        <v>6</v>
      </c>
      <c r="AE63" s="30"/>
      <c r="AK63" s="7"/>
      <c r="AL63" s="156">
        <v>63</v>
      </c>
      <c r="AM63" s="49" t="s">
        <v>120</v>
      </c>
      <c r="AN63" s="212"/>
      <c r="AO63" s="204"/>
      <c r="AP63" s="202"/>
      <c r="AQ63" s="129"/>
      <c r="AR63" s="217"/>
      <c r="AS63" s="218"/>
      <c r="AT63" s="129"/>
      <c r="AU63" s="129"/>
      <c r="AV63" s="129"/>
      <c r="AY63" s="50"/>
      <c r="AZ63" s="32"/>
      <c r="BA63" s="171"/>
      <c r="BB63" s="171"/>
      <c r="BC63" s="172"/>
      <c r="BD63" s="173"/>
      <c r="BE63" s="173"/>
      <c r="BQ63">
        <v>63</v>
      </c>
    </row>
    <row r="64" spans="1:69">
      <c r="A64" s="141"/>
      <c r="B64" s="141">
        <v>64</v>
      </c>
      <c r="C64" s="198" t="s">
        <v>121</v>
      </c>
      <c r="D64" s="34">
        <v>7</v>
      </c>
      <c r="E64" s="34">
        <v>13</v>
      </c>
      <c r="F64" s="35"/>
      <c r="G64" s="35"/>
      <c r="H64" s="34"/>
      <c r="I64" s="34"/>
      <c r="J64" s="35"/>
      <c r="K64" s="35"/>
      <c r="L64" s="34"/>
      <c r="M64" s="34"/>
      <c r="N64" s="35"/>
      <c r="O64" s="35"/>
      <c r="P64" s="36">
        <f t="shared" si="0"/>
        <v>-6</v>
      </c>
      <c r="Q64" s="136">
        <f t="shared" si="1"/>
        <v>0</v>
      </c>
      <c r="R64" s="158"/>
      <c r="S64" s="158"/>
      <c r="T64" s="158"/>
      <c r="U64" s="158"/>
      <c r="Y64" s="30"/>
      <c r="Z64" s="33">
        <v>62</v>
      </c>
      <c r="AA64" s="157">
        <v>62</v>
      </c>
      <c r="AB64" s="151" t="str">
        <f ca="1">INDIRECT("C62")</f>
        <v>DIMITRI</v>
      </c>
      <c r="AC64" s="152">
        <f ca="1">INDIRECT("q62")</f>
        <v>0</v>
      </c>
      <c r="AD64" s="152">
        <f ca="1">INDIRECT("p62")</f>
        <v>-6</v>
      </c>
      <c r="AE64" s="30"/>
      <c r="AK64" s="7"/>
      <c r="AL64" s="156">
        <v>64</v>
      </c>
      <c r="AM64" s="49" t="s">
        <v>121</v>
      </c>
      <c r="AN64" s="212"/>
      <c r="AO64" s="204"/>
      <c r="AP64" s="202"/>
      <c r="AQ64" s="129"/>
      <c r="AR64" s="217"/>
      <c r="AS64" s="218"/>
      <c r="AT64" s="129"/>
      <c r="AU64" s="129"/>
      <c r="AV64" s="129"/>
      <c r="AY64" s="50"/>
      <c r="AZ64" s="32"/>
      <c r="BA64" s="171"/>
      <c r="BB64" s="171"/>
      <c r="BC64" s="172"/>
      <c r="BD64" s="173"/>
      <c r="BE64" s="173"/>
      <c r="BQ64">
        <v>64</v>
      </c>
    </row>
    <row r="65" spans="1:69">
      <c r="A65" s="141"/>
      <c r="B65" s="141">
        <v>65</v>
      </c>
      <c r="C65" s="199" t="s">
        <v>122</v>
      </c>
      <c r="D65" s="34">
        <v>7</v>
      </c>
      <c r="E65" s="34">
        <v>13</v>
      </c>
      <c r="F65" s="35"/>
      <c r="G65" s="35"/>
      <c r="H65" s="34"/>
      <c r="I65" s="34"/>
      <c r="J65" s="35"/>
      <c r="K65" s="35"/>
      <c r="L65" s="34"/>
      <c r="M65" s="34"/>
      <c r="N65" s="35"/>
      <c r="O65" s="35"/>
      <c r="P65" s="36">
        <f t="shared" ref="P65:P128" si="2">(D65+F65+H65+J65+L65+N65)-(E65+G65+I65+K65+M65+O65)</f>
        <v>-6</v>
      </c>
      <c r="Q65" s="136">
        <f t="shared" ref="Q65:Q128" si="3">COUNTIF(D65,13)+COUNTIF(F65,13)+COUNTIF(H65,13)+COUNTIF(J65,13)+COUNTIF(L65,13)+COUNTIF(N65,13)</f>
        <v>0</v>
      </c>
      <c r="R65" s="158"/>
      <c r="S65" s="158"/>
      <c r="T65" s="158"/>
      <c r="U65" s="158"/>
      <c r="Y65" s="30"/>
      <c r="Z65" s="33">
        <v>63</v>
      </c>
      <c r="AA65" s="157">
        <v>63</v>
      </c>
      <c r="AB65" s="151" t="str">
        <f ca="1">INDIRECT("C63")</f>
        <v>FIRMIN</v>
      </c>
      <c r="AC65" s="152">
        <f ca="1">INDIRECT("q63")</f>
        <v>0</v>
      </c>
      <c r="AD65" s="152">
        <f ca="1">INDIRECT("p63")</f>
        <v>-6</v>
      </c>
      <c r="AE65" s="30"/>
      <c r="AK65" s="7"/>
      <c r="AL65" s="156">
        <v>65</v>
      </c>
      <c r="AM65" s="49" t="s">
        <v>122</v>
      </c>
      <c r="AO65" s="201"/>
      <c r="AP65" s="202"/>
      <c r="AR65" s="153"/>
      <c r="AS65" s="204"/>
      <c r="AT65" s="204"/>
      <c r="AU65" s="204"/>
      <c r="AV65" s="204"/>
      <c r="AY65" s="50"/>
      <c r="AZ65" s="32"/>
      <c r="BA65" s="171"/>
      <c r="BB65" s="171"/>
      <c r="BC65" s="172"/>
      <c r="BD65" s="173"/>
      <c r="BE65" s="173"/>
      <c r="BQ65">
        <v>65</v>
      </c>
    </row>
    <row r="66" spans="1:69">
      <c r="A66" s="141"/>
      <c r="B66" s="141">
        <v>66</v>
      </c>
      <c r="C66" s="199" t="s">
        <v>123</v>
      </c>
      <c r="D66" s="34">
        <v>7</v>
      </c>
      <c r="E66" s="34">
        <v>13</v>
      </c>
      <c r="F66" s="35"/>
      <c r="G66" s="35"/>
      <c r="H66" s="34"/>
      <c r="I66" s="34"/>
      <c r="J66" s="35"/>
      <c r="K66" s="35"/>
      <c r="L66" s="34"/>
      <c r="M66" s="34"/>
      <c r="N66" s="35"/>
      <c r="O66" s="35"/>
      <c r="P66" s="36">
        <f t="shared" si="2"/>
        <v>-6</v>
      </c>
      <c r="Q66" s="136">
        <f t="shared" si="3"/>
        <v>0</v>
      </c>
      <c r="R66" s="158"/>
      <c r="S66" s="158"/>
      <c r="T66" s="158"/>
      <c r="U66" s="158"/>
      <c r="Y66" s="30"/>
      <c r="Z66" s="33">
        <v>64</v>
      </c>
      <c r="AA66" s="157">
        <v>64</v>
      </c>
      <c r="AB66" s="151" t="str">
        <f ca="1">INDIRECT("C64")</f>
        <v>QUENTIN</v>
      </c>
      <c r="AC66" s="152">
        <f ca="1">INDIRECT("q64")</f>
        <v>0</v>
      </c>
      <c r="AD66" s="152">
        <f ca="1">INDIRECT("p64")</f>
        <v>-6</v>
      </c>
      <c r="AE66" s="30"/>
      <c r="AK66" s="7"/>
      <c r="AL66" s="156">
        <v>66</v>
      </c>
      <c r="AM66" s="49" t="s">
        <v>123</v>
      </c>
      <c r="AO66" s="201"/>
      <c r="AR66" s="153"/>
      <c r="AS66" s="204"/>
      <c r="AT66" s="204"/>
      <c r="AU66" s="204"/>
      <c r="AV66" s="204"/>
      <c r="AW66" s="201"/>
      <c r="AY66" s="50"/>
      <c r="AZ66" s="32"/>
      <c r="BA66" s="171"/>
      <c r="BB66" s="171"/>
      <c r="BC66" s="172"/>
      <c r="BD66" s="173"/>
      <c r="BE66" s="173"/>
      <c r="BQ66">
        <v>66</v>
      </c>
    </row>
    <row r="67" spans="1:69">
      <c r="A67" s="141"/>
      <c r="B67" s="232">
        <v>67</v>
      </c>
      <c r="C67" s="234" t="s">
        <v>124</v>
      </c>
      <c r="D67" s="34">
        <v>13</v>
      </c>
      <c r="E67" s="34">
        <v>7</v>
      </c>
      <c r="F67" s="35"/>
      <c r="G67" s="35"/>
      <c r="H67" s="34"/>
      <c r="I67" s="34"/>
      <c r="J67" s="35"/>
      <c r="K67" s="35"/>
      <c r="L67" s="34"/>
      <c r="M67" s="34"/>
      <c r="N67" s="35"/>
      <c r="O67" s="35"/>
      <c r="P67" s="36">
        <f t="shared" si="2"/>
        <v>6</v>
      </c>
      <c r="Q67" s="224">
        <f t="shared" si="3"/>
        <v>1</v>
      </c>
      <c r="R67" s="158"/>
      <c r="S67" s="158"/>
      <c r="T67" s="158"/>
      <c r="U67" s="158"/>
      <c r="Y67" s="30"/>
      <c r="Z67" s="33">
        <v>65</v>
      </c>
      <c r="AA67" s="157">
        <v>65</v>
      </c>
      <c r="AB67" s="151" t="str">
        <f ca="1">INDIRECT("C65")</f>
        <v>GEOFFROY</v>
      </c>
      <c r="AC67" s="152">
        <f ca="1">INDIRECT("q65")</f>
        <v>0</v>
      </c>
      <c r="AD67" s="152">
        <f ca="1">INDIRECT("p65")</f>
        <v>-6</v>
      </c>
      <c r="AE67" s="30"/>
      <c r="AK67" s="7"/>
      <c r="AL67" s="156">
        <v>67</v>
      </c>
      <c r="AM67" s="49" t="s">
        <v>124</v>
      </c>
      <c r="AO67" s="201"/>
      <c r="AR67" s="153"/>
      <c r="AS67" s="201"/>
      <c r="AT67" s="201"/>
      <c r="AU67" s="201"/>
      <c r="AV67" s="201"/>
      <c r="AW67" s="201"/>
      <c r="AY67" s="50"/>
      <c r="AZ67" s="32"/>
      <c r="BA67" s="32"/>
      <c r="BC67" s="129"/>
      <c r="BQ67">
        <v>67</v>
      </c>
    </row>
    <row r="68" spans="1:69">
      <c r="A68" s="141"/>
      <c r="B68" s="141">
        <v>68</v>
      </c>
      <c r="C68" s="199" t="s">
        <v>125</v>
      </c>
      <c r="D68" s="34">
        <v>7</v>
      </c>
      <c r="E68" s="34">
        <v>13</v>
      </c>
      <c r="F68" s="35"/>
      <c r="G68" s="35"/>
      <c r="H68" s="34"/>
      <c r="I68" s="34"/>
      <c r="J68" s="35"/>
      <c r="K68" s="35"/>
      <c r="L68" s="34"/>
      <c r="M68" s="34"/>
      <c r="N68" s="35"/>
      <c r="O68" s="35"/>
      <c r="P68" s="36">
        <f t="shared" si="2"/>
        <v>-6</v>
      </c>
      <c r="Q68" s="136">
        <f t="shared" si="3"/>
        <v>0</v>
      </c>
      <c r="R68" s="158"/>
      <c r="S68" s="158"/>
      <c r="T68" s="158"/>
      <c r="U68" s="158"/>
      <c r="Y68" s="30"/>
      <c r="Z68" s="33">
        <v>66</v>
      </c>
      <c r="AA68" s="157">
        <v>66</v>
      </c>
      <c r="AB68" s="151" t="str">
        <f ca="1">INDIRECT("C66")</f>
        <v>FLORIAN</v>
      </c>
      <c r="AC68" s="152">
        <f ca="1">INDIRECT("q66")</f>
        <v>0</v>
      </c>
      <c r="AD68" s="152">
        <f ca="1">INDIRECT("p66")</f>
        <v>-6</v>
      </c>
      <c r="AE68" s="30"/>
      <c r="AK68" s="7"/>
      <c r="AL68" s="156">
        <v>68</v>
      </c>
      <c r="AM68" s="49" t="s">
        <v>125</v>
      </c>
      <c r="AO68" s="202"/>
      <c r="AR68" s="202"/>
      <c r="AW68" s="201"/>
      <c r="AY68" s="50"/>
      <c r="AZ68" s="32"/>
      <c r="BA68" s="32"/>
      <c r="BC68" s="129"/>
      <c r="BQ68">
        <v>68</v>
      </c>
    </row>
    <row r="69" spans="1:69">
      <c r="A69" s="141"/>
      <c r="B69" s="141">
        <v>69</v>
      </c>
      <c r="C69" s="199" t="s">
        <v>126</v>
      </c>
      <c r="D69" s="34">
        <v>7</v>
      </c>
      <c r="E69" s="34">
        <v>13</v>
      </c>
      <c r="F69" s="35"/>
      <c r="G69" s="35"/>
      <c r="H69" s="34"/>
      <c r="I69" s="34"/>
      <c r="J69" s="35"/>
      <c r="K69" s="35"/>
      <c r="L69" s="34"/>
      <c r="M69" s="34"/>
      <c r="N69" s="35"/>
      <c r="O69" s="35"/>
      <c r="P69" s="36">
        <f t="shared" si="2"/>
        <v>-6</v>
      </c>
      <c r="Q69" s="136">
        <f t="shared" si="3"/>
        <v>0</v>
      </c>
      <c r="R69" s="158"/>
      <c r="S69" s="158"/>
      <c r="T69" s="158"/>
      <c r="U69" s="158"/>
      <c r="Y69" s="30"/>
      <c r="Z69" s="33">
        <v>67</v>
      </c>
      <c r="AA69" s="226">
        <v>67</v>
      </c>
      <c r="AB69" s="227" t="str">
        <f ca="1">INDIRECT("C67")</f>
        <v>YVONNICK</v>
      </c>
      <c r="AC69" s="228">
        <f ca="1">INDIRECT("q67")</f>
        <v>1</v>
      </c>
      <c r="AD69" s="228">
        <f ca="1">INDIRECT("p67")</f>
        <v>6</v>
      </c>
      <c r="AE69" s="30"/>
      <c r="AK69" s="7"/>
      <c r="AL69" s="156">
        <v>69</v>
      </c>
      <c r="AM69" s="49" t="s">
        <v>126</v>
      </c>
      <c r="AO69" s="201"/>
      <c r="AR69" s="202"/>
      <c r="AY69" s="50"/>
      <c r="AZ69" s="32"/>
      <c r="BA69" s="32"/>
      <c r="BC69" s="129"/>
      <c r="BQ69">
        <v>69</v>
      </c>
    </row>
    <row r="70" spans="1:69">
      <c r="A70" s="141"/>
      <c r="B70" s="233">
        <v>70</v>
      </c>
      <c r="C70" s="234" t="s">
        <v>127</v>
      </c>
      <c r="D70" s="34">
        <v>13</v>
      </c>
      <c r="E70" s="34">
        <v>7</v>
      </c>
      <c r="F70" s="35"/>
      <c r="G70" s="35"/>
      <c r="H70" s="34"/>
      <c r="I70" s="34"/>
      <c r="J70" s="35"/>
      <c r="K70" s="35"/>
      <c r="L70" s="34"/>
      <c r="M70" s="34"/>
      <c r="N70" s="35"/>
      <c r="O70" s="35"/>
      <c r="P70" s="36">
        <f t="shared" si="2"/>
        <v>6</v>
      </c>
      <c r="Q70" s="224">
        <f t="shared" si="3"/>
        <v>1</v>
      </c>
      <c r="R70" s="158"/>
      <c r="S70" s="158"/>
      <c r="T70" s="158"/>
      <c r="U70" s="158"/>
      <c r="Y70" s="30"/>
      <c r="Z70" s="33">
        <v>68</v>
      </c>
      <c r="AA70" s="157">
        <v>68</v>
      </c>
      <c r="AB70" s="151" t="str">
        <f ca="1">INDIRECT("C68")</f>
        <v>BRICE</v>
      </c>
      <c r="AC70" s="152">
        <f ca="1">INDIRECT("q68")</f>
        <v>0</v>
      </c>
      <c r="AD70" s="152">
        <f ca="1">INDIRECT("p68")</f>
        <v>-6</v>
      </c>
      <c r="AE70" s="30"/>
      <c r="AK70" s="7"/>
      <c r="AL70" s="156">
        <v>70</v>
      </c>
      <c r="AM70" s="49" t="s">
        <v>127</v>
      </c>
      <c r="AN70" s="214"/>
      <c r="AO70" s="204"/>
      <c r="AP70" s="215"/>
      <c r="AR70" s="202"/>
      <c r="AY70" s="50"/>
      <c r="AZ70" s="32"/>
      <c r="BA70" s="32"/>
      <c r="BC70" s="129"/>
      <c r="BQ70">
        <v>70</v>
      </c>
    </row>
    <row r="71" spans="1:69">
      <c r="A71" s="141"/>
      <c r="B71" s="233">
        <v>71</v>
      </c>
      <c r="C71" s="234" t="s">
        <v>128</v>
      </c>
      <c r="D71" s="34">
        <v>13</v>
      </c>
      <c r="E71" s="34">
        <v>7</v>
      </c>
      <c r="F71" s="35"/>
      <c r="G71" s="35"/>
      <c r="H71" s="34"/>
      <c r="I71" s="34"/>
      <c r="J71" s="35"/>
      <c r="K71" s="35"/>
      <c r="L71" s="34"/>
      <c r="M71" s="34"/>
      <c r="N71" s="35"/>
      <c r="O71" s="35"/>
      <c r="P71" s="36">
        <f t="shared" si="2"/>
        <v>6</v>
      </c>
      <c r="Q71" s="224">
        <f t="shared" si="3"/>
        <v>1</v>
      </c>
      <c r="R71" s="158"/>
      <c r="S71" s="158"/>
      <c r="T71" s="158"/>
      <c r="U71" s="158"/>
      <c r="Y71" s="30"/>
      <c r="Z71" s="33">
        <v>69</v>
      </c>
      <c r="AA71" s="157">
        <v>69</v>
      </c>
      <c r="AB71" s="151" t="str">
        <f ca="1">INDIRECT("C69")</f>
        <v>ALBERT</v>
      </c>
      <c r="AC71" s="152">
        <f ca="1">INDIRECT("q69")</f>
        <v>0</v>
      </c>
      <c r="AD71" s="152">
        <f ca="1">INDIRECT("p69")</f>
        <v>-6</v>
      </c>
      <c r="AE71" s="30"/>
      <c r="AK71" s="7"/>
      <c r="AL71" s="156">
        <v>71</v>
      </c>
      <c r="AM71" s="49" t="s">
        <v>128</v>
      </c>
      <c r="AN71" s="214"/>
      <c r="AO71" s="204"/>
      <c r="AP71" s="215"/>
      <c r="AY71" s="50"/>
      <c r="AZ71" s="32"/>
      <c r="BA71" s="32"/>
      <c r="BC71" s="129"/>
      <c r="BQ71">
        <v>71</v>
      </c>
    </row>
    <row r="72" spans="1:69">
      <c r="A72" s="141"/>
      <c r="B72" s="213">
        <v>72</v>
      </c>
      <c r="C72" s="199" t="s">
        <v>129</v>
      </c>
      <c r="D72" s="34">
        <v>7</v>
      </c>
      <c r="E72" s="34">
        <v>13</v>
      </c>
      <c r="F72" s="35"/>
      <c r="G72" s="35"/>
      <c r="H72" s="34"/>
      <c r="I72" s="34"/>
      <c r="J72" s="35"/>
      <c r="K72" s="35"/>
      <c r="L72" s="34"/>
      <c r="M72" s="34"/>
      <c r="N72" s="35"/>
      <c r="O72" s="35"/>
      <c r="P72" s="36">
        <f t="shared" si="2"/>
        <v>-6</v>
      </c>
      <c r="Q72" s="136">
        <f t="shared" si="3"/>
        <v>0</v>
      </c>
      <c r="R72" s="158"/>
      <c r="S72" s="158"/>
      <c r="T72" s="158"/>
      <c r="U72" s="158"/>
      <c r="Y72" s="30"/>
      <c r="Z72" s="33">
        <v>70</v>
      </c>
      <c r="AA72" s="226">
        <v>70</v>
      </c>
      <c r="AB72" s="227" t="str">
        <f ca="1">INDIRECT("C70")</f>
        <v>TANGUY</v>
      </c>
      <c r="AC72" s="228">
        <f ca="1">INDIRECT("q70")</f>
        <v>1</v>
      </c>
      <c r="AD72" s="228">
        <f ca="1">INDIRECT("p70")</f>
        <v>6</v>
      </c>
      <c r="AE72" s="30"/>
      <c r="AK72" s="7"/>
      <c r="AL72" s="156">
        <v>72</v>
      </c>
      <c r="AM72" s="49" t="s">
        <v>129</v>
      </c>
      <c r="AN72" s="214"/>
      <c r="AO72" s="204"/>
      <c r="AP72" s="216"/>
      <c r="AY72" s="50"/>
      <c r="AZ72" s="32"/>
      <c r="BA72" s="32"/>
      <c r="BC72" s="129"/>
      <c r="BQ72">
        <v>72</v>
      </c>
    </row>
    <row r="73" spans="1:69">
      <c r="A73" s="141"/>
      <c r="B73" s="213">
        <v>73</v>
      </c>
      <c r="C73" s="199" t="s">
        <v>130</v>
      </c>
      <c r="D73" s="34">
        <v>7</v>
      </c>
      <c r="E73" s="34">
        <v>13</v>
      </c>
      <c r="F73" s="35"/>
      <c r="G73" s="35"/>
      <c r="H73" s="34"/>
      <c r="I73" s="34"/>
      <c r="J73" s="35"/>
      <c r="K73" s="35"/>
      <c r="L73" s="34"/>
      <c r="M73" s="34"/>
      <c r="N73" s="35"/>
      <c r="O73" s="35"/>
      <c r="P73" s="36">
        <f t="shared" si="2"/>
        <v>-6</v>
      </c>
      <c r="Q73" s="136">
        <f t="shared" si="3"/>
        <v>0</v>
      </c>
      <c r="R73" s="158"/>
      <c r="S73" s="158"/>
      <c r="T73" s="158"/>
      <c r="U73" s="158"/>
      <c r="Y73" s="30"/>
      <c r="Z73" s="33">
        <v>71</v>
      </c>
      <c r="AA73" s="226">
        <v>71</v>
      </c>
      <c r="AB73" s="227" t="str">
        <f ca="1">INDIRECT("C71")</f>
        <v>JIMMY</v>
      </c>
      <c r="AC73" s="228">
        <f ca="1">INDIRECT("q71")</f>
        <v>1</v>
      </c>
      <c r="AD73" s="228">
        <f ca="1">INDIRECT("p71")</f>
        <v>6</v>
      </c>
      <c r="AE73" s="30"/>
      <c r="AK73" s="7"/>
      <c r="AL73" s="156">
        <v>73</v>
      </c>
      <c r="AM73" s="49" t="s">
        <v>130</v>
      </c>
      <c r="AN73" s="214"/>
      <c r="AO73" s="204"/>
      <c r="AP73" s="216"/>
      <c r="AY73" s="50"/>
      <c r="AZ73" s="32"/>
      <c r="BA73" s="32"/>
      <c r="BC73" s="129"/>
      <c r="BQ73">
        <v>73</v>
      </c>
    </row>
    <row r="74" spans="1:69">
      <c r="A74" s="141"/>
      <c r="B74" s="141">
        <v>74</v>
      </c>
      <c r="C74" s="199" t="s">
        <v>131</v>
      </c>
      <c r="D74" s="34">
        <v>7</v>
      </c>
      <c r="E74" s="34">
        <v>13</v>
      </c>
      <c r="F74" s="35"/>
      <c r="G74" s="35"/>
      <c r="H74" s="34"/>
      <c r="I74" s="34"/>
      <c r="J74" s="35"/>
      <c r="K74" s="35"/>
      <c r="L74" s="34"/>
      <c r="M74" s="34"/>
      <c r="N74" s="35"/>
      <c r="O74" s="35"/>
      <c r="P74" s="36">
        <f t="shared" si="2"/>
        <v>-6</v>
      </c>
      <c r="Q74" s="136">
        <f t="shared" si="3"/>
        <v>0</v>
      </c>
      <c r="R74" s="158"/>
      <c r="S74" s="158"/>
      <c r="T74" s="158"/>
      <c r="U74" s="158"/>
      <c r="Y74" s="30"/>
      <c r="Z74" s="33">
        <v>72</v>
      </c>
      <c r="AA74" s="157">
        <v>72</v>
      </c>
      <c r="AB74" s="151" t="str">
        <f ca="1">INDIRECT("C72")</f>
        <v>DELPHINE</v>
      </c>
      <c r="AC74" s="152">
        <f ca="1">INDIRECT("q72")</f>
        <v>0</v>
      </c>
      <c r="AD74" s="152">
        <f ca="1">INDIRECT("p72")</f>
        <v>-6</v>
      </c>
      <c r="AE74" s="30"/>
      <c r="AK74" s="7"/>
      <c r="AL74" s="156">
        <v>74</v>
      </c>
      <c r="AM74" s="49" t="s">
        <v>131</v>
      </c>
      <c r="AN74" s="214"/>
      <c r="AO74" s="204"/>
      <c r="AP74" s="202"/>
      <c r="AY74" s="50"/>
      <c r="AZ74" s="32"/>
      <c r="BA74" s="32"/>
      <c r="BC74" s="129"/>
      <c r="BQ74">
        <v>74</v>
      </c>
    </row>
    <row r="75" spans="1:69">
      <c r="A75" s="141"/>
      <c r="B75" s="233">
        <v>75</v>
      </c>
      <c r="C75" s="234" t="s">
        <v>132</v>
      </c>
      <c r="D75" s="34">
        <v>13</v>
      </c>
      <c r="E75" s="34">
        <v>7</v>
      </c>
      <c r="F75" s="35"/>
      <c r="G75" s="35"/>
      <c r="H75" s="34"/>
      <c r="I75" s="34"/>
      <c r="J75" s="35"/>
      <c r="K75" s="35"/>
      <c r="L75" s="34"/>
      <c r="M75" s="34"/>
      <c r="N75" s="35"/>
      <c r="O75" s="35"/>
      <c r="P75" s="36">
        <f t="shared" si="2"/>
        <v>6</v>
      </c>
      <c r="Q75" s="224">
        <f t="shared" si="3"/>
        <v>1</v>
      </c>
      <c r="R75" s="158"/>
      <c r="S75" s="158"/>
      <c r="T75" s="158"/>
      <c r="U75" s="158"/>
      <c r="Y75" s="30"/>
      <c r="Z75" s="33">
        <v>73</v>
      </c>
      <c r="AA75" s="157">
        <v>73</v>
      </c>
      <c r="AB75" s="151" t="str">
        <f ca="1">INDIRECT("C73")</f>
        <v>EDMOND</v>
      </c>
      <c r="AC75" s="152">
        <f ca="1">INDIRECT("q73")</f>
        <v>0</v>
      </c>
      <c r="AD75" s="152">
        <f ca="1">INDIRECT("p73")</f>
        <v>-6</v>
      </c>
      <c r="AE75" s="30"/>
      <c r="AK75" s="7"/>
      <c r="AL75" s="156">
        <v>75</v>
      </c>
      <c r="AM75" s="49" t="s">
        <v>132</v>
      </c>
      <c r="AN75" s="214"/>
      <c r="AO75" s="204"/>
      <c r="AP75" s="202"/>
      <c r="AY75" s="50"/>
      <c r="BA75" s="32"/>
      <c r="BC75" s="129"/>
      <c r="BQ75">
        <v>75</v>
      </c>
    </row>
    <row r="76" spans="1:69">
      <c r="A76" s="141"/>
      <c r="B76" s="233">
        <v>76</v>
      </c>
      <c r="C76" s="234" t="s">
        <v>133</v>
      </c>
      <c r="D76" s="34">
        <v>13</v>
      </c>
      <c r="E76" s="34">
        <v>7</v>
      </c>
      <c r="F76" s="35"/>
      <c r="G76" s="35"/>
      <c r="H76" s="34"/>
      <c r="I76" s="34"/>
      <c r="J76" s="35"/>
      <c r="K76" s="35"/>
      <c r="L76" s="34"/>
      <c r="M76" s="34"/>
      <c r="N76" s="35"/>
      <c r="O76" s="35"/>
      <c r="P76" s="36">
        <f t="shared" si="2"/>
        <v>6</v>
      </c>
      <c r="Q76" s="224">
        <f t="shared" si="3"/>
        <v>1</v>
      </c>
      <c r="R76" s="158"/>
      <c r="S76" s="158"/>
      <c r="T76" s="158"/>
      <c r="U76" s="158"/>
      <c r="Y76" s="30"/>
      <c r="Z76" s="33">
        <v>74</v>
      </c>
      <c r="AA76" s="157">
        <v>74</v>
      </c>
      <c r="AB76" s="151" t="str">
        <f ca="1">INDIRECT("C74")</f>
        <v>GERALD</v>
      </c>
      <c r="AC76" s="152">
        <f ca="1">INDIRECT("q74")</f>
        <v>0</v>
      </c>
      <c r="AD76" s="152">
        <f ca="1">INDIRECT("p74")</f>
        <v>-6</v>
      </c>
      <c r="AE76" s="30"/>
      <c r="AK76" s="7"/>
      <c r="AL76" s="156">
        <v>76</v>
      </c>
      <c r="AM76" s="49" t="s">
        <v>133</v>
      </c>
      <c r="AN76" s="214"/>
      <c r="AO76" s="204"/>
      <c r="AP76" s="202"/>
      <c r="AY76" s="50"/>
      <c r="BA76" s="32"/>
      <c r="BC76" s="129"/>
      <c r="BQ76">
        <v>76</v>
      </c>
    </row>
    <row r="77" spans="1:69">
      <c r="A77" s="141"/>
      <c r="B77" s="141">
        <v>77</v>
      </c>
      <c r="C77" s="199" t="s">
        <v>134</v>
      </c>
      <c r="D77" s="34">
        <v>7</v>
      </c>
      <c r="E77" s="34">
        <v>13</v>
      </c>
      <c r="F77" s="35"/>
      <c r="G77" s="35"/>
      <c r="H77" s="34"/>
      <c r="I77" s="34"/>
      <c r="J77" s="35"/>
      <c r="K77" s="35"/>
      <c r="L77" s="34"/>
      <c r="M77" s="34"/>
      <c r="N77" s="35"/>
      <c r="O77" s="35"/>
      <c r="P77" s="36">
        <f t="shared" si="2"/>
        <v>-6</v>
      </c>
      <c r="Q77" s="136">
        <f t="shared" si="3"/>
        <v>0</v>
      </c>
      <c r="R77" s="158"/>
      <c r="S77" s="158"/>
      <c r="T77" s="158"/>
      <c r="U77" s="158"/>
      <c r="Y77" s="30"/>
      <c r="Z77" s="33">
        <v>75</v>
      </c>
      <c r="AA77" s="226">
        <v>75</v>
      </c>
      <c r="AB77" s="227" t="str">
        <f ca="1">INDIRECT("C75")</f>
        <v>NICOLAS</v>
      </c>
      <c r="AC77" s="228">
        <f ca="1">INDIRECT("q75")</f>
        <v>1</v>
      </c>
      <c r="AD77" s="228">
        <f ca="1">INDIRECT("p75")</f>
        <v>6</v>
      </c>
      <c r="AE77" s="30"/>
      <c r="AK77" s="7"/>
      <c r="AL77" s="156">
        <v>77</v>
      </c>
      <c r="AM77" s="49" t="s">
        <v>134</v>
      </c>
      <c r="AN77" s="214"/>
      <c r="AO77" s="204"/>
      <c r="AP77" s="202"/>
      <c r="AY77" s="50"/>
      <c r="BA77" s="32"/>
      <c r="BC77" s="129"/>
      <c r="BQ77">
        <v>77</v>
      </c>
    </row>
    <row r="78" spans="1:69">
      <c r="A78" s="36"/>
      <c r="B78" s="136">
        <v>78</v>
      </c>
      <c r="C78" s="199" t="s">
        <v>135</v>
      </c>
      <c r="D78" s="34">
        <v>7</v>
      </c>
      <c r="E78" s="34">
        <v>13</v>
      </c>
      <c r="F78" s="35"/>
      <c r="G78" s="35"/>
      <c r="H78" s="34"/>
      <c r="I78" s="34"/>
      <c r="J78" s="35"/>
      <c r="K78" s="35"/>
      <c r="L78" s="34"/>
      <c r="M78" s="34"/>
      <c r="N78" s="35"/>
      <c r="O78" s="35"/>
      <c r="P78" s="36">
        <f t="shared" si="2"/>
        <v>-6</v>
      </c>
      <c r="Q78" s="136">
        <f t="shared" si="3"/>
        <v>0</v>
      </c>
      <c r="R78" s="158"/>
      <c r="S78" s="158"/>
      <c r="T78" s="158"/>
      <c r="U78" s="158"/>
      <c r="Y78" s="30"/>
      <c r="Z78" s="33">
        <v>76</v>
      </c>
      <c r="AA78" s="226">
        <v>76</v>
      </c>
      <c r="AB78" s="227" t="str">
        <f ca="1">INDIRECT("C76")</f>
        <v>AMBROISE</v>
      </c>
      <c r="AC78" s="228">
        <f ca="1">INDIRECT("q76")</f>
        <v>1</v>
      </c>
      <c r="AD78" s="228">
        <f ca="1">INDIRECT("p76")</f>
        <v>6</v>
      </c>
      <c r="AE78" s="30"/>
      <c r="AK78" s="7"/>
      <c r="AL78" s="156">
        <v>78</v>
      </c>
      <c r="AM78" s="49" t="s">
        <v>135</v>
      </c>
      <c r="AO78" s="201"/>
      <c r="AP78" s="216"/>
      <c r="AY78" s="50"/>
      <c r="BA78" s="32"/>
      <c r="BC78" s="129"/>
      <c r="BQ78">
        <v>78</v>
      </c>
    </row>
    <row r="79" spans="1:69">
      <c r="A79" s="36"/>
      <c r="B79" s="136">
        <v>79</v>
      </c>
      <c r="C79" s="199" t="s">
        <v>136</v>
      </c>
      <c r="D79" s="34">
        <v>7</v>
      </c>
      <c r="E79" s="34">
        <v>13</v>
      </c>
      <c r="F79" s="35"/>
      <c r="G79" s="35"/>
      <c r="H79" s="34"/>
      <c r="I79" s="34"/>
      <c r="J79" s="35"/>
      <c r="K79" s="35"/>
      <c r="L79" s="34"/>
      <c r="M79" s="34"/>
      <c r="N79" s="35"/>
      <c r="O79" s="35"/>
      <c r="P79" s="36">
        <f t="shared" si="2"/>
        <v>-6</v>
      </c>
      <c r="Q79" s="136">
        <f t="shared" si="3"/>
        <v>0</v>
      </c>
      <c r="R79" s="158"/>
      <c r="S79" s="158"/>
      <c r="T79" s="158"/>
      <c r="U79" s="158"/>
      <c r="Y79" s="30"/>
      <c r="Z79" s="33">
        <v>77</v>
      </c>
      <c r="AA79" s="157">
        <v>77</v>
      </c>
      <c r="AB79" s="151" t="str">
        <f ca="1">INDIRECT("C77")</f>
        <v>DANIEL</v>
      </c>
      <c r="AC79" s="152">
        <f ca="1">INDIRECT("q77")</f>
        <v>0</v>
      </c>
      <c r="AD79" s="152">
        <f ca="1">INDIRECT("p77")</f>
        <v>-6</v>
      </c>
      <c r="AE79" s="30"/>
      <c r="AK79" s="7"/>
      <c r="AL79" s="156">
        <v>79</v>
      </c>
      <c r="AM79" s="49" t="s">
        <v>136</v>
      </c>
      <c r="AO79" s="201"/>
      <c r="AP79" s="216"/>
      <c r="AY79" s="50"/>
      <c r="BA79" s="32"/>
      <c r="BC79" s="129"/>
      <c r="BQ79">
        <v>79</v>
      </c>
    </row>
    <row r="80" spans="1:69">
      <c r="A80" s="36"/>
      <c r="B80" s="224">
        <v>80</v>
      </c>
      <c r="C80" s="234" t="s">
        <v>137</v>
      </c>
      <c r="D80" s="34">
        <v>13</v>
      </c>
      <c r="E80" s="34">
        <v>7</v>
      </c>
      <c r="F80" s="35"/>
      <c r="G80" s="35"/>
      <c r="H80" s="34"/>
      <c r="I80" s="34"/>
      <c r="J80" s="35"/>
      <c r="K80" s="35"/>
      <c r="L80" s="34"/>
      <c r="M80" s="34"/>
      <c r="N80" s="35"/>
      <c r="O80" s="35"/>
      <c r="P80" s="36">
        <f t="shared" si="2"/>
        <v>6</v>
      </c>
      <c r="Q80" s="224">
        <f t="shared" si="3"/>
        <v>1</v>
      </c>
      <c r="R80" s="158"/>
      <c r="S80" s="158"/>
      <c r="T80" s="158"/>
      <c r="U80" s="158"/>
      <c r="Y80" s="30"/>
      <c r="Z80" s="33">
        <v>78</v>
      </c>
      <c r="AA80" s="157">
        <v>78</v>
      </c>
      <c r="AB80" s="151" t="str">
        <f ca="1">INDIRECT("C78")</f>
        <v>GAEL</v>
      </c>
      <c r="AC80" s="152">
        <f ca="1">INDIRECT("q78")</f>
        <v>0</v>
      </c>
      <c r="AD80" s="152">
        <f ca="1">INDIRECT("p78")</f>
        <v>-6</v>
      </c>
      <c r="AE80" s="30"/>
      <c r="AK80" s="7"/>
      <c r="AL80" s="156">
        <v>80</v>
      </c>
      <c r="AM80" s="49" t="s">
        <v>137</v>
      </c>
      <c r="AO80" s="201"/>
      <c r="AP80" s="202"/>
      <c r="AY80" s="50"/>
      <c r="BA80" s="32"/>
      <c r="BC80" s="129"/>
      <c r="BQ80">
        <v>80</v>
      </c>
    </row>
    <row r="81" spans="1:69">
      <c r="A81" s="36"/>
      <c r="B81" s="224">
        <v>81</v>
      </c>
      <c r="C81" s="234" t="s">
        <v>138</v>
      </c>
      <c r="D81" s="34">
        <v>13</v>
      </c>
      <c r="E81" s="34">
        <v>7</v>
      </c>
      <c r="F81" s="35"/>
      <c r="G81" s="35"/>
      <c r="H81" s="34"/>
      <c r="I81" s="34"/>
      <c r="J81" s="35"/>
      <c r="K81" s="35"/>
      <c r="L81" s="34"/>
      <c r="M81" s="34"/>
      <c r="N81" s="35"/>
      <c r="O81" s="35"/>
      <c r="P81" s="36">
        <f t="shared" si="2"/>
        <v>6</v>
      </c>
      <c r="Q81" s="224">
        <f t="shared" si="3"/>
        <v>1</v>
      </c>
      <c r="R81" s="158"/>
      <c r="S81" s="158"/>
      <c r="T81" s="158"/>
      <c r="U81" s="158"/>
      <c r="Y81" s="30"/>
      <c r="Z81" s="33">
        <v>79</v>
      </c>
      <c r="AA81" s="157">
        <v>79</v>
      </c>
      <c r="AB81" s="151" t="str">
        <f ca="1">INDIRECT("C79")</f>
        <v>GATIEN</v>
      </c>
      <c r="AC81" s="152">
        <f ca="1">INDIRECT("q79")</f>
        <v>0</v>
      </c>
      <c r="AD81" s="152">
        <f ca="1">INDIRECT("p79")</f>
        <v>-6</v>
      </c>
      <c r="AE81" s="30"/>
      <c r="AK81" s="7"/>
      <c r="AL81" s="156">
        <v>81</v>
      </c>
      <c r="AM81" s="49" t="s">
        <v>138</v>
      </c>
      <c r="AO81" s="201"/>
      <c r="AP81" s="202"/>
      <c r="AY81" s="50"/>
      <c r="BA81" s="32"/>
      <c r="BC81" s="129"/>
      <c r="BQ81">
        <v>81</v>
      </c>
    </row>
    <row r="82" spans="1:69">
      <c r="A82" s="36"/>
      <c r="B82" s="136">
        <v>82</v>
      </c>
      <c r="C82" s="199" t="s">
        <v>139</v>
      </c>
      <c r="D82" s="34">
        <v>7</v>
      </c>
      <c r="E82" s="34">
        <v>13</v>
      </c>
      <c r="F82" s="35"/>
      <c r="G82" s="35"/>
      <c r="H82" s="34"/>
      <c r="I82" s="34"/>
      <c r="J82" s="35"/>
      <c r="K82" s="35"/>
      <c r="L82" s="34"/>
      <c r="M82" s="34"/>
      <c r="N82" s="35"/>
      <c r="O82" s="35"/>
      <c r="P82" s="36">
        <f t="shared" si="2"/>
        <v>-6</v>
      </c>
      <c r="Q82" s="136">
        <f t="shared" si="3"/>
        <v>0</v>
      </c>
      <c r="R82" s="158"/>
      <c r="S82" s="158"/>
      <c r="T82" s="158"/>
      <c r="U82" s="158"/>
      <c r="Y82" s="30"/>
      <c r="Z82" s="33">
        <v>80</v>
      </c>
      <c r="AA82" s="226">
        <v>80</v>
      </c>
      <c r="AB82" s="227" t="str">
        <f ca="1">INDIRECT("C80")</f>
        <v>LUCIE</v>
      </c>
      <c r="AC82" s="228">
        <f ca="1">INDIRECT("q80")</f>
        <v>1</v>
      </c>
      <c r="AD82" s="228">
        <f ca="1">INDIRECT("p80")</f>
        <v>6</v>
      </c>
      <c r="AE82" s="30"/>
      <c r="AK82" s="7"/>
      <c r="AL82" s="156">
        <v>82</v>
      </c>
      <c r="AM82" s="49" t="s">
        <v>139</v>
      </c>
      <c r="AO82" s="201"/>
      <c r="AP82" s="202"/>
      <c r="AY82" s="50"/>
      <c r="BA82" s="32"/>
      <c r="BQ82">
        <v>82</v>
      </c>
    </row>
    <row r="83" spans="1:69">
      <c r="A83" s="36"/>
      <c r="B83" s="136">
        <v>83</v>
      </c>
      <c r="C83" s="199" t="s">
        <v>101</v>
      </c>
      <c r="D83" s="34">
        <v>7</v>
      </c>
      <c r="E83" s="34">
        <v>13</v>
      </c>
      <c r="F83" s="35"/>
      <c r="G83" s="35"/>
      <c r="H83" s="34"/>
      <c r="I83" s="34"/>
      <c r="J83" s="35"/>
      <c r="K83" s="35"/>
      <c r="L83" s="34"/>
      <c r="M83" s="34"/>
      <c r="N83" s="35"/>
      <c r="O83" s="35"/>
      <c r="P83" s="36">
        <f t="shared" si="2"/>
        <v>-6</v>
      </c>
      <c r="Q83" s="136">
        <f t="shared" si="3"/>
        <v>0</v>
      </c>
      <c r="R83" s="158"/>
      <c r="S83" s="158"/>
      <c r="T83" s="158"/>
      <c r="U83" s="158"/>
      <c r="Y83" s="30"/>
      <c r="Z83" s="33">
        <v>81</v>
      </c>
      <c r="AA83" s="226">
        <v>81</v>
      </c>
      <c r="AB83" s="227" t="str">
        <f ca="1">INDIRECT("C81")</f>
        <v>THEOPHILE</v>
      </c>
      <c r="AC83" s="228">
        <f ca="1">INDIRECT("q81")</f>
        <v>1</v>
      </c>
      <c r="AD83" s="228">
        <f ca="1">INDIRECT("p81")</f>
        <v>6</v>
      </c>
      <c r="AE83" s="30"/>
      <c r="AK83" s="7"/>
      <c r="AL83" s="156">
        <v>83</v>
      </c>
      <c r="AM83" s="49" t="s">
        <v>101</v>
      </c>
      <c r="AO83" s="201"/>
      <c r="AP83" s="202"/>
      <c r="AY83" s="50"/>
      <c r="BA83" s="32"/>
      <c r="BQ83">
        <v>83</v>
      </c>
    </row>
    <row r="84" spans="1:69">
      <c r="A84" s="36"/>
      <c r="B84" s="136">
        <v>84</v>
      </c>
      <c r="C84" s="199" t="s">
        <v>140</v>
      </c>
      <c r="D84" s="34">
        <v>7</v>
      </c>
      <c r="E84" s="34">
        <v>13</v>
      </c>
      <c r="F84" s="35"/>
      <c r="G84" s="35"/>
      <c r="H84" s="34"/>
      <c r="I84" s="34"/>
      <c r="J84" s="35"/>
      <c r="K84" s="35"/>
      <c r="L84" s="34"/>
      <c r="M84" s="34"/>
      <c r="N84" s="35"/>
      <c r="O84" s="35"/>
      <c r="P84" s="36">
        <f t="shared" si="2"/>
        <v>-6</v>
      </c>
      <c r="Q84" s="136">
        <f t="shared" si="3"/>
        <v>0</v>
      </c>
      <c r="R84" s="158"/>
      <c r="S84" s="158"/>
      <c r="T84" s="158"/>
      <c r="U84" s="158"/>
      <c r="Y84" s="30"/>
      <c r="Z84" s="33">
        <v>82</v>
      </c>
      <c r="AA84" s="157">
        <v>82</v>
      </c>
      <c r="AB84" s="151" t="str">
        <f ca="1">INDIRECT("C82")</f>
        <v>URBAIN</v>
      </c>
      <c r="AC84" s="152">
        <f ca="1">INDIRECT("q82")</f>
        <v>0</v>
      </c>
      <c r="AD84" s="152">
        <f ca="1">INDIRECT("p82")</f>
        <v>-6</v>
      </c>
      <c r="AE84" s="30"/>
      <c r="AK84" s="7"/>
      <c r="AL84" s="156">
        <v>84</v>
      </c>
      <c r="AM84" s="49" t="s">
        <v>140</v>
      </c>
      <c r="AO84" s="201"/>
      <c r="AP84" s="202"/>
      <c r="AY84" s="50"/>
      <c r="BA84" s="32"/>
      <c r="BQ84">
        <v>84</v>
      </c>
    </row>
    <row r="85" spans="1:69">
      <c r="A85" s="36"/>
      <c r="B85" s="224">
        <v>85</v>
      </c>
      <c r="C85" s="234" t="s">
        <v>141</v>
      </c>
      <c r="D85" s="34">
        <v>13</v>
      </c>
      <c r="E85" s="34">
        <v>7</v>
      </c>
      <c r="F85" s="35"/>
      <c r="G85" s="35"/>
      <c r="H85" s="34"/>
      <c r="I85" s="34"/>
      <c r="J85" s="35"/>
      <c r="K85" s="35"/>
      <c r="L85" s="34"/>
      <c r="M85" s="34"/>
      <c r="N85" s="35"/>
      <c r="O85" s="35"/>
      <c r="P85" s="36">
        <f t="shared" si="2"/>
        <v>6</v>
      </c>
      <c r="Q85" s="224">
        <f t="shared" si="3"/>
        <v>1</v>
      </c>
      <c r="R85" s="158"/>
      <c r="S85" s="158"/>
      <c r="T85" s="158"/>
      <c r="U85" s="158"/>
      <c r="Y85" s="30"/>
      <c r="Z85" s="33">
        <v>83</v>
      </c>
      <c r="AA85" s="157">
        <v>83</v>
      </c>
      <c r="AB85" s="151" t="str">
        <f ca="1">INDIRECT("C83")</f>
        <v>ETIENNE</v>
      </c>
      <c r="AC85" s="152">
        <f ca="1">INDIRECT("q83")</f>
        <v>0</v>
      </c>
      <c r="AD85" s="152">
        <f ca="1">INDIRECT("p83")</f>
        <v>-6</v>
      </c>
      <c r="AE85" s="30"/>
      <c r="AK85" s="7"/>
      <c r="AL85" s="156">
        <v>85</v>
      </c>
      <c r="AM85" s="49" t="s">
        <v>141</v>
      </c>
      <c r="AO85" s="201"/>
      <c r="AP85" s="202"/>
      <c r="AY85" s="50"/>
      <c r="BA85" s="32"/>
      <c r="BQ85">
        <v>85</v>
      </c>
    </row>
    <row r="86" spans="1:69">
      <c r="A86" s="36"/>
      <c r="B86" s="224">
        <v>86</v>
      </c>
      <c r="C86" s="234" t="s">
        <v>142</v>
      </c>
      <c r="D86" s="34">
        <v>13</v>
      </c>
      <c r="E86" s="34">
        <v>7</v>
      </c>
      <c r="F86" s="35"/>
      <c r="G86" s="35"/>
      <c r="H86" s="34"/>
      <c r="I86" s="34"/>
      <c r="J86" s="35"/>
      <c r="K86" s="35"/>
      <c r="L86" s="34"/>
      <c r="M86" s="34"/>
      <c r="N86" s="35"/>
      <c r="O86" s="35"/>
      <c r="P86" s="36">
        <f t="shared" si="2"/>
        <v>6</v>
      </c>
      <c r="Q86" s="224">
        <f t="shared" si="3"/>
        <v>1</v>
      </c>
      <c r="R86" s="158"/>
      <c r="S86" s="158"/>
      <c r="T86" s="158"/>
      <c r="U86" s="158"/>
      <c r="Y86" s="30"/>
      <c r="Z86" s="33">
        <v>84</v>
      </c>
      <c r="AA86" s="157">
        <v>84</v>
      </c>
      <c r="AB86" s="151" t="str">
        <f ca="1">INDIRECT("C84")</f>
        <v>BASILE</v>
      </c>
      <c r="AC86" s="152">
        <f ca="1">INDIRECT("q84")</f>
        <v>0</v>
      </c>
      <c r="AD86" s="152">
        <f ca="1">INDIRECT("p84")</f>
        <v>-6</v>
      </c>
      <c r="AE86" s="30"/>
      <c r="AK86" s="7"/>
      <c r="AL86" s="156">
        <v>86</v>
      </c>
      <c r="AM86" s="49" t="s">
        <v>142</v>
      </c>
      <c r="AO86" s="201"/>
      <c r="AP86" s="202"/>
      <c r="AY86" s="50"/>
      <c r="BA86" s="32"/>
      <c r="BQ86">
        <v>86</v>
      </c>
    </row>
    <row r="87" spans="1:69">
      <c r="A87" s="36"/>
      <c r="B87" s="136">
        <v>87</v>
      </c>
      <c r="C87" s="199" t="s">
        <v>143</v>
      </c>
      <c r="D87" s="34">
        <v>7</v>
      </c>
      <c r="E87" s="34">
        <v>13</v>
      </c>
      <c r="F87" s="35"/>
      <c r="G87" s="35"/>
      <c r="H87" s="34"/>
      <c r="I87" s="34"/>
      <c r="J87" s="35"/>
      <c r="K87" s="35"/>
      <c r="L87" s="34"/>
      <c r="M87" s="34"/>
      <c r="N87" s="35"/>
      <c r="O87" s="35"/>
      <c r="P87" s="36">
        <f t="shared" si="2"/>
        <v>-6</v>
      </c>
      <c r="Q87" s="136">
        <f t="shared" si="3"/>
        <v>0</v>
      </c>
      <c r="R87" s="158"/>
      <c r="S87" s="158"/>
      <c r="T87" s="158"/>
      <c r="U87" s="158"/>
      <c r="Y87" s="30"/>
      <c r="Z87" s="33">
        <v>85</v>
      </c>
      <c r="AA87" s="226">
        <v>85</v>
      </c>
      <c r="AB87" s="227" t="str">
        <f ca="1">INDIRECT("C85")</f>
        <v>RAYMOND</v>
      </c>
      <c r="AC87" s="228">
        <f ca="1">INDIRECT("q85")</f>
        <v>1</v>
      </c>
      <c r="AD87" s="228">
        <f ca="1">INDIRECT("p85")</f>
        <v>6</v>
      </c>
      <c r="AE87" s="30"/>
      <c r="AK87" s="7"/>
      <c r="AL87" s="156">
        <v>87</v>
      </c>
      <c r="AM87" s="49" t="s">
        <v>143</v>
      </c>
      <c r="AO87" s="201"/>
      <c r="AP87" s="202"/>
      <c r="AY87" s="50"/>
      <c r="BA87" s="32"/>
      <c r="BQ87">
        <v>87</v>
      </c>
    </row>
    <row r="88" spans="1:69">
      <c r="A88" s="36"/>
      <c r="B88" s="136">
        <v>88</v>
      </c>
      <c r="C88" s="199" t="s">
        <v>100</v>
      </c>
      <c r="D88" s="34">
        <v>7</v>
      </c>
      <c r="E88" s="34">
        <v>13</v>
      </c>
      <c r="F88" s="35"/>
      <c r="G88" s="35"/>
      <c r="H88" s="34"/>
      <c r="I88" s="34"/>
      <c r="J88" s="35"/>
      <c r="K88" s="35"/>
      <c r="L88" s="34"/>
      <c r="M88" s="34"/>
      <c r="N88" s="35"/>
      <c r="O88" s="35"/>
      <c r="P88" s="36">
        <f t="shared" si="2"/>
        <v>-6</v>
      </c>
      <c r="Q88" s="136">
        <f t="shared" si="3"/>
        <v>0</v>
      </c>
      <c r="R88" s="158"/>
      <c r="S88" s="158"/>
      <c r="T88" s="158"/>
      <c r="U88" s="158"/>
      <c r="Y88" s="30"/>
      <c r="Z88" s="33">
        <v>86</v>
      </c>
      <c r="AA88" s="226">
        <v>86</v>
      </c>
      <c r="AB88" s="227" t="str">
        <f ca="1">INDIRECT("C86")</f>
        <v>LUCIEN</v>
      </c>
      <c r="AC88" s="228">
        <f ca="1">INDIRECT("q86")</f>
        <v>1</v>
      </c>
      <c r="AD88" s="228">
        <f ca="1">INDIRECT("p86")</f>
        <v>6</v>
      </c>
      <c r="AE88" s="30"/>
      <c r="AK88" s="7"/>
      <c r="AL88" s="156">
        <v>88</v>
      </c>
      <c r="AM88" s="49" t="s">
        <v>100</v>
      </c>
      <c r="AO88" s="201"/>
      <c r="AP88" s="202"/>
      <c r="AY88" s="50"/>
      <c r="BA88" s="32"/>
      <c r="BQ88">
        <v>88</v>
      </c>
    </row>
    <row r="89" spans="1:69">
      <c r="A89" s="36"/>
      <c r="B89" s="136">
        <v>89</v>
      </c>
      <c r="C89" s="199" t="s">
        <v>144</v>
      </c>
      <c r="D89" s="34">
        <v>7</v>
      </c>
      <c r="E89" s="34">
        <v>13</v>
      </c>
      <c r="F89" s="35"/>
      <c r="G89" s="35"/>
      <c r="H89" s="34"/>
      <c r="I89" s="34"/>
      <c r="J89" s="35"/>
      <c r="K89" s="35"/>
      <c r="L89" s="34"/>
      <c r="M89" s="34"/>
      <c r="N89" s="35"/>
      <c r="O89" s="35"/>
      <c r="P89" s="36">
        <f t="shared" si="2"/>
        <v>-6</v>
      </c>
      <c r="Q89" s="136">
        <f t="shared" si="3"/>
        <v>0</v>
      </c>
      <c r="R89" s="158"/>
      <c r="S89" s="158"/>
      <c r="T89" s="158"/>
      <c r="U89" s="158"/>
      <c r="Y89" s="30"/>
      <c r="Z89" s="33">
        <v>87</v>
      </c>
      <c r="AA89" s="157">
        <v>87</v>
      </c>
      <c r="AB89" s="151" t="str">
        <f ca="1">INDIRECT("C87")</f>
        <v>GUILLAUME</v>
      </c>
      <c r="AC89" s="152">
        <f ca="1">INDIRECT("q87")</f>
        <v>0</v>
      </c>
      <c r="AD89" s="152">
        <f ca="1">INDIRECT("p87")</f>
        <v>-6</v>
      </c>
      <c r="AE89" s="30"/>
      <c r="AK89" s="7"/>
      <c r="AL89" s="156">
        <v>89</v>
      </c>
      <c r="AM89" s="49" t="s">
        <v>144</v>
      </c>
      <c r="AO89" s="201"/>
      <c r="AP89" s="202"/>
      <c r="AY89" s="50"/>
      <c r="BA89" s="32"/>
      <c r="BQ89">
        <v>89</v>
      </c>
    </row>
    <row r="90" spans="1:69">
      <c r="A90" s="36"/>
      <c r="B90" s="224">
        <v>90</v>
      </c>
      <c r="C90" s="234" t="s">
        <v>145</v>
      </c>
      <c r="D90" s="34">
        <v>13</v>
      </c>
      <c r="E90" s="34">
        <v>7</v>
      </c>
      <c r="F90" s="35"/>
      <c r="G90" s="35"/>
      <c r="H90" s="34"/>
      <c r="I90" s="34"/>
      <c r="J90" s="35"/>
      <c r="K90" s="35"/>
      <c r="L90" s="34"/>
      <c r="M90" s="34"/>
      <c r="N90" s="35"/>
      <c r="O90" s="35"/>
      <c r="P90" s="36">
        <f t="shared" si="2"/>
        <v>6</v>
      </c>
      <c r="Q90" s="224">
        <f t="shared" si="3"/>
        <v>1</v>
      </c>
      <c r="R90" s="158"/>
      <c r="S90" s="158"/>
      <c r="T90" s="158"/>
      <c r="U90" s="158"/>
      <c r="Y90" s="30"/>
      <c r="Z90" s="33">
        <v>88</v>
      </c>
      <c r="AA90" s="157">
        <v>88</v>
      </c>
      <c r="AB90" s="151" t="str">
        <f ca="1">INDIRECT("C88")</f>
        <v>VINCENT</v>
      </c>
      <c r="AC90" s="152">
        <f ca="1">INDIRECT("q88")</f>
        <v>0</v>
      </c>
      <c r="AD90" s="152">
        <f ca="1">INDIRECT("p88")</f>
        <v>-6</v>
      </c>
      <c r="AE90" s="30"/>
      <c r="AK90" s="7"/>
      <c r="AL90" s="156">
        <v>90</v>
      </c>
      <c r="AM90" s="49" t="s">
        <v>145</v>
      </c>
      <c r="AO90" s="201"/>
      <c r="AP90" s="202"/>
      <c r="AY90" s="50"/>
      <c r="BA90" s="32"/>
      <c r="BQ90">
        <v>90</v>
      </c>
    </row>
    <row r="91" spans="1:69">
      <c r="A91" s="36"/>
      <c r="B91" s="136">
        <v>91</v>
      </c>
      <c r="C91" s="199" t="s">
        <v>146</v>
      </c>
      <c r="D91" s="34">
        <v>7</v>
      </c>
      <c r="E91" s="34">
        <v>13</v>
      </c>
      <c r="F91" s="35"/>
      <c r="G91" s="35"/>
      <c r="H91" s="34"/>
      <c r="I91" s="34"/>
      <c r="J91" s="35"/>
      <c r="K91" s="35"/>
      <c r="L91" s="34"/>
      <c r="M91" s="34"/>
      <c r="N91" s="35"/>
      <c r="O91" s="35"/>
      <c r="P91" s="36">
        <f t="shared" si="2"/>
        <v>-6</v>
      </c>
      <c r="Q91" s="136">
        <f t="shared" si="3"/>
        <v>0</v>
      </c>
      <c r="Y91" s="30"/>
      <c r="Z91" s="33">
        <v>89</v>
      </c>
      <c r="AA91" s="157">
        <v>89</v>
      </c>
      <c r="AB91" s="151" t="str">
        <f ca="1">INDIRECT("C89")</f>
        <v>BERNARD</v>
      </c>
      <c r="AC91" s="152">
        <f ca="1">INDIRECT("q89")</f>
        <v>0</v>
      </c>
      <c r="AD91" s="152">
        <f ca="1">INDIRECT("p89")</f>
        <v>-6</v>
      </c>
      <c r="AE91" s="30"/>
      <c r="AK91" s="7"/>
      <c r="AL91" s="156">
        <v>91</v>
      </c>
      <c r="AM91" s="49" t="s">
        <v>146</v>
      </c>
      <c r="AO91" s="201"/>
      <c r="AP91" s="202"/>
      <c r="AY91" s="50"/>
      <c r="BA91" s="32"/>
      <c r="BQ91">
        <v>91</v>
      </c>
    </row>
    <row r="92" spans="1:69">
      <c r="A92" s="36"/>
      <c r="B92" s="224">
        <v>92</v>
      </c>
      <c r="C92" s="234" t="s">
        <v>147</v>
      </c>
      <c r="D92" s="34">
        <v>13</v>
      </c>
      <c r="E92" s="34">
        <v>7</v>
      </c>
      <c r="F92" s="35"/>
      <c r="G92" s="35"/>
      <c r="H92" s="34"/>
      <c r="I92" s="34"/>
      <c r="J92" s="35"/>
      <c r="K92" s="35"/>
      <c r="L92" s="34"/>
      <c r="M92" s="34"/>
      <c r="N92" s="35"/>
      <c r="O92" s="35"/>
      <c r="P92" s="36">
        <f t="shared" si="2"/>
        <v>6</v>
      </c>
      <c r="Q92" s="224">
        <f t="shared" si="3"/>
        <v>1</v>
      </c>
      <c r="Y92" s="30"/>
      <c r="Z92" s="33">
        <v>90</v>
      </c>
      <c r="AA92" s="226">
        <v>90</v>
      </c>
      <c r="AB92" s="227" t="str">
        <f ca="1">INDIRECT("C90")</f>
        <v>VALENTIN</v>
      </c>
      <c r="AC92" s="228">
        <f ca="1">INDIRECT("q90")</f>
        <v>1</v>
      </c>
      <c r="AD92" s="228">
        <f ca="1">INDIRECT("p90")</f>
        <v>6</v>
      </c>
      <c r="AE92" s="30"/>
      <c r="AK92" s="7"/>
      <c r="AL92" s="156">
        <v>92</v>
      </c>
      <c r="AM92" s="49" t="s">
        <v>147</v>
      </c>
      <c r="AO92" s="201"/>
      <c r="AP92" s="202"/>
      <c r="AY92" s="50"/>
      <c r="BA92" s="32"/>
      <c r="BQ92">
        <v>92</v>
      </c>
    </row>
    <row r="93" spans="1:69">
      <c r="A93" s="36"/>
      <c r="B93" s="136">
        <v>93</v>
      </c>
      <c r="C93" s="199" t="s">
        <v>148</v>
      </c>
      <c r="D93" s="34">
        <v>7</v>
      </c>
      <c r="E93" s="34">
        <v>13</v>
      </c>
      <c r="F93" s="35"/>
      <c r="G93" s="35"/>
      <c r="H93" s="34"/>
      <c r="I93" s="34"/>
      <c r="J93" s="35"/>
      <c r="K93" s="35"/>
      <c r="L93" s="34"/>
      <c r="M93" s="34"/>
      <c r="N93" s="35"/>
      <c r="O93" s="35"/>
      <c r="P93" s="36">
        <f t="shared" si="2"/>
        <v>-6</v>
      </c>
      <c r="Q93" s="136">
        <f t="shared" si="3"/>
        <v>0</v>
      </c>
      <c r="Y93" s="30"/>
      <c r="Z93" s="33">
        <v>91</v>
      </c>
      <c r="AA93" s="157">
        <v>91</v>
      </c>
      <c r="AB93" s="151" t="str">
        <f ca="1">INDIRECT("C91")</f>
        <v>VALERIE</v>
      </c>
      <c r="AC93" s="152">
        <f ca="1">INDIRECT("q91")</f>
        <v>0</v>
      </c>
      <c r="AD93" s="152">
        <f ca="1">INDIRECT("p91")</f>
        <v>-6</v>
      </c>
      <c r="AE93" s="30"/>
      <c r="AK93" s="7"/>
      <c r="AL93" s="156">
        <v>93</v>
      </c>
      <c r="AM93" s="49" t="s">
        <v>148</v>
      </c>
      <c r="AO93" s="201"/>
      <c r="AP93" s="202"/>
      <c r="AY93" s="50"/>
      <c r="BA93" s="32"/>
      <c r="BQ93">
        <v>93</v>
      </c>
    </row>
    <row r="94" spans="1:69">
      <c r="A94" s="36"/>
      <c r="B94" s="136">
        <v>94</v>
      </c>
      <c r="C94" s="199" t="s">
        <v>149</v>
      </c>
      <c r="D94" s="34">
        <v>7</v>
      </c>
      <c r="E94" s="34">
        <v>13</v>
      </c>
      <c r="F94" s="35"/>
      <c r="G94" s="35"/>
      <c r="H94" s="34"/>
      <c r="I94" s="34"/>
      <c r="J94" s="35"/>
      <c r="K94" s="35"/>
      <c r="L94" s="34"/>
      <c r="M94" s="34"/>
      <c r="N94" s="35"/>
      <c r="O94" s="35"/>
      <c r="P94" s="36">
        <f t="shared" si="2"/>
        <v>-6</v>
      </c>
      <c r="Q94" s="136">
        <f t="shared" si="3"/>
        <v>0</v>
      </c>
      <c r="Y94" s="30"/>
      <c r="Z94" s="33">
        <v>92</v>
      </c>
      <c r="AA94" s="226">
        <v>92</v>
      </c>
      <c r="AB94" s="227" t="str">
        <f ca="1">INDIRECT("C92")</f>
        <v>ROMAIN</v>
      </c>
      <c r="AC94" s="228">
        <f ca="1">INDIRECT("q92")</f>
        <v>1</v>
      </c>
      <c r="AD94" s="228">
        <f ca="1">INDIRECT("p92")</f>
        <v>6</v>
      </c>
      <c r="AE94" s="30"/>
      <c r="AK94" s="7"/>
      <c r="AL94" s="156">
        <v>94</v>
      </c>
      <c r="AM94" s="49" t="s">
        <v>149</v>
      </c>
      <c r="AO94" s="201"/>
      <c r="AP94" s="202"/>
      <c r="AY94" s="50"/>
      <c r="BA94" s="32"/>
      <c r="BQ94">
        <v>94</v>
      </c>
    </row>
    <row r="95" spans="1:69">
      <c r="A95" s="36"/>
      <c r="B95" s="224">
        <v>95</v>
      </c>
      <c r="C95" s="234" t="s">
        <v>150</v>
      </c>
      <c r="D95" s="34">
        <v>13</v>
      </c>
      <c r="E95" s="34">
        <v>7</v>
      </c>
      <c r="F95" s="35"/>
      <c r="G95" s="35"/>
      <c r="H95" s="34"/>
      <c r="I95" s="34"/>
      <c r="J95" s="35"/>
      <c r="K95" s="35"/>
      <c r="L95" s="34"/>
      <c r="M95" s="34"/>
      <c r="N95" s="35"/>
      <c r="O95" s="35"/>
      <c r="P95" s="36">
        <f t="shared" si="2"/>
        <v>6</v>
      </c>
      <c r="Q95" s="224">
        <f t="shared" si="3"/>
        <v>1</v>
      </c>
      <c r="Y95" s="30"/>
      <c r="Z95" s="33">
        <v>93</v>
      </c>
      <c r="AA95" s="157">
        <v>93</v>
      </c>
      <c r="AB95" s="151" t="str">
        <f ca="1">INDIRECT("C93")</f>
        <v>JOSEPH</v>
      </c>
      <c r="AC95" s="152">
        <f ca="1">INDIRECT("q93")</f>
        <v>0</v>
      </c>
      <c r="AD95" s="152">
        <f ca="1">INDIRECT("p93")</f>
        <v>-6</v>
      </c>
      <c r="AE95" s="30"/>
      <c r="AK95" s="7"/>
      <c r="AL95" s="156">
        <v>95</v>
      </c>
      <c r="AM95" s="49" t="s">
        <v>150</v>
      </c>
      <c r="AO95" s="201"/>
      <c r="AP95" s="202"/>
      <c r="AY95" s="50"/>
      <c r="BA95" s="32"/>
      <c r="BQ95">
        <v>95</v>
      </c>
    </row>
    <row r="96" spans="1:69">
      <c r="A96" s="36"/>
      <c r="B96" s="224">
        <v>96</v>
      </c>
      <c r="C96" s="234" t="s">
        <v>151</v>
      </c>
      <c r="D96" s="34">
        <v>13</v>
      </c>
      <c r="E96" s="34">
        <v>7</v>
      </c>
      <c r="F96" s="35"/>
      <c r="G96" s="35"/>
      <c r="H96" s="34"/>
      <c r="I96" s="34"/>
      <c r="J96" s="35"/>
      <c r="K96" s="35"/>
      <c r="L96" s="34"/>
      <c r="M96" s="34"/>
      <c r="N96" s="35"/>
      <c r="O96" s="35"/>
      <c r="P96" s="36">
        <f t="shared" si="2"/>
        <v>6</v>
      </c>
      <c r="Q96" s="224">
        <f t="shared" si="3"/>
        <v>1</v>
      </c>
      <c r="Y96" s="30"/>
      <c r="Z96" s="33">
        <v>94</v>
      </c>
      <c r="AA96" s="157">
        <v>94</v>
      </c>
      <c r="AB96" s="151" t="str">
        <f ca="1">INDIRECT("C94")</f>
        <v>HUGUES</v>
      </c>
      <c r="AC96" s="152">
        <f ca="1">INDIRECT("q94")</f>
        <v>0</v>
      </c>
      <c r="AD96" s="152">
        <f ca="1">INDIRECT("p94")</f>
        <v>-6</v>
      </c>
      <c r="AE96" s="30"/>
      <c r="AK96" s="7"/>
      <c r="AL96" s="156">
        <v>96</v>
      </c>
      <c r="AM96" s="49" t="s">
        <v>151</v>
      </c>
      <c r="AO96" s="201"/>
      <c r="AP96" s="202"/>
      <c r="AY96" s="50"/>
      <c r="BA96" s="32"/>
      <c r="BQ96">
        <v>96</v>
      </c>
    </row>
    <row r="97" spans="1:69">
      <c r="A97" s="36"/>
      <c r="B97" s="136">
        <v>97</v>
      </c>
      <c r="C97" s="199" t="s">
        <v>152</v>
      </c>
      <c r="D97" s="34">
        <v>7</v>
      </c>
      <c r="E97" s="34">
        <v>13</v>
      </c>
      <c r="F97" s="35"/>
      <c r="G97" s="35"/>
      <c r="H97" s="34"/>
      <c r="I97" s="34"/>
      <c r="J97" s="35"/>
      <c r="K97" s="35"/>
      <c r="L97" s="34"/>
      <c r="M97" s="34"/>
      <c r="N97" s="35"/>
      <c r="O97" s="35"/>
      <c r="P97" s="36">
        <f t="shared" si="2"/>
        <v>-6</v>
      </c>
      <c r="Q97" s="136">
        <f t="shared" si="3"/>
        <v>0</v>
      </c>
      <c r="Y97" s="30"/>
      <c r="Z97" s="33">
        <v>95</v>
      </c>
      <c r="AA97" s="226">
        <v>95</v>
      </c>
      <c r="AB97" s="227" t="str">
        <f ca="1">INDIRECT("C95")</f>
        <v>RICHARD</v>
      </c>
      <c r="AC97" s="228">
        <f ca="1">INDIRECT("q95")</f>
        <v>1</v>
      </c>
      <c r="AD97" s="228">
        <f ca="1">INDIRECT("p95")</f>
        <v>6</v>
      </c>
      <c r="AE97" s="30"/>
      <c r="AK97" s="7"/>
      <c r="AL97" s="156">
        <v>97</v>
      </c>
      <c r="AM97" s="49" t="s">
        <v>152</v>
      </c>
      <c r="AO97" s="201"/>
      <c r="AP97" s="202"/>
      <c r="AY97" s="50"/>
      <c r="BA97" s="32"/>
      <c r="BQ97">
        <v>97</v>
      </c>
    </row>
    <row r="98" spans="1:69">
      <c r="A98" s="36"/>
      <c r="B98" s="224">
        <v>98</v>
      </c>
      <c r="C98" s="234" t="s">
        <v>153</v>
      </c>
      <c r="D98" s="34">
        <v>13</v>
      </c>
      <c r="E98" s="34">
        <v>7</v>
      </c>
      <c r="F98" s="35"/>
      <c r="G98" s="35"/>
      <c r="H98" s="34"/>
      <c r="I98" s="34"/>
      <c r="J98" s="35"/>
      <c r="K98" s="35"/>
      <c r="L98" s="34"/>
      <c r="M98" s="34"/>
      <c r="N98" s="35"/>
      <c r="O98" s="35"/>
      <c r="P98" s="36">
        <f t="shared" si="2"/>
        <v>6</v>
      </c>
      <c r="Q98" s="224">
        <f t="shared" si="3"/>
        <v>1</v>
      </c>
      <c r="Y98" s="30"/>
      <c r="Z98" s="33">
        <v>96</v>
      </c>
      <c r="AA98" s="226">
        <v>96</v>
      </c>
      <c r="AB98" s="227" t="str">
        <f ca="1">INDIRECT("C96")</f>
        <v>GAUTIER</v>
      </c>
      <c r="AC98" s="228">
        <f ca="1">INDIRECT("q96")</f>
        <v>1</v>
      </c>
      <c r="AD98" s="228">
        <f ca="1">INDIRECT("p96")</f>
        <v>6</v>
      </c>
      <c r="AE98" s="30"/>
      <c r="AK98" s="7"/>
      <c r="AL98" s="156">
        <v>98</v>
      </c>
      <c r="AM98" s="49" t="s">
        <v>153</v>
      </c>
      <c r="AO98" s="201"/>
      <c r="AP98" s="202"/>
      <c r="AY98" s="50"/>
      <c r="BA98" s="32"/>
      <c r="BQ98">
        <v>98</v>
      </c>
    </row>
    <row r="99" spans="1:69">
      <c r="A99" s="36"/>
      <c r="B99" s="224">
        <v>99</v>
      </c>
      <c r="C99" s="234" t="s">
        <v>154</v>
      </c>
      <c r="D99" s="34">
        <v>13</v>
      </c>
      <c r="E99" s="34">
        <v>7</v>
      </c>
      <c r="F99" s="35"/>
      <c r="G99" s="35"/>
      <c r="H99" s="34"/>
      <c r="I99" s="34"/>
      <c r="J99" s="35"/>
      <c r="K99" s="35"/>
      <c r="L99" s="34"/>
      <c r="M99" s="34"/>
      <c r="N99" s="35"/>
      <c r="O99" s="35"/>
      <c r="P99" s="36">
        <f t="shared" si="2"/>
        <v>6</v>
      </c>
      <c r="Q99" s="224">
        <f t="shared" si="3"/>
        <v>1</v>
      </c>
      <c r="Y99" s="30"/>
      <c r="Z99" s="33">
        <v>97</v>
      </c>
      <c r="AA99" s="157">
        <v>97</v>
      </c>
      <c r="AB99" s="151" t="str">
        <f ca="1">INDIRECT("C97")</f>
        <v>MATTHIAS</v>
      </c>
      <c r="AC99" s="152">
        <f ca="1">INDIRECT("q97")</f>
        <v>0</v>
      </c>
      <c r="AD99" s="152">
        <f ca="1">INDIRECT("p97")</f>
        <v>-6</v>
      </c>
      <c r="AE99" s="30"/>
      <c r="AK99" s="7"/>
      <c r="AL99" s="156">
        <v>99</v>
      </c>
      <c r="AM99" s="49" t="s">
        <v>154</v>
      </c>
      <c r="AO99" s="201"/>
      <c r="AP99" s="202"/>
      <c r="AY99" s="50"/>
      <c r="BA99" s="32"/>
      <c r="BQ99">
        <v>99</v>
      </c>
    </row>
    <row r="100" spans="1:69">
      <c r="A100" s="36"/>
      <c r="B100" s="224">
        <v>100</v>
      </c>
      <c r="C100" s="234" t="s">
        <v>155</v>
      </c>
      <c r="D100" s="34">
        <v>13</v>
      </c>
      <c r="E100" s="34">
        <v>7</v>
      </c>
      <c r="F100" s="35"/>
      <c r="G100" s="35"/>
      <c r="H100" s="34"/>
      <c r="I100" s="34"/>
      <c r="J100" s="35"/>
      <c r="K100" s="35"/>
      <c r="L100" s="34"/>
      <c r="M100" s="34"/>
      <c r="N100" s="35"/>
      <c r="O100" s="35"/>
      <c r="P100" s="36">
        <f t="shared" si="2"/>
        <v>6</v>
      </c>
      <c r="Q100" s="224">
        <f t="shared" si="3"/>
        <v>1</v>
      </c>
      <c r="Y100" s="30"/>
      <c r="Z100" s="33">
        <v>98</v>
      </c>
      <c r="AA100" s="226">
        <v>98</v>
      </c>
      <c r="AB100" s="227" t="str">
        <f ca="1">INDIRECT("C98")</f>
        <v>STANISLAS</v>
      </c>
      <c r="AC100" s="228">
        <f ca="1">INDIRECT("q98")</f>
        <v>1</v>
      </c>
      <c r="AD100" s="228">
        <f ca="1">INDIRECT("p98")</f>
        <v>6</v>
      </c>
      <c r="AE100" s="30"/>
      <c r="AK100" s="7"/>
      <c r="AL100" s="156">
        <v>100</v>
      </c>
      <c r="AM100" s="49" t="s">
        <v>155</v>
      </c>
      <c r="AO100" s="201"/>
      <c r="AP100" s="202"/>
      <c r="AY100" s="50"/>
      <c r="BA100" s="32"/>
      <c r="BQ100">
        <v>100</v>
      </c>
    </row>
    <row r="101" spans="1:69">
      <c r="A101" s="36"/>
      <c r="B101" s="224">
        <v>101</v>
      </c>
      <c r="C101" s="234" t="s">
        <v>156</v>
      </c>
      <c r="D101" s="34">
        <v>13</v>
      </c>
      <c r="E101" s="34">
        <v>7</v>
      </c>
      <c r="F101" s="35"/>
      <c r="G101" s="35"/>
      <c r="H101" s="34"/>
      <c r="I101" s="34"/>
      <c r="J101" s="35"/>
      <c r="K101" s="35"/>
      <c r="L101" s="34"/>
      <c r="M101" s="34"/>
      <c r="N101" s="35"/>
      <c r="O101" s="35"/>
      <c r="P101" s="36">
        <f t="shared" si="2"/>
        <v>6</v>
      </c>
      <c r="Q101" s="224">
        <f t="shared" si="3"/>
        <v>1</v>
      </c>
      <c r="Y101" s="30"/>
      <c r="Z101" s="33">
        <v>99</v>
      </c>
      <c r="AA101" s="226">
        <v>99</v>
      </c>
      <c r="AB101" s="227" t="str">
        <f ca="1">INDIRECT("C99")</f>
        <v>ROLANDE</v>
      </c>
      <c r="AC101" s="228">
        <f ca="1">INDIRECT("q99")</f>
        <v>1</v>
      </c>
      <c r="AD101" s="228">
        <f ca="1">INDIRECT("p99")</f>
        <v>6</v>
      </c>
      <c r="AE101" s="30"/>
      <c r="AK101" s="7"/>
      <c r="AL101" s="156">
        <v>101</v>
      </c>
      <c r="AM101" s="49" t="s">
        <v>156</v>
      </c>
      <c r="AO101" s="201"/>
      <c r="AP101" s="202"/>
      <c r="AY101" s="50"/>
      <c r="BA101" s="32"/>
    </row>
    <row r="102" spans="1:69">
      <c r="A102" s="36"/>
      <c r="B102" s="136">
        <v>102</v>
      </c>
      <c r="C102" s="199" t="s">
        <v>157</v>
      </c>
      <c r="D102" s="34">
        <v>7</v>
      </c>
      <c r="E102" s="34">
        <v>13</v>
      </c>
      <c r="F102" s="35"/>
      <c r="G102" s="35"/>
      <c r="H102" s="34"/>
      <c r="I102" s="34"/>
      <c r="J102" s="35"/>
      <c r="K102" s="35"/>
      <c r="L102" s="34"/>
      <c r="M102" s="34"/>
      <c r="N102" s="35"/>
      <c r="O102" s="35"/>
      <c r="P102" s="36">
        <f t="shared" si="2"/>
        <v>-6</v>
      </c>
      <c r="Q102" s="136">
        <f t="shared" si="3"/>
        <v>0</v>
      </c>
      <c r="Y102" s="30"/>
      <c r="Z102" s="33">
        <v>100</v>
      </c>
      <c r="AA102" s="226">
        <v>100</v>
      </c>
      <c r="AB102" s="227" t="str">
        <f ca="1">INDIRECT("C100")</f>
        <v>CONSTANTIN</v>
      </c>
      <c r="AC102" s="228">
        <f ca="1">INDIRECT("q100")</f>
        <v>1</v>
      </c>
      <c r="AD102" s="228">
        <f ca="1">INDIRECT("p100")</f>
        <v>6</v>
      </c>
      <c r="AE102" s="30"/>
      <c r="AK102" s="7"/>
      <c r="AL102" s="156">
        <v>102</v>
      </c>
      <c r="AM102" s="49" t="s">
        <v>157</v>
      </c>
      <c r="AO102" s="201"/>
      <c r="AP102" s="202"/>
      <c r="AY102" s="50"/>
      <c r="BA102" s="32"/>
    </row>
    <row r="103" spans="1:69">
      <c r="A103" s="36"/>
      <c r="B103" s="136">
        <v>103</v>
      </c>
      <c r="C103" s="199" t="s">
        <v>158</v>
      </c>
      <c r="D103" s="34">
        <v>7</v>
      </c>
      <c r="E103" s="34">
        <v>13</v>
      </c>
      <c r="F103" s="35"/>
      <c r="G103" s="35"/>
      <c r="H103" s="34"/>
      <c r="I103" s="34"/>
      <c r="J103" s="35"/>
      <c r="K103" s="35"/>
      <c r="L103" s="34"/>
      <c r="M103" s="34"/>
      <c r="N103" s="35"/>
      <c r="O103" s="35"/>
      <c r="P103" s="36">
        <f t="shared" si="2"/>
        <v>-6</v>
      </c>
      <c r="Q103" s="136">
        <f t="shared" si="3"/>
        <v>0</v>
      </c>
      <c r="Y103" s="30"/>
      <c r="Z103" s="33">
        <v>101</v>
      </c>
      <c r="AA103" s="226">
        <v>101</v>
      </c>
      <c r="AB103" s="227" t="str">
        <f ca="1">INDIRECT("C101")</f>
        <v>HONORE</v>
      </c>
      <c r="AC103" s="228">
        <f ca="1">INDIRECT("q101")</f>
        <v>1</v>
      </c>
      <c r="AD103" s="228">
        <f ca="1">INDIRECT("p101")</f>
        <v>6</v>
      </c>
      <c r="AE103" s="30"/>
      <c r="AK103" s="7"/>
      <c r="AL103" s="156">
        <v>103</v>
      </c>
      <c r="AM103" s="49" t="s">
        <v>158</v>
      </c>
      <c r="AO103" s="201"/>
      <c r="AP103" s="202"/>
      <c r="AY103" s="50"/>
      <c r="BA103" s="32"/>
    </row>
    <row r="104" spans="1:69">
      <c r="A104" s="36"/>
      <c r="B104" s="224">
        <v>104</v>
      </c>
      <c r="C104" s="225" t="s">
        <v>159</v>
      </c>
      <c r="D104" s="34">
        <v>13</v>
      </c>
      <c r="E104" s="34">
        <v>7</v>
      </c>
      <c r="F104" s="35"/>
      <c r="G104" s="35"/>
      <c r="H104" s="34"/>
      <c r="I104" s="34"/>
      <c r="J104" s="35"/>
      <c r="K104" s="35"/>
      <c r="L104" s="34"/>
      <c r="M104" s="34"/>
      <c r="N104" s="35"/>
      <c r="O104" s="35"/>
      <c r="P104" s="36">
        <f t="shared" si="2"/>
        <v>6</v>
      </c>
      <c r="Q104" s="224">
        <f t="shared" si="3"/>
        <v>1</v>
      </c>
      <c r="Y104" s="30"/>
      <c r="Z104" s="33">
        <v>102</v>
      </c>
      <c r="AA104" s="157">
        <v>102</v>
      </c>
      <c r="AB104" s="151" t="str">
        <f ca="1">INDIRECT("C102")</f>
        <v>DONATIEN</v>
      </c>
      <c r="AC104" s="152">
        <f ca="1">INDIRECT("q102")</f>
        <v>0</v>
      </c>
      <c r="AD104" s="152">
        <f ca="1">INDIRECT("p102")</f>
        <v>-6</v>
      </c>
      <c r="AE104" s="30"/>
      <c r="AK104" s="7"/>
      <c r="AL104" s="156">
        <v>104</v>
      </c>
      <c r="AM104" s="49" t="s">
        <v>159</v>
      </c>
      <c r="AO104" s="201"/>
      <c r="AP104" s="202"/>
      <c r="AY104" s="50"/>
      <c r="BA104" s="32"/>
    </row>
    <row r="105" spans="1:69">
      <c r="A105" s="36"/>
      <c r="B105" s="224">
        <v>105</v>
      </c>
      <c r="C105" s="225" t="s">
        <v>160</v>
      </c>
      <c r="D105" s="34">
        <v>13</v>
      </c>
      <c r="E105" s="34">
        <v>7</v>
      </c>
      <c r="F105" s="35"/>
      <c r="G105" s="35"/>
      <c r="H105" s="34"/>
      <c r="I105" s="34"/>
      <c r="J105" s="35"/>
      <c r="K105" s="35"/>
      <c r="L105" s="34"/>
      <c r="M105" s="34"/>
      <c r="N105" s="35"/>
      <c r="O105" s="35"/>
      <c r="P105" s="36">
        <f t="shared" si="2"/>
        <v>6</v>
      </c>
      <c r="Q105" s="224">
        <f t="shared" si="3"/>
        <v>1</v>
      </c>
      <c r="Y105" s="30"/>
      <c r="Z105" s="33">
        <v>103</v>
      </c>
      <c r="AA105" s="157">
        <v>103</v>
      </c>
      <c r="AB105" s="151" t="str">
        <f ca="1">INDIRECT("C103")</f>
        <v>GERMAIN</v>
      </c>
      <c r="AC105" s="152">
        <f ca="1">INDIRECT("q103")</f>
        <v>0</v>
      </c>
      <c r="AD105" s="152">
        <f ca="1">INDIRECT("p103")</f>
        <v>-6</v>
      </c>
      <c r="AE105" s="30"/>
      <c r="AK105" s="7"/>
      <c r="AL105" s="156">
        <v>105</v>
      </c>
      <c r="AM105" s="49" t="s">
        <v>160</v>
      </c>
      <c r="AO105" s="201"/>
      <c r="AP105" s="202"/>
      <c r="AY105" s="50"/>
      <c r="BA105" s="32"/>
    </row>
    <row r="106" spans="1:69">
      <c r="A106" s="36"/>
      <c r="B106" s="136">
        <v>106</v>
      </c>
      <c r="C106" s="200" t="s">
        <v>161</v>
      </c>
      <c r="D106" s="34">
        <v>7</v>
      </c>
      <c r="E106" s="34">
        <v>13</v>
      </c>
      <c r="F106" s="35"/>
      <c r="G106" s="35"/>
      <c r="H106" s="34"/>
      <c r="I106" s="34"/>
      <c r="J106" s="35"/>
      <c r="K106" s="35"/>
      <c r="L106" s="34"/>
      <c r="M106" s="34"/>
      <c r="N106" s="35"/>
      <c r="O106" s="35"/>
      <c r="P106" s="36">
        <f t="shared" si="2"/>
        <v>-6</v>
      </c>
      <c r="Q106" s="136">
        <f t="shared" si="3"/>
        <v>0</v>
      </c>
      <c r="Y106" s="30"/>
      <c r="Z106" s="33">
        <v>104</v>
      </c>
      <c r="AA106" s="226">
        <v>104</v>
      </c>
      <c r="AB106" s="227" t="str">
        <f ca="1">INDIRECT("C104")</f>
        <v>RODRIGUE</v>
      </c>
      <c r="AC106" s="228">
        <f ca="1">INDIRECT("q104")</f>
        <v>1</v>
      </c>
      <c r="AD106" s="228">
        <f ca="1">INDIRECT("p104")</f>
        <v>6</v>
      </c>
      <c r="AE106" s="30"/>
      <c r="AK106" s="7"/>
      <c r="AL106" s="156">
        <v>106</v>
      </c>
      <c r="AM106" s="49" t="s">
        <v>161</v>
      </c>
      <c r="AO106" s="201"/>
      <c r="AP106" s="202"/>
      <c r="AY106" s="50"/>
      <c r="BA106" s="32"/>
    </row>
    <row r="107" spans="1:69">
      <c r="A107" s="36"/>
      <c r="B107" s="224">
        <v>107</v>
      </c>
      <c r="C107" s="225" t="s">
        <v>162</v>
      </c>
      <c r="D107" s="34">
        <v>13</v>
      </c>
      <c r="E107" s="34">
        <v>7</v>
      </c>
      <c r="F107" s="35"/>
      <c r="G107" s="35"/>
      <c r="H107" s="34"/>
      <c r="I107" s="34"/>
      <c r="J107" s="35"/>
      <c r="K107" s="35"/>
      <c r="L107" s="34"/>
      <c r="M107" s="34"/>
      <c r="N107" s="35"/>
      <c r="O107" s="35"/>
      <c r="P107" s="36">
        <f t="shared" si="2"/>
        <v>6</v>
      </c>
      <c r="Q107" s="224">
        <f t="shared" si="3"/>
        <v>1</v>
      </c>
      <c r="Y107" s="30"/>
      <c r="Z107" s="33">
        <v>105</v>
      </c>
      <c r="AA107" s="226">
        <v>105</v>
      </c>
      <c r="AB107" s="227" t="str">
        <f ca="1">INDIRECT("C105")</f>
        <v>CYRILL</v>
      </c>
      <c r="AC107" s="228">
        <f ca="1">INDIRECT("q105")</f>
        <v>1</v>
      </c>
      <c r="AD107" s="228">
        <f ca="1">INDIRECT("p105")</f>
        <v>6</v>
      </c>
      <c r="AE107" s="30"/>
      <c r="AK107" s="7"/>
      <c r="AL107" s="156">
        <v>107</v>
      </c>
      <c r="AM107" s="49" t="s">
        <v>162</v>
      </c>
      <c r="AO107" s="201"/>
      <c r="AP107" s="202"/>
      <c r="AY107" s="50"/>
      <c r="BA107" s="32"/>
    </row>
    <row r="108" spans="1:69">
      <c r="A108" s="36"/>
      <c r="B108" s="136">
        <v>108</v>
      </c>
      <c r="C108" s="200" t="s">
        <v>163</v>
      </c>
      <c r="D108" s="34">
        <v>7</v>
      </c>
      <c r="E108" s="34">
        <v>13</v>
      </c>
      <c r="F108" s="35"/>
      <c r="G108" s="35"/>
      <c r="H108" s="34"/>
      <c r="I108" s="34"/>
      <c r="J108" s="35"/>
      <c r="K108" s="35"/>
      <c r="L108" s="34"/>
      <c r="M108" s="34"/>
      <c r="N108" s="35"/>
      <c r="O108" s="35"/>
      <c r="P108" s="36">
        <f t="shared" si="2"/>
        <v>-6</v>
      </c>
      <c r="Q108" s="136">
        <f t="shared" si="3"/>
        <v>0</v>
      </c>
      <c r="Y108" s="30"/>
      <c r="Z108" s="33">
        <v>106</v>
      </c>
      <c r="AA108" s="157">
        <v>106</v>
      </c>
      <c r="AB108" s="151" t="str">
        <f ca="1">INDIRECT("C106")</f>
        <v>LOUISE</v>
      </c>
      <c r="AC108" s="152">
        <f ca="1">INDIRECT("q106")</f>
        <v>0</v>
      </c>
      <c r="AD108" s="152">
        <f ca="1">INDIRECT("p106")</f>
        <v>-6</v>
      </c>
      <c r="AE108" s="30"/>
      <c r="AK108" s="7"/>
      <c r="AL108" s="156">
        <v>108</v>
      </c>
      <c r="AM108" s="49" t="s">
        <v>163</v>
      </c>
      <c r="AO108" s="201"/>
      <c r="AP108" s="202"/>
      <c r="AY108" s="50"/>
      <c r="BA108" s="32"/>
    </row>
    <row r="109" spans="1:69">
      <c r="A109" s="36"/>
      <c r="B109" s="224">
        <v>109</v>
      </c>
      <c r="C109" s="225" t="s">
        <v>164</v>
      </c>
      <c r="D109" s="34">
        <v>13</v>
      </c>
      <c r="E109" s="34">
        <v>7</v>
      </c>
      <c r="F109" s="35"/>
      <c r="G109" s="35"/>
      <c r="H109" s="34"/>
      <c r="I109" s="34"/>
      <c r="J109" s="35"/>
      <c r="K109" s="35"/>
      <c r="L109" s="34"/>
      <c r="M109" s="34"/>
      <c r="N109" s="35"/>
      <c r="O109" s="35"/>
      <c r="P109" s="36">
        <f t="shared" si="2"/>
        <v>6</v>
      </c>
      <c r="Q109" s="224">
        <f t="shared" si="3"/>
        <v>1</v>
      </c>
      <c r="Y109" s="30"/>
      <c r="Z109" s="33">
        <v>107</v>
      </c>
      <c r="AA109" s="226">
        <v>107</v>
      </c>
      <c r="AB109" s="227" t="str">
        <f ca="1">INDIRECT("C107")</f>
        <v>GONTRAN</v>
      </c>
      <c r="AC109" s="228">
        <f ca="1">INDIRECT("q107")</f>
        <v>1</v>
      </c>
      <c r="AD109" s="228">
        <f ca="1">INDIRECT("p107")</f>
        <v>6</v>
      </c>
      <c r="AE109" s="30"/>
      <c r="AK109" s="7"/>
      <c r="AL109" s="156">
        <v>109</v>
      </c>
      <c r="AM109" s="49" t="s">
        <v>164</v>
      </c>
      <c r="AO109" s="201"/>
      <c r="AP109" s="202"/>
      <c r="AY109" s="50"/>
      <c r="BA109" s="32"/>
    </row>
    <row r="110" spans="1:69">
      <c r="A110" s="36"/>
      <c r="B110" s="224">
        <v>110</v>
      </c>
      <c r="C110" s="225" t="s">
        <v>165</v>
      </c>
      <c r="D110" s="34">
        <v>13</v>
      </c>
      <c r="E110" s="34">
        <v>7</v>
      </c>
      <c r="F110" s="35"/>
      <c r="G110" s="35"/>
      <c r="H110" s="34"/>
      <c r="I110" s="34"/>
      <c r="J110" s="35"/>
      <c r="K110" s="35"/>
      <c r="L110" s="34"/>
      <c r="M110" s="34"/>
      <c r="N110" s="35"/>
      <c r="O110" s="35"/>
      <c r="P110" s="36">
        <f t="shared" si="2"/>
        <v>6</v>
      </c>
      <c r="Q110" s="224">
        <f t="shared" si="3"/>
        <v>1</v>
      </c>
      <c r="Y110" s="30"/>
      <c r="Z110" s="33">
        <v>108</v>
      </c>
      <c r="AA110" s="157">
        <v>108</v>
      </c>
      <c r="AB110" s="151" t="str">
        <f ca="1">INDIRECT("C108")</f>
        <v>ISIDORE</v>
      </c>
      <c r="AC110" s="152">
        <f ca="1">INDIRECT("q108")</f>
        <v>0</v>
      </c>
      <c r="AD110" s="152">
        <f ca="1">INDIRECT("p108")</f>
        <v>-6</v>
      </c>
      <c r="AE110" s="30"/>
      <c r="AK110" s="7"/>
      <c r="AL110" s="156">
        <v>110</v>
      </c>
      <c r="AM110" s="49" t="s">
        <v>165</v>
      </c>
      <c r="AO110" s="201"/>
      <c r="AP110" s="202"/>
      <c r="AY110" s="50"/>
      <c r="BA110" s="32"/>
    </row>
    <row r="111" spans="1:69">
      <c r="A111" s="36"/>
      <c r="B111" s="224">
        <v>111</v>
      </c>
      <c r="C111" s="225" t="s">
        <v>166</v>
      </c>
      <c r="D111" s="34">
        <v>13</v>
      </c>
      <c r="E111" s="34">
        <v>7</v>
      </c>
      <c r="F111" s="35"/>
      <c r="G111" s="35"/>
      <c r="H111" s="34"/>
      <c r="I111" s="34"/>
      <c r="J111" s="35"/>
      <c r="K111" s="35"/>
      <c r="L111" s="34"/>
      <c r="M111" s="34"/>
      <c r="N111" s="35"/>
      <c r="O111" s="35"/>
      <c r="P111" s="36">
        <f t="shared" si="2"/>
        <v>6</v>
      </c>
      <c r="Q111" s="224">
        <f t="shared" si="3"/>
        <v>1</v>
      </c>
      <c r="Y111" s="30"/>
      <c r="Z111" s="33">
        <v>109</v>
      </c>
      <c r="AA111" s="226">
        <v>109</v>
      </c>
      <c r="AB111" s="227" t="str">
        <f ca="1">INDIRECT("C109")</f>
        <v>MARCELLIN</v>
      </c>
      <c r="AC111" s="228">
        <f ca="1">INDIRECT("q109")</f>
        <v>1</v>
      </c>
      <c r="AD111" s="228">
        <f ca="1">INDIRECT("p109")</f>
        <v>6</v>
      </c>
      <c r="AE111" s="30"/>
      <c r="AK111" s="7"/>
      <c r="AL111" s="156">
        <v>111</v>
      </c>
      <c r="AM111" s="49" t="s">
        <v>166</v>
      </c>
      <c r="AO111" s="201"/>
      <c r="AP111" s="202"/>
      <c r="AY111" s="50"/>
      <c r="BA111" s="32"/>
    </row>
    <row r="112" spans="1:69">
      <c r="A112" s="36"/>
      <c r="B112" s="136">
        <v>112</v>
      </c>
      <c r="C112" s="200" t="s">
        <v>167</v>
      </c>
      <c r="D112" s="34">
        <v>7</v>
      </c>
      <c r="E112" s="34">
        <v>13</v>
      </c>
      <c r="F112" s="35"/>
      <c r="G112" s="35"/>
      <c r="H112" s="34"/>
      <c r="I112" s="34"/>
      <c r="J112" s="35"/>
      <c r="K112" s="35"/>
      <c r="L112" s="34"/>
      <c r="M112" s="34"/>
      <c r="N112" s="35"/>
      <c r="O112" s="35"/>
      <c r="P112" s="36">
        <f t="shared" si="2"/>
        <v>-6</v>
      </c>
      <c r="Q112" s="136">
        <f t="shared" si="3"/>
        <v>0</v>
      </c>
      <c r="Y112" s="30"/>
      <c r="Z112" s="48">
        <v>110</v>
      </c>
      <c r="AA112" s="226">
        <v>110</v>
      </c>
      <c r="AB112" s="227" t="str">
        <f ca="1">INDIRECT("C110")</f>
        <v>ANICET</v>
      </c>
      <c r="AC112" s="228">
        <f ca="1">INDIRECT("q110")</f>
        <v>1</v>
      </c>
      <c r="AD112" s="228">
        <f ca="1">INDIRECT("p110")</f>
        <v>6</v>
      </c>
      <c r="AE112" s="30"/>
      <c r="AK112" s="7"/>
      <c r="AL112" s="156">
        <v>112</v>
      </c>
      <c r="AM112" s="49" t="s">
        <v>167</v>
      </c>
      <c r="AO112" s="201"/>
      <c r="AP112" s="202"/>
      <c r="AY112" s="50"/>
      <c r="BA112" s="32"/>
    </row>
    <row r="113" spans="1:53">
      <c r="A113" s="36"/>
      <c r="B113" s="224">
        <v>113</v>
      </c>
      <c r="C113" s="225" t="s">
        <v>168</v>
      </c>
      <c r="D113" s="34">
        <v>13</v>
      </c>
      <c r="E113" s="34">
        <v>7</v>
      </c>
      <c r="F113" s="35"/>
      <c r="G113" s="35"/>
      <c r="H113" s="34"/>
      <c r="I113" s="34"/>
      <c r="J113" s="35"/>
      <c r="K113" s="35"/>
      <c r="L113" s="34"/>
      <c r="M113" s="34"/>
      <c r="N113" s="35"/>
      <c r="O113" s="35"/>
      <c r="P113" s="36">
        <f t="shared" si="2"/>
        <v>6</v>
      </c>
      <c r="Q113" s="224">
        <f t="shared" si="3"/>
        <v>1</v>
      </c>
      <c r="Y113" s="30"/>
      <c r="Z113" s="48">
        <v>111</v>
      </c>
      <c r="AA113" s="231">
        <v>111</v>
      </c>
      <c r="AB113" s="227" t="str">
        <f ca="1">INDIRECT("C111")</f>
        <v>SOLANGE</v>
      </c>
      <c r="AC113" s="228">
        <f ca="1">INDIRECT("q111")</f>
        <v>1</v>
      </c>
      <c r="AD113" s="228">
        <f ca="1">INDIRECT("p111")</f>
        <v>6</v>
      </c>
      <c r="AE113" s="30"/>
      <c r="AK113" s="7"/>
      <c r="AL113" s="156">
        <v>113</v>
      </c>
      <c r="AM113" s="49" t="s">
        <v>168</v>
      </c>
      <c r="AO113" s="201"/>
      <c r="AP113" s="202"/>
      <c r="AY113" s="50"/>
      <c r="BA113" s="32"/>
    </row>
    <row r="114" spans="1:53">
      <c r="A114" s="36"/>
      <c r="B114" s="224">
        <v>114</v>
      </c>
      <c r="C114" s="225" t="s">
        <v>169</v>
      </c>
      <c r="D114" s="34">
        <v>13</v>
      </c>
      <c r="E114" s="34">
        <v>7</v>
      </c>
      <c r="F114" s="35"/>
      <c r="G114" s="35"/>
      <c r="H114" s="34"/>
      <c r="I114" s="34"/>
      <c r="J114" s="35"/>
      <c r="K114" s="35"/>
      <c r="L114" s="34"/>
      <c r="M114" s="34"/>
      <c r="N114" s="35"/>
      <c r="O114" s="35"/>
      <c r="P114" s="36">
        <f t="shared" si="2"/>
        <v>6</v>
      </c>
      <c r="Q114" s="224">
        <f t="shared" si="3"/>
        <v>1</v>
      </c>
      <c r="Y114" s="30"/>
      <c r="Z114" s="48">
        <v>112</v>
      </c>
      <c r="AA114" s="48">
        <v>112</v>
      </c>
      <c r="AB114" s="151" t="str">
        <f ca="1">INDIRECT("C112")</f>
        <v>AYMAR</v>
      </c>
      <c r="AC114" s="152">
        <f ca="1">INDIRECT("q112")</f>
        <v>0</v>
      </c>
      <c r="AD114" s="152">
        <f ca="1">INDIRECT("p112")</f>
        <v>-6</v>
      </c>
      <c r="AE114" s="30"/>
      <c r="AK114" s="7"/>
      <c r="AL114" s="156">
        <v>114</v>
      </c>
      <c r="AM114" s="49" t="s">
        <v>169</v>
      </c>
      <c r="AO114" s="201"/>
      <c r="AP114" s="202"/>
      <c r="AY114" s="50"/>
      <c r="BA114" s="32"/>
    </row>
    <row r="115" spans="1:53">
      <c r="A115" s="36"/>
      <c r="B115" s="224">
        <v>115</v>
      </c>
      <c r="C115" s="225" t="s">
        <v>170</v>
      </c>
      <c r="D115" s="51">
        <v>13</v>
      </c>
      <c r="E115" s="34">
        <v>7</v>
      </c>
      <c r="F115" s="35"/>
      <c r="G115" s="35"/>
      <c r="H115" s="34"/>
      <c r="I115" s="34"/>
      <c r="J115" s="35"/>
      <c r="K115" s="35"/>
      <c r="L115" s="34"/>
      <c r="M115" s="34"/>
      <c r="N115" s="35"/>
      <c r="O115" s="35"/>
      <c r="P115" s="36">
        <f t="shared" si="2"/>
        <v>6</v>
      </c>
      <c r="Q115" s="224">
        <f t="shared" si="3"/>
        <v>1</v>
      </c>
      <c r="Y115" s="30"/>
      <c r="Z115" s="48">
        <v>113</v>
      </c>
      <c r="AA115" s="231">
        <v>113</v>
      </c>
      <c r="AB115" s="227" t="str">
        <f ca="1">INDIRECT("C113")</f>
        <v>NORBERT</v>
      </c>
      <c r="AC115" s="228">
        <f ca="1">INDIRECT("q113")</f>
        <v>1</v>
      </c>
      <c r="AD115" s="228">
        <f ca="1">INDIRECT("p113")</f>
        <v>6</v>
      </c>
      <c r="AE115" s="30"/>
      <c r="AK115" s="7"/>
      <c r="AL115" s="156">
        <v>115</v>
      </c>
      <c r="AM115" s="49" t="s">
        <v>170</v>
      </c>
      <c r="AO115" s="201"/>
      <c r="AP115" s="202"/>
      <c r="AY115" s="50"/>
      <c r="BA115" s="32"/>
    </row>
    <row r="116" spans="1:53">
      <c r="A116" s="36"/>
      <c r="B116" s="136">
        <v>116</v>
      </c>
      <c r="C116" s="200" t="s">
        <v>171</v>
      </c>
      <c r="D116" s="51">
        <v>7</v>
      </c>
      <c r="E116" s="34">
        <v>13</v>
      </c>
      <c r="F116" s="35"/>
      <c r="G116" s="35"/>
      <c r="H116" s="34"/>
      <c r="I116" s="34"/>
      <c r="J116" s="35"/>
      <c r="K116" s="35"/>
      <c r="L116" s="34"/>
      <c r="M116" s="34"/>
      <c r="N116" s="35"/>
      <c r="O116" s="35"/>
      <c r="P116" s="36">
        <f t="shared" si="2"/>
        <v>-6</v>
      </c>
      <c r="Q116" s="136">
        <f t="shared" si="3"/>
        <v>0</v>
      </c>
      <c r="Y116" s="30"/>
      <c r="Z116" s="48">
        <v>114</v>
      </c>
      <c r="AA116" s="231">
        <v>114</v>
      </c>
      <c r="AB116" s="227" t="str">
        <f ca="1">INDIRECT("C114")</f>
        <v>BARNABE</v>
      </c>
      <c r="AC116" s="228">
        <f ca="1">INDIRECT("q114")</f>
        <v>1</v>
      </c>
      <c r="AD116" s="228">
        <f ca="1">INDIRECT("p114")</f>
        <v>6</v>
      </c>
      <c r="AE116" s="30"/>
      <c r="AK116" s="7"/>
      <c r="AL116" s="156">
        <v>116</v>
      </c>
      <c r="AM116" s="49" t="s">
        <v>171</v>
      </c>
      <c r="AO116" s="201"/>
      <c r="AP116" s="202"/>
      <c r="AY116" s="50"/>
      <c r="BA116" s="32"/>
    </row>
    <row r="117" spans="1:53">
      <c r="A117" s="36"/>
      <c r="B117" s="136">
        <v>117</v>
      </c>
      <c r="C117" s="200" t="s">
        <v>172</v>
      </c>
      <c r="D117" s="51">
        <v>7</v>
      </c>
      <c r="E117" s="34">
        <v>13</v>
      </c>
      <c r="F117" s="35"/>
      <c r="G117" s="35"/>
      <c r="H117" s="34"/>
      <c r="I117" s="34"/>
      <c r="J117" s="35"/>
      <c r="K117" s="35"/>
      <c r="L117" s="34"/>
      <c r="M117" s="34"/>
      <c r="N117" s="35"/>
      <c r="O117" s="35"/>
      <c r="P117" s="36">
        <f t="shared" si="2"/>
        <v>-6</v>
      </c>
      <c r="Q117" s="136">
        <f t="shared" si="3"/>
        <v>0</v>
      </c>
      <c r="Y117" s="30"/>
      <c r="Z117" s="48">
        <v>115</v>
      </c>
      <c r="AA117" s="231">
        <v>115</v>
      </c>
      <c r="AB117" s="227" t="str">
        <f ca="1">INDIRECT("C115")</f>
        <v>LEON</v>
      </c>
      <c r="AC117" s="228">
        <f ca="1">INDIRECT("q115")</f>
        <v>1</v>
      </c>
      <c r="AD117" s="228">
        <f ca="1">INDIRECT("p115")</f>
        <v>6</v>
      </c>
      <c r="AE117" s="30"/>
      <c r="AK117" s="7"/>
      <c r="AL117" s="156">
        <v>117</v>
      </c>
      <c r="AM117" s="49" t="s">
        <v>172</v>
      </c>
      <c r="AO117" s="201"/>
      <c r="AP117" s="202"/>
      <c r="AY117" s="50"/>
      <c r="BA117" s="32"/>
    </row>
    <row r="118" spans="1:53">
      <c r="A118" s="36"/>
      <c r="B118" s="136">
        <v>118</v>
      </c>
      <c r="C118" s="200" t="s">
        <v>173</v>
      </c>
      <c r="D118" s="51">
        <v>7</v>
      </c>
      <c r="E118" s="34">
        <v>13</v>
      </c>
      <c r="F118" s="35"/>
      <c r="G118" s="35"/>
      <c r="H118" s="34"/>
      <c r="I118" s="34"/>
      <c r="J118" s="35"/>
      <c r="K118" s="35"/>
      <c r="L118" s="34"/>
      <c r="M118" s="34"/>
      <c r="N118" s="35"/>
      <c r="O118" s="35"/>
      <c r="P118" s="36">
        <f t="shared" si="2"/>
        <v>-6</v>
      </c>
      <c r="Q118" s="136">
        <f t="shared" si="3"/>
        <v>0</v>
      </c>
      <c r="Y118" s="30"/>
      <c r="Z118" s="48">
        <v>116</v>
      </c>
      <c r="AA118" s="48">
        <v>116</v>
      </c>
      <c r="AB118" s="151" t="str">
        <f ca="1">INDIRECT("C116")</f>
        <v>ALBAN</v>
      </c>
      <c r="AC118" s="152">
        <f ca="1">INDIRECT("q116")</f>
        <v>0</v>
      </c>
      <c r="AD118" s="152">
        <f ca="1">INDIRECT("p116")</f>
        <v>-6</v>
      </c>
      <c r="AE118" s="30"/>
      <c r="AK118" s="7"/>
      <c r="AL118" s="156">
        <v>118</v>
      </c>
      <c r="AM118" s="49" t="s">
        <v>173</v>
      </c>
      <c r="AO118" s="201"/>
      <c r="AP118" s="202"/>
      <c r="AY118" s="50"/>
      <c r="BA118" s="32"/>
    </row>
    <row r="119" spans="1:53">
      <c r="A119" s="36"/>
      <c r="B119" s="136">
        <v>119</v>
      </c>
      <c r="C119" s="200" t="s">
        <v>174</v>
      </c>
      <c r="D119" s="51"/>
      <c r="E119" s="34"/>
      <c r="F119" s="35"/>
      <c r="G119" s="35"/>
      <c r="H119" s="34"/>
      <c r="I119" s="34"/>
      <c r="J119" s="35"/>
      <c r="K119" s="35"/>
      <c r="L119" s="34"/>
      <c r="M119" s="34"/>
      <c r="N119" s="35"/>
      <c r="O119" s="35"/>
      <c r="P119" s="36">
        <f t="shared" si="2"/>
        <v>0</v>
      </c>
      <c r="Q119" s="136">
        <f t="shared" si="3"/>
        <v>0</v>
      </c>
      <c r="Y119" s="30"/>
      <c r="Z119" s="48">
        <v>117</v>
      </c>
      <c r="AA119" s="48">
        <v>117</v>
      </c>
      <c r="AB119" s="151" t="str">
        <f ca="1">INDIRECT("C117")</f>
        <v>PROSPER</v>
      </c>
      <c r="AC119" s="152">
        <f ca="1">INDIRECT("q117")</f>
        <v>0</v>
      </c>
      <c r="AD119" s="152">
        <f ca="1">INDIRECT("p117")</f>
        <v>-6</v>
      </c>
      <c r="AE119" s="30"/>
      <c r="AK119" s="7"/>
      <c r="AO119" s="201"/>
      <c r="AP119" s="202"/>
      <c r="AY119" s="50"/>
      <c r="BA119" s="32"/>
    </row>
    <row r="120" spans="1:53">
      <c r="A120" s="36"/>
      <c r="B120" s="136">
        <v>120</v>
      </c>
      <c r="C120" s="200" t="s">
        <v>175</v>
      </c>
      <c r="D120" s="51"/>
      <c r="E120" s="34"/>
      <c r="F120" s="35"/>
      <c r="G120" s="35"/>
      <c r="H120" s="34"/>
      <c r="I120" s="34"/>
      <c r="J120" s="35"/>
      <c r="K120" s="35"/>
      <c r="L120" s="34"/>
      <c r="M120" s="34"/>
      <c r="N120" s="35"/>
      <c r="O120" s="35"/>
      <c r="P120" s="36">
        <f t="shared" si="2"/>
        <v>0</v>
      </c>
      <c r="Q120" s="136">
        <f t="shared" si="3"/>
        <v>0</v>
      </c>
      <c r="Y120" s="30"/>
      <c r="Z120" s="48">
        <v>118</v>
      </c>
      <c r="AA120" s="48">
        <v>118</v>
      </c>
      <c r="AB120" s="151" t="str">
        <f ca="1">INDIRECT("C118")</f>
        <v>FERNAND</v>
      </c>
      <c r="AC120" s="152">
        <f ca="1">INDIRECT("q118")</f>
        <v>0</v>
      </c>
      <c r="AD120" s="152">
        <f ca="1">INDIRECT("p118")</f>
        <v>-6</v>
      </c>
      <c r="AE120" s="30"/>
      <c r="AK120" s="7"/>
      <c r="AO120" s="201"/>
      <c r="AP120" s="202"/>
      <c r="AY120" s="50"/>
      <c r="BA120" s="32"/>
    </row>
    <row r="121" spans="1:53">
      <c r="A121" s="36"/>
      <c r="B121" s="136">
        <v>121</v>
      </c>
      <c r="C121" s="200" t="s">
        <v>63</v>
      </c>
      <c r="D121" s="51"/>
      <c r="E121" s="34"/>
      <c r="F121" s="35"/>
      <c r="G121" s="35"/>
      <c r="H121" s="34"/>
      <c r="I121" s="34"/>
      <c r="J121" s="35"/>
      <c r="K121" s="35"/>
      <c r="L121" s="34"/>
      <c r="M121" s="34"/>
      <c r="N121" s="35"/>
      <c r="O121" s="35"/>
      <c r="P121" s="36">
        <f t="shared" si="2"/>
        <v>0</v>
      </c>
      <c r="Q121" s="136">
        <f t="shared" si="3"/>
        <v>0</v>
      </c>
      <c r="Y121" s="30"/>
      <c r="Z121" s="48">
        <v>119</v>
      </c>
      <c r="AA121" s="48">
        <v>119</v>
      </c>
      <c r="AB121" s="151" t="str">
        <f ca="1">INDIRECT("C119")</f>
        <v>MARTINIEN</v>
      </c>
      <c r="AC121" s="152">
        <f ca="1">INDIRECT("q119")</f>
        <v>0</v>
      </c>
      <c r="AD121" s="152">
        <f ca="1">INDIRECT("p119")</f>
        <v>0</v>
      </c>
      <c r="AE121" s="30"/>
      <c r="AK121" s="7"/>
      <c r="AO121" s="201"/>
      <c r="AP121" s="202"/>
      <c r="AY121" s="50"/>
      <c r="BA121" s="32"/>
    </row>
    <row r="122" spans="1:53">
      <c r="A122" s="36"/>
      <c r="B122" s="136">
        <v>122</v>
      </c>
      <c r="C122" s="200" t="s">
        <v>72</v>
      </c>
      <c r="D122" s="51"/>
      <c r="E122" s="34"/>
      <c r="F122" s="35"/>
      <c r="G122" s="35"/>
      <c r="H122" s="34"/>
      <c r="I122" s="34"/>
      <c r="J122" s="35"/>
      <c r="K122" s="35"/>
      <c r="L122" s="34"/>
      <c r="M122" s="34"/>
      <c r="N122" s="35"/>
      <c r="O122" s="35"/>
      <c r="P122" s="36">
        <f t="shared" si="2"/>
        <v>0</v>
      </c>
      <c r="Q122" s="136">
        <f t="shared" si="3"/>
        <v>0</v>
      </c>
      <c r="Y122" s="30"/>
      <c r="Z122" s="48">
        <v>120</v>
      </c>
      <c r="AA122" s="48">
        <v>120</v>
      </c>
      <c r="AB122" s="151" t="str">
        <f ca="1">INDIRECT("C120")</f>
        <v>ELOI</v>
      </c>
      <c r="AC122" s="152">
        <f ca="1">INDIRECT("q120")</f>
        <v>0</v>
      </c>
      <c r="AD122" s="152">
        <f ca="1">INDIRECT("p120")</f>
        <v>0</v>
      </c>
      <c r="AE122" s="30"/>
      <c r="AK122" s="7"/>
      <c r="AO122" s="201"/>
      <c r="AP122" s="202"/>
      <c r="AY122" s="50"/>
      <c r="BA122" s="32"/>
    </row>
    <row r="123" spans="1:53">
      <c r="A123" s="36"/>
      <c r="B123" s="136">
        <v>123</v>
      </c>
      <c r="C123" s="200" t="s">
        <v>176</v>
      </c>
      <c r="D123" s="51"/>
      <c r="E123" s="34"/>
      <c r="F123" s="35"/>
      <c r="G123" s="35"/>
      <c r="H123" s="34"/>
      <c r="I123" s="34"/>
      <c r="J123" s="35"/>
      <c r="K123" s="35"/>
      <c r="L123" s="34"/>
      <c r="M123" s="34"/>
      <c r="N123" s="35"/>
      <c r="O123" s="35"/>
      <c r="P123" s="36">
        <f t="shared" si="2"/>
        <v>0</v>
      </c>
      <c r="Q123" s="136">
        <f t="shared" si="3"/>
        <v>0</v>
      </c>
      <c r="Y123" s="30"/>
      <c r="Z123" s="48">
        <v>121</v>
      </c>
      <c r="AA123" s="48">
        <v>121</v>
      </c>
      <c r="AB123" s="151" t="str">
        <f ca="1">INDIRECT("C121")</f>
        <v>PETER</v>
      </c>
      <c r="AC123" s="152">
        <f ca="1">INDIRECT("q121")</f>
        <v>0</v>
      </c>
      <c r="AD123" s="152">
        <f ca="1">INDIRECT("p121")</f>
        <v>0</v>
      </c>
      <c r="AE123" s="30"/>
      <c r="AK123" s="7"/>
      <c r="AO123" s="201"/>
      <c r="AP123" s="202"/>
      <c r="AY123" s="50"/>
      <c r="BA123" s="32"/>
    </row>
    <row r="124" spans="1:53">
      <c r="A124" s="36"/>
      <c r="B124" s="136">
        <v>124</v>
      </c>
      <c r="C124" s="200" t="s">
        <v>177</v>
      </c>
      <c r="D124" s="51"/>
      <c r="E124" s="34"/>
      <c r="F124" s="35"/>
      <c r="G124" s="35"/>
      <c r="H124" s="34"/>
      <c r="I124" s="34"/>
      <c r="J124" s="35"/>
      <c r="K124" s="35"/>
      <c r="L124" s="34"/>
      <c r="M124" s="34"/>
      <c r="N124" s="35"/>
      <c r="O124" s="35"/>
      <c r="P124" s="36">
        <f t="shared" si="2"/>
        <v>0</v>
      </c>
      <c r="Q124" s="136">
        <f t="shared" si="3"/>
        <v>0</v>
      </c>
      <c r="Y124" s="30"/>
      <c r="Z124" s="48">
        <v>122</v>
      </c>
      <c r="AA124" s="48">
        <v>122</v>
      </c>
      <c r="AB124" s="151" t="str">
        <f ca="1">INDIRECT("C122")</f>
        <v>JOHN</v>
      </c>
      <c r="AC124" s="152">
        <f ca="1">INDIRECT("q122")</f>
        <v>0</v>
      </c>
      <c r="AD124" s="152">
        <f ca="1">INDIRECT("p122")</f>
        <v>0</v>
      </c>
      <c r="AE124" s="30"/>
      <c r="AK124" s="7"/>
      <c r="AO124" s="201"/>
      <c r="AP124" s="202"/>
      <c r="AY124" s="50"/>
      <c r="BA124" s="32"/>
    </row>
    <row r="125" spans="1:53">
      <c r="A125" s="36"/>
      <c r="B125" s="136">
        <v>125</v>
      </c>
      <c r="C125" s="200" t="s">
        <v>178</v>
      </c>
      <c r="D125" s="51"/>
      <c r="E125" s="34"/>
      <c r="F125" s="35"/>
      <c r="G125" s="35"/>
      <c r="H125" s="34"/>
      <c r="I125" s="34"/>
      <c r="J125" s="35"/>
      <c r="K125" s="35"/>
      <c r="L125" s="34"/>
      <c r="M125" s="34"/>
      <c r="N125" s="35"/>
      <c r="O125" s="35"/>
      <c r="P125" s="36">
        <f t="shared" si="2"/>
        <v>0</v>
      </c>
      <c r="Q125" s="136">
        <f t="shared" si="3"/>
        <v>0</v>
      </c>
      <c r="Y125" s="30"/>
      <c r="Z125" s="48">
        <v>123</v>
      </c>
      <c r="AA125" s="48">
        <v>123</v>
      </c>
      <c r="AB125" s="151" t="str">
        <f ca="1">INDIRECT("C123")</f>
        <v>AIME</v>
      </c>
      <c r="AC125" s="152">
        <f ca="1">INDIRECT("q123")</f>
        <v>0</v>
      </c>
      <c r="AD125" s="152">
        <f ca="1">INDIRECT("p123")</f>
        <v>0</v>
      </c>
      <c r="AE125" s="30"/>
      <c r="AK125" s="7"/>
      <c r="AO125" s="201"/>
      <c r="AP125" s="202"/>
      <c r="AY125" s="50"/>
      <c r="BA125" s="32"/>
    </row>
    <row r="126" spans="1:53">
      <c r="A126" s="36"/>
      <c r="B126" s="136">
        <v>126</v>
      </c>
      <c r="C126" s="200" t="s">
        <v>179</v>
      </c>
      <c r="D126" s="51"/>
      <c r="E126" s="34"/>
      <c r="F126" s="35"/>
      <c r="G126" s="35"/>
      <c r="H126" s="34"/>
      <c r="I126" s="34"/>
      <c r="J126" s="35"/>
      <c r="K126" s="35"/>
      <c r="L126" s="34"/>
      <c r="M126" s="34"/>
      <c r="N126" s="35"/>
      <c r="O126" s="35"/>
      <c r="P126" s="36">
        <f t="shared" si="2"/>
        <v>0</v>
      </c>
      <c r="Q126" s="136">
        <f t="shared" si="3"/>
        <v>0</v>
      </c>
      <c r="Y126" s="30"/>
      <c r="Z126" s="48">
        <v>124</v>
      </c>
      <c r="AA126" s="48">
        <v>124</v>
      </c>
      <c r="AB126" s="151" t="str">
        <f ca="1">INDIRECT("C124")</f>
        <v>GINET</v>
      </c>
      <c r="AC126" s="152">
        <f ca="1">INDIRECT("q124")</f>
        <v>0</v>
      </c>
      <c r="AD126" s="152">
        <f ca="1">INDIRECT("p124")</f>
        <v>0</v>
      </c>
      <c r="AE126" s="30"/>
      <c r="AK126" s="7"/>
      <c r="AO126" s="201"/>
      <c r="AP126" s="202"/>
      <c r="AY126" s="50"/>
      <c r="BA126" s="32"/>
    </row>
    <row r="127" spans="1:53">
      <c r="A127" s="36"/>
      <c r="B127" s="136">
        <v>127</v>
      </c>
      <c r="C127" s="200" t="s">
        <v>180</v>
      </c>
      <c r="D127" s="51"/>
      <c r="E127" s="34"/>
      <c r="F127" s="35"/>
      <c r="G127" s="35"/>
      <c r="H127" s="34"/>
      <c r="I127" s="34"/>
      <c r="J127" s="35"/>
      <c r="K127" s="35"/>
      <c r="L127" s="34"/>
      <c r="M127" s="34"/>
      <c r="N127" s="35"/>
      <c r="O127" s="35"/>
      <c r="P127" s="36">
        <f t="shared" si="2"/>
        <v>0</v>
      </c>
      <c r="Q127" s="136">
        <f t="shared" si="3"/>
        <v>0</v>
      </c>
      <c r="Y127" s="30"/>
      <c r="Z127" s="48">
        <v>125</v>
      </c>
      <c r="AA127" s="48">
        <v>125</v>
      </c>
      <c r="AB127" s="151" t="str">
        <f ca="1">INDIRECT("C125")</f>
        <v>JEAN JACQUES</v>
      </c>
      <c r="AC127" s="152">
        <f ca="1">INDIRECT("q125")</f>
        <v>0</v>
      </c>
      <c r="AD127" s="152">
        <f ca="1">INDIRECT("p125")</f>
        <v>0</v>
      </c>
      <c r="AE127" s="30"/>
      <c r="AK127" s="7"/>
      <c r="AO127" s="201"/>
      <c r="AP127" s="202"/>
      <c r="AY127" s="50"/>
      <c r="BA127" s="32"/>
    </row>
    <row r="128" spans="1:53">
      <c r="A128" s="36"/>
      <c r="B128" s="136">
        <v>128</v>
      </c>
      <c r="C128" s="200" t="s">
        <v>181</v>
      </c>
      <c r="D128" s="51"/>
      <c r="E128" s="34"/>
      <c r="F128" s="35"/>
      <c r="G128" s="35"/>
      <c r="H128" s="34"/>
      <c r="I128" s="34"/>
      <c r="J128" s="35"/>
      <c r="K128" s="35"/>
      <c r="L128" s="34"/>
      <c r="M128" s="34"/>
      <c r="N128" s="35"/>
      <c r="O128" s="35"/>
      <c r="P128" s="36">
        <f t="shared" si="2"/>
        <v>0</v>
      </c>
      <c r="Q128" s="136">
        <f t="shared" si="3"/>
        <v>0</v>
      </c>
      <c r="Y128" s="30"/>
      <c r="Z128" s="48">
        <v>126</v>
      </c>
      <c r="AA128" s="48">
        <v>126</v>
      </c>
      <c r="AB128" s="151" t="str">
        <f ca="1">INDIRECT("C126")</f>
        <v>ROBERT</v>
      </c>
      <c r="AC128" s="152">
        <f ca="1">INDIRECT("q126")</f>
        <v>0</v>
      </c>
      <c r="AD128" s="152">
        <f ca="1">INDIRECT("p126")</f>
        <v>0</v>
      </c>
      <c r="AE128" s="30"/>
      <c r="AK128" s="7"/>
      <c r="AO128" s="201"/>
      <c r="AP128" s="202"/>
      <c r="AY128" s="50"/>
      <c r="BA128" s="32"/>
    </row>
    <row r="129" spans="1:53">
      <c r="A129" s="36"/>
      <c r="B129" s="36"/>
      <c r="C129" s="195"/>
      <c r="D129" s="210">
        <f t="shared" ref="D129:O129" si="4">COUNTIF((D1:D128),13)</f>
        <v>59</v>
      </c>
      <c r="E129" s="210">
        <f t="shared" si="4"/>
        <v>59</v>
      </c>
      <c r="F129" s="210">
        <f t="shared" si="4"/>
        <v>0</v>
      </c>
      <c r="G129" s="210">
        <f t="shared" si="4"/>
        <v>0</v>
      </c>
      <c r="H129" s="211">
        <f>COUNTIF((H1:H128),13)</f>
        <v>0</v>
      </c>
      <c r="I129" s="189">
        <f t="shared" si="4"/>
        <v>0</v>
      </c>
      <c r="J129" s="189">
        <f t="shared" si="4"/>
        <v>0</v>
      </c>
      <c r="K129" s="189">
        <f t="shared" si="4"/>
        <v>0</v>
      </c>
      <c r="L129" s="189">
        <f t="shared" si="4"/>
        <v>0</v>
      </c>
      <c r="M129" s="189">
        <f t="shared" si="4"/>
        <v>0</v>
      </c>
      <c r="N129" s="189">
        <f t="shared" si="4"/>
        <v>0</v>
      </c>
      <c r="O129" s="189">
        <f t="shared" si="4"/>
        <v>0</v>
      </c>
      <c r="P129" s="189"/>
      <c r="Q129" s="189"/>
      <c r="Y129" s="30"/>
      <c r="Z129" s="48">
        <v>127</v>
      </c>
      <c r="AA129" s="48">
        <v>127</v>
      </c>
      <c r="AB129" s="151" t="str">
        <f ca="1">INDIRECT("C127")</f>
        <v>MICHEL</v>
      </c>
      <c r="AC129" s="152">
        <f ca="1">INDIRECT("q127")</f>
        <v>0</v>
      </c>
      <c r="AD129" s="152">
        <f ca="1">INDIRECT("p127")</f>
        <v>0</v>
      </c>
      <c r="AE129" s="30"/>
      <c r="AP129" s="203"/>
      <c r="AY129" s="50"/>
      <c r="BA129" s="32"/>
    </row>
    <row r="130" spans="1:53">
      <c r="A130" s="36"/>
      <c r="B130" s="36"/>
      <c r="C130" s="196"/>
      <c r="D130" s="210">
        <f>D129+E129</f>
        <v>118</v>
      </c>
      <c r="E130" s="210"/>
      <c r="F130" s="210">
        <f>F129+G129</f>
        <v>0</v>
      </c>
      <c r="G130" s="210"/>
      <c r="H130" s="210">
        <f>H129+I129</f>
        <v>0</v>
      </c>
      <c r="I130" s="189"/>
      <c r="J130" s="189">
        <f>J129+K129</f>
        <v>0</v>
      </c>
      <c r="K130" s="189"/>
      <c r="L130" s="189">
        <f>L129+M129</f>
        <v>0</v>
      </c>
      <c r="M130" s="189"/>
      <c r="N130" s="189">
        <f>N129+O129</f>
        <v>0</v>
      </c>
      <c r="O130" s="189"/>
      <c r="P130" s="189">
        <f>SUM(P1:P128)</f>
        <v>0</v>
      </c>
      <c r="Q130" s="189"/>
      <c r="Y130" s="30"/>
      <c r="Z130" s="48">
        <v>128</v>
      </c>
      <c r="AA130" s="48">
        <v>128</v>
      </c>
      <c r="AB130" s="151" t="str">
        <f ca="1">INDIRECT("C128")</f>
        <v>HENRI</v>
      </c>
      <c r="AC130" s="152">
        <f ca="1">INDIRECT("q128")</f>
        <v>0</v>
      </c>
      <c r="AD130" s="152">
        <f ca="1">INDIRECT("p128")</f>
        <v>0</v>
      </c>
      <c r="AE130" s="30"/>
      <c r="AY130" s="50"/>
      <c r="BA130" s="32"/>
    </row>
    <row r="131" spans="1:53">
      <c r="A131" s="36"/>
      <c r="B131" s="36"/>
      <c r="C131" s="196"/>
      <c r="D131" s="210">
        <f>COUNTIF((D1:D128),11)</f>
        <v>0</v>
      </c>
      <c r="E131" s="210">
        <f t="shared" ref="E131:O131" si="5">COUNTIF((E1:E128),11)</f>
        <v>0</v>
      </c>
      <c r="F131" s="210">
        <f t="shared" si="5"/>
        <v>0</v>
      </c>
      <c r="G131" s="210">
        <f t="shared" si="5"/>
        <v>0</v>
      </c>
      <c r="H131" s="210">
        <f t="shared" si="5"/>
        <v>0</v>
      </c>
      <c r="I131" s="189">
        <f t="shared" si="5"/>
        <v>0</v>
      </c>
      <c r="J131" s="189">
        <f t="shared" si="5"/>
        <v>0</v>
      </c>
      <c r="K131" s="189">
        <f t="shared" si="5"/>
        <v>0</v>
      </c>
      <c r="L131" s="189">
        <f t="shared" si="5"/>
        <v>0</v>
      </c>
      <c r="M131" s="189">
        <f t="shared" si="5"/>
        <v>0</v>
      </c>
      <c r="N131" s="189">
        <f t="shared" si="5"/>
        <v>0</v>
      </c>
      <c r="O131" s="189">
        <f t="shared" si="5"/>
        <v>0</v>
      </c>
      <c r="P131" s="189"/>
      <c r="Q131" s="189"/>
      <c r="AA131" s="48"/>
      <c r="AB131" s="151"/>
      <c r="AC131" s="151"/>
      <c r="AD131" s="151"/>
      <c r="AY131" s="50"/>
      <c r="BA131" s="32"/>
    </row>
    <row r="132" spans="1:53">
      <c r="A132" s="36"/>
      <c r="B132" s="36"/>
      <c r="C132" s="196"/>
      <c r="D132" s="210">
        <f>COUNTIF((D1:D128),10)</f>
        <v>0</v>
      </c>
      <c r="E132" s="210">
        <f t="shared" ref="E132:O132" si="6">COUNTIF((E1:E128),10)</f>
        <v>0</v>
      </c>
      <c r="F132" s="210">
        <f t="shared" si="6"/>
        <v>0</v>
      </c>
      <c r="G132" s="210">
        <f t="shared" si="6"/>
        <v>0</v>
      </c>
      <c r="H132" s="210">
        <f t="shared" si="6"/>
        <v>0</v>
      </c>
      <c r="I132" s="189">
        <f t="shared" si="6"/>
        <v>0</v>
      </c>
      <c r="J132" s="189">
        <f t="shared" si="6"/>
        <v>0</v>
      </c>
      <c r="K132" s="189">
        <f t="shared" si="6"/>
        <v>0</v>
      </c>
      <c r="L132" s="189">
        <f t="shared" si="6"/>
        <v>0</v>
      </c>
      <c r="M132" s="189">
        <f t="shared" si="6"/>
        <v>0</v>
      </c>
      <c r="N132" s="189">
        <f t="shared" si="6"/>
        <v>0</v>
      </c>
      <c r="O132" s="189">
        <f t="shared" si="6"/>
        <v>0</v>
      </c>
      <c r="P132" s="189"/>
      <c r="Q132" s="189"/>
      <c r="AA132" s="48"/>
      <c r="AB132" s="151"/>
      <c r="AC132" s="151"/>
      <c r="AD132" s="151"/>
      <c r="AY132" s="50"/>
      <c r="BA132" s="32"/>
    </row>
    <row r="133" spans="1:53">
      <c r="A133" s="36"/>
      <c r="B133" s="36"/>
      <c r="C133" s="196"/>
      <c r="D133" s="210">
        <f>COUNTIF((D1:D128),9)</f>
        <v>0</v>
      </c>
      <c r="E133" s="210">
        <f t="shared" ref="E133:O133" si="7">COUNTIF((E1:E128),9)</f>
        <v>0</v>
      </c>
      <c r="F133" s="210">
        <f t="shared" si="7"/>
        <v>0</v>
      </c>
      <c r="G133" s="210">
        <f t="shared" si="7"/>
        <v>0</v>
      </c>
      <c r="H133" s="210">
        <f t="shared" si="7"/>
        <v>0</v>
      </c>
      <c r="I133" s="189">
        <f t="shared" si="7"/>
        <v>0</v>
      </c>
      <c r="J133" s="189">
        <f t="shared" si="7"/>
        <v>0</v>
      </c>
      <c r="K133" s="189">
        <f t="shared" si="7"/>
        <v>0</v>
      </c>
      <c r="L133" s="189">
        <f t="shared" si="7"/>
        <v>0</v>
      </c>
      <c r="M133" s="189">
        <f t="shared" si="7"/>
        <v>0</v>
      </c>
      <c r="N133" s="189">
        <f t="shared" si="7"/>
        <v>0</v>
      </c>
      <c r="O133" s="189">
        <f t="shared" si="7"/>
        <v>0</v>
      </c>
      <c r="P133" s="189"/>
      <c r="Q133" s="189"/>
      <c r="AA133" s="48"/>
      <c r="AB133" s="151"/>
      <c r="AC133" s="151"/>
      <c r="AD133" s="151"/>
      <c r="AY133" s="50"/>
      <c r="BA133" s="32"/>
    </row>
    <row r="134" spans="1:53" ht="18.75">
      <c r="C134" s="196"/>
      <c r="D134" s="210">
        <f>COUNTIF((D1:D128),7)</f>
        <v>59</v>
      </c>
      <c r="E134" s="210">
        <f t="shared" ref="E134:O134" si="8">COUNTIF((E1:E128),7)</f>
        <v>59</v>
      </c>
      <c r="F134" s="210">
        <f t="shared" si="8"/>
        <v>0</v>
      </c>
      <c r="G134" s="210">
        <f t="shared" si="8"/>
        <v>0</v>
      </c>
      <c r="H134" s="210">
        <f t="shared" si="8"/>
        <v>0</v>
      </c>
      <c r="I134" s="189">
        <f t="shared" si="8"/>
        <v>0</v>
      </c>
      <c r="J134" s="189">
        <f t="shared" si="8"/>
        <v>0</v>
      </c>
      <c r="K134" s="189">
        <f t="shared" si="8"/>
        <v>0</v>
      </c>
      <c r="L134" s="189">
        <f t="shared" si="8"/>
        <v>0</v>
      </c>
      <c r="M134" s="189">
        <f t="shared" si="8"/>
        <v>0</v>
      </c>
      <c r="N134" s="189">
        <f t="shared" si="8"/>
        <v>0</v>
      </c>
      <c r="O134" s="189">
        <f t="shared" si="8"/>
        <v>0</v>
      </c>
      <c r="P134" s="189"/>
      <c r="Q134" s="189"/>
      <c r="W134" s="150"/>
      <c r="AA134" s="48"/>
      <c r="AB134" s="151"/>
      <c r="AC134" s="151"/>
      <c r="AD134" s="151"/>
      <c r="AY134" s="50"/>
      <c r="BA134" s="32"/>
    </row>
    <row r="135" spans="1:53" ht="18.75">
      <c r="C135" s="196"/>
      <c r="D135" s="210">
        <f>COUNTIF((D1:D128),5)</f>
        <v>0</v>
      </c>
      <c r="E135" s="210">
        <f t="shared" ref="E135:O135" si="9">COUNTIF((E1:E128),5)</f>
        <v>0</v>
      </c>
      <c r="F135" s="210">
        <f t="shared" si="9"/>
        <v>0</v>
      </c>
      <c r="G135" s="210">
        <f t="shared" si="9"/>
        <v>0</v>
      </c>
      <c r="H135" s="210">
        <f t="shared" si="9"/>
        <v>0</v>
      </c>
      <c r="I135" s="189">
        <f t="shared" si="9"/>
        <v>0</v>
      </c>
      <c r="J135" s="189">
        <f t="shared" si="9"/>
        <v>0</v>
      </c>
      <c r="K135" s="189">
        <f t="shared" si="9"/>
        <v>0</v>
      </c>
      <c r="L135" s="189">
        <f t="shared" si="9"/>
        <v>0</v>
      </c>
      <c r="M135" s="189">
        <f t="shared" si="9"/>
        <v>0</v>
      </c>
      <c r="N135" s="189">
        <f t="shared" si="9"/>
        <v>0</v>
      </c>
      <c r="O135" s="189">
        <f t="shared" si="9"/>
        <v>0</v>
      </c>
      <c r="P135" s="189"/>
      <c r="Q135" s="189"/>
      <c r="W135" s="150"/>
      <c r="AA135" s="48"/>
      <c r="AB135" s="151"/>
      <c r="AC135" s="151"/>
      <c r="AD135" s="151"/>
      <c r="AY135" s="50"/>
      <c r="BA135" s="32"/>
    </row>
    <row r="136" spans="1:53" ht="18.75">
      <c r="C136" s="196"/>
      <c r="D136" s="210">
        <f>COUNTIF((D1:D128),3)</f>
        <v>0</v>
      </c>
      <c r="E136" s="210">
        <f t="shared" ref="E136:O136" si="10">COUNTIF((E1:E128),3)</f>
        <v>0</v>
      </c>
      <c r="F136" s="210">
        <f t="shared" si="10"/>
        <v>0</v>
      </c>
      <c r="G136" s="210">
        <f t="shared" si="10"/>
        <v>0</v>
      </c>
      <c r="H136" s="210">
        <f t="shared" si="10"/>
        <v>0</v>
      </c>
      <c r="I136" s="189">
        <f t="shared" si="10"/>
        <v>0</v>
      </c>
      <c r="J136" s="189">
        <f t="shared" si="10"/>
        <v>0</v>
      </c>
      <c r="K136" s="189">
        <f t="shared" si="10"/>
        <v>0</v>
      </c>
      <c r="L136" s="189">
        <f t="shared" si="10"/>
        <v>0</v>
      </c>
      <c r="M136" s="189">
        <f t="shared" si="10"/>
        <v>0</v>
      </c>
      <c r="N136" s="189">
        <f t="shared" si="10"/>
        <v>0</v>
      </c>
      <c r="O136" s="189">
        <f t="shared" si="10"/>
        <v>0</v>
      </c>
      <c r="P136" s="189"/>
      <c r="Q136" s="189"/>
      <c r="S136" s="150"/>
      <c r="W136" s="150"/>
      <c r="AA136" s="48"/>
      <c r="AB136" s="151"/>
      <c r="AC136" s="151"/>
      <c r="AD136" s="151"/>
      <c r="AY136" s="50"/>
      <c r="BA136" s="32"/>
    </row>
    <row r="137" spans="1:53" ht="18.75">
      <c r="C137" s="196"/>
      <c r="S137" s="150"/>
      <c r="AA137" s="48"/>
      <c r="AB137" s="151"/>
      <c r="AC137" s="151"/>
      <c r="AD137" s="151"/>
      <c r="AY137" s="50"/>
      <c r="BA137" s="32"/>
    </row>
    <row r="138" spans="1:53">
      <c r="D138" s="175"/>
      <c r="E138" s="175"/>
      <c r="F138" s="175"/>
      <c r="G138" s="175"/>
      <c r="H138" s="175"/>
      <c r="I138" s="175"/>
      <c r="J138" s="175"/>
      <c r="K138" s="175"/>
      <c r="L138" s="175"/>
      <c r="M138" s="175"/>
      <c r="N138" s="175"/>
      <c r="O138" s="175"/>
    </row>
    <row r="139" spans="1:53">
      <c r="D139" s="175"/>
      <c r="E139" s="175"/>
      <c r="F139" s="175"/>
      <c r="G139" s="175"/>
      <c r="H139" s="175"/>
      <c r="I139" s="175"/>
      <c r="J139" s="175"/>
      <c r="K139" s="175"/>
      <c r="L139" s="175"/>
      <c r="M139" s="175"/>
      <c r="N139" s="175"/>
      <c r="O139" s="175"/>
    </row>
    <row r="140" spans="1:53">
      <c r="D140" s="175"/>
      <c r="E140" s="175"/>
      <c r="F140" s="175"/>
      <c r="G140" s="175"/>
      <c r="H140" s="175"/>
      <c r="I140" s="175"/>
      <c r="J140" s="175"/>
      <c r="K140" s="175"/>
      <c r="L140" s="175"/>
      <c r="M140" s="175"/>
      <c r="N140" s="175"/>
      <c r="O140" s="175"/>
    </row>
    <row r="141" spans="1:53">
      <c r="D141" s="175"/>
      <c r="E141" s="175"/>
      <c r="F141" s="175"/>
      <c r="G141" s="175"/>
      <c r="H141" s="175"/>
      <c r="I141" s="175"/>
      <c r="J141" s="175"/>
      <c r="K141" s="175"/>
      <c r="L141" s="175"/>
      <c r="M141" s="175"/>
      <c r="N141" s="175"/>
      <c r="O141" s="175"/>
    </row>
    <row r="142" spans="1:53">
      <c r="D142" s="175"/>
      <c r="E142" s="175"/>
      <c r="F142" s="175"/>
      <c r="G142" s="175"/>
      <c r="H142" s="175"/>
      <c r="I142" s="175"/>
      <c r="J142" s="175"/>
      <c r="K142" s="175"/>
      <c r="L142" s="175"/>
      <c r="M142" s="175"/>
      <c r="N142" s="175"/>
      <c r="O142" s="175"/>
    </row>
    <row r="143" spans="1:53">
      <c r="D143" s="175"/>
      <c r="E143" s="175"/>
      <c r="F143" s="175"/>
      <c r="G143" s="175"/>
      <c r="H143" s="175"/>
      <c r="I143" s="175"/>
      <c r="J143" s="175"/>
      <c r="K143" s="175"/>
      <c r="L143" s="175"/>
      <c r="M143" s="175"/>
      <c r="N143" s="175"/>
      <c r="O143" s="175"/>
    </row>
    <row r="144" spans="1:53">
      <c r="D144" s="175"/>
      <c r="E144" s="175"/>
      <c r="F144" s="175"/>
      <c r="G144" s="175"/>
      <c r="H144" s="175"/>
      <c r="I144" s="175"/>
      <c r="J144" s="175"/>
      <c r="K144" s="175"/>
      <c r="L144" s="175"/>
      <c r="M144" s="175"/>
      <c r="N144" s="175"/>
      <c r="O144" s="175"/>
    </row>
    <row r="201" spans="4:15">
      <c r="D201" s="175"/>
      <c r="E201" s="175"/>
      <c r="F201" s="175"/>
      <c r="G201" s="175"/>
      <c r="H201" s="175"/>
      <c r="I201" s="175"/>
      <c r="J201" s="175"/>
      <c r="K201" s="175"/>
      <c r="L201" s="175"/>
      <c r="M201" s="175"/>
      <c r="N201" s="175"/>
      <c r="O201" s="175"/>
    </row>
    <row r="202" spans="4:15">
      <c r="D202" s="175"/>
      <c r="E202" s="175"/>
      <c r="F202" s="175"/>
      <c r="G202" s="175"/>
      <c r="H202" s="175"/>
      <c r="I202" s="175"/>
      <c r="J202" s="175"/>
      <c r="K202" s="175"/>
      <c r="L202" s="175"/>
      <c r="M202" s="175"/>
      <c r="N202" s="175"/>
      <c r="O202" s="175"/>
    </row>
    <row r="203" spans="4:15">
      <c r="D203" s="175"/>
      <c r="E203" s="175"/>
      <c r="F203" s="175"/>
      <c r="G203" s="175"/>
      <c r="H203" s="175"/>
      <c r="I203" s="175"/>
      <c r="J203" s="175"/>
      <c r="K203" s="175"/>
      <c r="L203" s="175"/>
      <c r="M203" s="175"/>
      <c r="N203" s="175"/>
      <c r="O203" s="175"/>
    </row>
    <row r="204" spans="4:15">
      <c r="D204" s="175"/>
      <c r="E204" s="175"/>
      <c r="F204" s="175"/>
      <c r="G204" s="175"/>
      <c r="H204" s="175"/>
      <c r="I204" s="175"/>
      <c r="J204" s="175"/>
      <c r="K204" s="175"/>
      <c r="L204" s="175"/>
      <c r="M204" s="175"/>
      <c r="N204" s="175"/>
      <c r="O204" s="175"/>
    </row>
    <row r="205" spans="4:15">
      <c r="D205" s="175"/>
      <c r="E205" s="175"/>
      <c r="F205" s="175"/>
      <c r="G205" s="175"/>
      <c r="H205" s="175"/>
      <c r="I205" s="175"/>
      <c r="J205" s="175"/>
      <c r="K205" s="175"/>
      <c r="L205" s="175"/>
      <c r="M205" s="175"/>
      <c r="N205" s="175"/>
      <c r="O205" s="175"/>
    </row>
    <row r="206" spans="4:15">
      <c r="D206" s="175"/>
      <c r="E206" s="175"/>
      <c r="F206" s="175"/>
      <c r="G206" s="175"/>
      <c r="H206" s="175"/>
      <c r="I206" s="175"/>
      <c r="J206" s="175"/>
      <c r="K206" s="175"/>
      <c r="L206" s="175"/>
      <c r="M206" s="175"/>
      <c r="N206" s="175"/>
      <c r="O206" s="175"/>
    </row>
    <row r="207" spans="4:15">
      <c r="D207" s="175"/>
      <c r="E207" s="175"/>
      <c r="F207" s="175"/>
      <c r="G207" s="175"/>
      <c r="H207" s="175"/>
      <c r="I207" s="175"/>
      <c r="J207" s="175"/>
      <c r="K207" s="175"/>
      <c r="L207" s="175"/>
      <c r="M207" s="175"/>
      <c r="N207" s="175"/>
      <c r="O207" s="175"/>
    </row>
    <row r="208" spans="4:15">
      <c r="D208" s="175"/>
      <c r="E208" s="175"/>
      <c r="F208" s="175"/>
      <c r="G208" s="175"/>
      <c r="H208" s="175"/>
      <c r="I208" s="175"/>
      <c r="J208" s="175"/>
      <c r="K208" s="175"/>
      <c r="L208" s="175"/>
      <c r="M208" s="175"/>
      <c r="N208" s="175"/>
      <c r="O208" s="175"/>
    </row>
    <row r="209" spans="4:15">
      <c r="D209" s="175"/>
      <c r="E209" s="175"/>
      <c r="F209" s="175"/>
      <c r="G209" s="175"/>
      <c r="H209" s="175"/>
      <c r="I209" s="175"/>
      <c r="J209" s="175"/>
      <c r="K209" s="175"/>
      <c r="L209" s="175"/>
      <c r="M209" s="175"/>
      <c r="N209" s="175"/>
      <c r="O209" s="175"/>
    </row>
    <row r="210" spans="4:15">
      <c r="D210" s="175"/>
      <c r="E210" s="175"/>
      <c r="F210" s="175"/>
      <c r="G210" s="175"/>
      <c r="H210" s="175"/>
      <c r="I210" s="175"/>
      <c r="J210" s="175"/>
      <c r="K210" s="175"/>
      <c r="L210" s="175"/>
      <c r="M210" s="175"/>
      <c r="N210" s="175"/>
      <c r="O210" s="175"/>
    </row>
    <row r="211" spans="4:15">
      <c r="D211" s="175"/>
      <c r="E211" s="175"/>
      <c r="F211" s="175"/>
      <c r="G211" s="175"/>
      <c r="H211" s="175"/>
      <c r="I211" s="175"/>
      <c r="J211" s="175"/>
      <c r="K211" s="175"/>
      <c r="L211" s="175"/>
      <c r="M211" s="175"/>
      <c r="N211" s="175"/>
      <c r="O211" s="175"/>
    </row>
    <row r="212" spans="4:15">
      <c r="D212" s="175"/>
      <c r="E212" s="175"/>
      <c r="F212" s="175"/>
      <c r="G212" s="175"/>
      <c r="H212" s="175"/>
      <c r="I212" s="175"/>
      <c r="J212" s="175"/>
      <c r="K212" s="175"/>
      <c r="L212" s="175"/>
      <c r="M212" s="175"/>
      <c r="N212" s="175"/>
      <c r="O212" s="175"/>
    </row>
    <row r="213" spans="4:15">
      <c r="D213" s="175"/>
      <c r="E213" s="175"/>
      <c r="F213" s="175"/>
      <c r="G213" s="175"/>
      <c r="H213" s="175"/>
      <c r="I213" s="175"/>
      <c r="J213" s="175"/>
      <c r="K213" s="175"/>
      <c r="L213" s="175"/>
      <c r="M213" s="175"/>
      <c r="N213" s="175"/>
      <c r="O213" s="175"/>
    </row>
    <row r="214" spans="4:15">
      <c r="D214" s="175"/>
      <c r="E214" s="175"/>
      <c r="F214" s="175"/>
      <c r="G214" s="175"/>
      <c r="H214" s="175"/>
      <c r="I214" s="175"/>
      <c r="J214" s="175"/>
      <c r="K214" s="175"/>
      <c r="L214" s="175"/>
      <c r="M214" s="175"/>
      <c r="N214" s="175"/>
      <c r="O214" s="175"/>
    </row>
    <row r="215" spans="4:15">
      <c r="D215" s="175"/>
      <c r="E215" s="175"/>
      <c r="F215" s="175"/>
      <c r="G215" s="175"/>
      <c r="H215" s="175"/>
      <c r="I215" s="175"/>
      <c r="J215" s="175"/>
      <c r="K215" s="175"/>
      <c r="L215" s="175"/>
      <c r="M215" s="175"/>
      <c r="N215" s="175"/>
      <c r="O215" s="175"/>
    </row>
    <row r="216" spans="4:15">
      <c r="D216" s="175"/>
      <c r="E216" s="175"/>
      <c r="F216" s="175"/>
      <c r="G216" s="175"/>
      <c r="H216" s="175"/>
      <c r="I216" s="175"/>
      <c r="J216" s="175"/>
      <c r="K216" s="175"/>
      <c r="L216" s="175"/>
      <c r="M216" s="175"/>
      <c r="N216" s="175"/>
      <c r="O216" s="175"/>
    </row>
    <row r="217" spans="4:15">
      <c r="D217" s="175"/>
      <c r="E217" s="175"/>
      <c r="F217" s="175"/>
      <c r="G217" s="175"/>
      <c r="H217" s="175"/>
      <c r="I217" s="175"/>
      <c r="J217" s="175"/>
      <c r="K217" s="175"/>
      <c r="L217" s="175"/>
      <c r="M217" s="175"/>
      <c r="N217" s="175"/>
      <c r="O217" s="175"/>
    </row>
    <row r="218" spans="4:15">
      <c r="D218" s="175"/>
      <c r="E218" s="175"/>
      <c r="F218" s="175"/>
      <c r="G218" s="175"/>
      <c r="H218" s="175"/>
      <c r="I218" s="175"/>
      <c r="J218" s="175"/>
      <c r="K218" s="175"/>
      <c r="L218" s="175"/>
      <c r="M218" s="175"/>
      <c r="N218" s="175"/>
      <c r="O218" s="175"/>
    </row>
    <row r="219" spans="4:15">
      <c r="D219" s="175"/>
      <c r="E219" s="175"/>
      <c r="F219" s="175"/>
      <c r="G219" s="175"/>
      <c r="H219" s="175"/>
      <c r="I219" s="175"/>
      <c r="J219" s="175"/>
      <c r="K219" s="175"/>
      <c r="L219" s="175"/>
      <c r="M219" s="175"/>
      <c r="N219" s="175"/>
      <c r="O219" s="175"/>
    </row>
    <row r="220" spans="4:15">
      <c r="D220" s="175"/>
      <c r="E220" s="175"/>
      <c r="F220" s="175"/>
      <c r="G220" s="175"/>
      <c r="H220" s="175"/>
      <c r="I220" s="175"/>
      <c r="J220" s="175"/>
      <c r="K220" s="175"/>
      <c r="L220" s="175"/>
      <c r="M220" s="175"/>
      <c r="N220" s="175"/>
      <c r="O220" s="175"/>
    </row>
    <row r="221" spans="4:15">
      <c r="D221" s="175"/>
      <c r="E221" s="175"/>
      <c r="F221" s="175"/>
      <c r="G221" s="175"/>
      <c r="H221" s="175"/>
      <c r="I221" s="175"/>
      <c r="J221" s="175"/>
      <c r="K221" s="175"/>
      <c r="L221" s="175"/>
      <c r="M221" s="175"/>
      <c r="N221" s="175"/>
      <c r="O221" s="175"/>
    </row>
    <row r="222" spans="4:15">
      <c r="D222" s="175"/>
      <c r="E222" s="175"/>
      <c r="F222" s="175"/>
      <c r="G222" s="175"/>
      <c r="H222" s="175"/>
      <c r="I222" s="175"/>
      <c r="J222" s="175"/>
      <c r="K222" s="175"/>
      <c r="L222" s="175"/>
      <c r="M222" s="175"/>
      <c r="N222" s="175"/>
      <c r="O222" s="175"/>
    </row>
    <row r="223" spans="4:15">
      <c r="D223" s="175"/>
      <c r="E223" s="175"/>
      <c r="F223" s="175"/>
      <c r="G223" s="175"/>
      <c r="H223" s="175"/>
      <c r="I223" s="175"/>
      <c r="J223" s="175"/>
      <c r="K223" s="175"/>
      <c r="L223" s="175"/>
      <c r="M223" s="175"/>
      <c r="N223" s="175"/>
      <c r="O223" s="175"/>
    </row>
    <row r="224" spans="4:15">
      <c r="D224" s="175"/>
      <c r="E224" s="175"/>
      <c r="F224" s="175"/>
      <c r="G224" s="175"/>
      <c r="H224" s="175"/>
      <c r="I224" s="175"/>
      <c r="J224" s="175"/>
      <c r="K224" s="175"/>
      <c r="L224" s="175"/>
      <c r="M224" s="175"/>
      <c r="N224" s="175"/>
      <c r="O224" s="175"/>
    </row>
    <row r="225" spans="4:15">
      <c r="D225" s="175"/>
      <c r="E225" s="175"/>
      <c r="F225" s="175"/>
      <c r="G225" s="175"/>
      <c r="H225" s="175"/>
      <c r="I225" s="175"/>
      <c r="J225" s="175"/>
      <c r="K225" s="175"/>
      <c r="L225" s="175"/>
      <c r="M225" s="175"/>
      <c r="N225" s="175"/>
      <c r="O225" s="175"/>
    </row>
    <row r="226" spans="4:15">
      <c r="D226" s="175"/>
      <c r="E226" s="175"/>
      <c r="F226" s="175"/>
      <c r="G226" s="175"/>
      <c r="H226" s="175"/>
      <c r="I226" s="175"/>
      <c r="J226" s="175"/>
      <c r="K226" s="175"/>
      <c r="L226" s="175"/>
      <c r="M226" s="175"/>
      <c r="N226" s="175"/>
      <c r="O226" s="175"/>
    </row>
    <row r="227" spans="4:15">
      <c r="D227" s="175"/>
      <c r="E227" s="175"/>
      <c r="F227" s="175"/>
      <c r="G227" s="175"/>
      <c r="H227" s="175"/>
      <c r="I227" s="175"/>
      <c r="J227" s="175"/>
      <c r="K227" s="175"/>
      <c r="L227" s="175"/>
      <c r="M227" s="175"/>
      <c r="N227" s="175"/>
      <c r="O227" s="175"/>
    </row>
    <row r="228" spans="4:15">
      <c r="D228" s="175"/>
      <c r="E228" s="175"/>
      <c r="F228" s="175"/>
      <c r="G228" s="175"/>
      <c r="H228" s="175"/>
      <c r="I228" s="175"/>
      <c r="J228" s="175"/>
      <c r="K228" s="175"/>
      <c r="L228" s="175"/>
      <c r="M228" s="175"/>
      <c r="N228" s="175"/>
      <c r="O228" s="175"/>
    </row>
    <row r="229" spans="4:15">
      <c r="D229" s="175"/>
      <c r="E229" s="175"/>
      <c r="F229" s="175"/>
      <c r="G229" s="175"/>
      <c r="H229" s="175"/>
      <c r="I229" s="175"/>
      <c r="J229" s="175"/>
      <c r="K229" s="175"/>
      <c r="L229" s="175"/>
      <c r="M229" s="175"/>
      <c r="N229" s="175"/>
      <c r="O229" s="175"/>
    </row>
    <row r="230" spans="4:15">
      <c r="D230" s="175"/>
      <c r="E230" s="175"/>
      <c r="F230" s="175"/>
      <c r="G230" s="175"/>
      <c r="H230" s="175"/>
      <c r="I230" s="175"/>
      <c r="J230" s="175"/>
      <c r="K230" s="175"/>
      <c r="L230" s="175"/>
      <c r="M230" s="175"/>
      <c r="N230" s="175"/>
      <c r="O230" s="175"/>
    </row>
    <row r="231" spans="4:15">
      <c r="D231" s="175"/>
      <c r="E231" s="175"/>
      <c r="F231" s="175"/>
      <c r="G231" s="175"/>
      <c r="H231" s="175"/>
      <c r="I231" s="175"/>
      <c r="J231" s="175"/>
      <c r="K231" s="175"/>
      <c r="L231" s="175"/>
      <c r="M231" s="175"/>
      <c r="N231" s="175"/>
      <c r="O231" s="175"/>
    </row>
    <row r="232" spans="4:15">
      <c r="D232" s="175"/>
      <c r="E232" s="175"/>
      <c r="F232" s="175"/>
      <c r="G232" s="175"/>
      <c r="H232" s="175"/>
      <c r="I232" s="175"/>
      <c r="J232" s="175"/>
      <c r="K232" s="175"/>
      <c r="L232" s="175"/>
      <c r="M232" s="175"/>
      <c r="N232" s="175"/>
      <c r="O232" s="175"/>
    </row>
    <row r="233" spans="4:15">
      <c r="D233" s="175"/>
      <c r="E233" s="175"/>
      <c r="F233" s="175"/>
      <c r="G233" s="175"/>
      <c r="H233" s="175"/>
      <c r="I233" s="175"/>
      <c r="J233" s="175"/>
      <c r="K233" s="175"/>
      <c r="L233" s="175"/>
      <c r="M233" s="175"/>
      <c r="N233" s="175"/>
      <c r="O233" s="175"/>
    </row>
    <row r="234" spans="4:15">
      <c r="D234" s="175"/>
      <c r="E234" s="175"/>
      <c r="F234" s="175"/>
      <c r="G234" s="175"/>
      <c r="H234" s="175"/>
      <c r="I234" s="175"/>
      <c r="J234" s="175"/>
      <c r="K234" s="175"/>
      <c r="L234" s="175"/>
      <c r="M234" s="175"/>
      <c r="N234" s="175"/>
      <c r="O234" s="175"/>
    </row>
    <row r="235" spans="4:15">
      <c r="D235" s="175"/>
      <c r="E235" s="175"/>
      <c r="F235" s="175"/>
      <c r="G235" s="175"/>
      <c r="H235" s="175"/>
      <c r="I235" s="175"/>
      <c r="J235" s="175"/>
      <c r="K235" s="175"/>
      <c r="L235" s="175"/>
      <c r="M235" s="175"/>
      <c r="N235" s="175"/>
      <c r="O235" s="175"/>
    </row>
    <row r="236" spans="4:15">
      <c r="D236" s="175"/>
      <c r="E236" s="175"/>
      <c r="F236" s="175"/>
      <c r="G236" s="175"/>
      <c r="H236" s="175"/>
      <c r="I236" s="175"/>
      <c r="J236" s="175"/>
      <c r="K236" s="175"/>
      <c r="L236" s="175"/>
      <c r="M236" s="175"/>
      <c r="N236" s="175"/>
      <c r="O236" s="175"/>
    </row>
    <row r="237" spans="4:15">
      <c r="D237" s="175"/>
      <c r="E237" s="175"/>
      <c r="F237" s="175"/>
      <c r="G237" s="175"/>
      <c r="H237" s="175"/>
      <c r="I237" s="175"/>
      <c r="J237" s="175"/>
      <c r="K237" s="175"/>
      <c r="L237" s="175"/>
      <c r="M237" s="175"/>
      <c r="N237" s="175"/>
      <c r="O237" s="175"/>
    </row>
    <row r="238" spans="4:15">
      <c r="D238" s="175"/>
      <c r="E238" s="175"/>
      <c r="F238" s="175"/>
      <c r="G238" s="175"/>
      <c r="H238" s="175"/>
      <c r="I238" s="175"/>
      <c r="J238" s="175"/>
      <c r="K238" s="175"/>
      <c r="L238" s="175"/>
      <c r="M238" s="175"/>
      <c r="N238" s="175"/>
      <c r="O238" s="175"/>
    </row>
    <row r="239" spans="4:15">
      <c r="D239" s="175"/>
      <c r="E239" s="175"/>
      <c r="F239" s="175"/>
      <c r="G239" s="175"/>
      <c r="H239" s="175"/>
      <c r="I239" s="175"/>
      <c r="J239" s="175"/>
      <c r="K239" s="175"/>
      <c r="L239" s="175"/>
      <c r="M239" s="175"/>
      <c r="N239" s="175"/>
      <c r="O239" s="175"/>
    </row>
    <row r="240" spans="4:15">
      <c r="D240" s="175"/>
      <c r="E240" s="175"/>
      <c r="F240" s="175"/>
      <c r="G240" s="175"/>
      <c r="H240" s="175"/>
      <c r="I240" s="175"/>
      <c r="J240" s="175"/>
      <c r="K240" s="175"/>
      <c r="L240" s="175"/>
      <c r="M240" s="175"/>
      <c r="N240" s="175"/>
      <c r="O240" s="175"/>
    </row>
    <row r="241" spans="4:15">
      <c r="D241" s="175"/>
      <c r="E241" s="175"/>
      <c r="F241" s="175"/>
      <c r="G241" s="175"/>
      <c r="H241" s="175"/>
      <c r="I241" s="175"/>
      <c r="J241" s="175"/>
      <c r="K241" s="175"/>
      <c r="L241" s="175"/>
      <c r="M241" s="175"/>
      <c r="N241" s="175"/>
      <c r="O241" s="175"/>
    </row>
    <row r="242" spans="4:15">
      <c r="D242" s="175"/>
      <c r="E242" s="175"/>
      <c r="F242" s="175"/>
      <c r="G242" s="175"/>
      <c r="H242" s="175"/>
      <c r="I242" s="175"/>
      <c r="J242" s="175"/>
      <c r="K242" s="175"/>
      <c r="L242" s="175"/>
      <c r="M242" s="175"/>
      <c r="N242" s="175"/>
      <c r="O242" s="175"/>
    </row>
    <row r="243" spans="4:15">
      <c r="D243" s="175"/>
      <c r="E243" s="175"/>
      <c r="F243" s="175"/>
      <c r="G243" s="175"/>
      <c r="H243" s="175"/>
      <c r="I243" s="175"/>
      <c r="J243" s="175"/>
      <c r="K243" s="175"/>
      <c r="L243" s="175"/>
      <c r="M243" s="175"/>
      <c r="N243" s="175"/>
      <c r="O243" s="175"/>
    </row>
    <row r="244" spans="4:15">
      <c r="D244" s="175"/>
      <c r="E244" s="175"/>
      <c r="F244" s="175"/>
      <c r="G244" s="175"/>
      <c r="H244" s="175"/>
      <c r="I244" s="175"/>
      <c r="J244" s="175"/>
      <c r="K244" s="175"/>
      <c r="L244" s="175"/>
      <c r="M244" s="175"/>
      <c r="N244" s="175"/>
      <c r="O244" s="175"/>
    </row>
    <row r="245" spans="4:15">
      <c r="D245" s="175"/>
      <c r="E245" s="175"/>
      <c r="F245" s="175"/>
      <c r="G245" s="175"/>
      <c r="H245" s="175"/>
      <c r="I245" s="175"/>
      <c r="J245" s="175"/>
      <c r="K245" s="175"/>
      <c r="L245" s="175"/>
      <c r="M245" s="175"/>
      <c r="N245" s="175"/>
      <c r="O245" s="175"/>
    </row>
    <row r="246" spans="4:15">
      <c r="D246" s="175"/>
      <c r="E246" s="175"/>
      <c r="F246" s="175"/>
      <c r="G246" s="175"/>
      <c r="H246" s="175"/>
      <c r="I246" s="175"/>
      <c r="J246" s="175"/>
      <c r="K246" s="175"/>
      <c r="L246" s="175"/>
      <c r="M246" s="175"/>
      <c r="N246" s="175"/>
      <c r="O246" s="175"/>
    </row>
    <row r="247" spans="4:15">
      <c r="D247" s="175"/>
      <c r="E247" s="175"/>
      <c r="F247" s="175"/>
      <c r="G247" s="175"/>
      <c r="H247" s="175"/>
      <c r="I247" s="175"/>
      <c r="J247" s="175"/>
      <c r="K247" s="175"/>
      <c r="L247" s="175"/>
      <c r="M247" s="175"/>
      <c r="N247" s="175"/>
      <c r="O247" s="175"/>
    </row>
    <row r="248" spans="4:15">
      <c r="D248" s="175"/>
      <c r="E248" s="175"/>
      <c r="F248" s="175"/>
      <c r="G248" s="175"/>
      <c r="H248" s="175"/>
      <c r="I248" s="175"/>
      <c r="J248" s="175"/>
      <c r="K248" s="175"/>
      <c r="L248" s="175"/>
      <c r="M248" s="175"/>
      <c r="N248" s="175"/>
      <c r="O248" s="175"/>
    </row>
    <row r="249" spans="4:15">
      <c r="D249" s="175"/>
      <c r="E249" s="175"/>
      <c r="F249" s="175"/>
      <c r="G249" s="175"/>
      <c r="H249" s="175"/>
      <c r="I249" s="175"/>
      <c r="J249" s="175"/>
      <c r="K249" s="175"/>
      <c r="L249" s="175"/>
      <c r="M249" s="175"/>
      <c r="N249" s="175"/>
      <c r="O249" s="175"/>
    </row>
    <row r="250" spans="4:15">
      <c r="D250" s="175"/>
      <c r="E250" s="175"/>
      <c r="F250" s="175"/>
      <c r="G250" s="175"/>
      <c r="H250" s="175"/>
      <c r="I250" s="175"/>
      <c r="J250" s="175"/>
      <c r="K250" s="175"/>
      <c r="L250" s="175"/>
      <c r="M250" s="175"/>
      <c r="N250" s="175"/>
      <c r="O250" s="175"/>
    </row>
    <row r="251" spans="4:15">
      <c r="D251" s="175"/>
      <c r="E251" s="175"/>
      <c r="F251" s="175"/>
      <c r="G251" s="175"/>
      <c r="H251" s="175"/>
      <c r="I251" s="175"/>
      <c r="J251" s="175"/>
      <c r="K251" s="175"/>
      <c r="L251" s="175"/>
      <c r="M251" s="175"/>
      <c r="N251" s="175"/>
      <c r="O251" s="175"/>
    </row>
    <row r="252" spans="4:15">
      <c r="D252" s="175"/>
      <c r="E252" s="175"/>
      <c r="F252" s="175"/>
      <c r="G252" s="175"/>
      <c r="H252" s="175"/>
      <c r="I252" s="175"/>
      <c r="J252" s="175"/>
      <c r="K252" s="175"/>
      <c r="L252" s="175"/>
      <c r="M252" s="175"/>
      <c r="N252" s="175"/>
      <c r="O252" s="175"/>
    </row>
    <row r="253" spans="4:15">
      <c r="D253" s="175"/>
      <c r="E253" s="175"/>
      <c r="F253" s="175"/>
      <c r="G253" s="175"/>
      <c r="H253" s="175"/>
      <c r="I253" s="175"/>
      <c r="J253" s="175"/>
      <c r="K253" s="175"/>
      <c r="L253" s="175"/>
      <c r="M253" s="175"/>
      <c r="N253" s="175"/>
      <c r="O253" s="175"/>
    </row>
    <row r="254" spans="4:15">
      <c r="D254" s="175"/>
      <c r="E254" s="175"/>
      <c r="F254" s="175"/>
      <c r="G254" s="175"/>
      <c r="H254" s="175"/>
      <c r="I254" s="175"/>
      <c r="J254" s="175"/>
      <c r="K254" s="175"/>
      <c r="L254" s="175"/>
      <c r="M254" s="175"/>
      <c r="N254" s="175"/>
      <c r="O254" s="175"/>
    </row>
    <row r="255" spans="4:15">
      <c r="D255" s="175"/>
      <c r="E255" s="175"/>
      <c r="F255" s="175"/>
      <c r="G255" s="175"/>
      <c r="H255" s="175"/>
      <c r="I255" s="175"/>
      <c r="J255" s="175"/>
      <c r="K255" s="175"/>
      <c r="L255" s="175"/>
      <c r="M255" s="175"/>
      <c r="N255" s="175"/>
      <c r="O255" s="175"/>
    </row>
    <row r="256" spans="4:15">
      <c r="D256" s="175"/>
      <c r="E256" s="175"/>
      <c r="F256" s="175"/>
      <c r="G256" s="175"/>
      <c r="H256" s="175"/>
      <c r="I256" s="175"/>
      <c r="J256" s="175"/>
      <c r="K256" s="175"/>
      <c r="L256" s="175"/>
      <c r="M256" s="175"/>
      <c r="N256" s="175"/>
      <c r="O256" s="175"/>
    </row>
    <row r="257" spans="4:15">
      <c r="D257" s="175"/>
      <c r="E257" s="175"/>
      <c r="F257" s="175"/>
      <c r="G257" s="175"/>
      <c r="H257" s="175"/>
      <c r="I257" s="175"/>
      <c r="J257" s="175"/>
      <c r="K257" s="175"/>
      <c r="L257" s="175"/>
      <c r="M257" s="175"/>
      <c r="N257" s="175"/>
      <c r="O257" s="175"/>
    </row>
    <row r="258" spans="4:15">
      <c r="D258" s="175"/>
      <c r="E258" s="175"/>
      <c r="F258" s="175"/>
      <c r="G258" s="175"/>
      <c r="H258" s="175"/>
      <c r="I258" s="175"/>
      <c r="J258" s="175"/>
      <c r="K258" s="175"/>
      <c r="L258" s="175"/>
      <c r="M258" s="175"/>
      <c r="N258" s="175"/>
      <c r="O258" s="175"/>
    </row>
    <row r="259" spans="4:15">
      <c r="D259" s="175"/>
      <c r="E259" s="175"/>
      <c r="F259" s="175"/>
      <c r="G259" s="175"/>
      <c r="H259" s="175"/>
      <c r="I259" s="175"/>
      <c r="J259" s="175"/>
      <c r="K259" s="175"/>
      <c r="L259" s="175"/>
      <c r="M259" s="175"/>
      <c r="N259" s="175"/>
      <c r="O259" s="175"/>
    </row>
    <row r="260" spans="4:15">
      <c r="D260" s="175"/>
      <c r="E260" s="175"/>
      <c r="F260" s="175"/>
      <c r="G260" s="175"/>
      <c r="H260" s="175"/>
      <c r="I260" s="175"/>
      <c r="J260" s="175"/>
      <c r="K260" s="175"/>
      <c r="L260" s="175"/>
      <c r="M260" s="175"/>
      <c r="N260" s="175"/>
      <c r="O260" s="175"/>
    </row>
    <row r="261" spans="4:15">
      <c r="D261" s="175"/>
      <c r="E261" s="175"/>
      <c r="F261" s="175"/>
      <c r="G261" s="175"/>
      <c r="H261" s="175"/>
      <c r="I261" s="175"/>
      <c r="J261" s="175"/>
      <c r="K261" s="175"/>
      <c r="L261" s="175"/>
      <c r="M261" s="175"/>
      <c r="N261" s="175"/>
      <c r="O261" s="175"/>
    </row>
    <row r="262" spans="4:15">
      <c r="D262" s="175"/>
      <c r="E262" s="175"/>
      <c r="F262" s="175"/>
      <c r="G262" s="175"/>
      <c r="H262" s="175"/>
      <c r="I262" s="175"/>
      <c r="J262" s="175"/>
      <c r="K262" s="175"/>
      <c r="L262" s="175"/>
      <c r="M262" s="175"/>
      <c r="N262" s="175"/>
      <c r="O262" s="175"/>
    </row>
    <row r="263" spans="4:15">
      <c r="D263" s="175"/>
      <c r="E263" s="175"/>
      <c r="F263" s="175"/>
      <c r="G263" s="175"/>
      <c r="H263" s="175"/>
      <c r="I263" s="175"/>
      <c r="J263" s="175"/>
      <c r="K263" s="175"/>
      <c r="L263" s="175"/>
      <c r="M263" s="175"/>
      <c r="N263" s="175"/>
      <c r="O263" s="175"/>
    </row>
    <row r="264" spans="4:15">
      <c r="D264" s="175"/>
      <c r="E264" s="175"/>
      <c r="F264" s="175"/>
      <c r="G264" s="175"/>
      <c r="H264" s="175"/>
      <c r="I264" s="175"/>
      <c r="J264" s="175"/>
      <c r="K264" s="175"/>
      <c r="L264" s="175"/>
      <c r="M264" s="175"/>
      <c r="N264" s="175"/>
      <c r="O264" s="175"/>
    </row>
    <row r="265" spans="4:15">
      <c r="D265" s="175"/>
      <c r="E265" s="175"/>
      <c r="F265" s="175"/>
      <c r="G265" s="175"/>
      <c r="H265" s="175"/>
      <c r="I265" s="175"/>
      <c r="J265" s="175"/>
      <c r="K265" s="175"/>
      <c r="L265" s="175"/>
      <c r="M265" s="175"/>
      <c r="N265" s="175"/>
      <c r="O265" s="175"/>
    </row>
    <row r="266" spans="4:15">
      <c r="D266" s="175"/>
      <c r="E266" s="175"/>
      <c r="F266" s="175"/>
      <c r="G266" s="175"/>
      <c r="H266" s="175"/>
      <c r="I266" s="175"/>
      <c r="J266" s="175"/>
      <c r="K266" s="175"/>
      <c r="L266" s="175"/>
      <c r="M266" s="175"/>
      <c r="N266" s="175"/>
      <c r="O266" s="175"/>
    </row>
    <row r="267" spans="4:15">
      <c r="D267" s="175"/>
      <c r="E267" s="175"/>
      <c r="F267" s="175"/>
      <c r="G267" s="175"/>
      <c r="H267" s="175"/>
      <c r="I267" s="175"/>
      <c r="J267" s="175"/>
      <c r="K267" s="175"/>
      <c r="L267" s="175"/>
      <c r="M267" s="175"/>
      <c r="N267" s="175"/>
      <c r="O267" s="175"/>
    </row>
    <row r="268" spans="4:15">
      <c r="D268" s="175"/>
      <c r="E268" s="175"/>
      <c r="F268" s="175"/>
      <c r="G268" s="175"/>
      <c r="H268" s="175"/>
      <c r="I268" s="175"/>
      <c r="J268" s="175"/>
      <c r="K268" s="175"/>
      <c r="L268" s="175"/>
      <c r="M268" s="175"/>
      <c r="N268" s="175"/>
      <c r="O268" s="175"/>
    </row>
    <row r="269" spans="4:15">
      <c r="D269" s="175"/>
      <c r="E269" s="175"/>
      <c r="F269" s="175"/>
      <c r="G269" s="175"/>
      <c r="H269" s="175"/>
      <c r="I269" s="175"/>
      <c r="J269" s="175"/>
      <c r="K269" s="175"/>
      <c r="L269" s="175"/>
      <c r="M269" s="175"/>
      <c r="N269" s="175"/>
      <c r="O269" s="175"/>
    </row>
    <row r="270" spans="4:15">
      <c r="D270" s="175"/>
      <c r="E270" s="175"/>
      <c r="F270" s="175"/>
      <c r="G270" s="175"/>
      <c r="H270" s="175"/>
      <c r="I270" s="175"/>
      <c r="J270" s="175"/>
      <c r="K270" s="175"/>
      <c r="L270" s="175"/>
      <c r="M270" s="175"/>
      <c r="N270" s="175"/>
      <c r="O270" s="175"/>
    </row>
    <row r="271" spans="4:15">
      <c r="D271" s="175"/>
      <c r="E271" s="175"/>
      <c r="F271" s="175"/>
      <c r="G271" s="175"/>
      <c r="H271" s="175"/>
      <c r="I271" s="175"/>
      <c r="J271" s="175"/>
      <c r="K271" s="175"/>
      <c r="L271" s="175"/>
      <c r="M271" s="175"/>
      <c r="N271" s="175"/>
      <c r="O271" s="175"/>
    </row>
    <row r="272" spans="4:15">
      <c r="D272" s="175"/>
      <c r="E272" s="175"/>
      <c r="F272" s="175"/>
      <c r="G272" s="175"/>
      <c r="H272" s="175"/>
      <c r="I272" s="175"/>
      <c r="J272" s="175"/>
      <c r="K272" s="175"/>
      <c r="L272" s="175"/>
      <c r="M272" s="175"/>
      <c r="N272" s="175"/>
      <c r="O272" s="175"/>
    </row>
    <row r="273" spans="4:15">
      <c r="D273" s="175"/>
      <c r="E273" s="175"/>
      <c r="F273" s="175"/>
      <c r="G273" s="175"/>
      <c r="H273" s="175"/>
      <c r="I273" s="175"/>
      <c r="J273" s="175"/>
      <c r="K273" s="175"/>
      <c r="L273" s="175"/>
      <c r="M273" s="175"/>
      <c r="N273" s="175"/>
      <c r="O273" s="175"/>
    </row>
    <row r="274" spans="4:15">
      <c r="D274" s="175"/>
      <c r="E274" s="175"/>
      <c r="F274" s="175"/>
      <c r="G274" s="175"/>
      <c r="H274" s="175"/>
      <c r="I274" s="175"/>
      <c r="J274" s="175"/>
      <c r="K274" s="175"/>
      <c r="L274" s="175"/>
      <c r="M274" s="175"/>
      <c r="N274" s="175"/>
      <c r="O274" s="175"/>
    </row>
    <row r="275" spans="4:15">
      <c r="D275" s="175"/>
      <c r="E275" s="175"/>
      <c r="F275" s="175"/>
      <c r="G275" s="175"/>
      <c r="H275" s="175"/>
      <c r="I275" s="175"/>
      <c r="J275" s="175"/>
      <c r="K275" s="175"/>
      <c r="L275" s="175"/>
      <c r="M275" s="175"/>
      <c r="N275" s="175"/>
      <c r="O275" s="175"/>
    </row>
    <row r="276" spans="4:15">
      <c r="D276" s="175"/>
      <c r="E276" s="175"/>
      <c r="F276" s="175"/>
      <c r="G276" s="175"/>
      <c r="H276" s="175"/>
      <c r="I276" s="175"/>
      <c r="J276" s="175"/>
      <c r="K276" s="175"/>
      <c r="L276" s="175"/>
      <c r="M276" s="175"/>
      <c r="N276" s="175"/>
      <c r="O276" s="175"/>
    </row>
    <row r="277" spans="4:15">
      <c r="D277" s="175"/>
      <c r="E277" s="175"/>
      <c r="F277" s="175"/>
      <c r="G277" s="175"/>
      <c r="H277" s="175"/>
      <c r="I277" s="175"/>
      <c r="J277" s="175"/>
      <c r="K277" s="175"/>
      <c r="L277" s="175"/>
      <c r="M277" s="175"/>
      <c r="N277" s="175"/>
      <c r="O277" s="175"/>
    </row>
    <row r="278" spans="4:15">
      <c r="D278" s="175"/>
      <c r="E278" s="175"/>
      <c r="F278" s="175"/>
      <c r="G278" s="175"/>
      <c r="H278" s="175"/>
      <c r="I278" s="175"/>
      <c r="J278" s="175"/>
      <c r="K278" s="175"/>
      <c r="L278" s="175"/>
      <c r="M278" s="175"/>
      <c r="N278" s="175"/>
      <c r="O278" s="175"/>
    </row>
    <row r="279" spans="4:15">
      <c r="D279" s="175"/>
      <c r="E279" s="175"/>
      <c r="F279" s="175"/>
      <c r="G279" s="175"/>
      <c r="H279" s="175"/>
      <c r="I279" s="175"/>
      <c r="J279" s="175"/>
      <c r="K279" s="175"/>
      <c r="L279" s="175"/>
      <c r="M279" s="175"/>
      <c r="N279" s="175"/>
      <c r="O279" s="175"/>
    </row>
    <row r="280" spans="4:15">
      <c r="D280" s="175"/>
      <c r="E280" s="175"/>
      <c r="F280" s="175"/>
      <c r="G280" s="175"/>
      <c r="H280" s="175"/>
      <c r="I280" s="175"/>
      <c r="J280" s="175"/>
      <c r="K280" s="175"/>
      <c r="L280" s="175"/>
      <c r="M280" s="175"/>
      <c r="N280" s="175"/>
      <c r="O280" s="175"/>
    </row>
    <row r="281" spans="4:15">
      <c r="D281" s="175"/>
      <c r="E281" s="175"/>
      <c r="F281" s="175"/>
      <c r="G281" s="175"/>
      <c r="H281" s="175"/>
      <c r="I281" s="175"/>
      <c r="J281" s="175"/>
      <c r="K281" s="175"/>
      <c r="L281" s="175"/>
      <c r="M281" s="175"/>
      <c r="N281" s="175"/>
      <c r="O281" s="175"/>
    </row>
    <row r="282" spans="4:15">
      <c r="D282" s="175"/>
      <c r="E282" s="175"/>
      <c r="F282" s="175"/>
      <c r="G282" s="175"/>
      <c r="H282" s="175"/>
      <c r="I282" s="175"/>
      <c r="J282" s="175"/>
      <c r="K282" s="175"/>
      <c r="L282" s="175"/>
      <c r="M282" s="175"/>
      <c r="N282" s="175"/>
      <c r="O282" s="175"/>
    </row>
    <row r="283" spans="4:15">
      <c r="D283" s="175"/>
      <c r="E283" s="175"/>
      <c r="F283" s="175"/>
      <c r="G283" s="175"/>
      <c r="H283" s="175"/>
      <c r="I283" s="175"/>
      <c r="J283" s="175"/>
      <c r="K283" s="175"/>
      <c r="L283" s="175"/>
      <c r="M283" s="175"/>
      <c r="N283" s="175"/>
      <c r="O283" s="175"/>
    </row>
    <row r="284" spans="4:15">
      <c r="D284" s="175"/>
      <c r="E284" s="175"/>
      <c r="F284" s="175"/>
      <c r="G284" s="175"/>
      <c r="H284" s="175"/>
      <c r="I284" s="175"/>
      <c r="J284" s="175"/>
      <c r="K284" s="175"/>
      <c r="L284" s="175"/>
      <c r="M284" s="175"/>
      <c r="N284" s="175"/>
      <c r="O284" s="175"/>
    </row>
    <row r="285" spans="4:15">
      <c r="D285" s="175"/>
      <c r="E285" s="175"/>
      <c r="F285" s="175"/>
      <c r="G285" s="175"/>
      <c r="H285" s="175"/>
      <c r="I285" s="175"/>
      <c r="J285" s="175"/>
      <c r="K285" s="175"/>
      <c r="L285" s="175"/>
      <c r="M285" s="175"/>
      <c r="N285" s="175"/>
      <c r="O285" s="175"/>
    </row>
    <row r="286" spans="4:15">
      <c r="D286" s="175"/>
      <c r="E286" s="175"/>
      <c r="F286" s="175"/>
      <c r="G286" s="175"/>
      <c r="H286" s="175"/>
      <c r="I286" s="175"/>
      <c r="J286" s="175"/>
      <c r="K286" s="175"/>
      <c r="L286" s="175"/>
      <c r="M286" s="175"/>
      <c r="N286" s="175"/>
      <c r="O286" s="175"/>
    </row>
    <row r="287" spans="4:15">
      <c r="D287" s="175"/>
      <c r="E287" s="175"/>
      <c r="F287" s="175"/>
      <c r="G287" s="175"/>
      <c r="H287" s="175"/>
      <c r="I287" s="175"/>
      <c r="J287" s="175"/>
      <c r="K287" s="175"/>
      <c r="L287" s="175"/>
      <c r="M287" s="175"/>
      <c r="N287" s="175"/>
      <c r="O287" s="175"/>
    </row>
    <row r="288" spans="4:15">
      <c r="D288" s="175"/>
      <c r="E288" s="175"/>
      <c r="F288" s="175"/>
      <c r="G288" s="175"/>
      <c r="H288" s="175"/>
      <c r="I288" s="175"/>
      <c r="J288" s="175"/>
      <c r="K288" s="175"/>
      <c r="L288" s="175"/>
      <c r="M288" s="175"/>
      <c r="N288" s="175"/>
      <c r="O288" s="175"/>
    </row>
    <row r="289" spans="4:15">
      <c r="D289" s="175"/>
      <c r="E289" s="175"/>
      <c r="F289" s="175"/>
      <c r="G289" s="175"/>
      <c r="H289" s="175"/>
      <c r="I289" s="175"/>
      <c r="J289" s="175"/>
      <c r="K289" s="175"/>
      <c r="L289" s="175"/>
      <c r="M289" s="175"/>
      <c r="N289" s="175"/>
      <c r="O289" s="175"/>
    </row>
    <row r="290" spans="4:15">
      <c r="D290" s="175"/>
      <c r="E290" s="175"/>
      <c r="F290" s="175"/>
      <c r="G290" s="175"/>
      <c r="H290" s="175"/>
      <c r="I290" s="175"/>
      <c r="J290" s="175"/>
      <c r="K290" s="175"/>
      <c r="L290" s="175"/>
      <c r="M290" s="175"/>
      <c r="N290" s="175"/>
      <c r="O290" s="175"/>
    </row>
    <row r="291" spans="4:15">
      <c r="D291" s="175"/>
      <c r="E291" s="175"/>
      <c r="F291" s="175"/>
      <c r="G291" s="175"/>
      <c r="H291" s="175"/>
      <c r="I291" s="175"/>
      <c r="J291" s="175"/>
      <c r="K291" s="175"/>
      <c r="L291" s="175"/>
      <c r="M291" s="175"/>
      <c r="N291" s="175"/>
      <c r="O291" s="175"/>
    </row>
    <row r="292" spans="4:15">
      <c r="D292" s="175"/>
      <c r="E292" s="175"/>
      <c r="F292" s="175"/>
      <c r="G292" s="175"/>
      <c r="H292" s="175"/>
      <c r="I292" s="175"/>
      <c r="J292" s="175"/>
      <c r="K292" s="175"/>
      <c r="L292" s="175"/>
      <c r="M292" s="175"/>
      <c r="N292" s="175"/>
      <c r="O292" s="175"/>
    </row>
    <row r="293" spans="4:15">
      <c r="D293" s="175"/>
      <c r="E293" s="175"/>
      <c r="F293" s="175"/>
      <c r="G293" s="175"/>
      <c r="H293" s="175"/>
      <c r="I293" s="175"/>
      <c r="J293" s="175"/>
      <c r="K293" s="175"/>
      <c r="L293" s="175"/>
      <c r="M293" s="175"/>
      <c r="N293" s="175"/>
      <c r="O293" s="175"/>
    </row>
    <row r="294" spans="4:15">
      <c r="D294" s="175"/>
      <c r="E294" s="175"/>
      <c r="F294" s="175"/>
      <c r="G294" s="175"/>
      <c r="H294" s="175"/>
      <c r="I294" s="175"/>
      <c r="J294" s="175"/>
      <c r="K294" s="175"/>
      <c r="L294" s="175"/>
      <c r="M294" s="175"/>
      <c r="N294" s="175"/>
      <c r="O294" s="175"/>
    </row>
    <row r="295" spans="4:15">
      <c r="D295" s="175"/>
      <c r="E295" s="175"/>
      <c r="F295" s="175"/>
      <c r="G295" s="175"/>
      <c r="H295" s="175"/>
      <c r="I295" s="175"/>
      <c r="J295" s="175"/>
      <c r="K295" s="175"/>
      <c r="L295" s="175"/>
      <c r="M295" s="175"/>
      <c r="N295" s="175"/>
      <c r="O295" s="175"/>
    </row>
    <row r="296" spans="4:15">
      <c r="D296" s="175"/>
      <c r="E296" s="175"/>
      <c r="F296" s="175"/>
      <c r="G296" s="175"/>
      <c r="H296" s="175"/>
      <c r="I296" s="175"/>
      <c r="J296" s="175"/>
      <c r="K296" s="175"/>
      <c r="L296" s="175"/>
      <c r="M296" s="175"/>
      <c r="N296" s="175"/>
      <c r="O296" s="175"/>
    </row>
    <row r="297" spans="4:15">
      <c r="D297" s="175"/>
      <c r="E297" s="175"/>
      <c r="F297" s="175"/>
      <c r="G297" s="175"/>
      <c r="H297" s="175"/>
      <c r="I297" s="175"/>
      <c r="J297" s="175"/>
      <c r="K297" s="175"/>
      <c r="L297" s="175"/>
      <c r="M297" s="175"/>
      <c r="N297" s="175"/>
      <c r="O297" s="175"/>
    </row>
    <row r="298" spans="4:15">
      <c r="D298" s="175"/>
      <c r="E298" s="175"/>
      <c r="F298" s="175"/>
      <c r="G298" s="175"/>
      <c r="H298" s="175"/>
      <c r="I298" s="175"/>
      <c r="J298" s="175"/>
      <c r="K298" s="175"/>
      <c r="L298" s="175"/>
      <c r="M298" s="175"/>
      <c r="N298" s="175"/>
      <c r="O298" s="175"/>
    </row>
    <row r="299" spans="4:15">
      <c r="D299" s="175"/>
      <c r="E299" s="175"/>
      <c r="F299" s="175"/>
      <c r="G299" s="175"/>
      <c r="H299" s="175"/>
      <c r="I299" s="175"/>
      <c r="J299" s="175"/>
      <c r="K299" s="175"/>
      <c r="L299" s="175"/>
      <c r="M299" s="175"/>
      <c r="N299" s="175"/>
      <c r="O299" s="175"/>
    </row>
    <row r="300" spans="4:15">
      <c r="D300" s="175"/>
      <c r="E300" s="175"/>
      <c r="F300" s="175"/>
      <c r="G300" s="175"/>
      <c r="H300" s="175"/>
      <c r="I300" s="175"/>
      <c r="J300" s="175"/>
      <c r="K300" s="175"/>
      <c r="L300" s="175"/>
      <c r="M300" s="175"/>
      <c r="N300" s="175"/>
      <c r="O300" s="175"/>
    </row>
    <row r="301" spans="4:15">
      <c r="D301" s="175"/>
      <c r="E301" s="175"/>
      <c r="F301" s="175"/>
      <c r="G301" s="175"/>
      <c r="H301" s="175"/>
      <c r="I301" s="175"/>
      <c r="J301" s="175"/>
      <c r="K301" s="175"/>
      <c r="L301" s="175"/>
      <c r="M301" s="175"/>
      <c r="N301" s="175"/>
      <c r="O301" s="175"/>
    </row>
    <row r="302" spans="4:15">
      <c r="D302" s="175"/>
      <c r="E302" s="175"/>
      <c r="F302" s="175"/>
      <c r="G302" s="175"/>
      <c r="H302" s="175"/>
      <c r="I302" s="175"/>
      <c r="J302" s="175"/>
      <c r="K302" s="175"/>
      <c r="L302" s="175"/>
      <c r="M302" s="175"/>
      <c r="N302" s="175"/>
      <c r="O302" s="175"/>
    </row>
    <row r="303" spans="4:15">
      <c r="D303" s="175"/>
      <c r="E303" s="175"/>
      <c r="F303" s="175"/>
      <c r="G303" s="175"/>
      <c r="H303" s="175"/>
      <c r="I303" s="175"/>
      <c r="J303" s="175"/>
      <c r="K303" s="175"/>
      <c r="L303" s="175"/>
      <c r="M303" s="175"/>
      <c r="N303" s="175"/>
      <c r="O303" s="175"/>
    </row>
    <row r="304" spans="4:15">
      <c r="D304" s="175"/>
      <c r="E304" s="175"/>
      <c r="F304" s="175"/>
      <c r="G304" s="175"/>
      <c r="H304" s="175"/>
      <c r="I304" s="175"/>
      <c r="J304" s="175"/>
      <c r="K304" s="175"/>
      <c r="L304" s="175"/>
      <c r="M304" s="175"/>
      <c r="N304" s="175"/>
      <c r="O304" s="175"/>
    </row>
    <row r="305" spans="4:15">
      <c r="D305" s="175"/>
      <c r="E305" s="175"/>
      <c r="F305" s="175"/>
      <c r="G305" s="175"/>
      <c r="H305" s="175"/>
      <c r="I305" s="175"/>
      <c r="J305" s="175"/>
      <c r="K305" s="175"/>
      <c r="L305" s="175"/>
      <c r="M305" s="175"/>
      <c r="N305" s="175"/>
      <c r="O305" s="175"/>
    </row>
    <row r="306" spans="4:15">
      <c r="D306" s="175"/>
      <c r="E306" s="175"/>
      <c r="F306" s="175"/>
      <c r="G306" s="175"/>
      <c r="H306" s="175"/>
      <c r="I306" s="175"/>
      <c r="J306" s="175"/>
      <c r="K306" s="175"/>
      <c r="L306" s="175"/>
      <c r="M306" s="175"/>
      <c r="N306" s="175"/>
      <c r="O306" s="175"/>
    </row>
    <row r="307" spans="4:15">
      <c r="D307" s="175"/>
      <c r="E307" s="175"/>
      <c r="F307" s="175"/>
      <c r="G307" s="175"/>
      <c r="H307" s="175"/>
      <c r="I307" s="175"/>
      <c r="J307" s="175"/>
      <c r="K307" s="175"/>
      <c r="L307" s="175"/>
      <c r="M307" s="175"/>
      <c r="N307" s="175"/>
      <c r="O307" s="175"/>
    </row>
    <row r="308" spans="4:15">
      <c r="D308" s="175"/>
      <c r="E308" s="175"/>
      <c r="F308" s="175"/>
      <c r="G308" s="175"/>
      <c r="H308" s="175"/>
      <c r="I308" s="175"/>
      <c r="J308" s="175"/>
      <c r="K308" s="175"/>
      <c r="L308" s="175"/>
      <c r="M308" s="175"/>
      <c r="N308" s="175"/>
      <c r="O308" s="175"/>
    </row>
    <row r="309" spans="4:15">
      <c r="D309" s="175"/>
      <c r="E309" s="175"/>
      <c r="F309" s="175"/>
      <c r="G309" s="175"/>
      <c r="H309" s="175"/>
      <c r="I309" s="175"/>
      <c r="J309" s="175"/>
      <c r="K309" s="175"/>
      <c r="L309" s="175"/>
      <c r="M309" s="175"/>
      <c r="N309" s="175"/>
      <c r="O309" s="175"/>
    </row>
    <row r="310" spans="4:15">
      <c r="D310" s="175"/>
      <c r="E310" s="175"/>
      <c r="F310" s="175"/>
      <c r="G310" s="175"/>
      <c r="H310" s="175"/>
      <c r="I310" s="175"/>
      <c r="J310" s="175"/>
      <c r="K310" s="175"/>
      <c r="L310" s="175"/>
      <c r="M310" s="175"/>
      <c r="N310" s="175"/>
      <c r="O310" s="175"/>
    </row>
    <row r="311" spans="4:15">
      <c r="D311" s="175"/>
      <c r="E311" s="175"/>
      <c r="F311" s="175"/>
      <c r="G311" s="175"/>
      <c r="H311" s="175"/>
      <c r="I311" s="175"/>
      <c r="J311" s="175"/>
      <c r="K311" s="175"/>
      <c r="L311" s="175"/>
      <c r="M311" s="175"/>
      <c r="N311" s="175"/>
      <c r="O311" s="175"/>
    </row>
    <row r="312" spans="4:15">
      <c r="D312" s="175"/>
      <c r="E312" s="175"/>
      <c r="F312" s="175"/>
      <c r="G312" s="175"/>
      <c r="H312" s="175"/>
      <c r="I312" s="175"/>
      <c r="J312" s="175"/>
      <c r="K312" s="175"/>
      <c r="L312" s="175"/>
      <c r="M312" s="175"/>
      <c r="N312" s="175"/>
      <c r="O312" s="175"/>
    </row>
    <row r="313" spans="4:15">
      <c r="D313" s="175"/>
      <c r="E313" s="175"/>
      <c r="F313" s="175"/>
      <c r="G313" s="175"/>
      <c r="H313" s="175"/>
      <c r="I313" s="175"/>
      <c r="J313" s="175"/>
      <c r="K313" s="175"/>
      <c r="L313" s="175"/>
      <c r="M313" s="175"/>
      <c r="N313" s="175"/>
      <c r="O313" s="175"/>
    </row>
    <row r="314" spans="4:15">
      <c r="D314" s="175"/>
      <c r="E314" s="175"/>
      <c r="F314" s="175"/>
      <c r="G314" s="175"/>
      <c r="H314" s="175"/>
      <c r="I314" s="175"/>
      <c r="J314" s="175"/>
      <c r="K314" s="175"/>
      <c r="L314" s="175"/>
      <c r="M314" s="175"/>
      <c r="N314" s="175"/>
      <c r="O314" s="175"/>
    </row>
    <row r="315" spans="4:15">
      <c r="D315" s="175"/>
      <c r="E315" s="175"/>
      <c r="F315" s="175"/>
      <c r="G315" s="175"/>
      <c r="H315" s="175"/>
      <c r="I315" s="175"/>
      <c r="J315" s="175"/>
      <c r="K315" s="175"/>
      <c r="L315" s="175"/>
      <c r="M315" s="175"/>
      <c r="N315" s="175"/>
      <c r="O315" s="175"/>
    </row>
    <row r="316" spans="4:15">
      <c r="D316" s="175"/>
      <c r="E316" s="175"/>
      <c r="F316" s="175"/>
      <c r="G316" s="175"/>
      <c r="H316" s="175"/>
      <c r="I316" s="175"/>
      <c r="J316" s="175"/>
      <c r="K316" s="175"/>
      <c r="L316" s="175"/>
      <c r="M316" s="175"/>
      <c r="N316" s="175"/>
      <c r="O316" s="175"/>
    </row>
    <row r="317" spans="4:15">
      <c r="D317" s="175"/>
      <c r="E317" s="175"/>
      <c r="F317" s="175"/>
      <c r="G317" s="175"/>
      <c r="H317" s="175"/>
      <c r="I317" s="175"/>
      <c r="J317" s="175"/>
      <c r="K317" s="175"/>
      <c r="L317" s="175"/>
      <c r="M317" s="175"/>
      <c r="N317" s="175"/>
      <c r="O317" s="175"/>
    </row>
    <row r="318" spans="4:15">
      <c r="D318" s="175"/>
      <c r="E318" s="175"/>
      <c r="F318" s="175"/>
      <c r="G318" s="175"/>
      <c r="H318" s="175"/>
      <c r="I318" s="175"/>
      <c r="J318" s="175"/>
      <c r="K318" s="175"/>
      <c r="L318" s="175"/>
      <c r="M318" s="175"/>
      <c r="N318" s="175"/>
      <c r="O318" s="175"/>
    </row>
    <row r="319" spans="4:15">
      <c r="D319" s="175"/>
      <c r="E319" s="175"/>
      <c r="F319" s="175"/>
      <c r="G319" s="175"/>
      <c r="H319" s="175"/>
      <c r="I319" s="175"/>
      <c r="J319" s="175"/>
      <c r="K319" s="175"/>
      <c r="L319" s="175"/>
      <c r="M319" s="175"/>
      <c r="N319" s="175"/>
      <c r="O319" s="175"/>
    </row>
    <row r="320" spans="4:15">
      <c r="D320" s="175"/>
      <c r="E320" s="175"/>
      <c r="F320" s="175"/>
      <c r="G320" s="175"/>
      <c r="H320" s="175"/>
      <c r="I320" s="175"/>
      <c r="J320" s="175"/>
      <c r="K320" s="175"/>
      <c r="L320" s="175"/>
      <c r="M320" s="175"/>
      <c r="N320" s="175"/>
      <c r="O320" s="175"/>
    </row>
    <row r="321" spans="4:15">
      <c r="D321" s="175"/>
      <c r="E321" s="175"/>
      <c r="F321" s="175"/>
      <c r="G321" s="175"/>
      <c r="H321" s="175"/>
      <c r="I321" s="175"/>
      <c r="J321" s="175"/>
      <c r="K321" s="175"/>
      <c r="L321" s="175"/>
      <c r="M321" s="175"/>
      <c r="N321" s="175"/>
      <c r="O321" s="175"/>
    </row>
    <row r="322" spans="4:15">
      <c r="D322" s="175"/>
      <c r="E322" s="175"/>
      <c r="F322" s="175"/>
      <c r="G322" s="175"/>
      <c r="H322" s="175"/>
      <c r="I322" s="175"/>
      <c r="J322" s="175"/>
      <c r="K322" s="175"/>
      <c r="L322" s="175"/>
      <c r="M322" s="175"/>
      <c r="N322" s="175"/>
      <c r="O322" s="175"/>
    </row>
    <row r="323" spans="4:15">
      <c r="D323" s="175"/>
      <c r="E323" s="175"/>
      <c r="F323" s="175"/>
      <c r="G323" s="175"/>
      <c r="H323" s="175"/>
      <c r="I323" s="175"/>
      <c r="J323" s="175"/>
      <c r="K323" s="175"/>
      <c r="L323" s="175"/>
      <c r="M323" s="175"/>
      <c r="N323" s="175"/>
      <c r="O323" s="175"/>
    </row>
    <row r="324" spans="4:15">
      <c r="D324" s="175"/>
      <c r="E324" s="175"/>
      <c r="F324" s="175"/>
      <c r="G324" s="175"/>
      <c r="H324" s="175"/>
      <c r="I324" s="175"/>
      <c r="J324" s="175"/>
      <c r="K324" s="175"/>
      <c r="L324" s="175"/>
      <c r="M324" s="175"/>
      <c r="N324" s="175"/>
      <c r="O324" s="175"/>
    </row>
    <row r="325" spans="4:15">
      <c r="D325" s="175"/>
      <c r="E325" s="175"/>
      <c r="F325" s="175"/>
      <c r="G325" s="175"/>
      <c r="H325" s="175"/>
      <c r="I325" s="175"/>
      <c r="J325" s="175"/>
      <c r="K325" s="175"/>
      <c r="L325" s="175"/>
      <c r="M325" s="175"/>
      <c r="N325" s="175"/>
      <c r="O325" s="175"/>
    </row>
    <row r="326" spans="4:15">
      <c r="D326" s="175"/>
      <c r="E326" s="175"/>
      <c r="F326" s="175"/>
      <c r="G326" s="175"/>
      <c r="H326" s="175"/>
      <c r="I326" s="175"/>
      <c r="J326" s="175"/>
      <c r="K326" s="175"/>
      <c r="L326" s="175"/>
      <c r="M326" s="175"/>
      <c r="N326" s="175"/>
      <c r="O326" s="175"/>
    </row>
    <row r="327" spans="4:15">
      <c r="D327" s="175"/>
      <c r="E327" s="175"/>
      <c r="F327" s="175"/>
      <c r="G327" s="175"/>
      <c r="H327" s="175"/>
      <c r="I327" s="175"/>
      <c r="J327" s="175"/>
      <c r="K327" s="175"/>
      <c r="L327" s="175"/>
      <c r="M327" s="175"/>
      <c r="N327" s="175"/>
      <c r="O327" s="175"/>
    </row>
    <row r="328" spans="4:15">
      <c r="D328" s="175"/>
      <c r="E328" s="175"/>
      <c r="F328" s="175"/>
      <c r="G328" s="175"/>
      <c r="H328" s="175"/>
      <c r="I328" s="175"/>
      <c r="J328" s="175"/>
      <c r="K328" s="175"/>
      <c r="L328" s="175"/>
      <c r="M328" s="175"/>
      <c r="N328" s="175"/>
      <c r="O328" s="175"/>
    </row>
  </sheetData>
  <sortState caseSensitive="1" ref="AA3:AD200">
    <sortCondition ref="AA3:AA200"/>
  </sortState>
  <mergeCells count="3">
    <mergeCell ref="Z1:AD1"/>
    <mergeCell ref="BA1:BE1"/>
    <mergeCell ref="BI1:BM1"/>
  </mergeCells>
  <dataValidations count="9">
    <dataValidation type="custom" allowBlank="1" showInputMessage="1" showErrorMessage="1" errorTitle="Modif impossibel" error="Cellule proégée" promptTitle="Ne pas modifier" prompt="Arret" sqref="AI1">
      <formula1>"x+x"</formula1>
    </dataValidation>
    <dataValidation type="whole" operator="greaterThan" allowBlank="1" showInputMessage="1" showErrorMessage="1" errorTitle="stop" error="Annuler" promptTitle="Cellule protégée" prompt="Modification impossible" sqref="AI5">
      <formula1>88888</formula1>
    </dataValidation>
    <dataValidation type="whole" operator="greaterThan" allowBlank="1" showInputMessage="1" showErrorMessage="1" errorTitle="stop" error="stop" promptTitle="cellule protégée" prompt="stop" sqref="P137:Q1048576 P1:Q128">
      <formula1>999999999</formula1>
    </dataValidation>
    <dataValidation type="whole" operator="greaterThan" allowBlank="1" showInputMessage="1" showErrorMessage="1" errorTitle="Modif impossibel" error="Cellule proégée" promptTitle="Ne pas modifier" prompt="Arret" sqref="AI3">
      <formula1>9999999999</formula1>
    </dataValidation>
    <dataValidation type="custom" allowBlank="1" showInputMessage="1" showErrorMessage="1" sqref="AL9:AL66 AM1:AM66 AY1:AY70 AX1:AX34 AX40:AX66">
      <formula1>"x-y"</formula1>
    </dataValidation>
    <dataValidation allowBlank="1" showInputMessage="1" showErrorMessage="1" sqref="AI20"/>
    <dataValidation operator="greaterThan" allowBlank="1" showInputMessage="1" showErrorMessage="1" errorTitle="stop" error="retour" sqref="BA1:BA66 Y1:Y1048576 Z1:Z131 BH1:BH2 BI1:BI36 BB1:BF2 AZ1:AZ2 BJ1:BN2 AA131:AD1048576 AA1:AD2 AE1:AE1048576 Z133:Z1048576"/>
    <dataValidation type="whole" operator="greaterThan" allowBlank="1" showInputMessage="1" showErrorMessage="1" errorTitle="stop" error="retour" promptTitle="cellule protégée" prompt="stop" sqref="AA3:AD112 BB3:BE66 BJ36:BM36 BJ3:BN35">
      <formula1>99999999</formula1>
    </dataValidation>
    <dataValidation type="custom" operator="greaterThan" allowBlank="1" showInputMessage="1" showErrorMessage="1" errorTitle="stop" error="stop" promptTitle="cellule protégée" prompt="stop" sqref="D129:Q136">
      <formula1>"zzz;;;zzzz"</formula1>
    </dataValidation>
  </dataValidations>
  <pageMargins left="0.23622047244094491" right="0.23622047244094491" top="0.15748031496062992" bottom="0.35433070866141736" header="0" footer="0"/>
  <pageSetup paperSize="9" scale="81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S50"/>
  <sheetViews>
    <sheetView zoomScale="120" zoomScaleNormal="120" workbookViewId="0">
      <pane xSplit="2" topLeftCell="K1" activePane="topRight" state="frozen"/>
      <selection pane="topRight" activeCell="K5" sqref="K5:N5"/>
    </sheetView>
  </sheetViews>
  <sheetFormatPr baseColWidth="10" defaultRowHeight="20.25"/>
  <cols>
    <col min="1" max="1" width="16.5703125" customWidth="1"/>
    <col min="3" max="14" width="47.42578125" customWidth="1"/>
    <col min="18" max="18" width="20.28515625" customWidth="1"/>
    <col min="19" max="19" width="23" style="8" customWidth="1"/>
  </cols>
  <sheetData>
    <row r="1" spans="1:19">
      <c r="Q1" s="7" t="s">
        <v>21</v>
      </c>
      <c r="R1" s="9" t="s">
        <v>37</v>
      </c>
      <c r="S1" s="8" t="str">
        <f>CONCATENATE(Q1,R1)</f>
        <v>Eq 01  : .Charles- Casimir</v>
      </c>
    </row>
    <row r="2" spans="1:19">
      <c r="Q2" s="7" t="s">
        <v>22</v>
      </c>
      <c r="R2" s="9" t="s">
        <v>30</v>
      </c>
      <c r="S2" s="8" t="str">
        <f t="shared" ref="S2:S22" si="0">CONCATENATE(Q2,R2)</f>
        <v>Eq 02  : .Norbert</v>
      </c>
    </row>
    <row r="3" spans="1:19">
      <c r="Q3" s="7" t="s">
        <v>23</v>
      </c>
      <c r="R3" s="9" t="s">
        <v>31</v>
      </c>
      <c r="S3" s="8" t="str">
        <f t="shared" si="0"/>
        <v>Eq 03  : .Père &amp; Fils</v>
      </c>
    </row>
    <row r="4" spans="1:19" ht="21" thickBot="1">
      <c r="Q4" s="7" t="s">
        <v>24</v>
      </c>
      <c r="R4" s="9" t="s">
        <v>38</v>
      </c>
      <c r="S4" s="8" t="str">
        <f t="shared" si="0"/>
        <v>Eq 04  : .Vivien- Rose</v>
      </c>
    </row>
    <row r="5" spans="1:19">
      <c r="C5" s="247" t="s">
        <v>1</v>
      </c>
      <c r="D5" s="248"/>
      <c r="E5" s="249" t="s">
        <v>0</v>
      </c>
      <c r="F5" s="250"/>
      <c r="G5" s="251" t="s">
        <v>2</v>
      </c>
      <c r="H5" s="252"/>
      <c r="I5" s="253" t="s">
        <v>3</v>
      </c>
      <c r="J5" s="254"/>
      <c r="K5" s="243" t="s">
        <v>4</v>
      </c>
      <c r="L5" s="244"/>
      <c r="M5" s="245" t="s">
        <v>5</v>
      </c>
      <c r="N5" s="246"/>
      <c r="Q5" s="7" t="s">
        <v>25</v>
      </c>
      <c r="R5" s="9" t="s">
        <v>39</v>
      </c>
      <c r="S5" s="8" t="str">
        <f t="shared" si="0"/>
        <v>Eq 05  : .Alban - Audrey</v>
      </c>
    </row>
    <row r="6" spans="1:19">
      <c r="A6" s="10" t="s">
        <v>20</v>
      </c>
      <c r="B6" s="20">
        <v>1</v>
      </c>
      <c r="C6" s="12">
        <v>9</v>
      </c>
      <c r="D6" s="13">
        <v>19</v>
      </c>
      <c r="E6" s="18">
        <v>4</v>
      </c>
      <c r="F6" s="19">
        <v>19</v>
      </c>
      <c r="G6" s="14">
        <v>10</v>
      </c>
      <c r="H6" s="15">
        <v>6</v>
      </c>
      <c r="I6" s="16">
        <v>10</v>
      </c>
      <c r="J6" s="17">
        <v>20</v>
      </c>
      <c r="K6" s="24">
        <v>22</v>
      </c>
      <c r="L6" s="25">
        <v>19</v>
      </c>
      <c r="M6" s="26">
        <v>12</v>
      </c>
      <c r="N6" s="27">
        <v>2</v>
      </c>
      <c r="Q6" s="7" t="s">
        <v>26</v>
      </c>
      <c r="R6" s="9" t="s">
        <v>40</v>
      </c>
      <c r="S6" s="8" t="str">
        <f t="shared" si="0"/>
        <v>Eq 06  : .Gilbert- Médard</v>
      </c>
    </row>
    <row r="7" spans="1:19">
      <c r="A7" s="10" t="s">
        <v>20</v>
      </c>
      <c r="B7" s="20">
        <v>2</v>
      </c>
      <c r="C7" s="12">
        <v>15</v>
      </c>
      <c r="D7" s="13">
        <v>20</v>
      </c>
      <c r="E7" s="18">
        <v>2</v>
      </c>
      <c r="F7" s="19">
        <v>7</v>
      </c>
      <c r="G7" s="14">
        <v>8</v>
      </c>
      <c r="H7" s="15">
        <v>18</v>
      </c>
      <c r="I7" s="16">
        <v>13</v>
      </c>
      <c r="J7" s="17">
        <v>7</v>
      </c>
      <c r="K7" s="24">
        <v>12</v>
      </c>
      <c r="L7" s="25">
        <v>21</v>
      </c>
      <c r="M7" s="26">
        <v>19</v>
      </c>
      <c r="N7" s="27">
        <v>16</v>
      </c>
      <c r="Q7" s="7" t="s">
        <v>27</v>
      </c>
      <c r="R7" s="9" t="s">
        <v>32</v>
      </c>
      <c r="S7" s="8" t="str">
        <f t="shared" si="0"/>
        <v>Eq 07  : .Nestor</v>
      </c>
    </row>
    <row r="8" spans="1:19">
      <c r="A8" s="10" t="s">
        <v>20</v>
      </c>
      <c r="B8" s="20">
        <v>3</v>
      </c>
      <c r="C8" s="12">
        <v>11</v>
      </c>
      <c r="D8" s="13">
        <v>13</v>
      </c>
      <c r="E8" s="18">
        <v>6</v>
      </c>
      <c r="F8" s="19">
        <v>5</v>
      </c>
      <c r="G8" s="14">
        <v>12</v>
      </c>
      <c r="H8" s="15">
        <v>20</v>
      </c>
      <c r="I8" s="16">
        <v>18</v>
      </c>
      <c r="J8" s="17">
        <v>15</v>
      </c>
      <c r="K8" s="24">
        <v>5</v>
      </c>
      <c r="L8" s="25">
        <v>17</v>
      </c>
      <c r="M8" s="26">
        <v>22</v>
      </c>
      <c r="N8" s="27">
        <v>5</v>
      </c>
      <c r="Q8" s="7" t="s">
        <v>28</v>
      </c>
      <c r="R8" s="9" t="s">
        <v>19</v>
      </c>
      <c r="S8" s="8" t="str">
        <f t="shared" si="0"/>
        <v>Eq 08  : .Durand - Dupont</v>
      </c>
    </row>
    <row r="9" spans="1:19">
      <c r="A9" s="10" t="s">
        <v>20</v>
      </c>
      <c r="B9" s="20">
        <v>4</v>
      </c>
      <c r="C9" s="12">
        <v>1</v>
      </c>
      <c r="D9" s="13">
        <v>18</v>
      </c>
      <c r="E9" s="18">
        <v>10</v>
      </c>
      <c r="F9" s="19">
        <v>11</v>
      </c>
      <c r="G9" s="14">
        <v>19</v>
      </c>
      <c r="H9" s="15">
        <v>1</v>
      </c>
      <c r="I9" s="16">
        <v>21</v>
      </c>
      <c r="J9" s="17">
        <v>3</v>
      </c>
      <c r="K9" s="24">
        <v>6</v>
      </c>
      <c r="L9" s="25">
        <v>2</v>
      </c>
      <c r="M9" s="26">
        <v>21</v>
      </c>
      <c r="N9" s="27">
        <v>13</v>
      </c>
      <c r="Q9" s="7" t="s">
        <v>29</v>
      </c>
      <c r="R9" s="9" t="s">
        <v>41</v>
      </c>
      <c r="S9" s="8" t="str">
        <f t="shared" si="0"/>
        <v>Eq 09  : .Alexis - Claude</v>
      </c>
    </row>
    <row r="10" spans="1:19">
      <c r="A10" s="10" t="s">
        <v>20</v>
      </c>
      <c r="B10" s="20">
        <v>5</v>
      </c>
      <c r="C10" s="12">
        <v>22</v>
      </c>
      <c r="D10" s="13">
        <v>8</v>
      </c>
      <c r="E10" s="18">
        <v>3</v>
      </c>
      <c r="F10" s="19">
        <v>8</v>
      </c>
      <c r="G10" s="14">
        <v>2</v>
      </c>
      <c r="H10" s="15">
        <v>5</v>
      </c>
      <c r="I10" s="16">
        <v>8</v>
      </c>
      <c r="J10" s="17">
        <v>6</v>
      </c>
      <c r="K10" s="24">
        <v>4</v>
      </c>
      <c r="L10" s="25">
        <v>1</v>
      </c>
      <c r="M10" s="26">
        <v>8</v>
      </c>
      <c r="N10" s="27">
        <v>17</v>
      </c>
      <c r="Q10" s="7" t="s">
        <v>6</v>
      </c>
      <c r="R10" s="9" t="s">
        <v>42</v>
      </c>
      <c r="S10" s="8" t="str">
        <f t="shared" si="0"/>
        <v>Eq 10  : .Edouard- Odilon</v>
      </c>
    </row>
    <row r="11" spans="1:19">
      <c r="A11" s="10" t="s">
        <v>20</v>
      </c>
      <c r="B11" s="20">
        <v>6</v>
      </c>
      <c r="C11" s="12">
        <v>7</v>
      </c>
      <c r="D11" s="13">
        <v>6</v>
      </c>
      <c r="E11" s="18">
        <v>14</v>
      </c>
      <c r="F11" s="19">
        <v>16</v>
      </c>
      <c r="G11" s="14">
        <v>14</v>
      </c>
      <c r="H11" s="15">
        <v>21</v>
      </c>
      <c r="I11" s="16">
        <v>16</v>
      </c>
      <c r="J11" s="17">
        <v>5</v>
      </c>
      <c r="K11" s="24">
        <v>20</v>
      </c>
      <c r="L11" s="25">
        <v>14</v>
      </c>
      <c r="M11" s="26">
        <v>9</v>
      </c>
      <c r="N11" s="27">
        <v>3</v>
      </c>
      <c r="Q11" s="7" t="s">
        <v>7</v>
      </c>
      <c r="R11" s="9" t="s">
        <v>43</v>
      </c>
      <c r="S11" s="8" t="str">
        <f t="shared" si="0"/>
        <v>Eq 11 : .Marcel- Rémi</v>
      </c>
    </row>
    <row r="12" spans="1:19">
      <c r="A12" s="10" t="s">
        <v>20</v>
      </c>
      <c r="B12" s="20">
        <v>7</v>
      </c>
      <c r="C12" s="12">
        <v>4</v>
      </c>
      <c r="D12" s="13">
        <v>12</v>
      </c>
      <c r="E12" s="18">
        <v>9</v>
      </c>
      <c r="F12" s="19">
        <v>20</v>
      </c>
      <c r="G12" s="14">
        <v>16</v>
      </c>
      <c r="H12" s="15">
        <v>11</v>
      </c>
      <c r="I12" s="16">
        <v>22</v>
      </c>
      <c r="J12" s="17">
        <v>11</v>
      </c>
      <c r="K12" s="24">
        <v>18</v>
      </c>
      <c r="L12" s="25">
        <v>11</v>
      </c>
      <c r="M12" s="26">
        <v>10</v>
      </c>
      <c r="N12" s="27">
        <v>1</v>
      </c>
      <c r="Q12" s="7" t="s">
        <v>8</v>
      </c>
      <c r="R12" s="9" t="s">
        <v>33</v>
      </c>
      <c r="S12" s="8" t="str">
        <f t="shared" si="0"/>
        <v>Eq 12 : .Marius</v>
      </c>
    </row>
    <row r="13" spans="1:19">
      <c r="A13" s="10" t="s">
        <v>20</v>
      </c>
      <c r="B13" s="20">
        <v>8</v>
      </c>
      <c r="C13" s="12">
        <v>16</v>
      </c>
      <c r="D13" s="13">
        <v>2</v>
      </c>
      <c r="E13" s="18">
        <v>18</v>
      </c>
      <c r="F13" s="19">
        <v>13</v>
      </c>
      <c r="G13" s="14">
        <v>13</v>
      </c>
      <c r="H13" s="15">
        <v>17</v>
      </c>
      <c r="I13" s="16">
        <v>14</v>
      </c>
      <c r="J13" s="17">
        <v>9</v>
      </c>
      <c r="K13" s="24">
        <v>15</v>
      </c>
      <c r="L13" s="25">
        <v>7</v>
      </c>
      <c r="M13" s="26">
        <v>7</v>
      </c>
      <c r="N13" s="27">
        <v>20</v>
      </c>
      <c r="Q13" s="7" t="s">
        <v>9</v>
      </c>
      <c r="R13" s="9" t="s">
        <v>34</v>
      </c>
      <c r="S13" s="8" t="str">
        <f t="shared" si="0"/>
        <v>Eq 13  : .Vincent</v>
      </c>
    </row>
    <row r="14" spans="1:19">
      <c r="A14" s="10" t="s">
        <v>20</v>
      </c>
      <c r="B14" s="20">
        <v>9</v>
      </c>
      <c r="C14" s="12">
        <v>3</v>
      </c>
      <c r="D14" s="13">
        <v>14</v>
      </c>
      <c r="E14" s="18">
        <v>12</v>
      </c>
      <c r="F14" s="19">
        <v>15</v>
      </c>
      <c r="G14" s="14">
        <v>7</v>
      </c>
      <c r="H14" s="15">
        <v>22</v>
      </c>
      <c r="I14" s="16">
        <v>12</v>
      </c>
      <c r="J14" s="17">
        <v>1</v>
      </c>
      <c r="K14" s="24">
        <v>13</v>
      </c>
      <c r="L14" s="25">
        <v>16</v>
      </c>
      <c r="M14" s="26">
        <v>6</v>
      </c>
      <c r="N14" s="27">
        <v>18</v>
      </c>
      <c r="Q14" s="7" t="s">
        <v>10</v>
      </c>
      <c r="R14" s="9" t="s">
        <v>44</v>
      </c>
      <c r="S14" s="8" t="str">
        <f t="shared" si="0"/>
        <v>Eq 14  : .Gildas- Martine</v>
      </c>
    </row>
    <row r="15" spans="1:19">
      <c r="A15" s="10" t="s">
        <v>20</v>
      </c>
      <c r="B15" s="20">
        <v>10</v>
      </c>
      <c r="C15" s="12">
        <v>10</v>
      </c>
      <c r="D15" s="13">
        <v>5</v>
      </c>
      <c r="E15" s="18">
        <v>17</v>
      </c>
      <c r="F15" s="19">
        <v>1</v>
      </c>
      <c r="G15" s="14">
        <v>9</v>
      </c>
      <c r="H15" s="15">
        <v>15</v>
      </c>
      <c r="I15" s="16">
        <v>19</v>
      </c>
      <c r="J15" s="17">
        <v>2</v>
      </c>
      <c r="K15" s="24">
        <v>3</v>
      </c>
      <c r="L15" s="25">
        <v>10</v>
      </c>
      <c r="M15" s="26">
        <v>4</v>
      </c>
      <c r="N15" s="27">
        <v>14</v>
      </c>
      <c r="Q15" s="7" t="s">
        <v>11</v>
      </c>
      <c r="R15" s="9" t="s">
        <v>45</v>
      </c>
      <c r="S15" s="8" t="str">
        <f t="shared" si="0"/>
        <v>Eq 15  : .Hugues - Sandrine</v>
      </c>
    </row>
    <row r="16" spans="1:19">
      <c r="A16" s="10" t="s">
        <v>20</v>
      </c>
      <c r="B16" s="20">
        <v>11</v>
      </c>
      <c r="C16" s="12">
        <v>17</v>
      </c>
      <c r="D16" s="13">
        <v>21</v>
      </c>
      <c r="E16" s="18">
        <v>22</v>
      </c>
      <c r="F16" s="19">
        <v>21</v>
      </c>
      <c r="G16" s="14">
        <v>3</v>
      </c>
      <c r="H16" s="15">
        <v>4</v>
      </c>
      <c r="I16" s="16">
        <v>17</v>
      </c>
      <c r="J16" s="17">
        <v>4</v>
      </c>
      <c r="K16" s="24">
        <v>8</v>
      </c>
      <c r="L16" s="25">
        <v>9</v>
      </c>
      <c r="M16" s="26">
        <v>11</v>
      </c>
      <c r="N16" s="27">
        <v>15</v>
      </c>
      <c r="Q16" s="7" t="s">
        <v>12</v>
      </c>
      <c r="R16" s="9" t="s">
        <v>35</v>
      </c>
      <c r="S16" s="8" t="str">
        <f t="shared" si="0"/>
        <v>Eq 16  : .Achille</v>
      </c>
    </row>
    <row r="17" spans="1:19">
      <c r="A17" s="10"/>
      <c r="B17" s="11"/>
      <c r="Q17" s="7" t="s">
        <v>13</v>
      </c>
      <c r="R17" s="9" t="s">
        <v>36</v>
      </c>
      <c r="S17" s="8" t="str">
        <f t="shared" si="0"/>
        <v>Eq 17  : .Roland</v>
      </c>
    </row>
    <row r="18" spans="1:19">
      <c r="A18" s="10"/>
      <c r="B18" s="11"/>
      <c r="Q18" s="7" t="s">
        <v>14</v>
      </c>
      <c r="R18" s="9" t="s">
        <v>19</v>
      </c>
      <c r="S18" s="8" t="str">
        <f t="shared" si="0"/>
        <v>Eq 18  : .Durand - Dupont</v>
      </c>
    </row>
    <row r="19" spans="1:19">
      <c r="A19" s="10"/>
      <c r="B19" s="11"/>
      <c r="Q19" s="7" t="s">
        <v>15</v>
      </c>
      <c r="R19" s="9" t="s">
        <v>19</v>
      </c>
      <c r="S19" s="8" t="str">
        <f t="shared" si="0"/>
        <v>Eq 19  : .Durand - Dupont</v>
      </c>
    </row>
    <row r="20" spans="1:19">
      <c r="A20" s="10"/>
      <c r="B20" s="11"/>
      <c r="Q20" s="7" t="s">
        <v>16</v>
      </c>
      <c r="R20" s="9" t="s">
        <v>19</v>
      </c>
      <c r="S20" s="8" t="str">
        <f t="shared" si="0"/>
        <v>Eq 20  : .Durand - Dupont</v>
      </c>
    </row>
    <row r="21" spans="1:19">
      <c r="A21" s="10"/>
      <c r="B21" s="11"/>
      <c r="Q21" s="7" t="s">
        <v>17</v>
      </c>
      <c r="R21" s="9" t="s">
        <v>19</v>
      </c>
      <c r="S21" s="8" t="str">
        <f t="shared" si="0"/>
        <v>Eq 21 : .Durand - Dupont</v>
      </c>
    </row>
    <row r="22" spans="1:19">
      <c r="A22" s="10"/>
      <c r="B22" s="11"/>
      <c r="Q22" s="7" t="s">
        <v>18</v>
      </c>
      <c r="R22" s="9" t="s">
        <v>19</v>
      </c>
      <c r="S22" s="8" t="str">
        <f t="shared" si="0"/>
        <v>Eq 22 : .Durand - Dupont</v>
      </c>
    </row>
    <row r="23" spans="1:19" ht="25.5">
      <c r="A23" s="10"/>
      <c r="B23" s="11"/>
      <c r="C23" s="237" t="s">
        <v>46</v>
      </c>
      <c r="D23" s="237"/>
      <c r="E23" s="238" t="s">
        <v>46</v>
      </c>
      <c r="F23" s="239"/>
      <c r="G23" s="240" t="s">
        <v>46</v>
      </c>
      <c r="H23" s="241"/>
      <c r="I23" s="242" t="s">
        <v>46</v>
      </c>
      <c r="J23" s="242"/>
      <c r="K23" s="21"/>
      <c r="L23" s="21"/>
      <c r="M23" s="21"/>
      <c r="N23" s="21"/>
      <c r="Q23" s="7"/>
      <c r="R23" s="7"/>
    </row>
    <row r="24" spans="1:19">
      <c r="Q24" s="7"/>
      <c r="R24" s="7"/>
    </row>
    <row r="25" spans="1:19">
      <c r="Q25" s="7"/>
      <c r="R25" s="7"/>
    </row>
    <row r="26" spans="1:19">
      <c r="Q26" s="7"/>
      <c r="R26" s="7"/>
    </row>
    <row r="27" spans="1:19">
      <c r="Q27" s="7"/>
      <c r="R27" s="7"/>
    </row>
    <row r="28" spans="1:19">
      <c r="Q28" s="7"/>
      <c r="R28" s="7"/>
    </row>
    <row r="29" spans="1:19">
      <c r="Q29" s="7"/>
      <c r="R29" s="7"/>
    </row>
    <row r="30" spans="1:19">
      <c r="Q30" s="7"/>
      <c r="R30" s="7"/>
    </row>
    <row r="31" spans="1:19">
      <c r="Q31" s="7"/>
      <c r="R31" s="7"/>
    </row>
    <row r="32" spans="1:19">
      <c r="Q32" s="7"/>
      <c r="R32" s="7"/>
    </row>
    <row r="33" spans="17:18">
      <c r="Q33" s="7"/>
      <c r="R33" s="7"/>
    </row>
    <row r="34" spans="17:18">
      <c r="Q34" s="7"/>
      <c r="R34" s="7"/>
    </row>
    <row r="35" spans="17:18">
      <c r="Q35" s="7"/>
      <c r="R35" s="7"/>
    </row>
    <row r="36" spans="17:18">
      <c r="Q36" s="7"/>
      <c r="R36" s="7"/>
    </row>
    <row r="37" spans="17:18">
      <c r="Q37" s="7"/>
      <c r="R37" s="7"/>
    </row>
    <row r="38" spans="17:18">
      <c r="Q38" s="7"/>
      <c r="R38" s="7"/>
    </row>
    <row r="39" spans="17:18">
      <c r="Q39" s="7"/>
      <c r="R39" s="7"/>
    </row>
    <row r="40" spans="17:18">
      <c r="Q40" s="7"/>
      <c r="R40" s="7"/>
    </row>
    <row r="41" spans="17:18">
      <c r="Q41" s="7"/>
      <c r="R41" s="7"/>
    </row>
    <row r="42" spans="17:18">
      <c r="Q42" s="7"/>
      <c r="R42" s="7"/>
    </row>
    <row r="43" spans="17:18">
      <c r="Q43" s="7"/>
      <c r="R43" s="7"/>
    </row>
    <row r="44" spans="17:18">
      <c r="Q44" s="7"/>
      <c r="R44" s="7"/>
    </row>
    <row r="45" spans="17:18">
      <c r="Q45" s="7"/>
      <c r="R45" s="7"/>
    </row>
    <row r="46" spans="17:18">
      <c r="Q46" s="7"/>
      <c r="R46" s="7"/>
    </row>
    <row r="47" spans="17:18">
      <c r="Q47" s="7"/>
      <c r="R47" s="7"/>
    </row>
    <row r="48" spans="17:18">
      <c r="Q48" s="7"/>
      <c r="R48" s="7"/>
    </row>
    <row r="49" spans="17:18">
      <c r="Q49" s="7"/>
      <c r="R49" s="7"/>
    </row>
    <row r="50" spans="17:18">
      <c r="Q50" s="7"/>
      <c r="R50" s="7"/>
    </row>
  </sheetData>
  <mergeCells count="10">
    <mergeCell ref="M5:N5"/>
    <mergeCell ref="C5:D5"/>
    <mergeCell ref="E5:F5"/>
    <mergeCell ref="G5:H5"/>
    <mergeCell ref="I5:J5"/>
    <mergeCell ref="C23:D23"/>
    <mergeCell ref="E23:F23"/>
    <mergeCell ref="G23:H23"/>
    <mergeCell ref="I23:J23"/>
    <mergeCell ref="K5:L5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tabColor rgb="FF336600"/>
    <pageSetUpPr fitToPage="1"/>
  </sheetPr>
  <dimension ref="A1:BX405"/>
  <sheetViews>
    <sheetView tabSelected="1" zoomScale="95" zoomScaleNormal="95" workbookViewId="0">
      <pane xSplit="2" topLeftCell="C1" activePane="topRight" state="frozen"/>
      <selection activeCell="C32" sqref="C32"/>
      <selection pane="topRight"/>
    </sheetView>
  </sheetViews>
  <sheetFormatPr baseColWidth="10" defaultRowHeight="20.25"/>
  <cols>
    <col min="1" max="1" width="38.28515625" style="58" customWidth="1"/>
    <col min="2" max="2" width="9.28515625" style="58" customWidth="1"/>
    <col min="3" max="3" width="8.28515625" style="58" customWidth="1"/>
    <col min="4" max="4" width="8.28515625" style="59" customWidth="1"/>
    <col min="5" max="5" width="1.5703125" style="59" customWidth="1"/>
    <col min="6" max="6" width="56.85546875" style="58" customWidth="1"/>
    <col min="7" max="7" width="8.28515625" style="58" customWidth="1"/>
    <col min="8" max="8" width="8.28515625" style="60" customWidth="1"/>
    <col min="9" max="9" width="1.5703125" style="61" customWidth="1"/>
    <col min="10" max="10" width="56.85546875" style="58" customWidth="1"/>
    <col min="11" max="12" width="9.85546875" style="58" customWidth="1"/>
    <col min="13" max="13" width="8.28515625" style="114" customWidth="1"/>
    <col min="14" max="14" width="8.28515625" style="128" customWidth="1"/>
    <col min="15" max="15" width="1.5703125" style="98" customWidth="1"/>
    <col min="16" max="16" width="56.85546875" style="98" customWidth="1"/>
    <col min="17" max="17" width="8.28515625" style="114" customWidth="1"/>
    <col min="18" max="18" width="8.28515625" style="128" customWidth="1"/>
    <col min="19" max="19" width="1.5703125" style="114" customWidth="1"/>
    <col min="20" max="20" width="56.85546875" style="114" customWidth="1"/>
    <col min="21" max="22" width="9.85546875" style="114" customWidth="1"/>
    <col min="23" max="23" width="8.28515625" style="62" customWidth="1"/>
    <col min="24" max="24" width="8.28515625" style="101" customWidth="1"/>
    <col min="25" max="25" width="1.5703125" style="62" customWidth="1"/>
    <col min="26" max="26" width="56.85546875" style="62" customWidth="1"/>
    <col min="27" max="27" width="8.28515625" style="62" customWidth="1"/>
    <col min="28" max="28" width="8.28515625" style="101" customWidth="1"/>
    <col min="29" max="29" width="1.5703125" style="62" customWidth="1"/>
    <col min="30" max="30" width="56.85546875" style="62" customWidth="1"/>
    <col min="31" max="32" width="9.85546875" style="62" customWidth="1"/>
    <col min="33" max="33" width="8.28515625" style="62" customWidth="1"/>
    <col min="34" max="34" width="8.28515625" style="101" customWidth="1"/>
    <col min="35" max="35" width="1.5703125" style="62" customWidth="1"/>
    <col min="36" max="36" width="56.85546875" style="62" customWidth="1"/>
    <col min="37" max="37" width="8.28515625" style="62" customWidth="1"/>
    <col min="38" max="38" width="8.28515625" style="101" customWidth="1"/>
    <col min="39" max="39" width="1.5703125" style="62" customWidth="1"/>
    <col min="40" max="40" width="56.85546875" style="62" customWidth="1"/>
    <col min="41" max="42" width="9.85546875" style="62" customWidth="1"/>
    <col min="43" max="43" width="8.28515625" style="62" customWidth="1"/>
    <col min="44" max="44" width="8.28515625" style="101" customWidth="1"/>
    <col min="45" max="45" width="1.5703125" style="62" customWidth="1"/>
    <col min="46" max="46" width="56.85546875" style="62" customWidth="1"/>
    <col min="47" max="47" width="8.28515625" style="62" customWidth="1"/>
    <col min="48" max="48" width="8.28515625" style="101" customWidth="1"/>
    <col min="49" max="49" width="1.5703125" style="62" customWidth="1"/>
    <col min="50" max="50" width="56.85546875" style="62" customWidth="1"/>
    <col min="51" max="52" width="9.85546875" style="62" customWidth="1"/>
    <col min="53" max="53" width="8.28515625" style="62" customWidth="1"/>
    <col min="54" max="54" width="8.28515625" style="101" customWidth="1"/>
    <col min="55" max="55" width="1.5703125" style="62" customWidth="1"/>
    <col min="56" max="56" width="56.85546875" style="62" customWidth="1"/>
    <col min="57" max="57" width="8.28515625" style="62" customWidth="1"/>
    <col min="58" max="58" width="8.28515625" style="101" customWidth="1"/>
    <col min="59" max="59" width="1.5703125" style="62" customWidth="1"/>
    <col min="60" max="60" width="56.85546875" style="62" customWidth="1"/>
    <col min="61" max="63" width="9.85546875" style="62" customWidth="1"/>
    <col min="64" max="65" width="11.42578125" style="58"/>
    <col min="66" max="66" width="55" style="65" customWidth="1"/>
    <col min="67" max="67" width="8" style="37" customWidth="1"/>
    <col min="68" max="69" width="11.42578125" style="58"/>
    <col min="70" max="70" width="10.28515625" style="266" customWidth="1"/>
    <col min="71" max="71" width="10.85546875" style="266" customWidth="1"/>
    <col min="72" max="72" width="37.85546875" style="267" customWidth="1"/>
    <col min="73" max="73" width="10.140625" style="66" customWidth="1"/>
    <col min="74" max="74" width="37.28515625" style="267" customWidth="1"/>
    <col min="75" max="75" width="10.42578125" style="66" customWidth="1"/>
    <col min="76" max="76" width="10.85546875" style="66" customWidth="1"/>
    <col min="77" max="16384" width="11.42578125" style="58"/>
  </cols>
  <sheetData>
    <row r="1" spans="1:76" ht="18.75" customHeight="1">
      <c r="M1" s="62"/>
      <c r="N1" s="101"/>
      <c r="O1" s="63"/>
      <c r="P1" s="63"/>
      <c r="Q1" s="62"/>
      <c r="R1" s="101"/>
      <c r="S1" s="62"/>
      <c r="T1" s="62"/>
      <c r="U1" s="62"/>
      <c r="V1" s="62"/>
      <c r="AY1" s="64"/>
      <c r="AZ1" s="64"/>
      <c r="BA1" s="64"/>
      <c r="BB1" s="111"/>
      <c r="BC1" s="64"/>
      <c r="BD1" s="64"/>
      <c r="BE1" s="64"/>
      <c r="BF1" s="111"/>
      <c r="BG1" s="64"/>
      <c r="BH1" s="64"/>
      <c r="BI1" s="64"/>
      <c r="BJ1" s="64"/>
      <c r="BK1" s="64"/>
      <c r="BL1" s="58">
        <f>[1]resultat!AI2</f>
        <v>118</v>
      </c>
      <c r="BM1" s="65">
        <f>[1]resultat!AL1</f>
        <v>1</v>
      </c>
      <c r="BN1" s="65" t="str">
        <f>[1]resultat!AM1</f>
        <v>PETER</v>
      </c>
      <c r="BO1" s="224">
        <v>1</v>
      </c>
      <c r="BP1" s="142">
        <v>13</v>
      </c>
      <c r="BQ1" s="148">
        <v>7</v>
      </c>
    </row>
    <row r="2" spans="1:76" ht="18.75" customHeight="1">
      <c r="A2" s="144"/>
      <c r="B2" s="103"/>
      <c r="F2" s="144"/>
      <c r="G2" s="47"/>
      <c r="H2" s="67"/>
      <c r="I2" s="68"/>
      <c r="J2" s="138"/>
      <c r="K2" s="47"/>
      <c r="L2" s="47"/>
      <c r="M2" s="64"/>
      <c r="N2" s="101"/>
      <c r="O2" s="63"/>
      <c r="P2" s="63"/>
      <c r="Q2" s="62"/>
      <c r="R2" s="101"/>
      <c r="S2" s="62"/>
      <c r="T2" s="62"/>
      <c r="U2" s="62"/>
      <c r="V2" s="62"/>
      <c r="AY2" s="64"/>
      <c r="AZ2" s="64"/>
      <c r="BA2" s="64"/>
      <c r="BB2" s="111"/>
      <c r="BC2" s="64"/>
      <c r="BD2" s="64"/>
      <c r="BE2" s="64"/>
      <c r="BF2" s="111"/>
      <c r="BG2" s="64"/>
      <c r="BH2" s="64"/>
      <c r="BI2" s="64"/>
      <c r="BJ2" s="64"/>
      <c r="BK2" s="64"/>
      <c r="BL2" s="58">
        <v>2</v>
      </c>
      <c r="BM2" s="65">
        <f>[1]resultat!AL2</f>
        <v>2</v>
      </c>
      <c r="BN2" s="65" t="str">
        <f>[1]resultat!AM2</f>
        <v>FRANCIS</v>
      </c>
      <c r="BO2" s="224">
        <v>2</v>
      </c>
      <c r="BP2" s="142">
        <v>13</v>
      </c>
      <c r="BQ2" s="148">
        <v>7</v>
      </c>
    </row>
    <row r="3" spans="1:76" ht="18.75" customHeight="1">
      <c r="F3" s="60"/>
      <c r="G3" s="60"/>
      <c r="M3" s="62"/>
      <c r="N3" s="101"/>
      <c r="O3" s="63"/>
      <c r="P3" s="63"/>
      <c r="Q3" s="62"/>
      <c r="R3" s="101"/>
      <c r="S3" s="62"/>
      <c r="T3" s="62"/>
      <c r="U3" s="62"/>
      <c r="V3" s="62"/>
      <c r="AY3" s="64"/>
      <c r="AZ3" s="64"/>
      <c r="BA3" s="64"/>
      <c r="BB3" s="111"/>
      <c r="BC3" s="64"/>
      <c r="BD3" s="64"/>
      <c r="BE3" s="64"/>
      <c r="BF3" s="111"/>
      <c r="BG3" s="64"/>
      <c r="BH3" s="64"/>
      <c r="BI3" s="64"/>
      <c r="BJ3" s="64"/>
      <c r="BK3" s="64"/>
      <c r="BL3" s="58">
        <f>BL1/BL2</f>
        <v>59</v>
      </c>
      <c r="BM3" s="65">
        <f>[1]resultat!AL3</f>
        <v>3</v>
      </c>
      <c r="BN3" s="65" t="str">
        <f>[1]resultat!AM3</f>
        <v>MARCO</v>
      </c>
      <c r="BO3" s="140">
        <v>3</v>
      </c>
      <c r="BP3" s="148">
        <v>7</v>
      </c>
      <c r="BQ3" s="142">
        <v>13</v>
      </c>
    </row>
    <row r="4" spans="1:76" ht="18.75" customHeight="1">
      <c r="M4" s="62"/>
      <c r="N4" s="101"/>
      <c r="O4" s="63"/>
      <c r="P4" s="63"/>
      <c r="Q4" s="62"/>
      <c r="R4" s="101"/>
      <c r="S4" s="62"/>
      <c r="T4" s="62"/>
      <c r="U4" s="62"/>
      <c r="V4" s="62"/>
      <c r="AY4" s="64"/>
      <c r="AZ4" s="64"/>
      <c r="BA4" s="64"/>
      <c r="BB4" s="111"/>
      <c r="BC4" s="64"/>
      <c r="BD4" s="64"/>
      <c r="BE4" s="64"/>
      <c r="BF4" s="111"/>
      <c r="BG4" s="64"/>
      <c r="BH4" s="64"/>
      <c r="BI4" s="64"/>
      <c r="BJ4" s="64"/>
      <c r="BK4" s="64"/>
      <c r="BM4" s="65">
        <f>[1]resultat!AL4</f>
        <v>4</v>
      </c>
      <c r="BN4" s="65" t="str">
        <f>[1]resultat!AM4</f>
        <v>DENISE</v>
      </c>
      <c r="BO4" s="140">
        <v>4</v>
      </c>
      <c r="BP4" s="148">
        <v>7</v>
      </c>
      <c r="BQ4" s="142">
        <v>13</v>
      </c>
    </row>
    <row r="5" spans="1:76" ht="31.5" customHeight="1" thickBot="1">
      <c r="A5" s="268">
        <v>43493</v>
      </c>
      <c r="B5" s="69">
        <v>43493.59171296296</v>
      </c>
      <c r="C5" s="261" t="s">
        <v>182</v>
      </c>
      <c r="D5" s="261"/>
      <c r="E5" s="261"/>
      <c r="F5" s="261"/>
      <c r="G5" s="262"/>
      <c r="H5" s="262"/>
      <c r="I5" s="262"/>
      <c r="J5" s="262"/>
      <c r="K5" s="261"/>
      <c r="L5" s="261"/>
      <c r="M5" s="255" t="s">
        <v>183</v>
      </c>
      <c r="N5" s="255"/>
      <c r="O5" s="255"/>
      <c r="P5" s="255"/>
      <c r="Q5" s="255"/>
      <c r="R5" s="255"/>
      <c r="S5" s="255"/>
      <c r="T5" s="255"/>
      <c r="U5" s="255"/>
      <c r="V5" s="255"/>
      <c r="W5" s="256" t="s">
        <v>184</v>
      </c>
      <c r="X5" s="256"/>
      <c r="Y5" s="256"/>
      <c r="Z5" s="256"/>
      <c r="AA5" s="257"/>
      <c r="AB5" s="257"/>
      <c r="AC5" s="257"/>
      <c r="AD5" s="257"/>
      <c r="AE5" s="256"/>
      <c r="AF5" s="256"/>
      <c r="AG5" s="258" t="s">
        <v>185</v>
      </c>
      <c r="AH5" s="258"/>
      <c r="AI5" s="258"/>
      <c r="AJ5" s="258"/>
      <c r="AK5" s="258"/>
      <c r="AL5" s="258"/>
      <c r="AM5" s="258"/>
      <c r="AN5" s="258"/>
      <c r="AO5" s="258"/>
      <c r="AP5" s="258"/>
      <c r="AQ5" s="259" t="s">
        <v>186</v>
      </c>
      <c r="AR5" s="259"/>
      <c r="AS5" s="259"/>
      <c r="AT5" s="259"/>
      <c r="AU5" s="259"/>
      <c r="AV5" s="259"/>
      <c r="AW5" s="259"/>
      <c r="AX5" s="259"/>
      <c r="AY5" s="259"/>
      <c r="AZ5" s="259"/>
      <c r="BA5" s="260" t="s">
        <v>55</v>
      </c>
      <c r="BB5" s="260"/>
      <c r="BC5" s="260"/>
      <c r="BD5" s="260"/>
      <c r="BE5" s="260"/>
      <c r="BF5" s="260"/>
      <c r="BG5" s="260"/>
      <c r="BH5" s="260"/>
      <c r="BI5" s="260"/>
      <c r="BJ5" s="260"/>
      <c r="BK5" s="64"/>
      <c r="BL5" s="58">
        <v>99</v>
      </c>
      <c r="BM5" s="65">
        <f>[1]resultat!AL5</f>
        <v>5</v>
      </c>
      <c r="BN5" s="65" t="str">
        <f>[1]resultat!AM5</f>
        <v>YVON</v>
      </c>
      <c r="BO5" s="229">
        <v>5</v>
      </c>
      <c r="BP5" s="142">
        <v>13</v>
      </c>
      <c r="BQ5" s="148">
        <v>7</v>
      </c>
    </row>
    <row r="6" spans="1:76" ht="21" thickTop="1">
      <c r="A6" s="70" t="s">
        <v>187</v>
      </c>
      <c r="B6" s="20">
        <v>1</v>
      </c>
      <c r="C6" s="71" t="s">
        <v>54</v>
      </c>
      <c r="D6" s="130" t="str">
        <f>IF((F101)=1,$BM$1,"")&amp;IF((F101)=2,$BM$2,"")&amp;IF((F101)=3,$BM$3,"")&amp;IF((F101)=4,$BM$4,"")&amp;IF((F101)=5,$BM$5,"")&amp;IF((F101)=6,$BM$6,"")&amp;IF((F101)=7,$BM$7,"")&amp;IF((F101)=8,$BM$8,"")&amp;IF((F101)=9,$BM$9,"")&amp;IF((F101)=10,$BM$10,"")&amp;IF((F101)=11,$BM$11,"")&amp;IF((F101)=12,$BM$12,"")&amp;IF((F101)=13,$BM$13,"")&amp;IF((F101)=14,$BM$14,"")&amp;IF((F101)=15,$BM$15,"")&amp;IF((F101)=16,$BM$16,"")&amp;IF((F101)=17,$BM$17,"")&amp;IF((F101)=18,$BM$18,"")&amp;IF((F101)=19,$BM$19,"")&amp;IF((F101)=20,$BM$20,"")&amp;IF((F101)=21,$BM$21,"")&amp;IF((F101)=22,$BM$22,"")&amp;IF((F101)=23,$BM$23,"")&amp;IF((F101)=24,$BM$24,"")&amp;IF((F101)=25,$BM$25,"")&amp;IF((F101)=26,$BM$26,"")&amp;IF((F101)=27,$BM$27,"")&amp;IF((F101)=28,$BM$28,"")&amp;IF((F101)=29,$BM$29,"")&amp;IF((F101)=30,$BM$30,"")&amp;IF((F101)=31,$BM$31,"")&amp;IF((F101)=32,$BM$32,"")&amp;IF((F101)=33,$BM$33,"")&amp;IF((F101)=34,$BM$34,"")&amp;IF((F101)=35,$BM$35,"")&amp;IF((F101)=36,$BM$36,"")&amp;IF((F101)=37,$BM$37,"")&amp;IF((F101)=38,$BM$38,"")&amp;IF((F101)=39,$BM$39,"")&amp;IF((F101)=40,$BM$40,"")&amp;IF((F101)=41,$BM$41,"")&amp;IF((F101)=42,$BM$42,"")&amp;IF((F101)=43,$BM$43,"")&amp;IF((F101)=44,$BM$44,"")&amp;IF((F101)=45,$BM$45,"")&amp;IF((F101)=46,$BM$46,"")&amp;IF((F101)=47,$BM$47,"")&amp;IF((F101)=48,$BM$48,"")&amp;IF((F101)=49,$BM$49,"")&amp;IF((F101)=50,$BM$50,"")&amp;IF((F101)=51,$BM$51,"")&amp;IF((F101)=52,$BM$52,"")&amp;IF((F101)=53,$BM$53,"")&amp;IF((F101)=54,$BM$54,"")&amp;IF((F101)=55,$BM$55,"")&amp;IF((F101)=56,$BM$56,"")&amp;IF((F101)=57,$BM$57,"")&amp;IF((F101)=58,$BM$58,"")&amp;IF((F101)=59,$BM$59,"")&amp;IF((F101)=60,$BM$60,"")&amp;IF((F101)=61,$BM$61,"")&amp;IF((F101)=62,$BM$62,"")&amp;IF((F101)=63,$BM$63,"")&amp;IF((F101)=64,$BM$64,"")&amp;IF((F101)=65,$BM$65,"")&amp;IF((F101)=66,$BM$66,"")&amp;IF((F101)=67,$BM$67,"")&amp;IF((F101)=68,$BM$68,"")&amp;IF((F101)=69,$BM$69,"")&amp;IF((F101)=70,$BM$70,"")&amp;IF((F101)=71,$BM$71,"")&amp;IF((F101)=72,$BM$72,"")&amp;IF((F101)=73,$BM$73,"")&amp;IF((F101)=74,$BM$74,"")&amp;IF((F101)=75,$BM$75,"")&amp;IF((F101)=76,$BM$76,"")&amp;IF((F101)=77,$BM$77,"")&amp;IF((F101)=78,$BM$78,"")&amp;IF((F101)=79,$BM$79,"")&amp;IF((F101)=80,$BM$80,"")&amp;IF((F101)=81,$BM$81,"")&amp;IF((F101)=82,$BM$82,"")&amp;IF((F101)=83,$BM$83,"")&amp;IF((F101)=84,$BM$84,"")&amp;IF((F101)=85,$BM$85,"")&amp;IF((F101)=86,$BM$86,"")&amp;IF((F101)=87,$BM$87,"")&amp;IF((F101)=88,$BM$88,"")&amp;IF((F101)=89,$BM$89,"")&amp;IF((F101)=90,$BM$90,"")&amp;IF((F101)=91,$BM$91,"")&amp;IF((F101)=92,$BM$92,"")&amp;IF((F101)=93,$BM$93,"")&amp;IF((F101)=94,$BM$94,"")&amp;IF((F101)=95,$BM$95,"")&amp;IF((F101)=96,$BM$96,"")&amp;IF((F101)=97,$BM$97,"")&amp;IF((F101)=98,$BM$98,"")&amp;IF((F101)=99,$BM$99,"")&amp;IF((F101)=100,$BM$100,"")&amp;IF((F101)=101,$BM$101,"")&amp;IF((F101)=102,$BM$102,"")&amp;IF((F101)=103,$BM$103,"")&amp;IF((F101)=104,$BM$104,"")&amp;IF((F101)=105,$BM$105,"")&amp;IF((F101)=106,$BM$106,"")&amp;IF((F101)=107,$BM$107,"")&amp;IF((F101)=108,$BM$108,"")&amp;IF((F101)=109,$BM$109,"")&amp;IF((F101)=110,$BM$110,"")&amp;IF((F101)=111,$BM$111,"")&amp;IF((F101)=112,$BM$112,"")&amp;IF((F101)=113,$BM$113,"")&amp;IF((F101)=114,$BM$114,"")&amp;IF((F101)=115,$BM$115,"")&amp;IF((F101)=116,$BM$116,"")&amp;IF((F101)=117,$BM$117,"")&amp;IF((F101)=118,$BM$118,"")&amp;IF((F101)=119,$BM$119,"")&amp;IF((F101)=120,$BM$120,"")&amp;IF((F101)=121,$BM$121,"")&amp;IF((F101)=122,$BM$122,"")&amp;IF((F101)=123,$BM$123,"")&amp;IF((F101)=124,$BM$124,"")&amp;IF((F101)=125,$BM$125,"")&amp;IF((F101)=126,$BM$126,"")&amp;IF((F101)=127,$BM$127,"")&amp;IF((F101)=128,$BM$128,"")</f>
        <v>105</v>
      </c>
      <c r="E6" s="72"/>
      <c r="F6" s="73" t="str">
        <f>IF((F101)=1,$BN$1,"")&amp;IF((F101)=2,$BN$2,"")&amp;IF((F101)=3,$BN$3,"")&amp;IF((F101)=4,$BN$4,"")&amp;IF((F101)=5,$BN$5,"")&amp;IF((F101)=6,$BN$6,"")&amp;IF((F101)=7,$BN$7,"")&amp;IF((F101)=8,$BN$8,"")&amp;IF((F101)=9,$BN$9,"")&amp;IF((F101)=10,$BN$10,"")&amp;IF((F101)=11,$BN$11,"")&amp;IF((F101)=12,$BN$12,"")&amp;IF((F101)=13,$BN$13,"")&amp;IF((F101)=14,$BN$14,"")&amp;IF((F101)=15,$BN$15,"")&amp;IF((F101)=16,$BN$16,"")&amp;IF((F101)=17,$BN$17,"")&amp;IF((F101)=18,$BN$18,"")&amp;IF((F101)=19,$BN$19,"")&amp;IF((F101)=20,$BN$20,"")&amp;IF((F101)=21,$BN$21,"")&amp;IF((F101)=22,$BN$22,"")&amp;IF((F101)=23,$BN$23,"")&amp;IF((F101)=24,$BN$24,"")&amp;IF((F101)=25,$BN$25,"")&amp;IF((F101)=26,$BN$26,"")&amp;IF((F101)=27,$BN$27,"")&amp;IF((F101)=28,$BN$28,"")&amp;IF((F101)=29,$BN$29,"")&amp;IF((F101)=30,$BN$30,"")&amp;IF((F101)=31,$BN$31,"")&amp;IF((F101)=32,$BN$32,"")&amp;IF((F101)=33,$BN$33,"")&amp;IF((F101)=34,$BN$34,"")&amp;IF((F101)=35,$BN$35,"")&amp;IF((F101)=36,$BN$36,"")&amp;IF((F101)=37,$BN$37,"")&amp;IF((F101)=38,$BN$38,"")&amp;IF((F101)=39,$BN$39,"")&amp;IF((F101)=40,$BN$40,"")&amp;IF((F101)=41,$BN$41,"")&amp;IF((F101)=42,$BN$42,"")&amp;IF((F101)=43,$BN$43,"")&amp;IF((F101)=44,$BN$44,"")&amp;IF((F101)=45,$BN$45,"")&amp;IF((F101)=46,$BN$46,"")&amp;IF((F101)=47,$BN$47,"")&amp;IF((F101)=48,$BN$48,"")&amp;IF((F101)=49,$BN$49,"")&amp;IF((F101)=50,$BN$50,"")&amp;IF((F101)=51,$BN$51,"")&amp;IF((F101)=52,$BN$52,"")&amp;IF((F101)=53,$BN$53,"")&amp;IF((F101)=54,$BN$54,"")&amp;IF((F101)=55,$BN$55,"")&amp;IF((F101)=56,$BN$56,"")&amp;IF((F101)=57,$BN$57,"")&amp;IF((F101)=58,$BN$58,"")&amp;IF((F101)=59,$BN$59,"")&amp;IF((F101)=60,$BN$60,"")&amp;IF((F101)=61,$BN$61,"")&amp;IF((F101)=62,$BN$62,"")&amp;IF((F101)=63,$BN$63,"")&amp;IF((F101)=64,$BN$64,"")&amp;IF((F101)=65,$BN$65,"")&amp;IF((F101)=66,$BN$66,"")&amp;IF((F101)=67,$BN$67,"")&amp;IF((F101)=68,$BN$68,"")&amp;IF((F101)=69,$BN$69,"")&amp;IF((F101)=70,$BN$70,"")&amp;IF((F101)=71,$BN$71,"")&amp;IF((F101)=72,$BN$72,"")&amp;IF((F101)=73,$BN$73,"")&amp;IF((F101)=74,$BN$74,"")&amp;IF((F101)=75,$BN$75,"")&amp;IF((F101)=76,$BN$76,"")&amp;IF((F101)=77,$BN$77,"")&amp;IF((F101)=78,$BN$78,"")&amp;IF((F101)=79,$BN$79,"")&amp;IF((F101)=80,$BN$80,"")&amp;IF((F101)=81,$BN$81,"")&amp;IF((F101)=82,$BN$82,"")&amp;IF((F101)=83,$BN$83,"")&amp;IF((F101)=84,$BN$84,"")&amp;IF((F101)=85,$BN$85,"")&amp;IF((F101)=86,$BN$86,"")&amp;IF((F101)=87,$BN$87,"")&amp;IF((F101)=88,$BN$88,"")&amp;IF((F101)=89,$BN$89,"")&amp;IF((F101)=90,$BN$90,"")&amp;IF((F101)=91,$BN$91,"")&amp;IF((F101)=92,$BN$92,"")&amp;IF((F101)=93,$BN$93,"")&amp;IF((F101)=94,$BN$94,"")&amp;IF((F101)=95,$BN$95,"")&amp;IF((F101)=96,$BN$96,"")&amp;IF((F101)=97,$BN$97,"")&amp;IF((F101)=98,$BN$98,"")&amp;IF((F101)=99,$BN$99,"")&amp;IF((F101)=100,$BN$100,"")&amp;IF((F101)=101,$BN$101,"")&amp;IF((F101)=102,$BN$102,"")&amp;IF((F101)=103,$BN$103,"")&amp;IF((F101)=104,$BN$104,"")&amp;IF((F101)=105,$BN$105,"")&amp;IF((F101)=106,$BN$106,"")&amp;IF((F101)=107,$BN$107,"")&amp;IF((F101)=108,$BN$108,"")&amp;IF((F101)=109,$BN$109,"")&amp;IF((F101)=110,$BN$110,"")&amp;IF((F101)=111,$BN$111,"")&amp;IF((F101)=112,$BN$112,"")&amp;IF((F101)=113,$BN$113,"")&amp;IF((F101)=114,$BN$114,"")&amp;IF((F101)=115,$BN$115,"")&amp;IF((F101)=116,$BN$116,"")&amp;IF((F101)=117,$BN$117,"")&amp;IF((F101)=118,$BN$118,"")&amp;IF((F101)=119,$BN$119,"")&amp;IF((F101)=120,$BN$120,"")&amp;IF((F101)=121,$BN$121,"")&amp;IF((F101)=122,$BN$122,"")&amp;IF((F101)=123,$BN$123,"")&amp;IF((F101)=124,$BN$124,"")&amp;IF((F101)=125,$BN$125,"")&amp;IF((F101)=126,$BN$126,"")&amp;IF((F101)=127,$BN$127,"")&amp;IF((F101)=128,$BN$128,"")</f>
        <v>CYRILL</v>
      </c>
      <c r="G6" s="74" t="s">
        <v>54</v>
      </c>
      <c r="H6" s="130" t="str">
        <f>IF((J101)=1,$BM$1,"")&amp;IF((J101)=2,$BM$2,"")&amp;IF((J101)=3,$BM$3,"")&amp;IF((J101)=4,$BM$4,"")&amp;IF((J101)=5,$BM$5,"")&amp;IF((J101)=6,$BM$6,"")&amp;IF((J101)=7,$BM$7,"")&amp;IF((J101)=8,$BM$8,"")&amp;IF((J101)=9,$BM$9,"")&amp;IF((J101)=10,$BM$10,"")&amp;IF((J101)=11,$BM$11,"")&amp;IF((J101)=12,$BM$12,"")&amp;IF((J101)=13,$BM$13,"")&amp;IF((J101)=14,$BM$14,"")&amp;IF((J101)=15,$BM$15,"")&amp;IF((J101)=16,$BM$16,"")&amp;IF((J101)=17,$BM$17,"")&amp;IF((J101)=18,$BM$18,"")&amp;IF((J101)=19,$BM$19,"")&amp;IF((J101)=20,$BM$20,"")&amp;IF((J101)=21,$BM$21,"")&amp;IF((J101)=22,$BM$22,"")&amp;IF((J101)=23,$BM$23,"")&amp;IF((J101)=24,$BM$24,"")&amp;IF((J101)=25,$BM$25,"")&amp;IF((J101)=26,$BM$26,"")&amp;IF((J101)=27,$BM$27,"")&amp;IF((J101)=28,$BM$28,"")&amp;IF((J101)=29,$BM$29,"")&amp;IF((J101)=30,$BM$30,"")&amp;IF((J101)=31,$BM$31,"")&amp;IF((J101)=32,$BM$32,"")&amp;IF((J101)=33,$BM$33,"")&amp;IF((J101)=34,$BM$34,"")&amp;IF((J101)=35,$BM$35,"")&amp;IF((J101)=36,$BM$36,"")&amp;IF((J101)=37,$BM$37,"")&amp;IF((J101)=38,$BM$38,"")&amp;IF((J101)=39,$BM$39,"")&amp;IF((J101)=40,$BM$40,"")&amp;IF((J101)=41,$BM$41,"")&amp;IF((J101)=42,$BM$42,"")&amp;IF((J101)=43,$BM$43,"")&amp;IF((J101)=44,$BM$44,"")&amp;IF((J101)=45,$BM$45,"")&amp;IF((J101)=46,$BM$46,"")&amp;IF((J101)=47,$BM$47,"")&amp;IF((J101)=48,$BM$48,"")&amp;IF((J101)=49,$BM$49,"")&amp;IF((J101)=50,$BM$50,"")&amp;IF((J101)=51,$BM$51,"")&amp;IF((J101)=52,$BM$52,"")&amp;IF((J101)=53,$BM$53,"")&amp;IF((J101)=54,$BM$54,"")&amp;IF((J101)=55,$BM$55,"")&amp;IF((J101)=56,$BM$56,"")&amp;IF((J101)=57,$BM$57,"")&amp;IF((J101)=58,$BM$58,"")&amp;IF((J101)=59,$BM$59,"")&amp;IF((J101)=60,$BM$60,"")&amp;IF((J101)=61,$BM$61,"")&amp;IF((J101)=62,$BM$62,"")&amp;IF((J101)=63,$BM$63,"")&amp;IF((J101)=64,$BM$64,"")&amp;IF((J101)=65,$BM$65,"")&amp;IF((J101)=66,$BM$66,"")&amp;IF((J101)=67,$BM$67,"")&amp;IF((J101)=68,$BM$68,"")&amp;IF((J101)=69,$BM$69,"")&amp;IF((J101)=70,$BM$70,"")&amp;IF((J101)=71,$BM$71,"")&amp;IF((J101)=72,$BM$72,"")&amp;IF((J101)=73,$BM$73,"")&amp;IF((J101)=74,$BM$74,"")&amp;IF((J101)=75,$BM$75,"")&amp;IF((J101)=76,$BM$76,"")&amp;IF((J101)=77,$BM$77,"")&amp;IF((J101)=78,$BM$78,"")&amp;IF((J101)=79,$BM$79,"")&amp;IF((J101)=80,$BM$80,"")&amp;IF((J101)=81,$BM$81,"")&amp;IF((J101)=82,$BM$82,"")&amp;IF((J101)=83,$BM$83,"")&amp;IF((J101)=84,$BM$84,"")&amp;IF((J101)=85,$BM$85,"")&amp;IF((J101)=86,$BM$86,"")&amp;IF((J101)=87,$BM$87,"")&amp;IF((J101)=88,$BM$88,"")&amp;IF((J101)=89,$BM$89,"")&amp;IF((J101)=90,$BM$90,"")&amp;IF((J101)=91,$BM$91,"")&amp;IF((J101)=92,$BM$92,"")&amp;IF((J101)=93,$BM$93,"")&amp;IF((J101)=94,$BM$94,"")&amp;IF((J101)=95,$BM$95,"")&amp;IF((J101)=96,$BM$96,"")&amp;IF((J101)=97,$BM$97,"")&amp;IF((J101)=98,$BM$98,"")&amp;IF((J101)=99,$BM$99,"")&amp;IF((J101)=100,$BM$100,"")&amp;IF((J101)=101,$BM$101,"")&amp;IF((J101)=102,$BM$102,"")&amp;IF((J101)=103,$BM$103,"")&amp;IF((J101)=104,$BM$104,"")&amp;IF((J101)=105,$BM$105,"")&amp;IF((J101)=106,$BM$106,"")&amp;IF((J101)=107,$BM$107,"")&amp;IF((J101)=108,$BM$108,"")&amp;IF((J101)=109,$BM$109,"")&amp;IF((J101)=110,$BM$110,"")&amp;IF((J101)=111,$BM$111,"")&amp;IF((J101)=112,$BM$112,"")&amp;IF((J101)=113,$BM$113,"")&amp;IF((J101)=114,$BM$114,"")&amp;IF((J101)=115,$BM$115,"")&amp;IF((J101)=116,$BM$116,"")&amp;IF((J101)=117,$BM$117,"")&amp;IF((J101)=118,$BM$118,"")&amp;IF((J101)=119,$BM$119,"")&amp;IF((J101)=120,$BM$120,"")&amp;IF((J101)=121,$BM$121,"")&amp;IF((J101)=122,$BM$122,"")&amp;IF((J101)=123,$BM$123,"")&amp;IF((J101)=124,$BM$124,"")&amp;IF((J101)=125,$BM$125,"")&amp;IF((J101)=126,$BM$126,"")&amp;IF((J101)=127,$BM$127,"")&amp;IF((J101)=128,$BM$128,"")</f>
        <v>23</v>
      </c>
      <c r="I6" s="75"/>
      <c r="J6" s="73" t="str">
        <f>IF((J101)=1,$BN$1,"")&amp;IF((J101)=2,$BN$2,"")&amp;IF((J101)=3,$BN$3,"")&amp;IF((J101)=4,$BN$4,"")&amp;IF((J101)=5,$BN$5,"")&amp;IF((J101)=6,$BN$6,"")&amp;IF((J101)=7,$BN$7,"")&amp;IF((J101)=8,$BN$8,"")&amp;IF((J101)=9,$BN$9,"")&amp;IF((J101)=10,$BN$10,"")&amp;IF((J101)=11,$BN$11,"")&amp;IF((J101)=12,$BN$12,"")&amp;IF((J101)=13,$BN$13,"")&amp;IF((J101)=14,$BN$14,"")&amp;IF((J101)=15,$BN$15,"")&amp;IF((J101)=16,$BN$16,"")&amp;IF((J101)=17,$BN$17,"")&amp;IF((J101)=18,$BN$18,"")&amp;IF((J101)=19,$BN$19,"")&amp;IF((J101)=20,$BN$20,"")&amp;IF((J101)=21,$BN$21,"")&amp;IF((J101)=22,$BN$22,"")&amp;IF((J101)=23,$BN$23,"")&amp;IF((J101)=24,$BN$24,"")&amp;IF((J101)=25,$BN$25,"")&amp;IF((J101)=26,$BN$26,"")&amp;IF((J101)=27,$BN$27,"")&amp;IF((J101)=28,$BN$28,"")&amp;IF((J101)=29,$BN$29,"")&amp;IF((J101)=30,$BN$30,"")&amp;IF((J101)=31,$BN$31,"")&amp;IF((J101)=32,$BN$32,"")&amp;IF((J101)=33,$BN$33,"")&amp;IF((J101)=34,$BN$34,"")&amp;IF((J101)=35,$BN$35,"")&amp;IF((J101)=36,$BN$36,"")&amp;IF((J101)=37,$BN$37,"")&amp;IF((J101)=38,$BN$38,"")&amp;IF((J101)=39,$BN$39,"")&amp;IF((J101)=40,$BN$40,"")&amp;IF((J101)=41,$BN$41,"")&amp;IF((J101)=42,$BN$42,"")&amp;IF((J101)=43,$BN$43,"")&amp;IF((J101)=44,$BN$44,"")&amp;IF((J101)=45,$BN$45,"")&amp;IF((J101)=46,$BN$46,"")&amp;IF((J101)=47,$BN$47,"")&amp;IF((J101)=48,$BN$48,"")&amp;IF((J101)=49,$BN$49,"")&amp;IF((J101)=50,$BN$50,"")&amp;IF((J101)=51,$BN$51,"")&amp;IF((J101)=52,$BN$52,"")&amp;IF((J101)=53,$BN$53,"")&amp;IF((J101)=54,$BN$54,"")&amp;IF((J101)=55,$BN$55,"")&amp;IF((J101)=56,$BN$56,"")&amp;IF((J101)=57,$BN$57,"")&amp;IF((J101)=58,$BN$58,"")&amp;IF((J101)=59,$BN$59,"")&amp;IF((J101)=60,$BN$60,"")&amp;IF((J101)=61,$BN$61,"")&amp;IF((J101)=62,$BN$62,"")&amp;IF((J101)=63,$BN$63,"")&amp;IF((J101)=64,$BN$64,"")&amp;IF((J101)=65,$BN$65,"")&amp;IF((J101)=66,$BN$66,"")&amp;IF((J101)=67,$BN$67,"")&amp;IF((J101)=68,$BN$68,"")&amp;IF((J101)=69,$BN$69,"")&amp;IF((J101)=70,$BN$70,"")&amp;IF((J101)=71,$BN$71,"")&amp;IF((J101)=72,$BN$72,"")&amp;IF((J101)=73,$BN$73,"")&amp;IF((J101)=74,$BN$74,"")&amp;IF((J101)=75,$BN$75,"")&amp;IF((J101)=76,$BN$76,"")&amp;IF((J101)=77,$BN$77,"")&amp;IF((J101)=78,$BN$78,"")&amp;IF((J101)=79,$BN$79,"")&amp;IF((J101)=80,$BN$80,"")&amp;IF((J101)=81,$BN$81,"")&amp;IF((J101)=82,$BN$82,"")&amp;IF((J101)=83,$BN$83,"")&amp;IF((J101)=84,$BN$84,"")&amp;IF((J101)=85,$BN$85,"")&amp;IF((J101)=86,$BN$86,"")&amp;IF((J101)=87,$BN$87,"")&amp;IF((J101)=88,$BN$88,"")&amp;IF((J101)=89,$BN$89,"")&amp;IF((J101)=90,$BN$90,"")&amp;IF((J101)=91,$BN$91,"")&amp;IF((J101)=92,$BN$92,"")&amp;IF((J101)=93,$BN$93,"")&amp;IF((J101)=94,$BN$94,"")&amp;IF((J101)=95,$BN$95,"")&amp;IF((J101)=96,$BN$96,"")&amp;IF((J101)=97,$BN$97,"")&amp;IF((J101)=98,$BN$98,"")&amp;IF((J101)=99,$BN$99,"")&amp;IF((J101)=100,$BN$100,"")&amp;IF((J101)=101,$BN$101,"")&amp;IF((J101)=102,$BN$102,"")&amp;IF((J101)=103,$BN$103,"")&amp;IF((J101)=104,$BN$104,"")&amp;IF((J101)=105,$BN$105,"")&amp;IF((J101)=106,$BN$106,"")&amp;IF((J101)=107,$BN$107,"")&amp;IF((J101)=108,$BN$108,"")&amp;IF((J101)=109,$BN$109,"")&amp;IF((J101)=110,$BN$110,"")&amp;IF((J101)=111,$BN$111,"")&amp;IF((J101)=112,$BN$112,"")&amp;IF((J101)=113,$BN$113,"")&amp;IF((J101)=114,$BN$114,"")&amp;IF((J101)=115,$BN$115,"")&amp;IF((J101)=116,$BN$116,"")&amp;IF((J101)=117,$BN$117,"")&amp;IF((J101)=118,$BN$118,"")&amp;IF((J101)=119,$BN$119,"")&amp;IF((J101)=120,$BN$120,"")&amp;IF((J101)=121,$BN$121,"")&amp;IF((J101)=122,$BN$122,"")&amp;IF((J101)=123,$BN$123,"")&amp;IF((J101)=124,$BN$124,"")&amp;IF((J101)=125,$BN$125,"")&amp;IF((J101)=126,$BN$126,"")&amp;IF((J101)=127,$BN$127,"")&amp;IF((J101)=128,$BN$128,"")</f>
        <v>MARTIAL</v>
      </c>
      <c r="K6" s="142">
        <v>13</v>
      </c>
      <c r="L6" s="148">
        <v>7</v>
      </c>
      <c r="M6" s="76" t="s">
        <v>54</v>
      </c>
      <c r="N6" s="131" t="str">
        <f>IF((P101)=1,$BM$1,"")&amp;IF((P101)=2,$BM$2,"")&amp;IF((P101)=3,$BM$3,"")&amp;IF((P101)=4,$BM$4,"")&amp;IF((P101)=5,$BM$5,"")&amp;IF((P101)=6,$BM$6,"")&amp;IF((P101)=7,$BM$7,"")&amp;IF((P101)=8,$BM$8,"")&amp;IF((P101)=9,$BM$9,"")&amp;IF((P101)=10,$BM$10,"")&amp;IF((P101)=11,$BM$11,"")&amp;IF((P101)=12,$BM$12,"")&amp;IF((P101)=13,$BM$13,"")&amp;IF((P101)=14,$BM$14,"")&amp;IF((P101)=15,$BM$15,"")&amp;IF((P101)=16,$BM$16,"")&amp;IF((P101)=17,$BM$17,"")&amp;IF((P101)=18,$BM$18,"")&amp;IF((P101)=19,$BM$19,"")&amp;IF((P101)=20,$BM$20,"")&amp;IF((P101)=21,$BM$21,"")&amp;IF((P101)=22,$BM$22,"")&amp;IF((P101)=23,$BM$23,"")&amp;IF((P101)=24,$BM$24,"")&amp;IF((P101)=25,$BM$25,"")&amp;IF((P101)=26,$BM$26,"")&amp;IF((P101)=27,$BM$27,"")&amp;IF((P101)=28,$BM$28,"")&amp;IF((P101)=29,$BM$29,"")&amp;IF((P101)=30,$BM$30,"")&amp;IF((P101)=31,$BM$31,"")&amp;IF((P101)=32,$BM$32,"")&amp;IF((P101)=33,$BM$33,"")&amp;IF((P101)=34,$BM$34,"")&amp;IF((P101)=35,$BM$35,"")&amp;IF((P101)=36,$BM$36,"")&amp;IF((P101)=37,$BM$37,"")&amp;IF((P101)=38,$BM$38,"")&amp;IF((P101)=39,$BM$39,"")&amp;IF((P101)=40,$BM$40,"")&amp;IF((P101)=41,$BM$41,"")&amp;IF((P101)=42,$BM$42,"")&amp;IF((P101)=43,$BM$43,"")&amp;IF((P101)=44,$BM$44,"")&amp;IF((P101)=45,$BM$45,"")&amp;IF((P101)=46,$BM$46,"")&amp;IF((P101)=47,$BM$47,"")&amp;IF((P101)=48,$BM$48,"")&amp;IF((P101)=49,$BM$49,"")&amp;IF((P101)=50,$BM$50,"")&amp;IF((P101)=51,$BM$51,"")&amp;IF((P101)=52,$BM$52,"")&amp;IF((P101)=53,$BM$53,"")&amp;IF((P101)=54,$BM$54,"")&amp;IF((P101)=55,$BM$55,"")&amp;IF((P101)=56,$BM$56,"")&amp;IF((P101)=57,$BM$57,"")&amp;IF((P101)=58,$BM$58,"")&amp;IF((P101)=59,$BM$59,"")&amp;IF((P101)=60,$BM$60,"")&amp;IF((P101)=61,$BM$61,"")&amp;IF((P101)=62,$BM$62,"")&amp;IF((P101)=63,$BM$63,"")&amp;IF((P101)=64,$BM$64,"")&amp;IF((P101)=65,$BM$65,"")&amp;IF((P101)=66,$BM$66,"")&amp;IF((P101)=67,$BM$67,"")&amp;IF((P101)=68,$BM$68,"")&amp;IF((P101)=69,$BM$69,"")&amp;IF((P101)=70,$BM$70,"")&amp;IF((P101)=71,$BM$71,"")&amp;IF((P101)=72,$BM$72,"")&amp;IF((P101)=73,$BM$73,"")&amp;IF((P101)=74,$BM$74,"")&amp;IF((P101)=75,$BM$75,"")&amp;IF((P101)=76,$BM$76,"")&amp;IF((P101)=77,$BM$77,"")&amp;IF((P101)=78,$BM$78,"")&amp;IF((P101)=79,$BM$79,"")&amp;IF((P101)=80,$BM$80,"")&amp;IF((P101)=81,$BM$81,"")&amp;IF((P101)=82,$BM$82,"")&amp;IF((P101)=83,$BM$83,"")&amp;IF((P101)=84,$BM$84,"")&amp;IF((P101)=85,$BM$85,"")&amp;IF((P101)=86,$BM$86,"")&amp;IF((P101)=87,$BM$87,"")&amp;IF((P101)=88,$BM$88,"")&amp;IF((P101)=89,$BM$89,"")&amp;IF((P101)=90,$BM$90,"")&amp;IF((P101)=91,$BM$91,"")&amp;IF((P101)=92,$BM$92,"")&amp;IF((P101)=93,$BM$93,"")&amp;IF((P101)=94,$BM$94,"")&amp;IF((P101)=95,$BM$95,"")&amp;IF((P101)=96,$BM$96,"")&amp;IF((P101)=97,$BM$97,"")&amp;IF((P101)=98,$BM$98,"")&amp;IF((P101)=99,$BM$99,"")&amp;IF((P101)=100,$BM$100,"")&amp;IF((P101)=101,$BM$101,"")&amp;IF((P101)=102,$BM$102,"")&amp;IF((P101)=103,$BM$103,"")&amp;IF((P101)=104,$BM$104,"")&amp;IF((P101)=105,$BM$105,"")&amp;IF((P101)=106,$BM$106,"")&amp;IF((P101)=107,$BM$107,"")&amp;IF((P101)=108,$BM$108,"")&amp;IF((P101)=109,$BM$109,"")&amp;IF((P101)=110,$BM$110,"")&amp;IF((P101)=111,$BM$111,"")&amp;IF((P101)=112,$BM$112,"")&amp;IF((P101)=113,$BM$113,"")&amp;IF((P101)=114,$BM$114,"")&amp;IF((P101)=115,$BM$115,"")&amp;IF((P101)=116,$BM$116,"")&amp;IF((P101)=117,$BM$117,"")&amp;IF((P101)=118,$BM$118,"")&amp;IF((P101)=119,$BM$119,"")&amp;IF((P101)=120,$BM$120,"")&amp;IF((P101)=121,$BM$121,"")&amp;IF((P101)=122,$BM$122,"")&amp;IF((P101)=123,$BM$123,"")&amp;IF((P101)=124,$BM$124,"")&amp;IF((P101)=125,$BM$125,"")&amp;IF((P101)=126,$BM$126,"")&amp;IF((P101)=127,$BM$127,"")&amp;IF((P101)=128,$BM$128,"")</f>
        <v>57</v>
      </c>
      <c r="O6" s="77"/>
      <c r="P6" s="123" t="str">
        <f>IF((P101)=1,$BN$1,"")&amp;IF((P101)=2,$BN$2,"")&amp;IF((P101)=3,$BN$3,"")&amp;IF((P101)=4,$BN$4,"")&amp;IF((P101)=5,$BN$5,"")&amp;IF((P101)=6,$BN$6,"")&amp;IF((P101)=7,$BN$7,"")&amp;IF((P101)=8,$BN$8,"")&amp;IF((P101)=9,$BN$9,"")&amp;IF((P101)=10,$BN$10,"")&amp;IF((P101)=11,$BN$11,"")&amp;IF((P101)=12,$BN$12,"")&amp;IF((P101)=13,$BN$13,"")&amp;IF((P101)=14,$BN$14,"")&amp;IF((P101)=15,$BN$15,"")&amp;IF((P101)=16,$BN$16,"")&amp;IF((P101)=17,$BN$17,"")&amp;IF((P101)=18,$BN$18,"")&amp;IF((P101)=19,$BN$19,"")&amp;IF((P101)=20,$BN$20,"")&amp;IF((P101)=21,$BN$21,"")&amp;IF((P101)=22,$BN$22,"")&amp;IF((P101)=23,$BN$23,"")&amp;IF((P101)=24,$BN$24,"")&amp;IF((P101)=25,$BN$25,"")&amp;IF((P101)=26,$BN$26,"")&amp;IF((P101)=27,$BN$27,"")&amp;IF((P101)=28,$BN$28,"")&amp;IF((P101)=29,$BN$29,"")&amp;IF((P101)=30,$BN$30,"")&amp;IF((P101)=31,$BN$31,"")&amp;IF((P101)=32,$BN$32,"")&amp;IF((P101)=33,$BN$33,"")&amp;IF((P101)=34,$BN$34,"")&amp;IF((P101)=35,$BN$35,"")&amp;IF((P101)=36,$BN$36,"")&amp;IF((P101)=37,$BN$37,"")&amp;IF((P101)=38,$BN$38,"")&amp;IF((P101)=39,$BN$39,"")&amp;IF((P101)=40,$BN$40,"")&amp;IF((P101)=41,$BN$41,"")&amp;IF((P101)=42,$BN$42,"")&amp;IF((P101)=43,$BN$43,"")&amp;IF((P101)=44,$BN$44,"")&amp;IF((P101)=45,$BN$45,"")&amp;IF((P101)=46,$BN$46,"")&amp;IF((P101)=47,$BN$47,"")&amp;IF((P101)=48,$BN$48,"")&amp;IF((P101)=49,$BN$49,"")&amp;IF((P101)=50,$BN$50,"")&amp;IF((P101)=51,$BN$51,"")&amp;IF((P101)=52,$BN$52,"")&amp;IF((P101)=53,$BN$53,"")&amp;IF((P101)=54,$BN$54,"")&amp;IF((P101)=55,$BN$55,"")&amp;IF((P101)=56,$BN$56,"")&amp;IF((P101)=57,$BN$57,"")&amp;IF((P101)=58,$BN$58,"")&amp;IF((P101)=59,$BN$59,"")&amp;IF((P101)=60,$BN$60,"")&amp;IF((P101)=61,$BN$61,"")&amp;IF((P101)=62,$BN$62,"")&amp;IF((P101)=63,$BN$63,"")&amp;IF((P101)=64,$BN$64,"")&amp;IF((P101)=65,$BN$65,"")&amp;IF((P101)=66,$BN$66,"")&amp;IF((P101)=67,$BN$67,"")&amp;IF((P101)=68,$BN$68,"")&amp;IF((P101)=69,$BN$69,"")&amp;IF((P101)=70,$BN$70,"")&amp;IF((P101)=71,$BN$71,"")&amp;IF((P101)=72,$BN$72,"")&amp;IF((P101)=73,$BN$73,"")&amp;IF((P101)=74,$BN$74,"")&amp;IF((P101)=75,$BN$75,"")&amp;IF((P101)=76,$BN$76,"")&amp;IF((P101)=77,$BN$77,"")&amp;IF((P101)=78,$BN$78,"")&amp;IF((P101)=79,$BN$79,"")&amp;IF((P101)=80,$BN$80,"")&amp;IF((P101)=81,$BN$81,"")&amp;IF((P101)=82,$BN$82,"")&amp;IF((P101)=83,$BN$83,"")&amp;IF((P101)=84,$BN$84,"")&amp;IF((P101)=85,$BN$85,"")&amp;IF((P101)=86,$BN$86,"")&amp;IF((P101)=87,$BN$87,"")&amp;IF((P101)=88,$BN$88,"")&amp;IF((P101)=89,$BN$89,"")&amp;IF((P101)=90,$BN$90,"")&amp;IF((P101)=91,$BN$91,"")&amp;IF((P101)=92,$BN$92,"")&amp;IF((P101)=93,$BN$93,"")&amp;IF((P101)=94,$BN$94,"")&amp;IF((P101)=95,$BN$95,"")&amp;IF((P101)=96,$BN$96,"")&amp;IF((P101)=97,$BN$97,"")&amp;IF((P101)=98,$BN$98,"")&amp;IF((P101)=99,$BN$99,"")&amp;IF((P101)=100,$BN$100,"")&amp;IF((P101)=101,$BN$101,"")&amp;IF((P101)=102,$BN$102,"")&amp;IF((P101)=103,$BN$103,"")&amp;IF((P101)=104,$BN$104,"")&amp;IF((P101)=105,$BN$105,"")&amp;IF((P101)=106,$BN$106,"")&amp;IF((P101)=107,$BN$107,"")&amp;IF((P101)=108,$BN$108,"")&amp;IF((P101)=109,$BN$109,"")&amp;IF((P101)=110,$BN$110,"")&amp;IF((P101)=111,$BN$111,"")&amp;IF((P101)=112,$BN$112,"")&amp;IF((P101)=113,$BN$113,"")&amp;IF((P101)=114,$BN$114,"")&amp;IF((P101)=115,$BN$115,"")&amp;IF((P101)=116,$BN$116,"")&amp;IF((P101)=117,$BN$117,"")&amp;IF((P101)=118,$BN$118,"")&amp;IF((P101)=119,$BN$119,"")&amp;IF((P101)=120,$BN$120,"")&amp;IF((P101)=121,$BN$121,"")&amp;IF((P101)=122,$BN$122,"")&amp;IF((P101)=123,$BN$123,"")&amp;IF((P101)=124,$BN$124,"")&amp;IF((P101)=125,$BN$125,"")&amp;IF((P101)=126,$BN$126,"")&amp;IF((P101)=127,$BN$127,"")&amp;IF((P101)=128,$BN$128,"")</f>
        <v>ARSENE</v>
      </c>
      <c r="Q6" s="78" t="s">
        <v>54</v>
      </c>
      <c r="R6" s="131" t="str">
        <f>IF((T101)=1,$BM$1,"")&amp;IF((T101)=2,$BM$2,"")&amp;IF((T101)=3,$BM$3,"")&amp;IF((T101)=4,$BM$4,"")&amp;IF((T101)=5,$BM$5,"")&amp;IF((T101)=6,$BM$6,"")&amp;IF((T101)=7,$BM$7,"")&amp;IF((T101)=8,$BM$8,"")&amp;IF((T101)=9,$BM$9,"")&amp;IF((T101)=10,$BM$10,"")&amp;IF((T101)=11,$BM$11,"")&amp;IF((T101)=12,$BM$12,"")&amp;IF((T101)=13,$BM$13,"")&amp;IF((T101)=14,$BM$14,"")&amp;IF((T101)=15,$BM$15,"")&amp;IF((T101)=16,$BM$16,"")&amp;IF((T101)=17,$BM$17,"")&amp;IF((T101)=18,$BM$18,"")&amp;IF((T101)=19,$BM$19,"")&amp;IF((T101)=20,$BM$20,"")&amp;IF((T101)=21,$BM$21,"")&amp;IF((T101)=22,$BM$22,"")&amp;IF((T101)=23,$BM$23,"")&amp;IF((T101)=24,$BM$24,"")&amp;IF((T101)=25,$BM$25,"")&amp;IF((T101)=26,$BM$26,"")&amp;IF((T101)=27,$BM$27,"")&amp;IF((T101)=28,$BM$28,"")&amp;IF((T101)=29,$BM$29,"")&amp;IF((T101)=30,$BM$30,"")&amp;IF((T101)=31,$BM$31,"")&amp;IF((T101)=32,$BM$32,"")&amp;IF((T101)=33,$BM$33,"")&amp;IF((T101)=34,$BM$34,"")&amp;IF((T101)=35,$BM$35,"")&amp;IF((T101)=36,$BM$36,"")&amp;IF((T101)=37,$BM$37,"")&amp;IF((T101)=38,$BM$38,"")&amp;IF((T101)=39,$BM$39,"")&amp;IF((T101)=40,$BM$40,"")&amp;IF((T101)=41,$BM$41,"")&amp;IF((T101)=42,$BM$42,"")&amp;IF((T101)=43,$BM$43,"")&amp;IF((T101)=44,$BM$44,"")&amp;IF((T101)=45,$BM$45,"")&amp;IF((T101)=46,$BM$46,"")&amp;IF((T101)=47,$BM$47,"")&amp;IF((T101)=48,$BM$48,"")&amp;IF((T101)=49,$BM$49,"")&amp;IF((T101)=50,$BM$50,"")&amp;IF((T101)=51,$BM$51,"")&amp;IF((T101)=52,$BM$52,"")&amp;IF((T101)=53,$BM$53,"")&amp;IF((T101)=54,$BM$54,"")&amp;IF((T101)=55,$BM$55,"")&amp;IF((T101)=56,$BM$56,"")&amp;IF((T101)=57,$BM$57,"")&amp;IF((T101)=58,$BM$58,"")&amp;IF((T101)=59,$BM$59,"")&amp;IF((T101)=60,$BM$60,"")&amp;IF((T101)=61,$BM$61,"")&amp;IF((T101)=62,$BM$62,"")&amp;IF((T101)=63,$BM$63,"")&amp;IF((T101)=64,$BM$64,"")&amp;IF((T101)=65,$BM$65,"")&amp;IF((T101)=66,$BM$66,"")&amp;IF((T101)=67,$BM$67,"")&amp;IF((T101)=68,$BM$68,"")&amp;IF((T101)=69,$BM$69,"")&amp;IF((T101)=70,$BM$70,"")&amp;IF((T101)=71,$BM$71,"")&amp;IF((T101)=72,$BM$72,"")&amp;IF((T101)=73,$BM$73,"")&amp;IF((T101)=74,$BM$74,"")&amp;IF((T101)=75,$BM$75,"")&amp;IF((T101)=76,$BM$76,"")&amp;IF((T101)=77,$BM$77,"")&amp;IF((T101)=78,$BM$78,"")&amp;IF((T101)=79,$BM$79,"")&amp;IF((T101)=80,$BM$80,"")&amp;IF((T101)=81,$BM$81,"")&amp;IF((T101)=82,$BM$82,"")&amp;IF((T101)=83,$BM$83,"")&amp;IF((T101)=84,$BM$84,"")&amp;IF((T101)=85,$BM$85,"")&amp;IF((T101)=86,$BM$86,"")&amp;IF((T101)=87,$BM$87,"")&amp;IF((T101)=88,$BM$88,"")&amp;IF((T101)=89,$BM$89,"")&amp;IF((T101)=90,$BM$90,"")&amp;IF((T101)=91,$BM$91,"")&amp;IF((T101)=92,$BM$92,"")&amp;IF((T101)=93,$BM$93,"")&amp;IF((T101)=94,$BM$94,"")&amp;IF((T101)=95,$BM$95,"")&amp;IF((T101)=96,$BM$96,"")&amp;IF((T101)=97,$BM$97,"")&amp;IF((T101)=98,$BM$98,"")&amp;IF((T101)=99,$BM$99,"")&amp;IF((T101)=100,$BM$100,"")&amp;IF((T101)=101,$BM$101,"")&amp;IF((T101)=102,$BM$102,"")&amp;IF((T101)=103,$BM$103,"")&amp;IF((T101)=104,$BM$104,"")&amp;IF((T101)=105,$BM$105,"")&amp;IF((T101)=106,$BM$106,"")&amp;IF((T101)=107,$BM$107,"")&amp;IF((T101)=108,$BM$108,"")&amp;IF((T101)=109,$BM$109,"")&amp;IF((T101)=110,$BM$110,"")&amp;IF((T101)=111,$BM$111,"")&amp;IF((T101)=112,$BM$112,"")&amp;IF((T101)=113,$BM$113,"")&amp;IF((T101)=114,$BM$114,"")&amp;IF((T101)=115,$BM$115,"")&amp;IF((T101)=116,$BM$116,"")&amp;IF((T101)=117,$BM$117,"")&amp;IF((T101)=118,$BM$118,"")&amp;IF((T101)=119,$BM$119,"")&amp;IF((T101)=120,$BM$120,"")&amp;IF((T101)=121,$BM$121,"")&amp;IF((T101)=122,$BM$122,"")&amp;IF((T101)=123,$BM$123,"")&amp;IF((T101)=124,$BM$124,"")&amp;IF((T101)=125,$BM$125,"")&amp;IF((T101)=126,$BM$126,"")&amp;IF((T101)=127,$BM$127,"")&amp;IF((T101)=128,$BM$128,"")</f>
        <v>94</v>
      </c>
      <c r="S6" s="79"/>
      <c r="T6" s="123" t="str">
        <f>IF((T101)=1,$BN$1,"")&amp;IF((T101)=2,$BN$2,"")&amp;IF((T101)=3,$BN$3,"")&amp;IF((T101)=4,$BN$4,"")&amp;IF((T101)=5,$BN$5,"")&amp;IF((T101)=6,$BN$6,"")&amp;IF((T101)=7,$BN$7,"")&amp;IF((T101)=8,$BN$8,"")&amp;IF((T101)=9,$BN$9,"")&amp;IF((T101)=10,$BN$10,"")&amp;IF((T101)=11,$BN$11,"")&amp;IF((T101)=12,$BN$12,"")&amp;IF((T101)=13,$BN$13,"")&amp;IF((T101)=14,$BN$14,"")&amp;IF((T101)=15,$BN$15,"")&amp;IF((T101)=16,$BN$16,"")&amp;IF((T101)=17,$BN$17,"")&amp;IF((T101)=18,$BN$18,"")&amp;IF((T101)=19,$BN$19,"")&amp;IF((T101)=20,$BN$20,"")&amp;IF((T101)=21,$BN$21,"")&amp;IF((T101)=22,$BN$22,"")&amp;IF((T101)=23,$BN$23,"")&amp;IF((T101)=24,$BN$24,"")&amp;IF((T101)=25,$BN$25,"")&amp;IF((T101)=26,$BN$26,"")&amp;IF((T101)=27,$BN$27,"")&amp;IF((T101)=28,$BN$28,"")&amp;IF((T101)=29,$BN$29,"")&amp;IF((T101)=30,$BN$30,"")&amp;IF((T101)=31,$BN$31,"")&amp;IF((T101)=32,$BN$32,"")&amp;IF((T101)=33,$BN$33,"")&amp;IF((T101)=34,$BN$34,"")&amp;IF((T101)=35,$BN$35,"")&amp;IF((T101)=36,$BN$36,"")&amp;IF((T101)=37,$BN$37,"")&amp;IF((T101)=38,$BN$38,"")&amp;IF((T101)=39,$BN$39,"")&amp;IF((T101)=40,$BN$40,"")&amp;IF((T101)=41,$BN$41,"")&amp;IF((T101)=42,$BN$42,"")&amp;IF((T101)=43,$BN$43,"")&amp;IF((T101)=44,$BN$44,"")&amp;IF((T101)=45,$BN$45,"")&amp;IF((T101)=46,$BN$46,"")&amp;IF((T101)=47,$BN$47,"")&amp;IF((T101)=48,$BN$48,"")&amp;IF((T101)=49,$BN$49,"")&amp;IF((T101)=50,$BN$50,"")&amp;IF((T101)=51,$BN$51,"")&amp;IF((T101)=52,$BN$52,"")&amp;IF((T101)=53,$BN$53,"")&amp;IF((T101)=54,$BN$54,"")&amp;IF((T101)=55,$BN$55,"")&amp;IF((T101)=56,$BN$56,"")&amp;IF((T101)=57,$BN$57,"")&amp;IF((T101)=58,$BN$58,"")&amp;IF((T101)=59,$BN$59,"")&amp;IF((T101)=60,$BN$60,"")&amp;IF((T101)=61,$BN$61,"")&amp;IF((T101)=62,$BN$62,"")&amp;IF((T101)=63,$BN$63,"")&amp;IF((T101)=64,$BN$64,"")&amp;IF((T101)=65,$BN$65,"")&amp;IF((T101)=66,$BN$66,"")&amp;IF((T101)=67,$BN$67,"")&amp;IF((T101)=68,$BN$68,"")&amp;IF((T101)=69,$BN$69,"")&amp;IF((T101)=70,$BN$70,"")&amp;IF((T101)=71,$BN$71,"")&amp;IF((T101)=72,$BN$72,"")&amp;IF((T101)=73,$BN$73,"")&amp;IF((T101)=74,$BN$74,"")&amp;IF((T101)=75,$BN$75,"")&amp;IF((T101)=76,$BN$76,"")&amp;IF((T101)=77,$BN$77,"")&amp;IF((T101)=78,$BN$78,"")&amp;IF((T101)=79,$BN$79,"")&amp;IF((T101)=80,$BN$80,"")&amp;IF((T101)=81,$BN$81,"")&amp;IF((T101)=82,$BN$82,"")&amp;IF((T101)=83,$BN$83,"")&amp;IF((T101)=84,$BN$84,"")&amp;IF((T101)=85,$BN$85,"")&amp;IF((T101)=86,$BN$86,"")&amp;IF((T101)=87,$BN$87,"")&amp;IF((T101)=88,$BN$88,"")&amp;IF((T101)=89,$BN$89,"")&amp;IF((T101)=90,$BN$90,"")&amp;IF((T101)=91,$BN$91,"")&amp;IF((T101)=92,$BN$92,"")&amp;IF((T101)=93,$BN$93,"")&amp;IF((T101)=94,$BN$94,"")&amp;IF((T101)=95,$BN$95,"")&amp;IF((T101)=96,$BN$96,"")&amp;IF((T101)=97,$BN$97,"")&amp;IF((T101)=98,$BN$98,"")&amp;IF((T101)=99,$BN$99,"")&amp;IF((T101)=100,$BN$100,"")&amp;IF((T101)=101,$BN$101,"")&amp;IF((T101)=102,$BN$102,"")&amp;IF((T101)=103,$BN$103,"")&amp;IF((T101)=104,$BN$104,"")&amp;IF((T101)=105,$BN$105,"")&amp;IF((T101)=106,$BN$106,"")&amp;IF((T101)=107,$BN$107,"")&amp;IF((T101)=108,$BN$108,"")&amp;IF((T101)=109,$BN$109,"")&amp;IF((T101)=110,$BN$110,"")&amp;IF((T101)=111,$BN$111,"")&amp;IF((T101)=112,$BN$112,"")&amp;IF((T101)=113,$BN$113,"")&amp;IF((T101)=114,$BN$114,"")&amp;IF((T101)=115,$BN$115,"")&amp;IF((T101)=116,$BN$116,"")&amp;IF((T101)=117,$BN$117,"")&amp;IF((T101)=118,$BN$118,"")&amp;IF((T101)=119,$BN$119,"")&amp;IF((T101)=120,$BN$120,"")&amp;IF((T101)=121,$BN$121,"")&amp;IF((T101)=122,$BN$122,"")&amp;IF((T101)=123,$BN$123,"")&amp;IF((T101)=124,$BN$124,"")&amp;IF((T101)=125,$BN$125,"")&amp;IF((T101)=126,$BN$126,"")&amp;IF((T101)=127,$BN$127,"")&amp;IF((T101)=128,$BN$128,"")</f>
        <v>HUGUES</v>
      </c>
      <c r="U6" s="56"/>
      <c r="V6" s="57"/>
      <c r="W6" s="80" t="s">
        <v>54</v>
      </c>
      <c r="X6" s="132" t="str">
        <f>IF((Z101)=1,$BM$1,"")&amp;IF((Z101)=2,$BM$2,"")&amp;IF((Z101)=3,$BM$3,"")&amp;IF((Z101)=4,$BM$4,"")&amp;IF((Z101)=5,$BM$5,"")&amp;IF((Z101)=6,$BM$6,"")&amp;IF((Z101)=7,$BM$7,"")&amp;IF((Z101)=8,$BM$8,"")&amp;IF((Z101)=9,$BM$9,"")&amp;IF((Z101)=10,$BM$10,"")&amp;IF((Z101)=11,$BM$11,"")&amp;IF((Z101)=12,$BM$12,"")&amp;IF((Z101)=13,$BM$13,"")&amp;IF((Z101)=14,$BM$14,"")&amp;IF((Z101)=15,$BM$15,"")&amp;IF((Z101)=16,$BM$16,"")&amp;IF((Z101)=17,$BM$17,"")&amp;IF((Z101)=18,$BM$18,"")&amp;IF((Z101)=19,$BM$19,"")&amp;IF((Z101)=20,$BM$20,"")&amp;IF((Z101)=21,$BM$21,"")&amp;IF((Z101)=22,$BM$22,"")&amp;IF((Z101)=23,$BM$23,"")&amp;IF((Z101)=24,$BM$24,"")&amp;IF((Z101)=25,$BM$25,"")&amp;IF((Z101)=26,$BM$26,"")&amp;IF((Z101)=27,$BM$27,"")&amp;IF((Z101)=28,$BM$28,"")&amp;IF((Z101)=29,$BM$29,"")&amp;IF((Z101)=30,$BM$30,"")&amp;IF((Z101)=31,$BM$31,"")&amp;IF((Z101)=32,$BM$32,"")&amp;IF((Z101)=33,$BM$33,"")&amp;IF((Z101)=34,$BM$34,"")&amp;IF((Z101)=35,$BM$35,"")&amp;IF((Z101)=36,$BM$36,"")&amp;IF((Z101)=37,$BM$37,"")&amp;IF((Z101)=38,$BM$38,"")&amp;IF((Z101)=39,$BM$39,"")&amp;IF((Z101)=40,$BM$40,"")&amp;IF((Z101)=41,$BM$41,"")&amp;IF((Z101)=42,$BM$42,"")&amp;IF((Z101)=43,$BM$43,"")&amp;IF((Z101)=44,$BM$44,"")&amp;IF((Z101)=45,$BM$45,"")&amp;IF((Z101)=46,$BM$46,"")&amp;IF((Z101)=47,$BM$47,"")&amp;IF((Z101)=48,$BM$48,"")&amp;IF((Z101)=49,$BM$49,"")&amp;IF((Z101)=50,$BM$50,"")&amp;IF((Z101)=51,$BM$51,"")&amp;IF((Z101)=52,$BM$52,"")&amp;IF((Z101)=53,$BM$53,"")&amp;IF((Z101)=54,$BM$54,"")&amp;IF((Z101)=55,$BM$55,"")&amp;IF((Z101)=56,$BM$56,"")&amp;IF((Z101)=57,$BM$57,"")&amp;IF((Z101)=58,$BM$58,"")&amp;IF((Z101)=59,$BM$59,"")&amp;IF((Z101)=60,$BM$60,"")&amp;IF((Z101)=61,$BM$61,"")&amp;IF((Z101)=62,$BM$62,"")&amp;IF((Z101)=63,$BM$63,"")&amp;IF((Z101)=64,$BM$64,"")&amp;IF((Z101)=65,$BM$65,"")&amp;IF((Z101)=66,$BM$66,"")&amp;IF((Z101)=67,$BM$67,"")&amp;IF((Z101)=68,$BM$68,"")&amp;IF((Z101)=69,$BM$69,"")&amp;IF((Z101)=70,$BM$70,"")&amp;IF((Z101)=71,$BM$71,"")&amp;IF((Z101)=72,$BM$72,"")&amp;IF((Z101)=73,$BM$73,"")&amp;IF((Z101)=74,$BM$74,"")&amp;IF((Z101)=75,$BM$75,"")&amp;IF((Z101)=76,$BM$76,"")&amp;IF((Z101)=77,$BM$77,"")&amp;IF((Z101)=78,$BM$78,"")&amp;IF((Z101)=79,$BM$79,"")&amp;IF((Z101)=80,$BM$80,"")&amp;IF((Z101)=81,$BM$81,"")&amp;IF((Z101)=82,$BM$82,"")&amp;IF((Z101)=83,$BM$83,"")&amp;IF((Z101)=84,$BM$84,"")&amp;IF((Z101)=85,$BM$85,"")&amp;IF((Z101)=86,$BM$86,"")&amp;IF((Z101)=87,$BM$87,"")&amp;IF((Z101)=88,$BM$88,"")&amp;IF((Z101)=89,$BM$89,"")&amp;IF((Z101)=90,$BM$90,"")&amp;IF((Z101)=91,$BM$91,"")&amp;IF((Z101)=92,$BM$92,"")&amp;IF((Z101)=93,$BM$93,"")&amp;IF((Z101)=94,$BM$94,"")&amp;IF((Z101)=95,$BM$95,"")&amp;IF((Z101)=96,$BM$96,"")&amp;IF((Z101)=97,$BM$97,"")&amp;IF((Z101)=98,$BM$98,"")&amp;IF((Z101)=99,$BM$99,"")&amp;IF((Z101)=100,$BM$100,"")&amp;IF((Z101)=101,$BM$101,"")&amp;IF((Z101)=102,$BM$102,"")&amp;IF((Z101)=103,$BM$103,"")&amp;IF((Z101)=104,$BM$104,"")&amp;IF((Z101)=105,$BM$105,"")&amp;IF((Z101)=106,$BM$106,"")&amp;IF((Z101)=107,$BM$107,"")&amp;IF((Z101)=108,$BM$108,"")&amp;IF((Z101)=109,$BM$109,"")&amp;IF((Z101)=110,$BM$110,"")&amp;IF((Z101)=111,$BM$111,"")&amp;IF((Z101)=112,$BM$112,"")&amp;IF((Z101)=113,$BM$113,"")&amp;IF((Z101)=114,$BM$114,"")&amp;IF((Z101)=115,$BM$115,"")&amp;IF((Z101)=116,$BM$116,"")&amp;IF((Z101)=117,$BM$117,"")&amp;IF((Z101)=118,$BM$118,"")&amp;IF((Z101)=119,$BM$119,"")&amp;IF((Z101)=120,$BM$120,"")&amp;IF((Z101)=121,$BM$121,"")&amp;IF((Z101)=122,$BM$122,"")&amp;IF((Z101)=123,$BM$123,"")&amp;IF((Z101)=124,$BM$124,"")&amp;IF((Z101)=125,$BM$125,"")&amp;IF((Z101)=126,$BM$126,"")&amp;IF((Z101)=127,$BM$127,"")&amp;IF((Z101)=128,$BM$128,"")</f>
        <v>95</v>
      </c>
      <c r="Y6" s="81"/>
      <c r="Z6" s="127" t="str">
        <f>IF((Z101)=1,$BN$1,"")&amp;IF((Z101)=2,$BN$2,"")&amp;IF((Z101)=3,$BN$3,"")&amp;IF((Z101)=4,$BN$4,"")&amp;IF((Z101)=5,$BN$5,"")&amp;IF((Z101)=6,$BN$6,"")&amp;IF((Z101)=7,$BN$7,"")&amp;IF((Z101)=8,$BN$8,"")&amp;IF((Z101)=9,$BN$9,"")&amp;IF((Z101)=10,$BN$10,"")&amp;IF((Z101)=11,$BN$11,"")&amp;IF((Z101)=12,$BN$12,"")&amp;IF((Z101)=13,$BN$13,"")&amp;IF((Z101)=14,$BN$14,"")&amp;IF((Z101)=15,$BN$15,"")&amp;IF((Z101)=16,$BN$16,"")&amp;IF((Z101)=17,$BN$17,"")&amp;IF((Z101)=18,$BN$18,"")&amp;IF((Z101)=19,$BN$19,"")&amp;IF((Z101)=20,$BN$20,"")&amp;IF((Z101)=21,$BN$21,"")&amp;IF((Z101)=22,$BN$22,"")&amp;IF((Z101)=23,$BN$23,"")&amp;IF((Z101)=24,$BN$24,"")&amp;IF((Z101)=25,$BN$25,"")&amp;IF((Z101)=26,$BN$26,"")&amp;IF((Z101)=27,$BN$27,"")&amp;IF((Z101)=28,$BN$28,"")&amp;IF((Z101)=29,$BN$29,"")&amp;IF((Z101)=30,$BN$30,"")&amp;IF((Z101)=31,$BN$31,"")&amp;IF((Z101)=32,$BN$32,"")&amp;IF((Z101)=33,$BN$33,"")&amp;IF((Z101)=34,$BN$34,"")&amp;IF((Z101)=35,$BN$35,"")&amp;IF((Z101)=36,$BN$36,"")&amp;IF((Z101)=37,$BN$37,"")&amp;IF((Z101)=38,$BN$38,"")&amp;IF((Z101)=39,$BN$39,"")&amp;IF((Z101)=40,$BN$40,"")&amp;IF((Z101)=41,$BN$41,"")&amp;IF((Z101)=42,$BN$42,"")&amp;IF((Z101)=43,$BN$43,"")&amp;IF((Z101)=44,$BN$44,"")&amp;IF((Z101)=45,$BN$45,"")&amp;IF((Z101)=46,$BN$46,"")&amp;IF((Z101)=47,$BN$47,"")&amp;IF((Z101)=48,$BN$48,"")&amp;IF((Z101)=49,$BN$49,"")&amp;IF((Z101)=50,$BN$50,"")&amp;IF((Z101)=51,$BN$51,"")&amp;IF((Z101)=52,$BN$52,"")&amp;IF((Z101)=53,$BN$53,"")&amp;IF((Z101)=54,$BN$54,"")&amp;IF((Z101)=55,$BN$55,"")&amp;IF((Z101)=56,$BN$56,"")&amp;IF((Z101)=57,$BN$57,"")&amp;IF((Z101)=58,$BN$58,"")&amp;IF((Z101)=59,$BN$59,"")&amp;IF((Z101)=60,$BN$60,"")&amp;IF((Z101)=61,$BN$61,"")&amp;IF((Z101)=62,$BN$62,"")&amp;IF((Z101)=63,$BN$63,"")&amp;IF((Z101)=64,$BN$64,"")&amp;IF((Z101)=65,$BN$65,"")&amp;IF((Z101)=66,$BN$66,"")&amp;IF((Z101)=67,$BN$67,"")&amp;IF((Z101)=68,$BN$68,"")&amp;IF((Z101)=69,$BN$69,"")&amp;IF((Z101)=70,$BN$70,"")&amp;IF((Z101)=71,$BN$71,"")&amp;IF((Z101)=72,$BN$72,"")&amp;IF((Z101)=73,$BN$73,"")&amp;IF((Z101)=74,$BN$74,"")&amp;IF((Z101)=75,$BN$75,"")&amp;IF((Z101)=76,$BN$76,"")&amp;IF((Z101)=77,$BN$77,"")&amp;IF((Z101)=78,$BN$78,"")&amp;IF((Z101)=79,$BN$79,"")&amp;IF((Z101)=80,$BN$80,"")&amp;IF((Z101)=81,$BN$81,"")&amp;IF((Z101)=82,$BN$82,"")&amp;IF((Z101)=83,$BN$83,"")&amp;IF((Z101)=84,$BN$84,"")&amp;IF((Z101)=85,$BN$85,"")&amp;IF((Z101)=86,$BN$86,"")&amp;IF((Z101)=87,$BN$87,"")&amp;IF((Z101)=88,$BN$88,"")&amp;IF((Z101)=89,$BN$89,"")&amp;IF((Z101)=90,$BN$90,"")&amp;IF((Z101)=91,$BN$91,"")&amp;IF((Z101)=92,$BN$92,"")&amp;IF((Z101)=93,$BN$93,"")&amp;IF((Z101)=94,$BN$94,"")&amp;IF((Z101)=95,$BN$95,"")&amp;IF((Z101)=96,$BN$96,"")&amp;IF((Z101)=97,$BN$97,"")&amp;IF((Z101)=98,$BN$98,"")&amp;IF((Z101)=99,$BN$99,"")&amp;IF((Z101)=100,$BN$100,"")&amp;IF((Z101)=101,$BN$101,"")&amp;IF((Z101)=102,$BN$102,"")&amp;IF((Z101)=103,$BN$103,"")&amp;IF((Z101)=104,$BN$104,"")&amp;IF((Z101)=105,$BN$105,"")&amp;IF((Z101)=106,$BN$106,"")&amp;IF((Z101)=107,$BN$107,"")&amp;IF((Z101)=108,$BN$108,"")&amp;IF((Z101)=109,$BN$109,"")&amp;IF((Z101)=110,$BN$110,"")&amp;IF((Z101)=111,$BN$111,"")&amp;IF((Z101)=112,$BN$112,"")&amp;IF((Z101)=113,$BN$113,"")&amp;IF((Z101)=114,$BN$114,"")&amp;IF((Z101)=115,$BN$115,"")&amp;IF((Z101)=116,$BN$116,"")&amp;IF((Z101)=117,$BN$117,"")&amp;IF((Z101)=118,$BN$118,"")&amp;IF((Z101)=119,$BN$119,"")&amp;IF((Z101)=120,$BN$120,"")&amp;IF((Z101)=121,$BN$121,"")&amp;IF((Z101)=122,$BN$122,"")&amp;IF((Z101)=123,$BN$123,"")&amp;IF((Z101)=124,$BN$124,"")&amp;IF((Z101)=125,$BN$125,"")&amp;IF((Z101)=126,$BN$126,"")&amp;IF((Z101)=127,$BN$127,"")&amp;IF((Z101)=128,$BN$128,"")</f>
        <v>RICHARD</v>
      </c>
      <c r="AA6" s="82" t="s">
        <v>54</v>
      </c>
      <c r="AB6" s="132" t="str">
        <f>IF((AD101)=1,$BM$1,"")&amp;IF((AD101)=2,$BM$2,"")&amp;IF((AD101)=3,$BM$3,"")&amp;IF((AD101)=4,$BM$4,"")&amp;IF((AD101)=5,$BM$5,"")&amp;IF((AD101)=6,$BM$6,"")&amp;IF((AD101)=7,$BM$7,"")&amp;IF((AD101)=8,$BM$8,"")&amp;IF((AD101)=9,$BM$9,"")&amp;IF((AD101)=10,$BM$10,"")&amp;IF((AD101)=11,$BM$11,"")&amp;IF((AD101)=12,$BM$12,"")&amp;IF((AD101)=13,$BM$13,"")&amp;IF((AD101)=14,$BM$14,"")&amp;IF((AD101)=15,$BM$15,"")&amp;IF((AD101)=16,$BM$16,"")&amp;IF((AD101)=17,$BM$17,"")&amp;IF((AD101)=18,$BM$18,"")&amp;IF((AD101)=19,$BM$19,"")&amp;IF((AD101)=20,$BM$20,"")&amp;IF((AD101)=21,$BM$21,"")&amp;IF((AD101)=22,$BM$22,"")&amp;IF((AD101)=23,$BM$23,"")&amp;IF((AD101)=24,$BM$24,"")&amp;IF((AD101)=25,$BM$25,"")&amp;IF((AD101)=26,$BM$26,"")&amp;IF((AD101)=27,$BM$27,"")&amp;IF((AD101)=28,$BM$28,"")&amp;IF((AD101)=29,$BM$29,"")&amp;IF((AD101)=30,$BM$30,"")&amp;IF((AD101)=31,$BM$31,"")&amp;IF((AD101)=32,$BM$32,"")&amp;IF((AD101)=33,$BM$33,"")&amp;IF((AD101)=34,$BM$34,"")&amp;IF((AD101)=35,$BM$35,"")&amp;IF((AD101)=36,$BM$36,"")&amp;IF((AD101)=37,$BM$37,"")&amp;IF((AD101)=38,$BM$38,"")&amp;IF((AD101)=39,$BM$39,"")&amp;IF((AD101)=40,$BM$40,"")&amp;IF((AD101)=41,$BM$41,"")&amp;IF((AD101)=42,$BM$42,"")&amp;IF((AD101)=43,$BM$43,"")&amp;IF((AD101)=44,$BM$44,"")&amp;IF((AD101)=45,$BM$45,"")&amp;IF((AD101)=46,$BM$46,"")&amp;IF((AD101)=47,$BM$47,"")&amp;IF((AD101)=48,$BM$48,"")&amp;IF((AD101)=49,$BM$49,"")&amp;IF((AD101)=50,$BM$50,"")&amp;IF((AD101)=51,$BM$51,"")&amp;IF((AD101)=52,$BM$52,"")&amp;IF((AD101)=53,$BM$53,"")&amp;IF((AD101)=54,$BM$54,"")&amp;IF((AD101)=55,$BM$55,"")&amp;IF((AD101)=56,$BM$56,"")&amp;IF((AD101)=57,$BM$57,"")&amp;IF((AD101)=58,$BM$58,"")&amp;IF((AD101)=59,$BM$59,"")&amp;IF((AD101)=60,$BM$60,"")&amp;IF((AD101)=61,$BM$61,"")&amp;IF((AD101)=62,$BM$62,"")&amp;IF((AD101)=63,$BM$63,"")&amp;IF((AD101)=64,$BM$64,"")&amp;IF((AD101)=65,$BM$65,"")&amp;IF((AD101)=66,$BM$66,"")&amp;IF((AD101)=67,$BM$67,"")&amp;IF((AD101)=68,$BM$68,"")&amp;IF((AD101)=69,$BM$69,"")&amp;IF((AD101)=70,$BM$70,"")&amp;IF((AD101)=71,$BM$71,"")&amp;IF((AD101)=72,$BM$72,"")&amp;IF((AD101)=73,$BM$73,"")&amp;IF((AD101)=74,$BM$74,"")&amp;IF((AD101)=75,$BM$75,"")&amp;IF((AD101)=76,$BM$76,"")&amp;IF((AD101)=77,$BM$77,"")&amp;IF((AD101)=78,$BM$78,"")&amp;IF((AD101)=79,$BM$79,"")&amp;IF((AD101)=80,$BM$80,"")&amp;IF((AD101)=81,$BM$81,"")&amp;IF((AD101)=82,$BM$82,"")&amp;IF((AD101)=83,$BM$83,"")&amp;IF((AD101)=84,$BM$84,"")&amp;IF((AD101)=85,$BM$85,"")&amp;IF((AD101)=86,$BM$86,"")&amp;IF((AD101)=87,$BM$87,"")&amp;IF((AD101)=88,$BM$88,"")&amp;IF((AD101)=89,$BM$89,"")&amp;IF((AD101)=90,$BM$90,"")&amp;IF((AD101)=91,$BM$91,"")&amp;IF((AD101)=92,$BM$92,"")&amp;IF((AD101)=93,$BM$93,"")&amp;IF((AD101)=94,$BM$94,"")&amp;IF((AD101)=95,$BM$95,"")&amp;IF((AD101)=96,$BM$96,"")&amp;IF((AD101)=97,$BM$97,"")&amp;IF((AD101)=98,$BM$98,"")&amp;IF((AD101)=99,$BM$99,"")&amp;IF((AD101)=100,$BM$100,"")&amp;IF((AD101)=101,$BM$101,"")&amp;IF((AD101)=102,$BM$102,"")&amp;IF((AD101)=103,$BM$103,"")&amp;IF((AD101)=104,$BM$104,"")&amp;IF((AD101)=105,$BM$105,"")&amp;IF((AD101)=106,$BM$106,"")&amp;IF((AD101)=107,$BM$107,"")&amp;IF((AD101)=108,$BM$108,"")&amp;IF((AD101)=109,$BM$109,"")&amp;IF((AD101)=110,$BM$110,"")&amp;IF((AD101)=111,$BM$111,"")&amp;IF((AD101)=112,$BM$112,"")&amp;IF((AD101)=113,$BM$113,"")&amp;IF((AD101)=114,$BM$114,"")&amp;IF((AD101)=115,$BM$115,"")&amp;IF((AD101)=116,$BM$116,"")&amp;IF((AD101)=117,$BM$117,"")&amp;IF((AD101)=118,$BM$118,"")&amp;IF((AD101)=119,$BM$119,"")&amp;IF((AD101)=120,$BM$120,"")&amp;IF((AD101)=121,$BM$121,"")&amp;IF((AD101)=122,$BM$122,"")&amp;IF((AD101)=123,$BM$123,"")&amp;IF((AD101)=124,$BM$124,"")&amp;IF((AD101)=125,$BM$125,"")&amp;IF((AD101)=126,$BM$126,"")&amp;IF((AD101)=127,$BM$127,"")&amp;IF((AD101)=128,$BM$128,"")</f>
        <v>72</v>
      </c>
      <c r="AC6" s="83"/>
      <c r="AD6" s="127" t="str">
        <f>IF((AD101)=1,$BN$1,"")&amp;IF((AD101)=2,$BN$2,"")&amp;IF((AD101)=3,$BN$3,"")&amp;IF((AD101)=4,$BN$4,"")&amp;IF((AD101)=5,$BN$5,"")&amp;IF((AD101)=6,$BN$6,"")&amp;IF((AD101)=7,$BN$7,"")&amp;IF((AD101)=8,$BN$8,"")&amp;IF((AD101)=9,$BN$9,"")&amp;IF((AD101)=10,$BN$10,"")&amp;IF((AD101)=11,$BN$11,"")&amp;IF((AD101)=12,$BN$12,"")&amp;IF((AD101)=13,$BN$13,"")&amp;IF((AD101)=14,$BN$14,"")&amp;IF((AD101)=15,$BN$15,"")&amp;IF((AD101)=16,$BN$16,"")&amp;IF((AD101)=17,$BN$17,"")&amp;IF((AD101)=18,$BN$18,"")&amp;IF((AD101)=19,$BN$19,"")&amp;IF((AD101)=20,$BN$20,"")&amp;IF((AD101)=21,$BN$21,"")&amp;IF((AD101)=22,$BN$22,"")&amp;IF((AD101)=23,$BN$23,"")&amp;IF((AD101)=24,$BN$24,"")&amp;IF((AD101)=25,$BN$25,"")&amp;IF((AD101)=26,$BN$26,"")&amp;IF((AD101)=27,$BN$27,"")&amp;IF((AD101)=28,$BN$28,"")&amp;IF((AD101)=29,$BN$29,"")&amp;IF((AD101)=30,$BN$30,"")&amp;IF((AD101)=31,$BN$31,"")&amp;IF((AD101)=32,$BN$32,"")&amp;IF((AD101)=33,$BN$33,"")&amp;IF((AD101)=34,$BN$34,"")&amp;IF((AD101)=35,$BN$35,"")&amp;IF((AD101)=36,$BN$36,"")&amp;IF((AD101)=37,$BN$37,"")&amp;IF((AD101)=38,$BN$38,"")&amp;IF((AD101)=39,$BN$39,"")&amp;IF((AD101)=40,$BN$40,"")&amp;IF((AD101)=41,$BN$41,"")&amp;IF((AD101)=42,$BN$42,"")&amp;IF((AD101)=43,$BN$43,"")&amp;IF((AD101)=44,$BN$44,"")&amp;IF((AD101)=45,$BN$45,"")&amp;IF((AD101)=46,$BN$46,"")&amp;IF((AD101)=47,$BN$47,"")&amp;IF((AD101)=48,$BN$48,"")&amp;IF((AD101)=49,$BN$49,"")&amp;IF((AD101)=50,$BN$50,"")&amp;IF((AD101)=51,$BN$51,"")&amp;IF((AD101)=52,$BN$52,"")&amp;IF((AD101)=53,$BN$53,"")&amp;IF((AD101)=54,$BN$54,"")&amp;IF((AD101)=55,$BN$55,"")&amp;IF((AD101)=56,$BN$56,"")&amp;IF((AD101)=57,$BN$57,"")&amp;IF((AD101)=58,$BN$58,"")&amp;IF((AD101)=59,$BN$59,"")&amp;IF((AD101)=60,$BN$60,"")&amp;IF((AD101)=61,$BN$61,"")&amp;IF((AD101)=62,$BN$62,"")&amp;IF((AD101)=63,$BN$63,"")&amp;IF((AD101)=64,$BN$64,"")&amp;IF((AD101)=65,$BN$65,"")&amp;IF((AD101)=66,$BN$66,"")&amp;IF((AD101)=67,$BN$67,"")&amp;IF((AD101)=68,$BN$68,"")&amp;IF((AD101)=69,$BN$69,"")&amp;IF((AD101)=70,$BN$70,"")&amp;IF((AD101)=71,$BN$71,"")&amp;IF((AD101)=72,$BN$72,"")&amp;IF((AD101)=73,$BN$73,"")&amp;IF((AD101)=74,$BN$74,"")&amp;IF((AD101)=75,$BN$75,"")&amp;IF((AD101)=76,$BN$76,"")&amp;IF((AD101)=77,$BN$77,"")&amp;IF((AD101)=78,$BN$78,"")&amp;IF((AD101)=79,$BN$79,"")&amp;IF((AD101)=80,$BN$80,"")&amp;IF((AD101)=81,$BN$81,"")&amp;IF((AD101)=82,$BN$82,"")&amp;IF((AD101)=83,$BN$83,"")&amp;IF((AD101)=84,$BN$84,"")&amp;IF((AD101)=85,$BN$85,"")&amp;IF((AD101)=86,$BN$86,"")&amp;IF((AD101)=87,$BN$87,"")&amp;IF((AD101)=88,$BN$88,"")&amp;IF((AD101)=89,$BN$89,"")&amp;IF((AD101)=90,$BN$90,"")&amp;IF((AD101)=91,$BN$91,"")&amp;IF((AD101)=92,$BN$92,"")&amp;IF((AD101)=93,$BN$93,"")&amp;IF((AD101)=94,$BN$94,"")&amp;IF((AD101)=95,$BN$95,"")&amp;IF((AD101)=96,$BN$96,"")&amp;IF((AD101)=97,$BN$97,"")&amp;IF((AD101)=98,$BN$98,"")&amp;IF((AD101)=99,$BN$99,"")&amp;IF((AD101)=100,$BN$100,"")&amp;IF((AD101)=101,$BN$101,"")&amp;IF((AD101)=102,$BN$102,"")&amp;IF((AD101)=103,$BN$103,"")&amp;IF((AD101)=104,$BN$104,"")&amp;IF((AD101)=105,$BN$105,"")&amp;IF((AD101)=106,$BN$106,"")&amp;IF((AD101)=107,$BN$107,"")&amp;IF((AD101)=108,$BN$108,"")&amp;IF((AD101)=109,$BN$109,"")&amp;IF((AD101)=110,$BN$110,"")&amp;IF((AD101)=111,$BN$111,"")&amp;IF((AD101)=112,$BN$112,"")&amp;IF((AD101)=113,$BN$113,"")&amp;IF((AD101)=114,$BN$114,"")&amp;IF((AD101)=115,$BN$115,"")&amp;IF((AD101)=116,$BN$116,"")&amp;IF((AD101)=117,$BN$117,"")&amp;IF((AD101)=118,$BN$118,"")&amp;IF((AD101)=119,$BN$119,"")&amp;IF((AD101)=120,$BN$120,"")&amp;IF((AD101)=121,$BN$121,"")&amp;IF((AD101)=122,$BN$122,"")&amp;IF((AD101)=123,$BN$123,"")&amp;IF((AD101)=124,$BN$124,"")&amp;IF((AD101)=125,$BN$125,"")&amp;IF((AD101)=126,$BN$126,"")&amp;IF((AD101)=127,$BN$127,"")&amp;IF((AD101)=128,$BN$128,"")</f>
        <v>DELPHINE</v>
      </c>
      <c r="AE6" s="115"/>
      <c r="AF6" s="116"/>
      <c r="AG6" s="84" t="s">
        <v>54</v>
      </c>
      <c r="AH6" s="133" t="str">
        <f>IF((AJ101)=1,$BM$1,"")&amp;IF((AJ101)=2,$BM$2,"")&amp;IF((AJ101)=3,$BM$3,"")&amp;IF((AJ101)=4,$BM$4,"")&amp;IF((AJ101)=5,$BM$5,"")&amp;IF((AJ101)=6,$BM$6,"")&amp;IF((AJ101)=7,$BM$7,"")&amp;IF((AJ101)=8,$BM$8,"")&amp;IF((AJ101)=9,$BM$9,"")&amp;IF((AJ101)=10,$BM$10,"")&amp;IF((AJ101)=11,$BM$11,"")&amp;IF((AJ101)=12,$BM$12,"")&amp;IF((AJ101)=13,$BM$13,"")&amp;IF((AJ101)=14,$BM$14,"")&amp;IF((AJ101)=15,$BM$15,"")&amp;IF((AJ101)=16,$BM$16,"")&amp;IF((AJ101)=17,$BM$17,"")&amp;IF((AJ101)=18,$BM$18,"")&amp;IF((AJ101)=19,$BM$19,"")&amp;IF((AJ101)=20,$BM$20,"")&amp;IF((AJ101)=21,$BM$21,"")&amp;IF((AJ101)=22,$BM$22,"")&amp;IF((AJ101)=23,$BM$23,"")&amp;IF((AJ101)=24,$BM$24,"")&amp;IF((AJ101)=25,$BM$25,"")&amp;IF((AJ101)=26,$BM$26,"")&amp;IF((AJ101)=27,$BM$27,"")&amp;IF((AJ101)=28,$BM$28,"")&amp;IF((AJ101)=29,$BM$29,"")&amp;IF((AJ101)=30,$BM$30,"")&amp;IF((AJ101)=31,$BM$31,"")&amp;IF((AJ101)=32,$BM$32,"")&amp;IF((AJ101)=33,$BM$33,"")&amp;IF((AJ101)=34,$BM$34,"")&amp;IF((AJ101)=35,$BM$35,"")&amp;IF((AJ101)=36,$BM$36,"")&amp;IF((AJ101)=37,$BM$37,"")&amp;IF((AJ101)=38,$BM$38,"")&amp;IF((AJ101)=39,$BM$39,"")&amp;IF((AJ101)=40,$BM$40,"")&amp;IF((AJ101)=41,$BM$41,"")&amp;IF((AJ101)=42,$BM$42,"")&amp;IF((AJ101)=43,$BM$43,"")&amp;IF((AJ101)=44,$BM$44,"")&amp;IF((AJ101)=45,$BM$45,"")&amp;IF((AJ101)=46,$BM$46,"")&amp;IF((AJ101)=47,$BM$47,"")&amp;IF((AJ101)=48,$BM$48,"")&amp;IF((AJ101)=49,$BM$49,"")&amp;IF((AJ101)=50,$BM$50,"")&amp;IF((AJ101)=51,$BM$51,"")&amp;IF((AJ101)=52,$BM$52,"")&amp;IF((AJ101)=53,$BM$53,"")&amp;IF((AJ101)=54,$BM$54,"")&amp;IF((AJ101)=55,$BM$55,"")&amp;IF((AJ101)=56,$BM$56,"")&amp;IF((AJ101)=57,$BM$57,"")&amp;IF((AJ101)=58,$BM$58,"")&amp;IF((AJ101)=59,$BM$59,"")&amp;IF((AJ101)=60,$BM$60,"")&amp;IF((AJ101)=61,$BM$61,"")&amp;IF((AJ101)=62,$BM$62,"")&amp;IF((AJ101)=63,$BM$63,"")&amp;IF((AJ101)=64,$BM$64,"")&amp;IF((AJ101)=65,$BM$65,"")&amp;IF((AJ101)=66,$BM$66,"")&amp;IF((AJ101)=67,$BM$67,"")&amp;IF((AJ101)=68,$BM$68,"")&amp;IF((AJ101)=69,$BM$69,"")&amp;IF((AJ101)=70,$BM$70,"")&amp;IF((AJ101)=71,$BM$71,"")&amp;IF((AJ101)=72,$BM$72,"")&amp;IF((AJ101)=73,$BM$73,"")&amp;IF((AJ101)=74,$BM$74,"")&amp;IF((AJ101)=75,$BM$75,"")&amp;IF((AJ101)=76,$BM$76,"")&amp;IF((AJ101)=77,$BM$77,"")&amp;IF((AJ101)=78,$BM$78,"")&amp;IF((AJ101)=79,$BM$79,"")&amp;IF((AJ101)=80,$BM$80,"")&amp;IF((AJ101)=81,$BM$81,"")&amp;IF((AJ101)=82,$BM$82,"")&amp;IF((AJ101)=83,$BM$83,"")&amp;IF((AJ101)=84,$BM$84,"")&amp;IF((AJ101)=85,$BM$85,"")&amp;IF((AJ101)=86,$BM$86,"")&amp;IF((AJ101)=87,$BM$87,"")&amp;IF((AJ101)=88,$BM$88,"")&amp;IF((AJ101)=89,$BM$89,"")&amp;IF((AJ101)=90,$BM$90,"")&amp;IF((AJ101)=91,$BM$91,"")&amp;IF((AJ101)=92,$BM$92,"")&amp;IF((AJ101)=93,$BM$93,"")&amp;IF((AJ101)=94,$BM$94,"")&amp;IF((AJ101)=95,$BM$95,"")&amp;IF((AJ101)=96,$BM$96,"")&amp;IF((AJ101)=97,$BM$97,"")&amp;IF((AJ101)=98,$BM$98,"")&amp;IF((AJ101)=99,$BM$99,"")&amp;IF((AJ101)=100,$BM$100,"")&amp;IF((AJ101)=101,$BM$101,"")&amp;IF((AJ101)=102,$BM$102,"")&amp;IF((AJ101)=103,$BM$103,"")&amp;IF((AJ101)=104,$BM$104,"")&amp;IF((AJ101)=105,$BM$105,"")&amp;IF((AJ101)=106,$BM$106,"")&amp;IF((AJ101)=107,$BM$107,"")&amp;IF((AJ101)=108,$BM$108,"")&amp;IF((AJ101)=109,$BM$109,"")&amp;IF((AJ101)=110,$BM$110,"")&amp;IF((AJ101)=111,$BM$111,"")&amp;IF((AJ101)=112,$BM$112,"")&amp;IF((AJ101)=113,$BM$113,"")&amp;IF((AJ101)=114,$BM$114,"")&amp;IF((AJ101)=115,$BM$115,"")&amp;IF((AJ101)=116,$BM$116,"")&amp;IF((AJ101)=117,$BM$117,"")&amp;IF((AJ101)=118,$BM$118,"")&amp;IF((AJ101)=119,$BM$119,"")&amp;IF((AJ101)=120,$BM$120,"")&amp;IF((AJ101)=121,$BM$121,"")&amp;IF((AJ101)=122,$BM$122,"")&amp;IF((AJ101)=123,$BM$123,"")&amp;IF((AJ101)=124,$BM$124,"")&amp;IF((AJ101)=125,$BM$125,"")&amp;IF((AJ101)=126,$BM$126,"")&amp;IF((AJ101)=127,$BM$127,"")&amp;IF((AJ101)=128,$BM$128,"")</f>
        <v>87</v>
      </c>
      <c r="AI6" s="85"/>
      <c r="AJ6" s="126" t="str">
        <f>IF((AJ101)=1,$BN$1,"")&amp;IF((AJ101)=2,$BN$2,"")&amp;IF((AJ101)=3,$BN$3,"")&amp;IF((AJ101)=4,$BN$4,"")&amp;IF((AJ101)=5,$BN$5,"")&amp;IF((AJ101)=6,$BN$6,"")&amp;IF((AJ101)=7,$BN$7,"")&amp;IF((AJ101)=8,$BN$8,"")&amp;IF((AJ101)=9,$BN$9,"")&amp;IF((AJ101)=10,$BN$10,"")&amp;IF((AJ101)=11,$BN$11,"")&amp;IF((AJ101)=12,$BN$12,"")&amp;IF((AJ101)=13,$BN$13,"")&amp;IF((AJ101)=14,$BN$14,"")&amp;IF((AJ101)=15,$BN$15,"")&amp;IF((AJ101)=16,$BN$16,"")&amp;IF((AJ101)=17,$BN$17,"")&amp;IF((AJ101)=18,$BN$18,"")&amp;IF((AJ101)=19,$BN$19,"")&amp;IF((AJ101)=20,$BN$20,"")&amp;IF((AJ101)=21,$BN$21,"")&amp;IF((AJ101)=22,$BN$22,"")&amp;IF((AJ101)=23,$BN$23,"")&amp;IF((AJ101)=24,$BN$24,"")&amp;IF((AJ101)=25,$BN$25,"")&amp;IF((AJ101)=26,$BN$26,"")&amp;IF((AJ101)=27,$BN$27,"")&amp;IF((AJ101)=28,$BN$28,"")&amp;IF((AJ101)=29,$BN$29,"")&amp;IF((AJ101)=30,$BN$30,"")&amp;IF((AJ101)=31,$BN$31,"")&amp;IF((AJ101)=32,$BN$32,"")&amp;IF((AJ101)=33,$BN$33,"")&amp;IF((AJ101)=34,$BN$34,"")&amp;IF((AJ101)=35,$BN$35,"")&amp;IF((AJ101)=36,$BN$36,"")&amp;IF((AJ101)=37,$BN$37,"")&amp;IF((AJ101)=38,$BN$38,"")&amp;IF((AJ101)=39,$BN$39,"")&amp;IF((AJ101)=40,$BN$40,"")&amp;IF((AJ101)=41,$BN$41,"")&amp;IF((AJ101)=42,$BN$42,"")&amp;IF((AJ101)=43,$BN$43,"")&amp;IF((AJ101)=44,$BN$44,"")&amp;IF((AJ101)=45,$BN$45,"")&amp;IF((AJ101)=46,$BN$46,"")&amp;IF((AJ101)=47,$BN$47,"")&amp;IF((AJ101)=48,$BN$48,"")&amp;IF((AJ101)=49,$BN$49,"")&amp;IF((AJ101)=50,$BN$50,"")&amp;IF((AJ101)=51,$BN$51,"")&amp;IF((AJ101)=52,$BN$52,"")&amp;IF((AJ101)=53,$BN$53,"")&amp;IF((AJ101)=54,$BN$54,"")&amp;IF((AJ101)=55,$BN$55,"")&amp;IF((AJ101)=56,$BN$56,"")&amp;IF((AJ101)=57,$BN$57,"")&amp;IF((AJ101)=58,$BN$58,"")&amp;IF((AJ101)=59,$BN$59,"")&amp;IF((AJ101)=60,$BN$60,"")&amp;IF((AJ101)=61,$BN$61,"")&amp;IF((AJ101)=62,$BN$62,"")&amp;IF((AJ101)=63,$BN$63,"")&amp;IF((AJ101)=64,$BN$64,"")&amp;IF((AJ101)=65,$BN$65,"")&amp;IF((AJ101)=66,$BN$66,"")&amp;IF((AJ101)=67,$BN$67,"")&amp;IF((AJ101)=68,$BN$68,"")&amp;IF((AJ101)=69,$BN$69,"")&amp;IF((AJ101)=70,$BN$70,"")&amp;IF((AJ101)=71,$BN$71,"")&amp;IF((AJ101)=72,$BN$72,"")&amp;IF((AJ101)=73,$BN$73,"")&amp;IF((AJ101)=74,$BN$74,"")&amp;IF((AJ101)=75,$BN$75,"")&amp;IF((AJ101)=76,$BN$76,"")&amp;IF((AJ101)=77,$BN$77,"")&amp;IF((AJ101)=78,$BN$78,"")&amp;IF((AJ101)=79,$BN$79,"")&amp;IF((AJ101)=80,$BN$80,"")&amp;IF((AJ101)=81,$BN$81,"")&amp;IF((AJ101)=82,$BN$82,"")&amp;IF((AJ101)=83,$BN$83,"")&amp;IF((AJ101)=84,$BN$84,"")&amp;IF((AJ101)=85,$BN$85,"")&amp;IF((AJ101)=86,$BN$86,"")&amp;IF((AJ101)=87,$BN$87,"")&amp;IF((AJ101)=88,$BN$88,"")&amp;IF((AJ101)=89,$BN$89,"")&amp;IF((AJ101)=90,$BN$90,"")&amp;IF((AJ101)=91,$BN$91,"")&amp;IF((AJ101)=92,$BN$92,"")&amp;IF((AJ101)=93,$BN$93,"")&amp;IF((AJ101)=94,$BN$94,"")&amp;IF((AJ101)=95,$BN$95,"")&amp;IF((AJ101)=96,$BN$96,"")&amp;IF((AJ101)=97,$BN$97,"")&amp;IF((AJ101)=98,$BN$98,"")&amp;IF((AJ101)=99,$BN$99,"")&amp;IF((AJ101)=100,$BN$100,"")&amp;IF((AJ101)=101,$BN$101,"")&amp;IF((AJ101)=102,$BN$102,"")&amp;IF((AJ101)=103,$BN$103,"")&amp;IF((AJ101)=104,$BN$104,"")&amp;IF((AJ101)=105,$BN$105,"")&amp;IF((AJ101)=106,$BN$106,"")&amp;IF((AJ101)=107,$BN$107,"")&amp;IF((AJ101)=108,$BN$108,"")&amp;IF((AJ101)=109,$BN$109,"")&amp;IF((AJ101)=110,$BN$110,"")&amp;IF((AJ101)=111,$BN$111,"")&amp;IF((AJ101)=112,$BN$112,"")&amp;IF((AJ101)=113,$BN$113,"")&amp;IF((AJ101)=114,$BN$114,"")&amp;IF((AJ101)=115,$BN$115,"")&amp;IF((AJ101)=116,$BN$116,"")&amp;IF((AJ101)=117,$BN$117,"")&amp;IF((AJ101)=118,$BN$118,"")&amp;IF((AJ101)=119,$BN$119,"")&amp;IF((AJ101)=120,$BN$120,"")&amp;IF((AJ101)=121,$BN$121,"")&amp;IF((AJ101)=122,$BN$122,"")&amp;IF((AJ101)=123,$BN$123,"")&amp;IF((AJ101)=124,$BN$124,"")&amp;IF((AJ101)=125,$BN$125,"")&amp;IF((AJ101)=126,$BN$126,"")&amp;IF((AJ101)=127,$BN$127,"")&amp;IF((AJ101)=128,$BN$128,"")</f>
        <v>GUILLAUME</v>
      </c>
      <c r="AK6" s="86" t="s">
        <v>54</v>
      </c>
      <c r="AL6" s="133" t="str">
        <f>IF((AN101)=1,$BM$1,"")&amp;IF((AN101)=2,$BM$2,"")&amp;IF((AN101)=3,$BM$3,"")&amp;IF((AN101)=4,$BM$4,"")&amp;IF((AN101)=5,$BM$5,"")&amp;IF((AN101)=6,$BM$6,"")&amp;IF((AN101)=7,$BM$7,"")&amp;IF((AN101)=8,$BM$8,"")&amp;IF((AN101)=9,$BM$9,"")&amp;IF((AN101)=10,$BM$10,"")&amp;IF((AN101)=11,$BM$11,"")&amp;IF((AN101)=12,$BM$12,"")&amp;IF((AN101)=13,$BM$13,"")&amp;IF((AN101)=14,$BM$14,"")&amp;IF((AN101)=15,$BM$15,"")&amp;IF((AN101)=16,$BM$16,"")&amp;IF((AN101)=17,$BM$17,"")&amp;IF((AN101)=18,$BM$18,"")&amp;IF((AN101)=19,$BM$19,"")&amp;IF((AN101)=20,$BM$20,"")&amp;IF((AN101)=21,$BM$21,"")&amp;IF((AN101)=22,$BM$22,"")&amp;IF((AN101)=23,$BM$23,"")&amp;IF((AN101)=24,$BM$24,"")&amp;IF((AN101)=25,$BM$25,"")&amp;IF((AN101)=26,$BM$26,"")&amp;IF((AN101)=27,$BM$27,"")&amp;IF((AN101)=28,$BM$28,"")&amp;IF((AN101)=29,$BM$29,"")&amp;IF((AN101)=30,$BM$30,"")&amp;IF((AN101)=31,$BM$31,"")&amp;IF((AN101)=32,$BM$32,"")&amp;IF((AN101)=33,$BM$33,"")&amp;IF((AN101)=34,$BM$34,"")&amp;IF((AN101)=35,$BM$35,"")&amp;IF((AN101)=36,$BM$36,"")&amp;IF((AN101)=37,$BM$37,"")&amp;IF((AN101)=38,$BM$38,"")&amp;IF((AN101)=39,$BM$39,"")&amp;IF((AN101)=40,$BM$40,"")&amp;IF((AN101)=41,$BM$41,"")&amp;IF((AN101)=42,$BM$42,"")&amp;IF((AN101)=43,$BM$43,"")&amp;IF((AN101)=44,$BM$44,"")&amp;IF((AN101)=45,$BM$45,"")&amp;IF((AN101)=46,$BM$46,"")&amp;IF((AN101)=47,$BM$47,"")&amp;IF((AN101)=48,$BM$48,"")&amp;IF((AN101)=49,$BM$49,"")&amp;IF((AN101)=50,$BM$50,"")&amp;IF((AN101)=51,$BM$51,"")&amp;IF((AN101)=52,$BM$52,"")&amp;IF((AN101)=53,$BM$53,"")&amp;IF((AN101)=54,$BM$54,"")&amp;IF((AN101)=55,$BM$55,"")&amp;IF((AN101)=56,$BM$56,"")&amp;IF((AN101)=57,$BM$57,"")&amp;IF((AN101)=58,$BM$58,"")&amp;IF((AN101)=59,$BM$59,"")&amp;IF((AN101)=60,$BM$60,"")&amp;IF((AN101)=61,$BM$61,"")&amp;IF((AN101)=62,$BM$62,"")&amp;IF((AN101)=63,$BM$63,"")&amp;IF((AN101)=64,$BM$64,"")&amp;IF((AN101)=65,$BM$65,"")&amp;IF((AN101)=66,$BM$66,"")&amp;IF((AN101)=67,$BM$67,"")&amp;IF((AN101)=68,$BM$68,"")&amp;IF((AN101)=69,$BM$69,"")&amp;IF((AN101)=70,$BM$70,"")&amp;IF((AN101)=71,$BM$71,"")&amp;IF((AN101)=72,$BM$72,"")&amp;IF((AN101)=73,$BM$73,"")&amp;IF((AN101)=74,$BM$74,"")&amp;IF((AN101)=75,$BM$75,"")&amp;IF((AN101)=76,$BM$76,"")&amp;IF((AN101)=77,$BM$77,"")&amp;IF((AN101)=78,$BM$78,"")&amp;IF((AN101)=79,$BM$79,"")&amp;IF((AN101)=80,$BM$80,"")&amp;IF((AN101)=81,$BM$81,"")&amp;IF((AN101)=82,$BM$82,"")&amp;IF((AN101)=83,$BM$83,"")&amp;IF((AN101)=84,$BM$84,"")&amp;IF((AN101)=85,$BM$85,"")&amp;IF((AN101)=86,$BM$86,"")&amp;IF((AN101)=87,$BM$87,"")&amp;IF((AN101)=88,$BM$88,"")&amp;IF((AN101)=89,$BM$89,"")&amp;IF((AN101)=90,$BM$90,"")&amp;IF((AN101)=91,$BM$91,"")&amp;IF((AN101)=92,$BM$92,"")&amp;IF((AN101)=93,$BM$93,"")&amp;IF((AN101)=94,$BM$94,"")&amp;IF((AN101)=95,$BM$95,"")&amp;IF((AN101)=96,$BM$96,"")&amp;IF((AN101)=97,$BM$97,"")&amp;IF((AN101)=98,$BM$98,"")&amp;IF((AN101)=99,$BM$99,"")&amp;IF((AN101)=100,$BM$100,"")&amp;IF((AN101)=101,$BM$101,"")&amp;IF((AN101)=102,$BM$102,"")&amp;IF((AN101)=103,$BM$103,"")&amp;IF((AN101)=104,$BM$104,"")&amp;IF((AN101)=105,$BM$105,"")&amp;IF((AN101)=106,$BM$106,"")&amp;IF((AN101)=107,$BM$107,"")&amp;IF((AN101)=108,$BM$108,"")&amp;IF((AN101)=109,$BM$109,"")&amp;IF((AN101)=110,$BM$110,"")&amp;IF((AN101)=111,$BM$111,"")&amp;IF((AN101)=112,$BM$112,"")&amp;IF((AN101)=113,$BM$113,"")&amp;IF((AN101)=114,$BM$114,"")&amp;IF((AN101)=115,$BM$115,"")&amp;IF((AN101)=116,$BM$116,"")&amp;IF((AN101)=117,$BM$117,"")&amp;IF((AN101)=118,$BM$118,"")&amp;IF((AN101)=119,$BM$119,"")&amp;IF((AN101)=120,$BM$120,"")&amp;IF((AN101)=121,$BM$121,"")&amp;IF((AN101)=122,$BM$122,"")&amp;IF((AN101)=123,$BM$123,"")&amp;IF((AN101)=124,$BM$124,"")&amp;IF((AN101)=125,$BM$125,"")&amp;IF((AN101)=126,$BM$126,"")&amp;IF((AN101)=127,$BM$127,"")&amp;IF((AN101)=128,$BM$128,"")</f>
        <v>15</v>
      </c>
      <c r="AM6" s="87"/>
      <c r="AN6" s="126" t="str">
        <f>IF((AN101)=1,$BN$1,"")&amp;IF((AN101)=2,$BN$2,"")&amp;IF((AN101)=3,$BN$3,"")&amp;IF((AN101)=4,$BN$4,"")&amp;IF((AN101)=5,$BN$5,"")&amp;IF((AN101)=6,$BN$6,"")&amp;IF((AN101)=7,$BN$7,"")&amp;IF((AN101)=8,$BN$8,"")&amp;IF((AN101)=9,$BN$9,"")&amp;IF((AN101)=10,$BN$10,"")&amp;IF((AN101)=11,$BN$11,"")&amp;IF((AN101)=12,$BN$12,"")&amp;IF((AN101)=13,$BN$13,"")&amp;IF((AN101)=14,$BN$14,"")&amp;IF((AN101)=15,$BN$15,"")&amp;IF((AN101)=16,$BN$16,"")&amp;IF((AN101)=17,$BN$17,"")&amp;IF((AN101)=18,$BN$18,"")&amp;IF((AN101)=19,$BN$19,"")&amp;IF((AN101)=20,$BN$20,"")&amp;IF((AN101)=21,$BN$21,"")&amp;IF((AN101)=22,$BN$22,"")&amp;IF((AN101)=23,$BN$23,"")&amp;IF((AN101)=24,$BN$24,"")&amp;IF((AN101)=25,$BN$25,"")&amp;IF((AN101)=26,$BN$26,"")&amp;IF((AN101)=27,$BN$27,"")&amp;IF((AN101)=28,$BN$28,"")&amp;IF((AN101)=29,$BN$29,"")&amp;IF((AN101)=30,$BN$30,"")&amp;IF((AN101)=31,$BN$31,"")&amp;IF((AN101)=32,$BN$32,"")&amp;IF((AN101)=33,$BN$33,"")&amp;IF((AN101)=34,$BN$34,"")&amp;IF((AN101)=35,$BN$35,"")&amp;IF((AN101)=36,$BN$36,"")&amp;IF((AN101)=37,$BN$37,"")&amp;IF((AN101)=38,$BN$38,"")&amp;IF((AN101)=39,$BN$39,"")&amp;IF((AN101)=40,$BN$40,"")&amp;IF((AN101)=41,$BN$41,"")&amp;IF((AN101)=42,$BN$42,"")&amp;IF((AN101)=43,$BN$43,"")&amp;IF((AN101)=44,$BN$44,"")&amp;IF((AN101)=45,$BN$45,"")&amp;IF((AN101)=46,$BN$46,"")&amp;IF((AN101)=47,$BN$47,"")&amp;IF((AN101)=48,$BN$48,"")&amp;IF((AN101)=49,$BN$49,"")&amp;IF((AN101)=50,$BN$50,"")&amp;IF((AN101)=51,$BN$51,"")&amp;IF((AN101)=52,$BN$52,"")&amp;IF((AN101)=53,$BN$53,"")&amp;IF((AN101)=54,$BN$54,"")&amp;IF((AN101)=55,$BN$55,"")&amp;IF((AN101)=56,$BN$56,"")&amp;IF((AN101)=57,$BN$57,"")&amp;IF((AN101)=58,$BN$58,"")&amp;IF((AN101)=59,$BN$59,"")&amp;IF((AN101)=60,$BN$60,"")&amp;IF((AN101)=61,$BN$61,"")&amp;IF((AN101)=62,$BN$62,"")&amp;IF((AN101)=63,$BN$63,"")&amp;IF((AN101)=64,$BN$64,"")&amp;IF((AN101)=65,$BN$65,"")&amp;IF((AN101)=66,$BN$66,"")&amp;IF((AN101)=67,$BN$67,"")&amp;IF((AN101)=68,$BN$68,"")&amp;IF((AN101)=69,$BN$69,"")&amp;IF((AN101)=70,$BN$70,"")&amp;IF((AN101)=71,$BN$71,"")&amp;IF((AN101)=72,$BN$72,"")&amp;IF((AN101)=73,$BN$73,"")&amp;IF((AN101)=74,$BN$74,"")&amp;IF((AN101)=75,$BN$75,"")&amp;IF((AN101)=76,$BN$76,"")&amp;IF((AN101)=77,$BN$77,"")&amp;IF((AN101)=78,$BN$78,"")&amp;IF((AN101)=79,$BN$79,"")&amp;IF((AN101)=80,$BN$80,"")&amp;IF((AN101)=81,$BN$81,"")&amp;IF((AN101)=82,$BN$82,"")&amp;IF((AN101)=83,$BN$83,"")&amp;IF((AN101)=84,$BN$84,"")&amp;IF((AN101)=85,$BN$85,"")&amp;IF((AN101)=86,$BN$86,"")&amp;IF((AN101)=87,$BN$87,"")&amp;IF((AN101)=88,$BN$88,"")&amp;IF((AN101)=89,$BN$89,"")&amp;IF((AN101)=90,$BN$90,"")&amp;IF((AN101)=91,$BN$91,"")&amp;IF((AN101)=92,$BN$92,"")&amp;IF((AN101)=93,$BN$93,"")&amp;IF((AN101)=94,$BN$94,"")&amp;IF((AN101)=95,$BN$95,"")&amp;IF((AN101)=96,$BN$96,"")&amp;IF((AN101)=97,$BN$97,"")&amp;IF((AN101)=98,$BN$98,"")&amp;IF((AN101)=99,$BN$99,"")&amp;IF((AN101)=100,$BN$100,"")&amp;IF((AN101)=101,$BN$101,"")&amp;IF((AN101)=102,$BN$102,"")&amp;IF((AN101)=103,$BN$103,"")&amp;IF((AN101)=104,$BN$104,"")&amp;IF((AN101)=105,$BN$105,"")&amp;IF((AN101)=106,$BN$106,"")&amp;IF((AN101)=107,$BN$107,"")&amp;IF((AN101)=108,$BN$108,"")&amp;IF((AN101)=109,$BN$109,"")&amp;IF((AN101)=110,$BN$110,"")&amp;IF((AN101)=111,$BN$111,"")&amp;IF((AN101)=112,$BN$112,"")&amp;IF((AN101)=113,$BN$113,"")&amp;IF((AN101)=114,$BN$114,"")&amp;IF((AN101)=115,$BN$115,"")&amp;IF((AN101)=116,$BN$116,"")&amp;IF((AN101)=117,$BN$117,"")&amp;IF((AN101)=118,$BN$118,"")&amp;IF((AN101)=119,$BN$119,"")&amp;IF((AN101)=120,$BN$120,"")&amp;IF((AN101)=121,$BN$121,"")&amp;IF((AN101)=122,$BN$122,"")&amp;IF((AN101)=123,$BN$123,"")&amp;IF((AN101)=124,$BN$124,"")&amp;IF((AN101)=125,$BN$125,"")&amp;IF((AN101)=126,$BN$126,"")&amp;IF((AN101)=127,$BN$127,"")&amp;IF((AN101)=128,$BN$128,"")</f>
        <v>JEAN PAUL</v>
      </c>
      <c r="AO6" s="117"/>
      <c r="AP6" s="118"/>
      <c r="AQ6" s="88" t="s">
        <v>54</v>
      </c>
      <c r="AR6" s="134" t="str">
        <f>IF((AT101)=1,$BM$1,"")&amp;IF((AT101)=2,$BM$2,"")&amp;IF((AT101)=3,$BM$3,"")&amp;IF((AT101)=4,$BM$4,"")&amp;IF((AT101)=5,$BM$5,"")&amp;IF((AT101)=6,$BM$6,"")&amp;IF((AT101)=7,$BM$7,"")&amp;IF((AT101)=8,$BM$8,"")&amp;IF((AT101)=9,$BM$9,"")&amp;IF((AT101)=10,$BM$10,"")&amp;IF((AT101)=11,$BM$11,"")&amp;IF((AT101)=12,$BM$12,"")&amp;IF((AT101)=13,$BM$13,"")&amp;IF((AT101)=14,$BM$14,"")&amp;IF((AT101)=15,$BM$15,"")&amp;IF((AT101)=16,$BM$16,"")&amp;IF((AT101)=17,$BM$17,"")&amp;IF((AT101)=18,$BM$18,"")&amp;IF((AT101)=19,$BM$19,"")&amp;IF((AT101)=20,$BM$20,"")&amp;IF((AT101)=21,$BM$21,"")&amp;IF((AT101)=22,$BM$22,"")&amp;IF((AT101)=23,$BM$23,"")&amp;IF((AT101)=24,$BM$24,"")&amp;IF((AT101)=25,$BM$25,"")&amp;IF((AT101)=26,$BM$26,"")&amp;IF((AT101)=27,$BM$27,"")&amp;IF((AT101)=28,$BM$28,"")&amp;IF((AT101)=29,$BM$29,"")&amp;IF((AT101)=30,$BM$30,"")&amp;IF((AT101)=31,$BM$31,"")&amp;IF((AT101)=32,$BM$32,"")&amp;IF((AT101)=33,$BM$33,"")&amp;IF((AT101)=34,$BM$34,"")&amp;IF((AT101)=35,$BM$35,"")&amp;IF((AT101)=36,$BM$36,"")&amp;IF((AT101)=37,$BM$37,"")&amp;IF((AT101)=38,$BM$38,"")&amp;IF((AT101)=39,$BM$39,"")&amp;IF((AT101)=40,$BM$40,"")&amp;IF((AT101)=41,$BM$41,"")&amp;IF((AT101)=42,$BM$42,"")&amp;IF((AT101)=43,$BM$43,"")&amp;IF((AT101)=44,$BM$44,"")&amp;IF((AT101)=45,$BM$45,"")&amp;IF((AT101)=46,$BM$46,"")&amp;IF((AT101)=47,$BM$47,"")&amp;IF((AT101)=48,$BM$48,"")&amp;IF((AT101)=49,$BM$49,"")&amp;IF((AT101)=50,$BM$50,"")&amp;IF((AT101)=51,$BM$51,"")&amp;IF((AT101)=52,$BM$52,"")&amp;IF((AT101)=53,$BM$53,"")&amp;IF((AT101)=54,$BM$54,"")&amp;IF((AT101)=55,$BM$55,"")&amp;IF((AT101)=56,$BM$56,"")&amp;IF((AT101)=57,$BM$57,"")&amp;IF((AT101)=58,$BM$58,"")&amp;IF((AT101)=59,$BM$59,"")&amp;IF((AT101)=60,$BM$60,"")&amp;IF((AT101)=61,$BM$61,"")&amp;IF((AT101)=62,$BM$62,"")&amp;IF((AT101)=63,$BM$63,"")&amp;IF((AT101)=64,$BM$64,"")&amp;IF((AT101)=65,$BM$65,"")&amp;IF((AT101)=66,$BM$66,"")&amp;IF((AT101)=67,$BM$67,"")&amp;IF((AT101)=68,$BM$68,"")&amp;IF((AT101)=69,$BM$69,"")&amp;IF((AT101)=70,$BM$70,"")&amp;IF((AT101)=71,$BM$71,"")&amp;IF((AT101)=72,$BM$72,"")&amp;IF((AT101)=73,$BM$73,"")&amp;IF((AT101)=74,$BM$74,"")&amp;IF((AT101)=75,$BM$75,"")&amp;IF((AT101)=76,$BM$76,"")&amp;IF((AT101)=77,$BM$77,"")&amp;IF((AT101)=78,$BM$78,"")&amp;IF((AT101)=79,$BM$79,"")&amp;IF((AT101)=80,$BM$80,"")&amp;IF((AT101)=81,$BM$81,"")&amp;IF((AT101)=82,$BM$82,"")&amp;IF((AT101)=83,$BM$83,"")&amp;IF((AT101)=84,$BM$84,"")&amp;IF((AT101)=85,$BM$85,"")&amp;IF((AT101)=86,$BM$86,"")&amp;IF((AT101)=87,$BM$87,"")&amp;IF((AT101)=88,$BM$88,"")&amp;IF((AT101)=89,$BM$89,"")&amp;IF((AT101)=90,$BM$90,"")&amp;IF((AT101)=91,$BM$91,"")&amp;IF((AT101)=92,$BM$92,"")&amp;IF((AT101)=93,$BM$93,"")&amp;IF((AT101)=94,$BM$94,"")&amp;IF((AT101)=95,$BM$95,"")&amp;IF((AT101)=96,$BM$96,"")&amp;IF((AT101)=97,$BM$97,"")&amp;IF((AT101)=98,$BM$98,"")&amp;IF((AT101)=99,$BM$99,"")&amp;IF((AT101)=100,$BM$100,"")&amp;IF((AT101)=101,$BM$101,"")&amp;IF((AT101)=102,$BM$102,"")&amp;IF((AT101)=103,$BM$103,"")&amp;IF((AT101)=104,$BM$104,"")&amp;IF((AT101)=105,$BM$105,"")&amp;IF((AT101)=106,$BM$106,"")&amp;IF((AT101)=107,$BM$107,"")&amp;IF((AT101)=108,$BM$108,"")&amp;IF((AT101)=109,$BM$109,"")&amp;IF((AT101)=110,$BM$110,"")&amp;IF((AT101)=111,$BM$111,"")&amp;IF((AT101)=112,$BM$112,"")&amp;IF((AT101)=113,$BM$113,"")&amp;IF((AT101)=114,$BM$114,"")&amp;IF((AT101)=115,$BM$115,"")&amp;IF((AT101)=116,$BM$116,"")&amp;IF((AT101)=117,$BM$117,"")&amp;IF((AT101)=118,$BM$118,"")&amp;IF((AT101)=119,$BM$119,"")&amp;IF((AT101)=120,$BM$120,"")&amp;IF((AT101)=121,$BM$121,"")&amp;IF((AT101)=122,$BM$122,"")&amp;IF((AT101)=123,$BM$123,"")&amp;IF((AT101)=124,$BM$124,"")&amp;IF((AT101)=125,$BM$125,"")&amp;IF((AT101)=126,$BM$126,"")&amp;IF((AT101)=127,$BM$127,"")&amp;IF((AT101)=128,$BM$128,"")</f>
        <v>107</v>
      </c>
      <c r="AS6" s="89"/>
      <c r="AT6" s="124" t="str">
        <f>IF((AT101)=1,$BN$1,"")&amp;IF((AT101)=2,$BN$2,"")&amp;IF((AT101)=3,$BN$3,"")&amp;IF((AT101)=4,$BN$4,"")&amp;IF((AT101)=5,$BN$5,"")&amp;IF((AT101)=6,$BN$6,"")&amp;IF((AT101)=7,$BN$7,"")&amp;IF((AT101)=8,$BN$8,"")&amp;IF((AT101)=9,$BN$9,"")&amp;IF((AT101)=10,$BN$10,"")&amp;IF((AT101)=11,$BN$11,"")&amp;IF((AT101)=12,$BN$12,"")&amp;IF((AT101)=13,$BN$13,"")&amp;IF((AT101)=14,$BN$14,"")&amp;IF((AT101)=15,$BN$15,"")&amp;IF((AT101)=16,$BN$16,"")&amp;IF((AT101)=17,$BN$17,"")&amp;IF((AT101)=18,$BN$18,"")&amp;IF((AT101)=19,$BN$19,"")&amp;IF((AT101)=20,$BN$20,"")&amp;IF((AT101)=21,$BN$21,"")&amp;IF((AT101)=22,$BN$22,"")&amp;IF((AT101)=23,$BN$23,"")&amp;IF((AT101)=24,$BN$24,"")&amp;IF((AT101)=25,$BN$25,"")&amp;IF((AT101)=26,$BN$26,"")&amp;IF((AT101)=27,$BN$27,"")&amp;IF((AT101)=28,$BN$28,"")&amp;IF((AT101)=29,$BN$29,"")&amp;IF((AT101)=30,$BN$30,"")&amp;IF((AT101)=31,$BN$31,"")&amp;IF((AT101)=32,$BN$32,"")&amp;IF((AT101)=33,$BN$33,"")&amp;IF((AT101)=34,$BN$34,"")&amp;IF((AT101)=35,$BN$35,"")&amp;IF((AT101)=36,$BN$36,"")&amp;IF((AT101)=37,$BN$37,"")&amp;IF((AT101)=38,$BN$38,"")&amp;IF((AT101)=39,$BN$39,"")&amp;IF((AT101)=40,$BN$40,"")&amp;IF((AT101)=41,$BN$41,"")&amp;IF((AT101)=42,$BN$42,"")&amp;IF((AT101)=43,$BN$43,"")&amp;IF((AT101)=44,$BN$44,"")&amp;IF((AT101)=45,$BN$45,"")&amp;IF((AT101)=46,$BN$46,"")&amp;IF((AT101)=47,$BN$47,"")&amp;IF((AT101)=48,$BN$48,"")&amp;IF((AT101)=49,$BN$49,"")&amp;IF((AT101)=50,$BN$50,"")&amp;IF((AT101)=51,$BN$51,"")&amp;IF((AT101)=52,$BN$52,"")&amp;IF((AT101)=53,$BN$53,"")&amp;IF((AT101)=54,$BN$54,"")&amp;IF((AT101)=55,$BN$55,"")&amp;IF((AT101)=56,$BN$56,"")&amp;IF((AT101)=57,$BN$57,"")&amp;IF((AT101)=58,$BN$58,"")&amp;IF((AT101)=59,$BN$59,"")&amp;IF((AT101)=60,$BN$60,"")&amp;IF((AT101)=61,$BN$61,"")&amp;IF((AT101)=62,$BN$62,"")&amp;IF((AT101)=63,$BN$63,"")&amp;IF((AT101)=64,$BN$64,"")&amp;IF((AT101)=65,$BN$65,"")&amp;IF((AT101)=66,$BN$66,"")&amp;IF((AT101)=67,$BN$67,"")&amp;IF((AT101)=68,$BN$68,"")&amp;IF((AT101)=69,$BN$69,"")&amp;IF((AT101)=70,$BN$70,"")&amp;IF((AT101)=71,$BN$71,"")&amp;IF((AT101)=72,$BN$72,"")&amp;IF((AT101)=73,$BN$73,"")&amp;IF((AT101)=74,$BN$74,"")&amp;IF((AT101)=75,$BN$75,"")&amp;IF((AT101)=76,$BN$76,"")&amp;IF((AT101)=77,$BN$77,"")&amp;IF((AT101)=78,$BN$78,"")&amp;IF((AT101)=79,$BN$79,"")&amp;IF((AT101)=80,$BN$80,"")&amp;IF((AT101)=81,$BN$81,"")&amp;IF((AT101)=82,$BN$82,"")&amp;IF((AT101)=83,$BN$83,"")&amp;IF((AT101)=84,$BN$84,"")&amp;IF((AT101)=85,$BN$85,"")&amp;IF((AT101)=86,$BN$86,"")&amp;IF((AT101)=87,$BN$87,"")&amp;IF((AT101)=88,$BN$88,"")&amp;IF((AT101)=89,$BN$89,"")&amp;IF((AT101)=90,$BN$90,"")&amp;IF((AT101)=91,$BN$91,"")&amp;IF((AT101)=92,$BN$92,"")&amp;IF((AT101)=93,$BN$93,"")&amp;IF((AT101)=94,$BN$94,"")&amp;IF((AT101)=95,$BN$95,"")&amp;IF((AT101)=96,$BN$96,"")&amp;IF((AT101)=97,$BN$97,"")&amp;IF((AT101)=98,$BN$98,"")&amp;IF((AT101)=99,$BN$99,"")&amp;IF((AT101)=100,$BN$100,"")&amp;IF((AT101)=101,$BN$101,"")&amp;IF((AT101)=102,$BN$102,"")&amp;IF((AT101)=103,$BN$103,"")&amp;IF((AT101)=104,$BN$104,"")&amp;IF((AT101)=105,$BN$105,"")&amp;IF((AT101)=106,$BN$106,"")&amp;IF((AT101)=107,$BN$107,"")&amp;IF((AT101)=108,$BN$108,"")&amp;IF((AT101)=109,$BN$109,"")&amp;IF((AT101)=110,$BN$110,"")&amp;IF((AT101)=111,$BN$111,"")&amp;IF((AT101)=112,$BN$112,"")&amp;IF((AT101)=113,$BN$113,"")&amp;IF((AT101)=114,$BN$114,"")&amp;IF((AT101)=115,$BN$115,"")&amp;IF((AT101)=116,$BN$116,"")&amp;IF((AT101)=117,$BN$117,"")&amp;IF((AT101)=118,$BN$118,"")&amp;IF((AT101)=119,$BN$119,"")&amp;IF((AT101)=120,$BN$120,"")&amp;IF((AT101)=121,$BN$121,"")&amp;IF((AT101)=122,$BN$122,"")&amp;IF((AT101)=123,$BN$123,"")&amp;IF((AT101)=124,$BN$124,"")&amp;IF((AT101)=125,$BN$125,"")&amp;IF((AT101)=126,$BN$126,"")&amp;IF((AT101)=127,$BN$127,"")&amp;IF((AT101)=128,$BN$128,"")</f>
        <v>GONTRAN</v>
      </c>
      <c r="AU6" s="90" t="s">
        <v>54</v>
      </c>
      <c r="AV6" s="134" t="str">
        <f>IF((AX101)=1,$BM$1,"")&amp;IF((AX101)=2,$BM$2,"")&amp;IF((AX101)=3,$BM$3,"")&amp;IF((AX101)=4,$BM$4,"")&amp;IF((AX101)=5,$BM$5,"")&amp;IF((AX101)=6,$BM$6,"")&amp;IF((AX101)=7,$BM$7,"")&amp;IF((AX101)=8,$BM$8,"")&amp;IF((AX101)=9,$BM$9,"")&amp;IF((AX101)=10,$BM$10,"")&amp;IF((AX101)=11,$BM$11,"")&amp;IF((AX101)=12,$BM$12,"")&amp;IF((AX101)=13,$BM$13,"")&amp;IF((AX101)=14,$BM$14,"")&amp;IF((AX101)=15,$BM$15,"")&amp;IF((AX101)=16,$BM$16,"")&amp;IF((AX101)=17,$BM$17,"")&amp;IF((AX101)=18,$BM$18,"")&amp;IF((AX101)=19,$BM$19,"")&amp;IF((AX101)=20,$BM$20,"")&amp;IF((AX101)=21,$BM$21,"")&amp;IF((AX101)=22,$BM$22,"")&amp;IF((AX101)=23,$BM$23,"")&amp;IF((AX101)=24,$BM$24,"")&amp;IF((AX101)=25,$BM$25,"")&amp;IF((AX101)=26,$BM$26,"")&amp;IF((AX101)=27,$BM$27,"")&amp;IF((AX101)=28,$BM$28,"")&amp;IF((AX101)=29,$BM$29,"")&amp;IF((AX101)=30,$BM$30,"")&amp;IF((AX101)=31,$BM$31,"")&amp;IF((AX101)=32,$BM$32,"")&amp;IF((AX101)=33,$BM$33,"")&amp;IF((AX101)=34,$BM$34,"")&amp;IF((AX101)=35,$BM$35,"")&amp;IF((AX101)=36,$BM$36,"")&amp;IF((AX101)=37,$BM$37,"")&amp;IF((AX101)=38,$BM$38,"")&amp;IF((AX101)=39,$BM$39,"")&amp;IF((AX101)=40,$BM$40,"")&amp;IF((AX101)=41,$BM$41,"")&amp;IF((AX101)=42,$BM$42,"")&amp;IF((AX101)=43,$BM$43,"")&amp;IF((AX101)=44,$BM$44,"")&amp;IF((AX101)=45,$BM$45,"")&amp;IF((AX101)=46,$BM$46,"")&amp;IF((AX101)=47,$BM$47,"")&amp;IF((AX101)=48,$BM$48,"")&amp;IF((AX101)=49,$BM$49,"")&amp;IF((AX101)=50,$BM$50,"")&amp;IF((AX101)=51,$BM$51,"")&amp;IF((AX101)=52,$BM$52,"")&amp;IF((AX101)=53,$BM$53,"")&amp;IF((AX101)=54,$BM$54,"")&amp;IF((AX101)=55,$BM$55,"")&amp;IF((AX101)=56,$BM$56,"")&amp;IF((AX101)=57,$BM$57,"")&amp;IF((AX101)=58,$BM$58,"")&amp;IF((AX101)=59,$BM$59,"")&amp;IF((AX101)=60,$BM$60,"")&amp;IF((AX101)=61,$BM$61,"")&amp;IF((AX101)=62,$BM$62,"")&amp;IF((AX101)=63,$BM$63,"")&amp;IF((AX101)=64,$BM$64,"")&amp;IF((AX101)=65,$BM$65,"")&amp;IF((AX101)=66,$BM$66,"")&amp;IF((AX101)=67,$BM$67,"")&amp;IF((AX101)=68,$BM$68,"")&amp;IF((AX101)=69,$BM$69,"")&amp;IF((AX101)=70,$BM$70,"")&amp;IF((AX101)=71,$BM$71,"")&amp;IF((AX101)=72,$BM$72,"")&amp;IF((AX101)=73,$BM$73,"")&amp;IF((AX101)=74,$BM$74,"")&amp;IF((AX101)=75,$BM$75,"")&amp;IF((AX101)=76,$BM$76,"")&amp;IF((AX101)=77,$BM$77,"")&amp;IF((AX101)=78,$BM$78,"")&amp;IF((AX101)=79,$BM$79,"")&amp;IF((AX101)=80,$BM$80,"")&amp;IF((AX101)=81,$BM$81,"")&amp;IF((AX101)=82,$BM$82,"")&amp;IF((AX101)=83,$BM$83,"")&amp;IF((AX101)=84,$BM$84,"")&amp;IF((AX101)=85,$BM$85,"")&amp;IF((AX101)=86,$BM$86,"")&amp;IF((AX101)=87,$BM$87,"")&amp;IF((AX101)=88,$BM$88,"")&amp;IF((AX101)=89,$BM$89,"")&amp;IF((AX101)=90,$BM$90,"")&amp;IF((AX101)=91,$BM$91,"")&amp;IF((AX101)=92,$BM$92,"")&amp;IF((AX101)=93,$BM$93,"")&amp;IF((AX101)=94,$BM$94,"")&amp;IF((AX101)=95,$BM$95,"")&amp;IF((AX101)=96,$BM$96,"")&amp;IF((AX101)=97,$BM$97,"")&amp;IF((AX101)=98,$BM$98,"")&amp;IF((AX101)=99,$BM$99,"")&amp;IF((AX101)=100,$BM$100,"")&amp;IF((AX101)=101,$BM$101,"")&amp;IF((AX101)=102,$BM$102,"")&amp;IF((AX101)=103,$BM$103,"")&amp;IF((AX101)=104,$BM$104,"")&amp;IF((AX101)=105,$BM$105,"")&amp;IF((AX101)=106,$BM$106,"")&amp;IF((AX101)=107,$BM$107,"")&amp;IF((AX101)=108,$BM$108,"")&amp;IF((AX101)=109,$BM$109,"")&amp;IF((AX101)=110,$BM$110,"")&amp;IF((AX101)=111,$BM$111,"")&amp;IF((AX101)=112,$BM$112,"")&amp;IF((AX101)=113,$BM$113,"")&amp;IF((AX101)=114,$BM$114,"")&amp;IF((AX101)=115,$BM$115,"")&amp;IF((AX101)=116,$BM$116,"")&amp;IF((AX101)=117,$BM$117,"")&amp;IF((AX101)=118,$BM$118,"")&amp;IF((AX101)=119,$BM$119,"")&amp;IF((AX101)=120,$BM$120,"")&amp;IF((AX101)=121,$BM$121,"")&amp;IF((AX101)=122,$BM$122,"")&amp;IF((AX101)=123,$BM$123,"")&amp;IF((AX101)=124,$BM$124,"")&amp;IF((AX101)=125,$BM$125,"")&amp;IF((AX101)=126,$BM$126,"")&amp;IF((AX101)=127,$BM$127,"")&amp;IF((AX101)=128,$BM$128,"")</f>
        <v>73</v>
      </c>
      <c r="AW6" s="91"/>
      <c r="AX6" s="124" t="str">
        <f>IF((AX101)=1,$BN$1,"")&amp;IF((AX101)=2,$BN$2,"")&amp;IF((AX101)=3,$BN$3,"")&amp;IF((AX101)=4,$BN$4,"")&amp;IF((AX101)=5,$BN$5,"")&amp;IF((AX101)=6,$BN$6,"")&amp;IF((AX101)=7,$BN$7,"")&amp;IF((AX101)=8,$BN$8,"")&amp;IF((AX101)=9,$BN$9,"")&amp;IF((AX101)=10,$BN$10,"")&amp;IF((AX101)=11,$BN$11,"")&amp;IF((AX101)=12,$BN$12,"")&amp;IF((AX101)=13,$BN$13,"")&amp;IF((AX101)=14,$BN$14,"")&amp;IF((AX101)=15,$BN$15,"")&amp;IF((AX101)=16,$BN$16,"")&amp;IF((AX101)=17,$BN$17,"")&amp;IF((AX101)=18,$BN$18,"")&amp;IF((AX101)=19,$BN$19,"")&amp;IF((AX101)=20,$BN$20,"")&amp;IF((AX101)=21,$BN$21,"")&amp;IF((AX101)=22,$BN$22,"")&amp;IF((AX101)=23,$BN$23,"")&amp;IF((AX101)=24,$BN$24,"")&amp;IF((AX101)=25,$BN$25,"")&amp;IF((AX101)=26,$BN$26,"")&amp;IF((AX101)=27,$BN$27,"")&amp;IF((AX101)=28,$BN$28,"")&amp;IF((AX101)=29,$BN$29,"")&amp;IF((AX101)=30,$BN$30,"")&amp;IF((AX101)=31,$BN$31,"")&amp;IF((AX101)=32,$BN$32,"")&amp;IF((AX101)=33,$BN$33,"")&amp;IF((AX101)=34,$BN$34,"")&amp;IF((AX101)=35,$BN$35,"")&amp;IF((AX101)=36,$BN$36,"")&amp;IF((AX101)=37,$BN$37,"")&amp;IF((AX101)=38,$BN$38,"")&amp;IF((AX101)=39,$BN$39,"")&amp;IF((AX101)=40,$BN$40,"")&amp;IF((AX101)=41,$BN$41,"")&amp;IF((AX101)=42,$BN$42,"")&amp;IF((AX101)=43,$BN$43,"")&amp;IF((AX101)=44,$BN$44,"")&amp;IF((AX101)=45,$BN$45,"")&amp;IF((AX101)=46,$BN$46,"")&amp;IF((AX101)=47,$BN$47,"")&amp;IF((AX101)=48,$BN$48,"")&amp;IF((AX101)=49,$BN$49,"")&amp;IF((AX101)=50,$BN$50,"")&amp;IF((AX101)=51,$BN$51,"")&amp;IF((AX101)=52,$BN$52,"")&amp;IF((AX101)=53,$BN$53,"")&amp;IF((AX101)=54,$BN$54,"")&amp;IF((AX101)=55,$BN$55,"")&amp;IF((AX101)=56,$BN$56,"")&amp;IF((AX101)=57,$BN$57,"")&amp;IF((AX101)=58,$BN$58,"")&amp;IF((AX101)=59,$BN$59,"")&amp;IF((AX101)=60,$BN$60,"")&amp;IF((AX101)=61,$BN$61,"")&amp;IF((AX101)=62,$BN$62,"")&amp;IF((AX101)=63,$BN$63,"")&amp;IF((AX101)=64,$BN$64,"")&amp;IF((AX101)=65,$BN$65,"")&amp;IF((AX101)=66,$BN$66,"")&amp;IF((AX101)=67,$BN$67,"")&amp;IF((AX101)=68,$BN$68,"")&amp;IF((AX101)=69,$BN$69,"")&amp;IF((AX101)=70,$BN$70,"")&amp;IF((AX101)=71,$BN$71,"")&amp;IF((AX101)=72,$BN$72,"")&amp;IF((AX101)=73,$BN$73,"")&amp;IF((AX101)=74,$BN$74,"")&amp;IF((AX101)=75,$BN$75,"")&amp;IF((AX101)=76,$BN$76,"")&amp;IF((AX101)=77,$BN$77,"")&amp;IF((AX101)=78,$BN$78,"")&amp;IF((AX101)=79,$BN$79,"")&amp;IF((AX101)=80,$BN$80,"")&amp;IF((AX101)=81,$BN$81,"")&amp;IF((AX101)=82,$BN$82,"")&amp;IF((AX101)=83,$BN$83,"")&amp;IF((AX101)=84,$BN$84,"")&amp;IF((AX101)=85,$BN$85,"")&amp;IF((AX101)=86,$BN$86,"")&amp;IF((AX101)=87,$BN$87,"")&amp;IF((AX101)=88,$BN$88,"")&amp;IF((AX101)=89,$BN$89,"")&amp;IF((AX101)=90,$BN$90,"")&amp;IF((AX101)=91,$BN$91,"")&amp;IF((AX101)=92,$BN$92,"")&amp;IF((AX101)=93,$BN$93,"")&amp;IF((AX101)=94,$BN$94,"")&amp;IF((AX101)=95,$BN$95,"")&amp;IF((AX101)=96,$BN$96,"")&amp;IF((AX101)=97,$BN$97,"")&amp;IF((AX101)=98,$BN$98,"")&amp;IF((AX101)=99,$BN$99,"")&amp;IF((AX101)=100,$BN$100,"")&amp;IF((AX101)=101,$BN$101,"")&amp;IF((AX101)=102,$BN$102,"")&amp;IF((AX101)=103,$BN$103,"")&amp;IF((AX101)=104,$BN$104,"")&amp;IF((AX101)=105,$BN$105,"")&amp;IF((AX101)=106,$BN$106,"")&amp;IF((AX101)=107,$BN$107,"")&amp;IF((AX101)=108,$BN$108,"")&amp;IF((AX101)=109,$BN$109,"")&amp;IF((AX101)=110,$BN$110,"")&amp;IF((AX101)=111,$BN$111,"")&amp;IF((AX101)=112,$BN$112,"")&amp;IF((AX101)=113,$BN$113,"")&amp;IF((AX101)=114,$BN$114,"")&amp;IF((AX101)=115,$BN$115,"")&amp;IF((AX101)=116,$BN$116,"")&amp;IF((AX101)=117,$BN$117,"")&amp;IF((AX101)=118,$BN$118,"")&amp;IF((AX101)=119,$BN$119,"")&amp;IF((AX101)=120,$BN$120,"")&amp;IF((AX101)=121,$BN$121,"")&amp;IF((AX101)=122,$BN$122,"")&amp;IF((AX101)=123,$BN$123,"")&amp;IF((AX101)=124,$BN$124,"")&amp;IF((AX101)=125,$BN$125,"")&amp;IF((AX101)=126,$BN$126,"")&amp;IF((AX101)=127,$BN$127,"")&amp;IF((AX101)=128,$BN$128,"")</f>
        <v>EDMOND</v>
      </c>
      <c r="AY6" s="119"/>
      <c r="AZ6" s="120"/>
      <c r="BA6" s="92" t="s">
        <v>54</v>
      </c>
      <c r="BB6" s="135" t="str">
        <f>IF((BD101)=1,$BM$1,"")&amp;IF((BD101)=2,$BM$2,"")&amp;IF((BD101)=3,$BM$3,"")&amp;IF((BD101)=4,$BM$4,"")&amp;IF((BD101)=5,$BM$5,"")&amp;IF((BD101)=6,$BM$6,"")&amp;IF((BD101)=7,$BM$7,"")&amp;IF((BD101)=8,$BM$8,"")&amp;IF((BD101)=9,$BM$9,"")&amp;IF((BD101)=10,$BM$10,"")&amp;IF((BD101)=11,$BM$11,"")&amp;IF((BD101)=12,$BM$12,"")&amp;IF((BD101)=13,$BM$13,"")&amp;IF((BD101)=14,$BM$14,"")&amp;IF((BD101)=15,$BM$15,"")&amp;IF((BD101)=16,$BM$16,"")&amp;IF((BD101)=17,$BM$17,"")&amp;IF((BD101)=18,$BM$18,"")&amp;IF((BD101)=19,$BM$19,"")&amp;IF((BD101)=20,$BM$20,"")&amp;IF((BD101)=21,$BM$21,"")&amp;IF((BD101)=22,$BM$22,"")&amp;IF((BD101)=23,$BM$23,"")&amp;IF((BD101)=24,$BM$24,"")&amp;IF((BD101)=25,$BM$25,"")&amp;IF((BD101)=26,$BM$26,"")&amp;IF((BD101)=27,$BM$27,"")&amp;IF((BD101)=28,$BM$28,"")&amp;IF((BD101)=29,$BM$29,"")&amp;IF((BD101)=30,$BM$30,"")&amp;IF((BD101)=31,$BM$31,"")&amp;IF((BD101)=32,$BM$32,"")&amp;IF((BD101)=33,$BM$33,"")&amp;IF((BD101)=34,$BM$34,"")&amp;IF((BD101)=35,$BM$35,"")&amp;IF((BD101)=36,$BM$36,"")&amp;IF((BD101)=37,$BM$37,"")&amp;IF((BD101)=38,$BM$38,"")&amp;IF((BD101)=39,$BM$39,"")&amp;IF((BD101)=40,$BM$40,"")&amp;IF((BD101)=41,$BM$41,"")&amp;IF((BD101)=42,$BM$42,"")&amp;IF((BD101)=43,$BM$43,"")&amp;IF((BD101)=44,$BM$44,"")&amp;IF((BD101)=45,$BM$45,"")&amp;IF((BD101)=46,$BM$46,"")&amp;IF((BD101)=47,$BM$47,"")&amp;IF((BD101)=48,$BM$48,"")&amp;IF((BD101)=49,$BM$49,"")&amp;IF((BD101)=50,$BM$50,"")&amp;IF((BD101)=51,$BM$51,"")&amp;IF((BD101)=52,$BM$52,"")&amp;IF((BD101)=53,$BM$53,"")&amp;IF((BD101)=54,$BM$54,"")&amp;IF((BD101)=55,$BM$55,"")&amp;IF((BD101)=56,$BM$56,"")&amp;IF((BD101)=57,$BM$57,"")&amp;IF((BD101)=58,$BM$58,"")&amp;IF((BD101)=59,$BM$59,"")&amp;IF((BD101)=60,$BM$60,"")&amp;IF((BD101)=61,$BM$61,"")&amp;IF((BD101)=62,$BM$62,"")&amp;IF((BD101)=63,$BM$63,"")&amp;IF((BD101)=64,$BM$64,"")&amp;IF((BD101)=65,$BM$65,"")&amp;IF((BD101)=66,$BM$66,"")&amp;IF((BD101)=67,$BM$67,"")&amp;IF((BD101)=68,$BM$68,"")&amp;IF((BD101)=69,$BM$69,"")&amp;IF((BD101)=70,$BM$70,"")&amp;IF((BD101)=71,$BM$71,"")&amp;IF((BD101)=72,$BM$72,"")&amp;IF((BD101)=73,$BM$73,"")&amp;IF((BD101)=74,$BM$74,"")&amp;IF((BD101)=75,$BM$75,"")&amp;IF((BD101)=76,$BM$76,"")&amp;IF((BD101)=77,$BM$77,"")&amp;IF((BD101)=78,$BM$78,"")&amp;IF((BD101)=79,$BM$79,"")&amp;IF((BD101)=80,$BM$80,"")&amp;IF((BD101)=81,$BM$81,"")&amp;IF((BD101)=82,$BM$82,"")&amp;IF((BD101)=83,$BM$83,"")&amp;IF((BD101)=84,$BM$84,"")&amp;IF((BD101)=85,$BM$85,"")&amp;IF((BD101)=86,$BM$86,"")&amp;IF((BD101)=87,$BM$87,"")&amp;IF((BD101)=88,$BM$88,"")&amp;IF((BD101)=89,$BM$89,"")&amp;IF((BD101)=90,$BM$90,"")&amp;IF((BD101)=91,$BM$91,"")&amp;IF((BD101)=92,$BM$92,"")&amp;IF((BD101)=93,$BM$93,"")&amp;IF((BD101)=94,$BM$94,"")&amp;IF((BD101)=95,$BM$95,"")&amp;IF((BD101)=96,$BM$96,"")&amp;IF((BD101)=97,$BM$97,"")&amp;IF((BD101)=98,$BM$98,"")&amp;IF((BD101)=99,$BM$99,"")&amp;IF((BD101)=100,$BM$100,"")&amp;IF((BD101)=101,$BM$101,"")&amp;IF((BD101)=102,$BM$102,"")&amp;IF((BD101)=103,$BM$103,"")&amp;IF((BD101)=104,$BM$104,"")&amp;IF((BD101)=105,$BM$105,"")&amp;IF((BD101)=106,$BM$106,"")&amp;IF((BD101)=107,$BM$107,"")&amp;IF((BD101)=108,$BM$108,"")&amp;IF((BD101)=109,$BM$109,"")&amp;IF((BD101)=110,$BM$110,"")&amp;IF((BD101)=111,$BM$111,"")&amp;IF((BD101)=112,$BM$112,"")&amp;IF((BD101)=113,$BM$113,"")&amp;IF((BD101)=114,$BM$114,"")&amp;IF((BD101)=115,$BM$115,"")&amp;IF((BD101)=116,$BM$116,"")&amp;IF((BD101)=117,$BM$117,"")&amp;IF((BD101)=118,$BM$118,"")&amp;IF((BD101)=119,$BM$119,"")&amp;IF((BD101)=120,$BM$120,"")&amp;IF((BD101)=121,$BM$121,"")&amp;IF((BD101)=122,$BM$122,"")&amp;IF((BD101)=123,$BM$123,"")&amp;IF((BD101)=124,$BM$124,"")&amp;IF((BD101)=125,$BM$125,"")&amp;IF((BD101)=126,$BM$126,"")&amp;IF((BD101)=127,$BM$127,"")&amp;IF((BD101)=128,$BM$128,"")</f>
        <v>57</v>
      </c>
      <c r="BC6" s="93"/>
      <c r="BD6" s="125" t="str">
        <f>IF((BD101)=1,$BN$1,"")&amp;IF((BD101)=2,$BN$2,"")&amp;IF((BD101)=3,$BN$3,"")&amp;IF((BD101)=4,$BN$4,"")&amp;IF((BD101)=5,$BN$5,"")&amp;IF((BD101)=6,$BN$6,"")&amp;IF((BD101)=7,$BN$7,"")&amp;IF((BD101)=8,$BN$8,"")&amp;IF((BD101)=9,$BN$9,"")&amp;IF((BD101)=10,$BN$10,"")&amp;IF((BD101)=11,$BN$11,"")&amp;IF((BD101)=12,$BN$12,"")&amp;IF((BD101)=13,$BN$13,"")&amp;IF((BD101)=14,$BN$14,"")&amp;IF((BD101)=15,$BN$15,"")&amp;IF((BD101)=16,$BN$16,"")&amp;IF((BD101)=17,$BN$17,"")&amp;IF((BD101)=18,$BN$18,"")&amp;IF((BD101)=19,$BN$19,"")&amp;IF((BD101)=20,$BN$20,"")&amp;IF((BD101)=21,$BN$21,"")&amp;IF((BD101)=22,$BN$22,"")&amp;IF((BD101)=23,$BN$23,"")&amp;IF((BD101)=24,$BN$24,"")&amp;IF((BD101)=25,$BN$25,"")&amp;IF((BD101)=26,$BN$26,"")&amp;IF((BD101)=27,$BN$27,"")&amp;IF((BD101)=28,$BN$28,"")&amp;IF((BD101)=29,$BN$29,"")&amp;IF((BD101)=30,$BN$30,"")&amp;IF((BD101)=31,$BN$31,"")&amp;IF((BD101)=32,$BN$32,"")&amp;IF((BD101)=33,$BN$33,"")&amp;IF((BD101)=34,$BN$34,"")&amp;IF((BD101)=35,$BN$35,"")&amp;IF((BD101)=36,$BN$36,"")&amp;IF((BD101)=37,$BN$37,"")&amp;IF((BD101)=38,$BN$38,"")&amp;IF((BD101)=39,$BN$39,"")&amp;IF((BD101)=40,$BN$40,"")&amp;IF((BD101)=41,$BN$41,"")&amp;IF((BD101)=42,$BN$42,"")&amp;IF((BD101)=43,$BN$43,"")&amp;IF((BD101)=44,$BN$44,"")&amp;IF((BD101)=45,$BN$45,"")&amp;IF((BD101)=46,$BN$46,"")&amp;IF((BD101)=47,$BN$47,"")&amp;IF((BD101)=48,$BN$48,"")&amp;IF((BD101)=49,$BN$49,"")&amp;IF((BD101)=50,$BN$50,"")&amp;IF((BD101)=51,$BN$51,"")&amp;IF((BD101)=52,$BN$52,"")&amp;IF((BD101)=53,$BN$53,"")&amp;IF((BD101)=54,$BN$54,"")&amp;IF((BD101)=55,$BN$55,"")&amp;IF((BD101)=56,$BN$56,"")&amp;IF((BD101)=57,$BN$57,"")&amp;IF((BD101)=58,$BN$58,"")&amp;IF((BD101)=59,$BN$59,"")&amp;IF((BD101)=60,$BN$60,"")&amp;IF((BD101)=61,$BN$61,"")&amp;IF((BD101)=62,$BN$62,"")&amp;IF((BD101)=63,$BN$63,"")&amp;IF((BD101)=64,$BN$64,"")&amp;IF((BD101)=65,$BN$65,"")&amp;IF((BD101)=66,$BN$66,"")&amp;IF((BD101)=67,$BN$67,"")&amp;IF((BD101)=68,$BN$68,"")&amp;IF((BD101)=69,$BN$69,"")&amp;IF((BD101)=70,$BN$70,"")&amp;IF((BD101)=71,$BN$71,"")&amp;IF((BD101)=72,$BN$72,"")&amp;IF((BD101)=73,$BN$73,"")&amp;IF((BD101)=74,$BN$74,"")&amp;IF((BD101)=75,$BN$75,"")&amp;IF((BD101)=76,$BN$76,"")&amp;IF((BD101)=77,$BN$77,"")&amp;IF((BD101)=78,$BN$78,"")&amp;IF((BD101)=79,$BN$79,"")&amp;IF((BD101)=80,$BN$80,"")&amp;IF((BD101)=81,$BN$81,"")&amp;IF((BD101)=82,$BN$82,"")&amp;IF((BD101)=83,$BN$83,"")&amp;IF((BD101)=84,$BN$84,"")&amp;IF((BD101)=85,$BN$85,"")&amp;IF((BD101)=86,$BN$86,"")&amp;IF((BD101)=87,$BN$87,"")&amp;IF((BD101)=88,$BN$88,"")&amp;IF((BD101)=89,$BN$89,"")&amp;IF((BD101)=90,$BN$90,"")&amp;IF((BD101)=91,$BN$91,"")&amp;IF((BD101)=92,$BN$92,"")&amp;IF((BD101)=93,$BN$93,"")&amp;IF((BD101)=94,$BN$94,"")&amp;IF((BD101)=95,$BN$95,"")&amp;IF((BD101)=96,$BN$96,"")&amp;IF((BD101)=97,$BN$97,"")&amp;IF((BD101)=98,$BN$98,"")&amp;IF((BD101)=99,$BN$99,"")&amp;IF((BD101)=100,$BN$100,"")&amp;IF((BD101)=101,$BN$101,"")&amp;IF((BD101)=102,$BN$102,"")&amp;IF((BD101)=103,$BN$103,"")&amp;IF((BD101)=104,$BN$104,"")&amp;IF((BD101)=105,$BN$105,"")&amp;IF((BD101)=106,$BN$106,"")&amp;IF((BD101)=107,$BN$107,"")&amp;IF((BD101)=108,$BN$108,"")&amp;IF((BD101)=109,$BN$109,"")&amp;IF((BD101)=110,$BN$110,"")&amp;IF((BD101)=111,$BN$111,"")&amp;IF((BD101)=112,$BN$112,"")&amp;IF((BD101)=113,$BN$113,"")&amp;IF((BD101)=114,$BN$114,"")&amp;IF((BD101)=115,$BN$115,"")&amp;IF((BD101)=116,$BN$116,"")&amp;IF((BD101)=117,$BN$117,"")&amp;IF((BD101)=118,$BN$118,"")&amp;IF((BD101)=119,$BN$119,"")&amp;IF((BD101)=120,$BN$120,"")&amp;IF((BD101)=121,$BN$121,"")&amp;IF((BD101)=122,$BN$122,"")&amp;IF((BD101)=123,$BN$123,"")&amp;IF((BD101)=124,$BN$124,"")&amp;IF((BD101)=125,$BN$125,"")&amp;IF((BD101)=126,$BN$126,"")&amp;IF((BD101)=127,$BN$127,"")&amp;IF((BD101)=128,$BN$128,"")</f>
        <v>ARSENE</v>
      </c>
      <c r="BE6" s="94" t="s">
        <v>54</v>
      </c>
      <c r="BF6" s="135" t="str">
        <f>IF((BH101)=1,$BM$1,"")&amp;IF((BH101)=2,$BM$2,"")&amp;IF((BH101)=3,$BM$3,"")&amp;IF((BH101)=4,$BM$4,"")&amp;IF((BH101)=5,$BM$5,"")&amp;IF((BH101)=6,$BM$6,"")&amp;IF((BH101)=7,$BM$7,"")&amp;IF((BH101)=8,$BM$8,"")&amp;IF((BH101)=9,$BM$9,"")&amp;IF((BH101)=10,$BM$10,"")&amp;IF((BH101)=11,$BM$11,"")&amp;IF((BH101)=12,$BM$12,"")&amp;IF((BH101)=13,$BM$13,"")&amp;IF((BH101)=14,$BM$14,"")&amp;IF((BH101)=15,$BM$15,"")&amp;IF((BH101)=16,$BM$16,"")&amp;IF((BH101)=17,$BM$17,"")&amp;IF((BH101)=18,$BM$18,"")&amp;IF((BH101)=19,$BM$19,"")&amp;IF((BH101)=20,$BM$20,"")&amp;IF((BH101)=21,$BM$21,"")&amp;IF((BH101)=22,$BM$22,"")&amp;IF((BH101)=23,$BM$23,"")&amp;IF((BH101)=24,$BM$24,"")&amp;IF((BH101)=25,$BM$25,"")&amp;IF((BH101)=26,$BM$26,"")&amp;IF((BH101)=27,$BM$27,"")&amp;IF((BH101)=28,$BM$28,"")&amp;IF((BH101)=29,$BM$29,"")&amp;IF((BH101)=30,$BM$30,"")&amp;IF((BH101)=31,$BM$31,"")&amp;IF((BH101)=32,$BM$32,"")&amp;IF((BH101)=33,$BM$33,"")&amp;IF((BH101)=34,$BM$34,"")&amp;IF((BH101)=35,$BM$35,"")&amp;IF((BH101)=36,$BM$36,"")&amp;IF((BH101)=37,$BM$37,"")&amp;IF((BH101)=38,$BM$38,"")&amp;IF((BH101)=39,$BM$39,"")&amp;IF((BH101)=40,$BM$40,"")&amp;IF((BH101)=41,$BM$41,"")&amp;IF((BH101)=42,$BM$42,"")&amp;IF((BH101)=43,$BM$43,"")&amp;IF((BH101)=44,$BM$44,"")&amp;IF((BH101)=45,$BM$45,"")&amp;IF((BH101)=46,$BM$46,"")&amp;IF((BH101)=47,$BM$47,"")&amp;IF((BH101)=48,$BM$48,"")&amp;IF((BH101)=49,$BM$49,"")&amp;IF((BH101)=50,$BM$50,"")&amp;IF((BH101)=51,$BM$51,"")&amp;IF((BH101)=52,$BM$52,"")&amp;IF((BH101)=53,$BM$53,"")&amp;IF((BH101)=54,$BM$54,"")&amp;IF((BH101)=55,$BM$55,"")&amp;IF((BH101)=56,$BM$56,"")&amp;IF((BH101)=57,$BM$57,"")&amp;IF((BH101)=58,$BM$58,"")&amp;IF((BH101)=59,$BM$59,"")&amp;IF((BH101)=60,$BM$60,"")&amp;IF((BH101)=61,$BM$61,"")&amp;IF((BH101)=62,$BM$62,"")&amp;IF((BH101)=63,$BM$63,"")&amp;IF((BH101)=64,$BM$64,"")&amp;IF((BH101)=65,$BM$65,"")&amp;IF((BH101)=66,$BM$66,"")&amp;IF((BH101)=67,$BM$67,"")&amp;IF((BH101)=68,$BM$68,"")&amp;IF((BH101)=69,$BM$69,"")&amp;IF((BH101)=70,$BM$70,"")&amp;IF((BH101)=71,$BM$71,"")&amp;IF((BH101)=72,$BM$72,"")&amp;IF((BH101)=73,$BM$73,"")&amp;IF((BH101)=74,$BM$74,"")&amp;IF((BH101)=75,$BM$75,"")&amp;IF((BH101)=76,$BM$76,"")&amp;IF((BH101)=77,$BM$77,"")&amp;IF((BH101)=78,$BM$78,"")&amp;IF((BH101)=79,$BM$79,"")&amp;IF((BH101)=80,$BM$80,"")&amp;IF((BH101)=81,$BM$81,"")&amp;IF((BH101)=82,$BM$82,"")&amp;IF((BH101)=83,$BM$83,"")&amp;IF((BH101)=84,$BM$84,"")&amp;IF((BH101)=85,$BM$85,"")&amp;IF((BH101)=86,$BM$86,"")&amp;IF((BH101)=87,$BM$87,"")&amp;IF((BH101)=88,$BM$88,"")&amp;IF((BH101)=89,$BM$89,"")&amp;IF((BH101)=90,$BM$90,"")&amp;IF((BH101)=91,$BM$91,"")&amp;IF((BH101)=92,$BM$92,"")&amp;IF((BH101)=93,$BM$93,"")&amp;IF((BH101)=94,$BM$94,"")&amp;IF((BH101)=95,$BM$95,"")&amp;IF((BH101)=96,$BM$96,"")&amp;IF((BH101)=97,$BM$97,"")&amp;IF((BH101)=98,$BM$98,"")&amp;IF((BH101)=99,$BM$99,"")&amp;IF((BH101)=100,$BM$100,"")&amp;IF((BH101)=101,$BM$101,"")&amp;IF((BH101)=102,$BM$102,"")&amp;IF((BH101)=103,$BM$103,"")&amp;IF((BH101)=104,$BM$104,"")&amp;IF((BH101)=105,$BM$105,"")&amp;IF((BH101)=106,$BM$106,"")&amp;IF((BH101)=107,$BM$107,"")&amp;IF((BH101)=108,$BM$108,"")&amp;IF((BH101)=109,$BM$109,"")&amp;IF((BH101)=110,$BM$110,"")&amp;IF((BH101)=111,$BM$111,"")&amp;IF((BH101)=112,$BM$112,"")&amp;IF((BH101)=113,$BM$113,"")&amp;IF((BH101)=114,$BM$114,"")&amp;IF((BH101)=115,$BM$115,"")&amp;IF((BH101)=116,$BM$116,"")&amp;IF((BH101)=117,$BM$117,"")&amp;IF((BH101)=118,$BM$118,"")&amp;IF((BH101)=119,$BM$119,"")&amp;IF((BH101)=120,$BM$120,"")&amp;IF((BH101)=121,$BM$121,"")&amp;IF((BH101)=122,$BM$122,"")&amp;IF((BH101)=123,$BM$123,"")&amp;IF((BH101)=124,$BM$124,"")&amp;IF((BH101)=125,$BM$125,"")&amp;IF((BH101)=126,$BM$126,"")&amp;IF((BH101)=127,$BM$127,"")&amp;IF((BH101)=128,$BM$128,"")</f>
        <v>36</v>
      </c>
      <c r="BG6" s="95"/>
      <c r="BH6" s="125" t="str">
        <f>IF((BH101)=1,$BN$1,"")&amp;IF((BH101)=2,$BN$2,"")&amp;IF((BH101)=3,$BN$3,"")&amp;IF((BH101)=4,$BN$4,"")&amp;IF((BH101)=5,$BN$5,"")&amp;IF((BH101)=6,$BN$6,"")&amp;IF((BH101)=7,$BN$7,"")&amp;IF((BH101)=8,$BN$8,"")&amp;IF((BH101)=9,$BN$9,"")&amp;IF((BH101)=10,$BN$10,"")&amp;IF((BH101)=11,$BN$11,"")&amp;IF((BH101)=12,$BN$12,"")&amp;IF((BH101)=13,$BN$13,"")&amp;IF((BH101)=14,$BN$14,"")&amp;IF((BH101)=15,$BN$15,"")&amp;IF((BH101)=16,$BN$16,"")&amp;IF((BH101)=17,$BN$17,"")&amp;IF((BH101)=18,$BN$18,"")&amp;IF((BH101)=19,$BN$19,"")&amp;IF((BH101)=20,$BN$20,"")&amp;IF((BH101)=21,$BN$21,"")&amp;IF((BH101)=22,$BN$22,"")&amp;IF((BH101)=23,$BN$23,"")&amp;IF((BH101)=24,$BN$24,"")&amp;IF((BH101)=25,$BN$25,"")&amp;IF((BH101)=26,$BN$26,"")&amp;IF((BH101)=27,$BN$27,"")&amp;IF((BH101)=28,$BN$28,"")&amp;IF((BH101)=29,$BN$29,"")&amp;IF((BH101)=30,$BN$30,"")&amp;IF((BH101)=31,$BN$31,"")&amp;IF((BH101)=32,$BN$32,"")&amp;IF((BH101)=33,$BN$33,"")&amp;IF((BH101)=34,$BN$34,"")&amp;IF((BH101)=35,$BN$35,"")&amp;IF((BH101)=36,$BN$36,"")&amp;IF((BH101)=37,$BN$37,"")&amp;IF((BH101)=38,$BN$38,"")&amp;IF((BH101)=39,$BN$39,"")&amp;IF((BH101)=40,$BN$40,"")&amp;IF((BH101)=41,$BN$41,"")&amp;IF((BH101)=42,$BN$42,"")&amp;IF((BH101)=43,$BN$43,"")&amp;IF((BH101)=44,$BN$44,"")&amp;IF((BH101)=45,$BN$45,"")&amp;IF((BH101)=46,$BN$46,"")&amp;IF((BH101)=47,$BN$47,"")&amp;IF((BH101)=48,$BN$48,"")&amp;IF((BH101)=49,$BN$49,"")&amp;IF((BH101)=50,$BN$50,"")&amp;IF((BH101)=51,$BN$51,"")&amp;IF((BH101)=52,$BN$52,"")&amp;IF((BH101)=53,$BN$53,"")&amp;IF((BH101)=54,$BN$54,"")&amp;IF((BH101)=55,$BN$55,"")&amp;IF((BH101)=56,$BN$56,"")&amp;IF((BH101)=57,$BN$57,"")&amp;IF((BH101)=58,$BN$58,"")&amp;IF((BH101)=59,$BN$59,"")&amp;IF((BH101)=60,$BN$60,"")&amp;IF((BH101)=61,$BN$61,"")&amp;IF((BH101)=62,$BN$62,"")&amp;IF((BH101)=63,$BN$63,"")&amp;IF((BH101)=64,$BN$64,"")&amp;IF((BH101)=65,$BN$65,"")&amp;IF((BH101)=66,$BN$66,"")&amp;IF((BH101)=67,$BN$67,"")&amp;IF((BH101)=68,$BN$68,"")&amp;IF((BH101)=69,$BN$69,"")&amp;IF((BH101)=70,$BN$70,"")&amp;IF((BH101)=71,$BN$71,"")&amp;IF((BH101)=72,$BN$72,"")&amp;IF((BH101)=73,$BN$73,"")&amp;IF((BH101)=74,$BN$74,"")&amp;IF((BH101)=75,$BN$75,"")&amp;IF((BH101)=76,$BN$76,"")&amp;IF((BH101)=77,$BN$77,"")&amp;IF((BH101)=78,$BN$78,"")&amp;IF((BH101)=79,$BN$79,"")&amp;IF((BH101)=80,$BN$80,"")&amp;IF((BH101)=81,$BN$81,"")&amp;IF((BH101)=82,$BN$82,"")&amp;IF((BH101)=83,$BN$83,"")&amp;IF((BH101)=84,$BN$84,"")&amp;IF((BH101)=85,$BN$85,"")&amp;IF((BH101)=86,$BN$86,"")&amp;IF((BH101)=87,$BN$87,"")&amp;IF((BH101)=88,$BN$88,"")&amp;IF((BH101)=89,$BN$89,"")&amp;IF((BH101)=90,$BN$90,"")&amp;IF((BH101)=91,$BN$91,"")&amp;IF((BH101)=92,$BN$92,"")&amp;IF((BH101)=93,$BN$93,"")&amp;IF((BH101)=94,$BN$94,"")&amp;IF((BH101)=95,$BN$95,"")&amp;IF((BH101)=96,$BN$96,"")&amp;IF((BH101)=97,$BN$97,"")&amp;IF((BH101)=98,$BN$98,"")&amp;IF((BH101)=99,$BN$99,"")&amp;IF((BH101)=100,$BN$100,"")&amp;IF((BH101)=101,$BN$101,"")&amp;IF((BH101)=102,$BN$102,"")&amp;IF((BH101)=103,$BN$103,"")&amp;IF((BH101)=104,$BN$104,"")&amp;IF((BH101)=105,$BN$105,"")&amp;IF((BH101)=106,$BN$106,"")&amp;IF((BH101)=107,$BN$107,"")&amp;IF((BH101)=108,$BN$108,"")&amp;IF((BH101)=109,$BN$109,"")&amp;IF((BH101)=110,$BN$110,"")&amp;IF((BH101)=111,$BN$111,"")&amp;IF((BH101)=112,$BN$112,"")&amp;IF((BH101)=113,$BN$113,"")&amp;IF((BH101)=114,$BN$114,"")&amp;IF((BH101)=115,$BN$115,"")&amp;IF((BH101)=116,$BN$116,"")&amp;IF((BH101)=117,$BN$117,"")&amp;IF((BH101)=118,$BN$118,"")&amp;IF((BH101)=119,$BN$119,"")&amp;IF((BH101)=120,$BN$120,"")&amp;IF((BH101)=121,$BN$121,"")&amp;IF((BH101)=122,$BN$122,"")&amp;IF((BH101)=123,$BN$123,"")&amp;IF((BH101)=124,$BN$124,"")&amp;IF((BH101)=125,$BN$125,"")&amp;IF((BH101)=126,$BN$126,"")&amp;IF((BH101)=127,$BN$127,"")&amp;IF((BH101)=128,$BN$128,"")</f>
        <v xml:space="preserve">ALCIDE  </v>
      </c>
      <c r="BI6" s="121"/>
      <c r="BJ6" s="122"/>
      <c r="BK6" s="63"/>
      <c r="BM6" s="65">
        <f>[1]resultat!AL6</f>
        <v>6</v>
      </c>
      <c r="BN6" s="65" t="str">
        <f>[1]resultat!AM6</f>
        <v>JACQUES</v>
      </c>
      <c r="BO6" s="140">
        <v>6</v>
      </c>
      <c r="BP6" s="148">
        <v>7</v>
      </c>
      <c r="BQ6" s="142">
        <v>13</v>
      </c>
      <c r="BS6" s="269" t="s">
        <v>188</v>
      </c>
      <c r="BT6" s="270"/>
      <c r="BU6" s="270"/>
      <c r="BV6" s="270"/>
      <c r="BW6" s="271" t="s">
        <v>189</v>
      </c>
      <c r="BX6" s="272"/>
    </row>
    <row r="7" spans="1:76">
      <c r="A7" s="70" t="s">
        <v>187</v>
      </c>
      <c r="B7" s="20">
        <v>2</v>
      </c>
      <c r="C7" s="71" t="s">
        <v>54</v>
      </c>
      <c r="D7" s="130" t="str">
        <f t="shared" ref="D7:D69" si="0">IF((F102)=1,$BM$1,"")&amp;IF((F102)=2,$BM$2,"")&amp;IF((F102)=3,$BM$3,"")&amp;IF((F102)=4,$BM$4,"")&amp;IF((F102)=5,$BM$5,"")&amp;IF((F102)=6,$BM$6,"")&amp;IF((F102)=7,$BM$7,"")&amp;IF((F102)=8,$BM$8,"")&amp;IF((F102)=9,$BM$9,"")&amp;IF((F102)=10,$BM$10,"")&amp;IF((F102)=11,$BM$11,"")&amp;IF((F102)=12,$BM$12,"")&amp;IF((F102)=13,$BM$13,"")&amp;IF((F102)=14,$BM$14,"")&amp;IF((F102)=15,$BM$15,"")&amp;IF((F102)=16,$BM$16,"")&amp;IF((F102)=17,$BM$17,"")&amp;IF((F102)=18,$BM$18,"")&amp;IF((F102)=19,$BM$19,"")&amp;IF((F102)=20,$BM$20,"")&amp;IF((F102)=21,$BM$21,"")&amp;IF((F102)=22,$BM$22,"")&amp;IF((F102)=23,$BM$23,"")&amp;IF((F102)=24,$BM$24,"")&amp;IF((F102)=25,$BM$25,"")&amp;IF((F102)=26,$BM$26,"")&amp;IF((F102)=27,$BM$27,"")&amp;IF((F102)=28,$BM$28,"")&amp;IF((F102)=29,$BM$29,"")&amp;IF((F102)=30,$BM$30,"")&amp;IF((F102)=31,$BM$31,"")&amp;IF((F102)=32,$BM$32,"")&amp;IF((F102)=33,$BM$33,"")&amp;IF((F102)=34,$BM$34,"")&amp;IF((F102)=35,$BM$35,"")&amp;IF((F102)=36,$BM$36,"")&amp;IF((F102)=37,$BM$37,"")&amp;IF((F102)=38,$BM$38,"")&amp;IF((F102)=39,$BM$39,"")&amp;IF((F102)=40,$BM$40,"")&amp;IF((F102)=41,$BM$41,"")&amp;IF((F102)=42,$BM$42,"")&amp;IF((F102)=43,$BM$43,"")&amp;IF((F102)=44,$BM$44,"")&amp;IF((F102)=45,$BM$45,"")&amp;IF((F102)=46,$BM$46,"")&amp;IF((F102)=47,$BM$47,"")&amp;IF((F102)=48,$BM$48,"")&amp;IF((F102)=49,$BM$49,"")&amp;IF((F102)=50,$BM$50,"")&amp;IF((F102)=51,$BM$51,"")&amp;IF((F102)=52,$BM$52,"")&amp;IF((F102)=53,$BM$53,"")&amp;IF((F102)=54,$BM$54,"")&amp;IF((F102)=55,$BM$55,"")&amp;IF((F102)=56,$BM$56,"")&amp;IF((F102)=57,$BM$57,"")&amp;IF((F102)=58,$BM$58,"")&amp;IF((F102)=59,$BM$59,"")&amp;IF((F102)=60,$BM$60,"")&amp;IF((F102)=61,$BM$61,"")&amp;IF((F102)=62,$BM$62,"")&amp;IF((F102)=63,$BM$63,"")&amp;IF((F102)=64,$BM$64,"")&amp;IF((F102)=65,$BM$65,"")&amp;IF((F102)=66,$BM$66,"")&amp;IF((F102)=67,$BM$67,"")&amp;IF((F102)=68,$BM$68,"")&amp;IF((F102)=69,$BM$69,"")&amp;IF((F102)=70,$BM$70,"")&amp;IF((F102)=71,$BM$71,"")&amp;IF((F102)=72,$BM$72,"")&amp;IF((F102)=73,$BM$73,"")&amp;IF((F102)=74,$BM$74,"")&amp;IF((F102)=75,$BM$75,"")&amp;IF((F102)=76,$BM$76,"")&amp;IF((F102)=77,$BM$77,"")&amp;IF((F102)=78,$BM$78,"")&amp;IF((F102)=79,$BM$79,"")&amp;IF((F102)=80,$BM$80,"")&amp;IF((F102)=81,$BM$81,"")&amp;IF((F102)=82,$BM$82,"")&amp;IF((F102)=83,$BM$83,"")&amp;IF((F102)=84,$BM$84,"")&amp;IF((F102)=85,$BM$85,"")&amp;IF((F102)=86,$BM$86,"")&amp;IF((F102)=87,$BM$87,"")&amp;IF((F102)=88,$BM$88,"")&amp;IF((F102)=89,$BM$89,"")&amp;IF((F102)=90,$BM$90,"")&amp;IF((F102)=91,$BM$91,"")&amp;IF((F102)=92,$BM$92,"")&amp;IF((F102)=93,$BM$93,"")&amp;IF((F102)=94,$BM$94,"")&amp;IF((F102)=95,$BM$95,"")&amp;IF((F102)=96,$BM$96,"")&amp;IF((F102)=97,$BM$97,"")&amp;IF((F102)=98,$BM$98,"")&amp;IF((F102)=99,$BM$99,"")&amp;IF((F102)=100,$BM$100,"")&amp;IF((F102)=101,$BM$101,"")&amp;IF((F102)=102,$BM$102,"")&amp;IF((F102)=103,$BM$103,"")&amp;IF((F102)=104,$BM$104,"")&amp;IF((F102)=105,$BM$105,"")&amp;IF((F102)=106,$BM$106,"")&amp;IF((F102)=107,$BM$107,"")&amp;IF((F102)=108,$BM$108,"")&amp;IF((F102)=109,$BM$109,"")&amp;IF((F102)=110,$BM$110,"")&amp;IF((F102)=111,$BM$111,"")&amp;IF((F102)=112,$BM$112,"")&amp;IF((F102)=113,$BM$113,"")&amp;IF((F102)=114,$BM$114,"")&amp;IF((F102)=115,$BM$115,"")&amp;IF((F102)=116,$BM$116,"")&amp;IF((F102)=117,$BM$117,"")&amp;IF((F102)=118,$BM$118,"")&amp;IF((F102)=119,$BM$119,"")&amp;IF((F102)=120,$BM$120,"")&amp;IF((F102)=121,$BM$121,"")&amp;IF((F102)=122,$BM$122,"")&amp;IF((F102)=123,$BM$123,"")&amp;IF((F102)=124,$BM$124,"")&amp;IF((F102)=125,$BM$125,"")&amp;IF((F102)=126,$BM$126,"")&amp;IF((F102)=127,$BM$127,"")&amp;IF((F102)=128,$BM$128,"")</f>
        <v>7</v>
      </c>
      <c r="E7" s="72"/>
      <c r="F7" s="73" t="str">
        <f t="shared" ref="F7:F69" si="1">IF((F102)=1,$BN$1,"")&amp;IF((F102)=2,$BN$2,"")&amp;IF((F102)=3,$BN$3,"")&amp;IF((F102)=4,$BN$4,"")&amp;IF((F102)=5,$BN$5,"")&amp;IF((F102)=6,$BN$6,"")&amp;IF((F102)=7,$BN$7,"")&amp;IF((F102)=8,$BN$8,"")&amp;IF((F102)=9,$BN$9,"")&amp;IF((F102)=10,$BN$10,"")&amp;IF((F102)=11,$BN$11,"")&amp;IF((F102)=12,$BN$12,"")&amp;IF((F102)=13,$BN$13,"")&amp;IF((F102)=14,$BN$14,"")&amp;IF((F102)=15,$BN$15,"")&amp;IF((F102)=16,$BN$16,"")&amp;IF((F102)=17,$BN$17,"")&amp;IF((F102)=18,$BN$18,"")&amp;IF((F102)=19,$BN$19,"")&amp;IF((F102)=20,$BN$20,"")&amp;IF((F102)=21,$BN$21,"")&amp;IF((F102)=22,$BN$22,"")&amp;IF((F102)=23,$BN$23,"")&amp;IF((F102)=24,$BN$24,"")&amp;IF((F102)=25,$BN$25,"")&amp;IF((F102)=26,$BN$26,"")&amp;IF((F102)=27,$BN$27,"")&amp;IF((F102)=28,$BN$28,"")&amp;IF((F102)=29,$BN$29,"")&amp;IF((F102)=30,$BN$30,"")&amp;IF((F102)=31,$BN$31,"")&amp;IF((F102)=32,$BN$32,"")&amp;IF((F102)=33,$BN$33,"")&amp;IF((F102)=34,$BN$34,"")&amp;IF((F102)=35,$BN$35,"")&amp;IF((F102)=36,$BN$36,"")&amp;IF((F102)=37,$BN$37,"")&amp;IF((F102)=38,$BN$38,"")&amp;IF((F102)=39,$BN$39,"")&amp;IF((F102)=40,$BN$40,"")&amp;IF((F102)=41,$BN$41,"")&amp;IF((F102)=42,$BN$42,"")&amp;IF((F102)=43,$BN$43,"")&amp;IF((F102)=44,$BN$44,"")&amp;IF((F102)=45,$BN$45,"")&amp;IF((F102)=46,$BN$46,"")&amp;IF((F102)=47,$BN$47,"")&amp;IF((F102)=48,$BN$48,"")&amp;IF((F102)=49,$BN$49,"")&amp;IF((F102)=50,$BN$50,"")&amp;IF((F102)=51,$BN$51,"")&amp;IF((F102)=52,$BN$52,"")&amp;IF((F102)=53,$BN$53,"")&amp;IF((F102)=54,$BN$54,"")&amp;IF((F102)=55,$BN$55,"")&amp;IF((F102)=56,$BN$56,"")&amp;IF((F102)=57,$BN$57,"")&amp;IF((F102)=58,$BN$58,"")&amp;IF((F102)=59,$BN$59,"")&amp;IF((F102)=60,$BN$60,"")&amp;IF((F102)=61,$BN$61,"")&amp;IF((F102)=62,$BN$62,"")&amp;IF((F102)=63,$BN$63,"")&amp;IF((F102)=64,$BN$64,"")&amp;IF((F102)=65,$BN$65,"")&amp;IF((F102)=66,$BN$66,"")&amp;IF((F102)=67,$BN$67,"")&amp;IF((F102)=68,$BN$68,"")&amp;IF((F102)=69,$BN$69,"")&amp;IF((F102)=70,$BN$70,"")&amp;IF((F102)=71,$BN$71,"")&amp;IF((F102)=72,$BN$72,"")&amp;IF((F102)=73,$BN$73,"")&amp;IF((F102)=74,$BN$74,"")&amp;IF((F102)=75,$BN$75,"")&amp;IF((F102)=76,$BN$76,"")&amp;IF((F102)=77,$BN$77,"")&amp;IF((F102)=78,$BN$78,"")&amp;IF((F102)=79,$BN$79,"")&amp;IF((F102)=80,$BN$80,"")&amp;IF((F102)=81,$BN$81,"")&amp;IF((F102)=82,$BN$82,"")&amp;IF((F102)=83,$BN$83,"")&amp;IF((F102)=84,$BN$84,"")&amp;IF((F102)=85,$BN$85,"")&amp;IF((F102)=86,$BN$86,"")&amp;IF((F102)=87,$BN$87,"")&amp;IF((F102)=88,$BN$88,"")&amp;IF((F102)=89,$BN$89,"")&amp;IF((F102)=90,$BN$90,"")&amp;IF((F102)=91,$BN$91,"")&amp;IF((F102)=92,$BN$92,"")&amp;IF((F102)=93,$BN$93,"")&amp;IF((F102)=94,$BN$94,"")&amp;IF((F102)=95,$BN$95,"")&amp;IF((F102)=96,$BN$96,"")&amp;IF((F102)=97,$BN$97,"")&amp;IF((F102)=98,$BN$98,"")&amp;IF((F102)=99,$BN$99,"")&amp;IF((F102)=100,$BN$100,"")&amp;IF((F102)=101,$BN$101,"")&amp;IF((F102)=102,$BN$102,"")&amp;IF((F102)=103,$BN$103,"")&amp;IF((F102)=104,$BN$104,"")&amp;IF((F102)=105,$BN$105,"")&amp;IF((F102)=106,$BN$106,"")&amp;IF((F102)=107,$BN$107,"")&amp;IF((F102)=108,$BN$108,"")&amp;IF((F102)=109,$BN$109,"")&amp;IF((F102)=110,$BN$110,"")&amp;IF((F102)=111,$BN$111,"")&amp;IF((F102)=112,$BN$112,"")&amp;IF((F102)=113,$BN$113,"")&amp;IF((F102)=114,$BN$114,"")&amp;IF((F102)=115,$BN$115,"")&amp;IF((F102)=116,$BN$116,"")&amp;IF((F102)=117,$BN$117,"")&amp;IF((F102)=118,$BN$118,"")&amp;IF((F102)=119,$BN$119,"")&amp;IF((F102)=120,$BN$120,"")&amp;IF((F102)=121,$BN$121,"")&amp;IF((F102)=122,$BN$122,"")&amp;IF((F102)=123,$BN$123,"")&amp;IF((F102)=124,$BN$124,"")&amp;IF((F102)=125,$BN$125,"")&amp;IF((F102)=126,$BN$126,"")&amp;IF((F102)=127,$BN$127,"")&amp;IF((F102)=128,$BN$128,"")</f>
        <v>PIERRE</v>
      </c>
      <c r="G7" s="74" t="s">
        <v>54</v>
      </c>
      <c r="H7" s="130" t="str">
        <f t="shared" ref="H7:H69" si="2">IF((J102)=1,$BM$1,"")&amp;IF((J102)=2,$BM$2,"")&amp;IF((J102)=3,$BM$3,"")&amp;IF((J102)=4,$BM$4,"")&amp;IF((J102)=5,$BM$5,"")&amp;IF((J102)=6,$BM$6,"")&amp;IF((J102)=7,$BM$7,"")&amp;IF((J102)=8,$BM$8,"")&amp;IF((J102)=9,$BM$9,"")&amp;IF((J102)=10,$BM$10,"")&amp;IF((J102)=11,$BM$11,"")&amp;IF((J102)=12,$BM$12,"")&amp;IF((J102)=13,$BM$13,"")&amp;IF((J102)=14,$BM$14,"")&amp;IF((J102)=15,$BM$15,"")&amp;IF((J102)=16,$BM$16,"")&amp;IF((J102)=17,$BM$17,"")&amp;IF((J102)=18,$BM$18,"")&amp;IF((J102)=19,$BM$19,"")&amp;IF((J102)=20,$BM$20,"")&amp;IF((J102)=21,$BM$21,"")&amp;IF((J102)=22,$BM$22,"")&amp;IF((J102)=23,$BM$23,"")&amp;IF((J102)=24,$BM$24,"")&amp;IF((J102)=25,$BM$25,"")&amp;IF((J102)=26,$BM$26,"")&amp;IF((J102)=27,$BM$27,"")&amp;IF((J102)=28,$BM$28,"")&amp;IF((J102)=29,$BM$29,"")&amp;IF((J102)=30,$BM$30,"")&amp;IF((J102)=31,$BM$31,"")&amp;IF((J102)=32,$BM$32,"")&amp;IF((J102)=33,$BM$33,"")&amp;IF((J102)=34,$BM$34,"")&amp;IF((J102)=35,$BM$35,"")&amp;IF((J102)=36,$BM$36,"")&amp;IF((J102)=37,$BM$37,"")&amp;IF((J102)=38,$BM$38,"")&amp;IF((J102)=39,$BM$39,"")&amp;IF((J102)=40,$BM$40,"")&amp;IF((J102)=41,$BM$41,"")&amp;IF((J102)=42,$BM$42,"")&amp;IF((J102)=43,$BM$43,"")&amp;IF((J102)=44,$BM$44,"")&amp;IF((J102)=45,$BM$45,"")&amp;IF((J102)=46,$BM$46,"")&amp;IF((J102)=47,$BM$47,"")&amp;IF((J102)=48,$BM$48,"")&amp;IF((J102)=49,$BM$49,"")&amp;IF((J102)=50,$BM$50,"")&amp;IF((J102)=51,$BM$51,"")&amp;IF((J102)=52,$BM$52,"")&amp;IF((J102)=53,$BM$53,"")&amp;IF((J102)=54,$BM$54,"")&amp;IF((J102)=55,$BM$55,"")&amp;IF((J102)=56,$BM$56,"")&amp;IF((J102)=57,$BM$57,"")&amp;IF((J102)=58,$BM$58,"")&amp;IF((J102)=59,$BM$59,"")&amp;IF((J102)=60,$BM$60,"")&amp;IF((J102)=61,$BM$61,"")&amp;IF((J102)=62,$BM$62,"")&amp;IF((J102)=63,$BM$63,"")&amp;IF((J102)=64,$BM$64,"")&amp;IF((J102)=65,$BM$65,"")&amp;IF((J102)=66,$BM$66,"")&amp;IF((J102)=67,$BM$67,"")&amp;IF((J102)=68,$BM$68,"")&amp;IF((J102)=69,$BM$69,"")&amp;IF((J102)=70,$BM$70,"")&amp;IF((J102)=71,$BM$71,"")&amp;IF((J102)=72,$BM$72,"")&amp;IF((J102)=73,$BM$73,"")&amp;IF((J102)=74,$BM$74,"")&amp;IF((J102)=75,$BM$75,"")&amp;IF((J102)=76,$BM$76,"")&amp;IF((J102)=77,$BM$77,"")&amp;IF((J102)=78,$BM$78,"")&amp;IF((J102)=79,$BM$79,"")&amp;IF((J102)=80,$BM$80,"")&amp;IF((J102)=81,$BM$81,"")&amp;IF((J102)=82,$BM$82,"")&amp;IF((J102)=83,$BM$83,"")&amp;IF((J102)=84,$BM$84,"")&amp;IF((J102)=85,$BM$85,"")&amp;IF((J102)=86,$BM$86,"")&amp;IF((J102)=87,$BM$87,"")&amp;IF((J102)=88,$BM$88,"")&amp;IF((J102)=89,$BM$89,"")&amp;IF((J102)=90,$BM$90,"")&amp;IF((J102)=91,$BM$91,"")&amp;IF((J102)=92,$BM$92,"")&amp;IF((J102)=93,$BM$93,"")&amp;IF((J102)=94,$BM$94,"")&amp;IF((J102)=95,$BM$95,"")&amp;IF((J102)=96,$BM$96,"")&amp;IF((J102)=97,$BM$97,"")&amp;IF((J102)=98,$BM$98,"")&amp;IF((J102)=99,$BM$99,"")&amp;IF((J102)=100,$BM$100,"")&amp;IF((J102)=101,$BM$101,"")&amp;IF((J102)=102,$BM$102,"")&amp;IF((J102)=103,$BM$103,"")&amp;IF((J102)=104,$BM$104,"")&amp;IF((J102)=105,$BM$105,"")&amp;IF((J102)=106,$BM$106,"")&amp;IF((J102)=107,$BM$107,"")&amp;IF((J102)=108,$BM$108,"")&amp;IF((J102)=109,$BM$109,"")&amp;IF((J102)=110,$BM$110,"")&amp;IF((J102)=111,$BM$111,"")&amp;IF((J102)=112,$BM$112,"")&amp;IF((J102)=113,$BM$113,"")&amp;IF((J102)=114,$BM$114,"")&amp;IF((J102)=115,$BM$115,"")&amp;IF((J102)=116,$BM$116,"")&amp;IF((J102)=117,$BM$117,"")&amp;IF((J102)=118,$BM$118,"")&amp;IF((J102)=119,$BM$119,"")&amp;IF((J102)=120,$BM$120,"")&amp;IF((J102)=121,$BM$121,"")&amp;IF((J102)=122,$BM$122,"")&amp;IF((J102)=123,$BM$123,"")&amp;IF((J102)=124,$BM$124,"")&amp;IF((J102)=125,$BM$125,"")&amp;IF((J102)=126,$BM$126,"")&amp;IF((J102)=127,$BM$127,"")&amp;IF((J102)=128,$BM$128,"")</f>
        <v>65</v>
      </c>
      <c r="I7" s="75"/>
      <c r="J7" s="73" t="str">
        <f t="shared" ref="J7:J69" si="3">IF((J102)=1,$BN$1,"")&amp;IF((J102)=2,$BN$2,"")&amp;IF((J102)=3,$BN$3,"")&amp;IF((J102)=4,$BN$4,"")&amp;IF((J102)=5,$BN$5,"")&amp;IF((J102)=6,$BN$6,"")&amp;IF((J102)=7,$BN$7,"")&amp;IF((J102)=8,$BN$8,"")&amp;IF((J102)=9,$BN$9,"")&amp;IF((J102)=10,$BN$10,"")&amp;IF((J102)=11,$BN$11,"")&amp;IF((J102)=12,$BN$12,"")&amp;IF((J102)=13,$BN$13,"")&amp;IF((J102)=14,$BN$14,"")&amp;IF((J102)=15,$BN$15,"")&amp;IF((J102)=16,$BN$16,"")&amp;IF((J102)=17,$BN$17,"")&amp;IF((J102)=18,$BN$18,"")&amp;IF((J102)=19,$BN$19,"")&amp;IF((J102)=20,$BN$20,"")&amp;IF((J102)=21,$BN$21,"")&amp;IF((J102)=22,$BN$22,"")&amp;IF((J102)=23,$BN$23,"")&amp;IF((J102)=24,$BN$24,"")&amp;IF((J102)=25,$BN$25,"")&amp;IF((J102)=26,$BN$26,"")&amp;IF((J102)=27,$BN$27,"")&amp;IF((J102)=28,$BN$28,"")&amp;IF((J102)=29,$BN$29,"")&amp;IF((J102)=30,$BN$30,"")&amp;IF((J102)=31,$BN$31,"")&amp;IF((J102)=32,$BN$32,"")&amp;IF((J102)=33,$BN$33,"")&amp;IF((J102)=34,$BN$34,"")&amp;IF((J102)=35,$BN$35,"")&amp;IF((J102)=36,$BN$36,"")&amp;IF((J102)=37,$BN$37,"")&amp;IF((J102)=38,$BN$38,"")&amp;IF((J102)=39,$BN$39,"")&amp;IF((J102)=40,$BN$40,"")&amp;IF((J102)=41,$BN$41,"")&amp;IF((J102)=42,$BN$42,"")&amp;IF((J102)=43,$BN$43,"")&amp;IF((J102)=44,$BN$44,"")&amp;IF((J102)=45,$BN$45,"")&amp;IF((J102)=46,$BN$46,"")&amp;IF((J102)=47,$BN$47,"")&amp;IF((J102)=48,$BN$48,"")&amp;IF((J102)=49,$BN$49,"")&amp;IF((J102)=50,$BN$50,"")&amp;IF((J102)=51,$BN$51,"")&amp;IF((J102)=52,$BN$52,"")&amp;IF((J102)=53,$BN$53,"")&amp;IF((J102)=54,$BN$54,"")&amp;IF((J102)=55,$BN$55,"")&amp;IF((J102)=56,$BN$56,"")&amp;IF((J102)=57,$BN$57,"")&amp;IF((J102)=58,$BN$58,"")&amp;IF((J102)=59,$BN$59,"")&amp;IF((J102)=60,$BN$60,"")&amp;IF((J102)=61,$BN$61,"")&amp;IF((J102)=62,$BN$62,"")&amp;IF((J102)=63,$BN$63,"")&amp;IF((J102)=64,$BN$64,"")&amp;IF((J102)=65,$BN$65,"")&amp;IF((J102)=66,$BN$66,"")&amp;IF((J102)=67,$BN$67,"")&amp;IF((J102)=68,$BN$68,"")&amp;IF((J102)=69,$BN$69,"")&amp;IF((J102)=70,$BN$70,"")&amp;IF((J102)=71,$BN$71,"")&amp;IF((J102)=72,$BN$72,"")&amp;IF((J102)=73,$BN$73,"")&amp;IF((J102)=74,$BN$74,"")&amp;IF((J102)=75,$BN$75,"")&amp;IF((J102)=76,$BN$76,"")&amp;IF((J102)=77,$BN$77,"")&amp;IF((J102)=78,$BN$78,"")&amp;IF((J102)=79,$BN$79,"")&amp;IF((J102)=80,$BN$80,"")&amp;IF((J102)=81,$BN$81,"")&amp;IF((J102)=82,$BN$82,"")&amp;IF((J102)=83,$BN$83,"")&amp;IF((J102)=84,$BN$84,"")&amp;IF((J102)=85,$BN$85,"")&amp;IF((J102)=86,$BN$86,"")&amp;IF((J102)=87,$BN$87,"")&amp;IF((J102)=88,$BN$88,"")&amp;IF((J102)=89,$BN$89,"")&amp;IF((J102)=90,$BN$90,"")&amp;IF((J102)=91,$BN$91,"")&amp;IF((J102)=92,$BN$92,"")&amp;IF((J102)=93,$BN$93,"")&amp;IF((J102)=94,$BN$94,"")&amp;IF((J102)=95,$BN$95,"")&amp;IF((J102)=96,$BN$96,"")&amp;IF((J102)=97,$BN$97,"")&amp;IF((J102)=98,$BN$98,"")&amp;IF((J102)=99,$BN$99,"")&amp;IF((J102)=100,$BN$100,"")&amp;IF((J102)=101,$BN$101,"")&amp;IF((J102)=102,$BN$102,"")&amp;IF((J102)=103,$BN$103,"")&amp;IF((J102)=104,$BN$104,"")&amp;IF((J102)=105,$BN$105,"")&amp;IF((J102)=106,$BN$106,"")&amp;IF((J102)=107,$BN$107,"")&amp;IF((J102)=108,$BN$108,"")&amp;IF((J102)=109,$BN$109,"")&amp;IF((J102)=110,$BN$110,"")&amp;IF((J102)=111,$BN$111,"")&amp;IF((J102)=112,$BN$112,"")&amp;IF((J102)=113,$BN$113,"")&amp;IF((J102)=114,$BN$114,"")&amp;IF((J102)=115,$BN$115,"")&amp;IF((J102)=116,$BN$116,"")&amp;IF((J102)=117,$BN$117,"")&amp;IF((J102)=118,$BN$118,"")&amp;IF((J102)=119,$BN$119,"")&amp;IF((J102)=120,$BN$120,"")&amp;IF((J102)=121,$BN$121,"")&amp;IF((J102)=122,$BN$122,"")&amp;IF((J102)=123,$BN$123,"")&amp;IF((J102)=124,$BN$124,"")&amp;IF((J102)=125,$BN$125,"")&amp;IF((J102)=126,$BN$126,"")&amp;IF((J102)=127,$BN$127,"")&amp;IF((J102)=128,$BN$128,"")</f>
        <v>GEOFFROY</v>
      </c>
      <c r="K7" s="142">
        <v>13</v>
      </c>
      <c r="L7" s="148">
        <v>7</v>
      </c>
      <c r="M7" s="76" t="s">
        <v>54</v>
      </c>
      <c r="N7" s="131" t="str">
        <f t="shared" ref="N7:N69" si="4">IF((P102)=1,$BM$1,"")&amp;IF((P102)=2,$BM$2,"")&amp;IF((P102)=3,$BM$3,"")&amp;IF((P102)=4,$BM$4,"")&amp;IF((P102)=5,$BM$5,"")&amp;IF((P102)=6,$BM$6,"")&amp;IF((P102)=7,$BM$7,"")&amp;IF((P102)=8,$BM$8,"")&amp;IF((P102)=9,$BM$9,"")&amp;IF((P102)=10,$BM$10,"")&amp;IF((P102)=11,$BM$11,"")&amp;IF((P102)=12,$BM$12,"")&amp;IF((P102)=13,$BM$13,"")&amp;IF((P102)=14,$BM$14,"")&amp;IF((P102)=15,$BM$15,"")&amp;IF((P102)=16,$BM$16,"")&amp;IF((P102)=17,$BM$17,"")&amp;IF((P102)=18,$BM$18,"")&amp;IF((P102)=19,$BM$19,"")&amp;IF((P102)=20,$BM$20,"")&amp;IF((P102)=21,$BM$21,"")&amp;IF((P102)=22,$BM$22,"")&amp;IF((P102)=23,$BM$23,"")&amp;IF((P102)=24,$BM$24,"")&amp;IF((P102)=25,$BM$25,"")&amp;IF((P102)=26,$BM$26,"")&amp;IF((P102)=27,$BM$27,"")&amp;IF((P102)=28,$BM$28,"")&amp;IF((P102)=29,$BM$29,"")&amp;IF((P102)=30,$BM$30,"")&amp;IF((P102)=31,$BM$31,"")&amp;IF((P102)=32,$BM$32,"")&amp;IF((P102)=33,$BM$33,"")&amp;IF((P102)=34,$BM$34,"")&amp;IF((P102)=35,$BM$35,"")&amp;IF((P102)=36,$BM$36,"")&amp;IF((P102)=37,$BM$37,"")&amp;IF((P102)=38,$BM$38,"")&amp;IF((P102)=39,$BM$39,"")&amp;IF((P102)=40,$BM$40,"")&amp;IF((P102)=41,$BM$41,"")&amp;IF((P102)=42,$BM$42,"")&amp;IF((P102)=43,$BM$43,"")&amp;IF((P102)=44,$BM$44,"")&amp;IF((P102)=45,$BM$45,"")&amp;IF((P102)=46,$BM$46,"")&amp;IF((P102)=47,$BM$47,"")&amp;IF((P102)=48,$BM$48,"")&amp;IF((P102)=49,$BM$49,"")&amp;IF((P102)=50,$BM$50,"")&amp;IF((P102)=51,$BM$51,"")&amp;IF((P102)=52,$BM$52,"")&amp;IF((P102)=53,$BM$53,"")&amp;IF((P102)=54,$BM$54,"")&amp;IF((P102)=55,$BM$55,"")&amp;IF((P102)=56,$BM$56,"")&amp;IF((P102)=57,$BM$57,"")&amp;IF((P102)=58,$BM$58,"")&amp;IF((P102)=59,$BM$59,"")&amp;IF((P102)=60,$BM$60,"")&amp;IF((P102)=61,$BM$61,"")&amp;IF((P102)=62,$BM$62,"")&amp;IF((P102)=63,$BM$63,"")&amp;IF((P102)=64,$BM$64,"")&amp;IF((P102)=65,$BM$65,"")&amp;IF((P102)=66,$BM$66,"")&amp;IF((P102)=67,$BM$67,"")&amp;IF((P102)=68,$BM$68,"")&amp;IF((P102)=69,$BM$69,"")&amp;IF((P102)=70,$BM$70,"")&amp;IF((P102)=71,$BM$71,"")&amp;IF((P102)=72,$BM$72,"")&amp;IF((P102)=73,$BM$73,"")&amp;IF((P102)=74,$BM$74,"")&amp;IF((P102)=75,$BM$75,"")&amp;IF((P102)=76,$BM$76,"")&amp;IF((P102)=77,$BM$77,"")&amp;IF((P102)=78,$BM$78,"")&amp;IF((P102)=79,$BM$79,"")&amp;IF((P102)=80,$BM$80,"")&amp;IF((P102)=81,$BM$81,"")&amp;IF((P102)=82,$BM$82,"")&amp;IF((P102)=83,$BM$83,"")&amp;IF((P102)=84,$BM$84,"")&amp;IF((P102)=85,$BM$85,"")&amp;IF((P102)=86,$BM$86,"")&amp;IF((P102)=87,$BM$87,"")&amp;IF((P102)=88,$BM$88,"")&amp;IF((P102)=89,$BM$89,"")&amp;IF((P102)=90,$BM$90,"")&amp;IF((P102)=91,$BM$91,"")&amp;IF((P102)=92,$BM$92,"")&amp;IF((P102)=93,$BM$93,"")&amp;IF((P102)=94,$BM$94,"")&amp;IF((P102)=95,$BM$95,"")&amp;IF((P102)=96,$BM$96,"")&amp;IF((P102)=97,$BM$97,"")&amp;IF((P102)=98,$BM$98,"")&amp;IF((P102)=99,$BM$99,"")&amp;IF((P102)=100,$BM$100,"")&amp;IF((P102)=101,$BM$101,"")&amp;IF((P102)=102,$BM$102,"")&amp;IF((P102)=103,$BM$103,"")&amp;IF((P102)=104,$BM$104,"")&amp;IF((P102)=105,$BM$105,"")&amp;IF((P102)=106,$BM$106,"")&amp;IF((P102)=107,$BM$107,"")&amp;IF((P102)=108,$BM$108,"")&amp;IF((P102)=109,$BM$109,"")&amp;IF((P102)=110,$BM$110,"")&amp;IF((P102)=111,$BM$111,"")&amp;IF((P102)=112,$BM$112,"")&amp;IF((P102)=113,$BM$113,"")&amp;IF((P102)=114,$BM$114,"")&amp;IF((P102)=115,$BM$115,"")&amp;IF((P102)=116,$BM$116,"")&amp;IF((P102)=117,$BM$117,"")&amp;IF((P102)=118,$BM$118,"")&amp;IF((P102)=119,$BM$119,"")&amp;IF((P102)=120,$BM$120,"")&amp;IF((P102)=121,$BM$121,"")&amp;IF((P102)=122,$BM$122,"")&amp;IF((P102)=123,$BM$123,"")&amp;IF((P102)=124,$BM$124,"")&amp;IF((P102)=125,$BM$125,"")&amp;IF((P102)=126,$BM$126,"")&amp;IF((P102)=127,$BM$127,"")&amp;IF((P102)=128,$BM$128,"")</f>
        <v>4</v>
      </c>
      <c r="O7" s="77"/>
      <c r="P7" s="123" t="str">
        <f t="shared" ref="P7:P69" si="5">IF((P102)=1,$BN$1,"")&amp;IF((P102)=2,$BN$2,"")&amp;IF((P102)=3,$BN$3,"")&amp;IF((P102)=4,$BN$4,"")&amp;IF((P102)=5,$BN$5,"")&amp;IF((P102)=6,$BN$6,"")&amp;IF((P102)=7,$BN$7,"")&amp;IF((P102)=8,$BN$8,"")&amp;IF((P102)=9,$BN$9,"")&amp;IF((P102)=10,$BN$10,"")&amp;IF((P102)=11,$BN$11,"")&amp;IF((P102)=12,$BN$12,"")&amp;IF((P102)=13,$BN$13,"")&amp;IF((P102)=14,$BN$14,"")&amp;IF((P102)=15,$BN$15,"")&amp;IF((P102)=16,$BN$16,"")&amp;IF((P102)=17,$BN$17,"")&amp;IF((P102)=18,$BN$18,"")&amp;IF((P102)=19,$BN$19,"")&amp;IF((P102)=20,$BN$20,"")&amp;IF((P102)=21,$BN$21,"")&amp;IF((P102)=22,$BN$22,"")&amp;IF((P102)=23,$BN$23,"")&amp;IF((P102)=24,$BN$24,"")&amp;IF((P102)=25,$BN$25,"")&amp;IF((P102)=26,$BN$26,"")&amp;IF((P102)=27,$BN$27,"")&amp;IF((P102)=28,$BN$28,"")&amp;IF((P102)=29,$BN$29,"")&amp;IF((P102)=30,$BN$30,"")&amp;IF((P102)=31,$BN$31,"")&amp;IF((P102)=32,$BN$32,"")&amp;IF((P102)=33,$BN$33,"")&amp;IF((P102)=34,$BN$34,"")&amp;IF((P102)=35,$BN$35,"")&amp;IF((P102)=36,$BN$36,"")&amp;IF((P102)=37,$BN$37,"")&amp;IF((P102)=38,$BN$38,"")&amp;IF((P102)=39,$BN$39,"")&amp;IF((P102)=40,$BN$40,"")&amp;IF((P102)=41,$BN$41,"")&amp;IF((P102)=42,$BN$42,"")&amp;IF((P102)=43,$BN$43,"")&amp;IF((P102)=44,$BN$44,"")&amp;IF((P102)=45,$BN$45,"")&amp;IF((P102)=46,$BN$46,"")&amp;IF((P102)=47,$BN$47,"")&amp;IF((P102)=48,$BN$48,"")&amp;IF((P102)=49,$BN$49,"")&amp;IF((P102)=50,$BN$50,"")&amp;IF((P102)=51,$BN$51,"")&amp;IF((P102)=52,$BN$52,"")&amp;IF((P102)=53,$BN$53,"")&amp;IF((P102)=54,$BN$54,"")&amp;IF((P102)=55,$BN$55,"")&amp;IF((P102)=56,$BN$56,"")&amp;IF((P102)=57,$BN$57,"")&amp;IF((P102)=58,$BN$58,"")&amp;IF((P102)=59,$BN$59,"")&amp;IF((P102)=60,$BN$60,"")&amp;IF((P102)=61,$BN$61,"")&amp;IF((P102)=62,$BN$62,"")&amp;IF((P102)=63,$BN$63,"")&amp;IF((P102)=64,$BN$64,"")&amp;IF((P102)=65,$BN$65,"")&amp;IF((P102)=66,$BN$66,"")&amp;IF((P102)=67,$BN$67,"")&amp;IF((P102)=68,$BN$68,"")&amp;IF((P102)=69,$BN$69,"")&amp;IF((P102)=70,$BN$70,"")&amp;IF((P102)=71,$BN$71,"")&amp;IF((P102)=72,$BN$72,"")&amp;IF((P102)=73,$BN$73,"")&amp;IF((P102)=74,$BN$74,"")&amp;IF((P102)=75,$BN$75,"")&amp;IF((P102)=76,$BN$76,"")&amp;IF((P102)=77,$BN$77,"")&amp;IF((P102)=78,$BN$78,"")&amp;IF((P102)=79,$BN$79,"")&amp;IF((P102)=80,$BN$80,"")&amp;IF((P102)=81,$BN$81,"")&amp;IF((P102)=82,$BN$82,"")&amp;IF((P102)=83,$BN$83,"")&amp;IF((P102)=84,$BN$84,"")&amp;IF((P102)=85,$BN$85,"")&amp;IF((P102)=86,$BN$86,"")&amp;IF((P102)=87,$BN$87,"")&amp;IF((P102)=88,$BN$88,"")&amp;IF((P102)=89,$BN$89,"")&amp;IF((P102)=90,$BN$90,"")&amp;IF((P102)=91,$BN$91,"")&amp;IF((P102)=92,$BN$92,"")&amp;IF((P102)=93,$BN$93,"")&amp;IF((P102)=94,$BN$94,"")&amp;IF((P102)=95,$BN$95,"")&amp;IF((P102)=96,$BN$96,"")&amp;IF((P102)=97,$BN$97,"")&amp;IF((P102)=98,$BN$98,"")&amp;IF((P102)=99,$BN$99,"")&amp;IF((P102)=100,$BN$100,"")&amp;IF((P102)=101,$BN$101,"")&amp;IF((P102)=102,$BN$102,"")&amp;IF((P102)=103,$BN$103,"")&amp;IF((P102)=104,$BN$104,"")&amp;IF((P102)=105,$BN$105,"")&amp;IF((P102)=106,$BN$106,"")&amp;IF((P102)=107,$BN$107,"")&amp;IF((P102)=108,$BN$108,"")&amp;IF((P102)=109,$BN$109,"")&amp;IF((P102)=110,$BN$110,"")&amp;IF((P102)=111,$BN$111,"")&amp;IF((P102)=112,$BN$112,"")&amp;IF((P102)=113,$BN$113,"")&amp;IF((P102)=114,$BN$114,"")&amp;IF((P102)=115,$BN$115,"")&amp;IF((P102)=116,$BN$116,"")&amp;IF((P102)=117,$BN$117,"")&amp;IF((P102)=118,$BN$118,"")&amp;IF((P102)=119,$BN$119,"")&amp;IF((P102)=120,$BN$120,"")&amp;IF((P102)=121,$BN$121,"")&amp;IF((P102)=122,$BN$122,"")&amp;IF((P102)=123,$BN$123,"")&amp;IF((P102)=124,$BN$124,"")&amp;IF((P102)=125,$BN$125,"")&amp;IF((P102)=126,$BN$126,"")&amp;IF((P102)=127,$BN$127,"")&amp;IF((P102)=128,$BN$128,"")</f>
        <v>DENISE</v>
      </c>
      <c r="Q7" s="78" t="s">
        <v>54</v>
      </c>
      <c r="R7" s="131" t="str">
        <f t="shared" ref="R7:R69" si="6">IF((T102)=1,$BM$1,"")&amp;IF((T102)=2,$BM$2,"")&amp;IF((T102)=3,$BM$3,"")&amp;IF((T102)=4,$BM$4,"")&amp;IF((T102)=5,$BM$5,"")&amp;IF((T102)=6,$BM$6,"")&amp;IF((T102)=7,$BM$7,"")&amp;IF((T102)=8,$BM$8,"")&amp;IF((T102)=9,$BM$9,"")&amp;IF((T102)=10,$BM$10,"")&amp;IF((T102)=11,$BM$11,"")&amp;IF((T102)=12,$BM$12,"")&amp;IF((T102)=13,$BM$13,"")&amp;IF((T102)=14,$BM$14,"")&amp;IF((T102)=15,$BM$15,"")&amp;IF((T102)=16,$BM$16,"")&amp;IF((T102)=17,$BM$17,"")&amp;IF((T102)=18,$BM$18,"")&amp;IF((T102)=19,$BM$19,"")&amp;IF((T102)=20,$BM$20,"")&amp;IF((T102)=21,$BM$21,"")&amp;IF((T102)=22,$BM$22,"")&amp;IF((T102)=23,$BM$23,"")&amp;IF((T102)=24,$BM$24,"")&amp;IF((T102)=25,$BM$25,"")&amp;IF((T102)=26,$BM$26,"")&amp;IF((T102)=27,$BM$27,"")&amp;IF((T102)=28,$BM$28,"")&amp;IF((T102)=29,$BM$29,"")&amp;IF((T102)=30,$BM$30,"")&amp;IF((T102)=31,$BM$31,"")&amp;IF((T102)=32,$BM$32,"")&amp;IF((T102)=33,$BM$33,"")&amp;IF((T102)=34,$BM$34,"")&amp;IF((T102)=35,$BM$35,"")&amp;IF((T102)=36,$BM$36,"")&amp;IF((T102)=37,$BM$37,"")&amp;IF((T102)=38,$BM$38,"")&amp;IF((T102)=39,$BM$39,"")&amp;IF((T102)=40,$BM$40,"")&amp;IF((T102)=41,$BM$41,"")&amp;IF((T102)=42,$BM$42,"")&amp;IF((T102)=43,$BM$43,"")&amp;IF((T102)=44,$BM$44,"")&amp;IF((T102)=45,$BM$45,"")&amp;IF((T102)=46,$BM$46,"")&amp;IF((T102)=47,$BM$47,"")&amp;IF((T102)=48,$BM$48,"")&amp;IF((T102)=49,$BM$49,"")&amp;IF((T102)=50,$BM$50,"")&amp;IF((T102)=51,$BM$51,"")&amp;IF((T102)=52,$BM$52,"")&amp;IF((T102)=53,$BM$53,"")&amp;IF((T102)=54,$BM$54,"")&amp;IF((T102)=55,$BM$55,"")&amp;IF((T102)=56,$BM$56,"")&amp;IF((T102)=57,$BM$57,"")&amp;IF((T102)=58,$BM$58,"")&amp;IF((T102)=59,$BM$59,"")&amp;IF((T102)=60,$BM$60,"")&amp;IF((T102)=61,$BM$61,"")&amp;IF((T102)=62,$BM$62,"")&amp;IF((T102)=63,$BM$63,"")&amp;IF((T102)=64,$BM$64,"")&amp;IF((T102)=65,$BM$65,"")&amp;IF((T102)=66,$BM$66,"")&amp;IF((T102)=67,$BM$67,"")&amp;IF((T102)=68,$BM$68,"")&amp;IF((T102)=69,$BM$69,"")&amp;IF((T102)=70,$BM$70,"")&amp;IF((T102)=71,$BM$71,"")&amp;IF((T102)=72,$BM$72,"")&amp;IF((T102)=73,$BM$73,"")&amp;IF((T102)=74,$BM$74,"")&amp;IF((T102)=75,$BM$75,"")&amp;IF((T102)=76,$BM$76,"")&amp;IF((T102)=77,$BM$77,"")&amp;IF((T102)=78,$BM$78,"")&amp;IF((T102)=79,$BM$79,"")&amp;IF((T102)=80,$BM$80,"")&amp;IF((T102)=81,$BM$81,"")&amp;IF((T102)=82,$BM$82,"")&amp;IF((T102)=83,$BM$83,"")&amp;IF((T102)=84,$BM$84,"")&amp;IF((T102)=85,$BM$85,"")&amp;IF((T102)=86,$BM$86,"")&amp;IF((T102)=87,$BM$87,"")&amp;IF((T102)=88,$BM$88,"")&amp;IF((T102)=89,$BM$89,"")&amp;IF((T102)=90,$BM$90,"")&amp;IF((T102)=91,$BM$91,"")&amp;IF((T102)=92,$BM$92,"")&amp;IF((T102)=93,$BM$93,"")&amp;IF((T102)=94,$BM$94,"")&amp;IF((T102)=95,$BM$95,"")&amp;IF((T102)=96,$BM$96,"")&amp;IF((T102)=97,$BM$97,"")&amp;IF((T102)=98,$BM$98,"")&amp;IF((T102)=99,$BM$99,"")&amp;IF((T102)=100,$BM$100,"")&amp;IF((T102)=101,$BM$101,"")&amp;IF((T102)=102,$BM$102,"")&amp;IF((T102)=103,$BM$103,"")&amp;IF((T102)=104,$BM$104,"")&amp;IF((T102)=105,$BM$105,"")&amp;IF((T102)=106,$BM$106,"")&amp;IF((T102)=107,$BM$107,"")&amp;IF((T102)=108,$BM$108,"")&amp;IF((T102)=109,$BM$109,"")&amp;IF((T102)=110,$BM$110,"")&amp;IF((T102)=111,$BM$111,"")&amp;IF((T102)=112,$BM$112,"")&amp;IF((T102)=113,$BM$113,"")&amp;IF((T102)=114,$BM$114,"")&amp;IF((T102)=115,$BM$115,"")&amp;IF((T102)=116,$BM$116,"")&amp;IF((T102)=117,$BM$117,"")&amp;IF((T102)=118,$BM$118,"")&amp;IF((T102)=119,$BM$119,"")&amp;IF((T102)=120,$BM$120,"")&amp;IF((T102)=121,$BM$121,"")&amp;IF((T102)=122,$BM$122,"")&amp;IF((T102)=123,$BM$123,"")&amp;IF((T102)=124,$BM$124,"")&amp;IF((T102)=125,$BM$125,"")&amp;IF((T102)=126,$BM$126,"")&amp;IF((T102)=127,$BM$127,"")&amp;IF((T102)=128,$BM$128,"")</f>
        <v>66</v>
      </c>
      <c r="S7" s="79"/>
      <c r="T7" s="123" t="str">
        <f t="shared" ref="T7:T69" si="7">IF((T102)=1,$BN$1,"")&amp;IF((T102)=2,$BN$2,"")&amp;IF((T102)=3,$BN$3,"")&amp;IF((T102)=4,$BN$4,"")&amp;IF((T102)=5,$BN$5,"")&amp;IF((T102)=6,$BN$6,"")&amp;IF((T102)=7,$BN$7,"")&amp;IF((T102)=8,$BN$8,"")&amp;IF((T102)=9,$BN$9,"")&amp;IF((T102)=10,$BN$10,"")&amp;IF((T102)=11,$BN$11,"")&amp;IF((T102)=12,$BN$12,"")&amp;IF((T102)=13,$BN$13,"")&amp;IF((T102)=14,$BN$14,"")&amp;IF((T102)=15,$BN$15,"")&amp;IF((T102)=16,$BN$16,"")&amp;IF((T102)=17,$BN$17,"")&amp;IF((T102)=18,$BN$18,"")&amp;IF((T102)=19,$BN$19,"")&amp;IF((T102)=20,$BN$20,"")&amp;IF((T102)=21,$BN$21,"")&amp;IF((T102)=22,$BN$22,"")&amp;IF((T102)=23,$BN$23,"")&amp;IF((T102)=24,$BN$24,"")&amp;IF((T102)=25,$BN$25,"")&amp;IF((T102)=26,$BN$26,"")&amp;IF((T102)=27,$BN$27,"")&amp;IF((T102)=28,$BN$28,"")&amp;IF((T102)=29,$BN$29,"")&amp;IF((T102)=30,$BN$30,"")&amp;IF((T102)=31,$BN$31,"")&amp;IF((T102)=32,$BN$32,"")&amp;IF((T102)=33,$BN$33,"")&amp;IF((T102)=34,$BN$34,"")&amp;IF((T102)=35,$BN$35,"")&amp;IF((T102)=36,$BN$36,"")&amp;IF((T102)=37,$BN$37,"")&amp;IF((T102)=38,$BN$38,"")&amp;IF((T102)=39,$BN$39,"")&amp;IF((T102)=40,$BN$40,"")&amp;IF((T102)=41,$BN$41,"")&amp;IF((T102)=42,$BN$42,"")&amp;IF((T102)=43,$BN$43,"")&amp;IF((T102)=44,$BN$44,"")&amp;IF((T102)=45,$BN$45,"")&amp;IF((T102)=46,$BN$46,"")&amp;IF((T102)=47,$BN$47,"")&amp;IF((T102)=48,$BN$48,"")&amp;IF((T102)=49,$BN$49,"")&amp;IF((T102)=50,$BN$50,"")&amp;IF((T102)=51,$BN$51,"")&amp;IF((T102)=52,$BN$52,"")&amp;IF((T102)=53,$BN$53,"")&amp;IF((T102)=54,$BN$54,"")&amp;IF((T102)=55,$BN$55,"")&amp;IF((T102)=56,$BN$56,"")&amp;IF((T102)=57,$BN$57,"")&amp;IF((T102)=58,$BN$58,"")&amp;IF((T102)=59,$BN$59,"")&amp;IF((T102)=60,$BN$60,"")&amp;IF((T102)=61,$BN$61,"")&amp;IF((T102)=62,$BN$62,"")&amp;IF((T102)=63,$BN$63,"")&amp;IF((T102)=64,$BN$64,"")&amp;IF((T102)=65,$BN$65,"")&amp;IF((T102)=66,$BN$66,"")&amp;IF((T102)=67,$BN$67,"")&amp;IF((T102)=68,$BN$68,"")&amp;IF((T102)=69,$BN$69,"")&amp;IF((T102)=70,$BN$70,"")&amp;IF((T102)=71,$BN$71,"")&amp;IF((T102)=72,$BN$72,"")&amp;IF((T102)=73,$BN$73,"")&amp;IF((T102)=74,$BN$74,"")&amp;IF((T102)=75,$BN$75,"")&amp;IF((T102)=76,$BN$76,"")&amp;IF((T102)=77,$BN$77,"")&amp;IF((T102)=78,$BN$78,"")&amp;IF((T102)=79,$BN$79,"")&amp;IF((T102)=80,$BN$80,"")&amp;IF((T102)=81,$BN$81,"")&amp;IF((T102)=82,$BN$82,"")&amp;IF((T102)=83,$BN$83,"")&amp;IF((T102)=84,$BN$84,"")&amp;IF((T102)=85,$BN$85,"")&amp;IF((T102)=86,$BN$86,"")&amp;IF((T102)=87,$BN$87,"")&amp;IF((T102)=88,$BN$88,"")&amp;IF((T102)=89,$BN$89,"")&amp;IF((T102)=90,$BN$90,"")&amp;IF((T102)=91,$BN$91,"")&amp;IF((T102)=92,$BN$92,"")&amp;IF((T102)=93,$BN$93,"")&amp;IF((T102)=94,$BN$94,"")&amp;IF((T102)=95,$BN$95,"")&amp;IF((T102)=96,$BN$96,"")&amp;IF((T102)=97,$BN$97,"")&amp;IF((T102)=98,$BN$98,"")&amp;IF((T102)=99,$BN$99,"")&amp;IF((T102)=100,$BN$100,"")&amp;IF((T102)=101,$BN$101,"")&amp;IF((T102)=102,$BN$102,"")&amp;IF((T102)=103,$BN$103,"")&amp;IF((T102)=104,$BN$104,"")&amp;IF((T102)=105,$BN$105,"")&amp;IF((T102)=106,$BN$106,"")&amp;IF((T102)=107,$BN$107,"")&amp;IF((T102)=108,$BN$108,"")&amp;IF((T102)=109,$BN$109,"")&amp;IF((T102)=110,$BN$110,"")&amp;IF((T102)=111,$BN$111,"")&amp;IF((T102)=112,$BN$112,"")&amp;IF((T102)=113,$BN$113,"")&amp;IF((T102)=114,$BN$114,"")&amp;IF((T102)=115,$BN$115,"")&amp;IF((T102)=116,$BN$116,"")&amp;IF((T102)=117,$BN$117,"")&amp;IF((T102)=118,$BN$118,"")&amp;IF((T102)=119,$BN$119,"")&amp;IF((T102)=120,$BN$120,"")&amp;IF((T102)=121,$BN$121,"")&amp;IF((T102)=122,$BN$122,"")&amp;IF((T102)=123,$BN$123,"")&amp;IF((T102)=124,$BN$124,"")&amp;IF((T102)=125,$BN$125,"")&amp;IF((T102)=126,$BN$126,"")&amp;IF((T102)=127,$BN$127,"")&amp;IF((T102)=128,$BN$128,"")</f>
        <v>FLORIAN</v>
      </c>
      <c r="U7" s="56"/>
      <c r="V7" s="57"/>
      <c r="W7" s="80" t="s">
        <v>54</v>
      </c>
      <c r="X7" s="132" t="str">
        <f t="shared" ref="X7:X69" si="8">IF((Z102)=1,$BM$1,"")&amp;IF((Z102)=2,$BM$2,"")&amp;IF((Z102)=3,$BM$3,"")&amp;IF((Z102)=4,$BM$4,"")&amp;IF((Z102)=5,$BM$5,"")&amp;IF((Z102)=6,$BM$6,"")&amp;IF((Z102)=7,$BM$7,"")&amp;IF((Z102)=8,$BM$8,"")&amp;IF((Z102)=9,$BM$9,"")&amp;IF((Z102)=10,$BM$10,"")&amp;IF((Z102)=11,$BM$11,"")&amp;IF((Z102)=12,$BM$12,"")&amp;IF((Z102)=13,$BM$13,"")&amp;IF((Z102)=14,$BM$14,"")&amp;IF((Z102)=15,$BM$15,"")&amp;IF((Z102)=16,$BM$16,"")&amp;IF((Z102)=17,$BM$17,"")&amp;IF((Z102)=18,$BM$18,"")&amp;IF((Z102)=19,$BM$19,"")&amp;IF((Z102)=20,$BM$20,"")&amp;IF((Z102)=21,$BM$21,"")&amp;IF((Z102)=22,$BM$22,"")&amp;IF((Z102)=23,$BM$23,"")&amp;IF((Z102)=24,$BM$24,"")&amp;IF((Z102)=25,$BM$25,"")&amp;IF((Z102)=26,$BM$26,"")&amp;IF((Z102)=27,$BM$27,"")&amp;IF((Z102)=28,$BM$28,"")&amp;IF((Z102)=29,$BM$29,"")&amp;IF((Z102)=30,$BM$30,"")&amp;IF((Z102)=31,$BM$31,"")&amp;IF((Z102)=32,$BM$32,"")&amp;IF((Z102)=33,$BM$33,"")&amp;IF((Z102)=34,$BM$34,"")&amp;IF((Z102)=35,$BM$35,"")&amp;IF((Z102)=36,$BM$36,"")&amp;IF((Z102)=37,$BM$37,"")&amp;IF((Z102)=38,$BM$38,"")&amp;IF((Z102)=39,$BM$39,"")&amp;IF((Z102)=40,$BM$40,"")&amp;IF((Z102)=41,$BM$41,"")&amp;IF((Z102)=42,$BM$42,"")&amp;IF((Z102)=43,$BM$43,"")&amp;IF((Z102)=44,$BM$44,"")&amp;IF((Z102)=45,$BM$45,"")&amp;IF((Z102)=46,$BM$46,"")&amp;IF((Z102)=47,$BM$47,"")&amp;IF((Z102)=48,$BM$48,"")&amp;IF((Z102)=49,$BM$49,"")&amp;IF((Z102)=50,$BM$50,"")&amp;IF((Z102)=51,$BM$51,"")&amp;IF((Z102)=52,$BM$52,"")&amp;IF((Z102)=53,$BM$53,"")&amp;IF((Z102)=54,$BM$54,"")&amp;IF((Z102)=55,$BM$55,"")&amp;IF((Z102)=56,$BM$56,"")&amp;IF((Z102)=57,$BM$57,"")&amp;IF((Z102)=58,$BM$58,"")&amp;IF((Z102)=59,$BM$59,"")&amp;IF((Z102)=60,$BM$60,"")&amp;IF((Z102)=61,$BM$61,"")&amp;IF((Z102)=62,$BM$62,"")&amp;IF((Z102)=63,$BM$63,"")&amp;IF((Z102)=64,$BM$64,"")&amp;IF((Z102)=65,$BM$65,"")&amp;IF((Z102)=66,$BM$66,"")&amp;IF((Z102)=67,$BM$67,"")&amp;IF((Z102)=68,$BM$68,"")&amp;IF((Z102)=69,$BM$69,"")&amp;IF((Z102)=70,$BM$70,"")&amp;IF((Z102)=71,$BM$71,"")&amp;IF((Z102)=72,$BM$72,"")&amp;IF((Z102)=73,$BM$73,"")&amp;IF((Z102)=74,$BM$74,"")&amp;IF((Z102)=75,$BM$75,"")&amp;IF((Z102)=76,$BM$76,"")&amp;IF((Z102)=77,$BM$77,"")&amp;IF((Z102)=78,$BM$78,"")&amp;IF((Z102)=79,$BM$79,"")&amp;IF((Z102)=80,$BM$80,"")&amp;IF((Z102)=81,$BM$81,"")&amp;IF((Z102)=82,$BM$82,"")&amp;IF((Z102)=83,$BM$83,"")&amp;IF((Z102)=84,$BM$84,"")&amp;IF((Z102)=85,$BM$85,"")&amp;IF((Z102)=86,$BM$86,"")&amp;IF((Z102)=87,$BM$87,"")&amp;IF((Z102)=88,$BM$88,"")&amp;IF((Z102)=89,$BM$89,"")&amp;IF((Z102)=90,$BM$90,"")&amp;IF((Z102)=91,$BM$91,"")&amp;IF((Z102)=92,$BM$92,"")&amp;IF((Z102)=93,$BM$93,"")&amp;IF((Z102)=94,$BM$94,"")&amp;IF((Z102)=95,$BM$95,"")&amp;IF((Z102)=96,$BM$96,"")&amp;IF((Z102)=97,$BM$97,"")&amp;IF((Z102)=98,$BM$98,"")&amp;IF((Z102)=99,$BM$99,"")&amp;IF((Z102)=100,$BM$100,"")&amp;IF((Z102)=101,$BM$101,"")&amp;IF((Z102)=102,$BM$102,"")&amp;IF((Z102)=103,$BM$103,"")&amp;IF((Z102)=104,$BM$104,"")&amp;IF((Z102)=105,$BM$105,"")&amp;IF((Z102)=106,$BM$106,"")&amp;IF((Z102)=107,$BM$107,"")&amp;IF((Z102)=108,$BM$108,"")&amp;IF((Z102)=109,$BM$109,"")&amp;IF((Z102)=110,$BM$110,"")&amp;IF((Z102)=111,$BM$111,"")&amp;IF((Z102)=112,$BM$112,"")&amp;IF((Z102)=113,$BM$113,"")&amp;IF((Z102)=114,$BM$114,"")&amp;IF((Z102)=115,$BM$115,"")&amp;IF((Z102)=116,$BM$116,"")&amp;IF((Z102)=117,$BM$117,"")&amp;IF((Z102)=118,$BM$118,"")&amp;IF((Z102)=119,$BM$119,"")&amp;IF((Z102)=120,$BM$120,"")&amp;IF((Z102)=121,$BM$121,"")&amp;IF((Z102)=122,$BM$122,"")&amp;IF((Z102)=123,$BM$123,"")&amp;IF((Z102)=124,$BM$124,"")&amp;IF((Z102)=125,$BM$125,"")&amp;IF((Z102)=126,$BM$126,"")&amp;IF((Z102)=127,$BM$127,"")&amp;IF((Z102)=128,$BM$128,"")</f>
        <v>1</v>
      </c>
      <c r="Y7" s="81"/>
      <c r="Z7" s="127" t="str">
        <f t="shared" ref="Z7:Z69" si="9">IF((Z102)=1,$BN$1,"")&amp;IF((Z102)=2,$BN$2,"")&amp;IF((Z102)=3,$BN$3,"")&amp;IF((Z102)=4,$BN$4,"")&amp;IF((Z102)=5,$BN$5,"")&amp;IF((Z102)=6,$BN$6,"")&amp;IF((Z102)=7,$BN$7,"")&amp;IF((Z102)=8,$BN$8,"")&amp;IF((Z102)=9,$BN$9,"")&amp;IF((Z102)=10,$BN$10,"")&amp;IF((Z102)=11,$BN$11,"")&amp;IF((Z102)=12,$BN$12,"")&amp;IF((Z102)=13,$BN$13,"")&amp;IF((Z102)=14,$BN$14,"")&amp;IF((Z102)=15,$BN$15,"")&amp;IF((Z102)=16,$BN$16,"")&amp;IF((Z102)=17,$BN$17,"")&amp;IF((Z102)=18,$BN$18,"")&amp;IF((Z102)=19,$BN$19,"")&amp;IF((Z102)=20,$BN$20,"")&amp;IF((Z102)=21,$BN$21,"")&amp;IF((Z102)=22,$BN$22,"")&amp;IF((Z102)=23,$BN$23,"")&amp;IF((Z102)=24,$BN$24,"")&amp;IF((Z102)=25,$BN$25,"")&amp;IF((Z102)=26,$BN$26,"")&amp;IF((Z102)=27,$BN$27,"")&amp;IF((Z102)=28,$BN$28,"")&amp;IF((Z102)=29,$BN$29,"")&amp;IF((Z102)=30,$BN$30,"")&amp;IF((Z102)=31,$BN$31,"")&amp;IF((Z102)=32,$BN$32,"")&amp;IF((Z102)=33,$BN$33,"")&amp;IF((Z102)=34,$BN$34,"")&amp;IF((Z102)=35,$BN$35,"")&amp;IF((Z102)=36,$BN$36,"")&amp;IF((Z102)=37,$BN$37,"")&amp;IF((Z102)=38,$BN$38,"")&amp;IF((Z102)=39,$BN$39,"")&amp;IF((Z102)=40,$BN$40,"")&amp;IF((Z102)=41,$BN$41,"")&amp;IF((Z102)=42,$BN$42,"")&amp;IF((Z102)=43,$BN$43,"")&amp;IF((Z102)=44,$BN$44,"")&amp;IF((Z102)=45,$BN$45,"")&amp;IF((Z102)=46,$BN$46,"")&amp;IF((Z102)=47,$BN$47,"")&amp;IF((Z102)=48,$BN$48,"")&amp;IF((Z102)=49,$BN$49,"")&amp;IF((Z102)=50,$BN$50,"")&amp;IF((Z102)=51,$BN$51,"")&amp;IF((Z102)=52,$BN$52,"")&amp;IF((Z102)=53,$BN$53,"")&amp;IF((Z102)=54,$BN$54,"")&amp;IF((Z102)=55,$BN$55,"")&amp;IF((Z102)=56,$BN$56,"")&amp;IF((Z102)=57,$BN$57,"")&amp;IF((Z102)=58,$BN$58,"")&amp;IF((Z102)=59,$BN$59,"")&amp;IF((Z102)=60,$BN$60,"")&amp;IF((Z102)=61,$BN$61,"")&amp;IF((Z102)=62,$BN$62,"")&amp;IF((Z102)=63,$BN$63,"")&amp;IF((Z102)=64,$BN$64,"")&amp;IF((Z102)=65,$BN$65,"")&amp;IF((Z102)=66,$BN$66,"")&amp;IF((Z102)=67,$BN$67,"")&amp;IF((Z102)=68,$BN$68,"")&amp;IF((Z102)=69,$BN$69,"")&amp;IF((Z102)=70,$BN$70,"")&amp;IF((Z102)=71,$BN$71,"")&amp;IF((Z102)=72,$BN$72,"")&amp;IF((Z102)=73,$BN$73,"")&amp;IF((Z102)=74,$BN$74,"")&amp;IF((Z102)=75,$BN$75,"")&amp;IF((Z102)=76,$BN$76,"")&amp;IF((Z102)=77,$BN$77,"")&amp;IF((Z102)=78,$BN$78,"")&amp;IF((Z102)=79,$BN$79,"")&amp;IF((Z102)=80,$BN$80,"")&amp;IF((Z102)=81,$BN$81,"")&amp;IF((Z102)=82,$BN$82,"")&amp;IF((Z102)=83,$BN$83,"")&amp;IF((Z102)=84,$BN$84,"")&amp;IF((Z102)=85,$BN$85,"")&amp;IF((Z102)=86,$BN$86,"")&amp;IF((Z102)=87,$BN$87,"")&amp;IF((Z102)=88,$BN$88,"")&amp;IF((Z102)=89,$BN$89,"")&amp;IF((Z102)=90,$BN$90,"")&amp;IF((Z102)=91,$BN$91,"")&amp;IF((Z102)=92,$BN$92,"")&amp;IF((Z102)=93,$BN$93,"")&amp;IF((Z102)=94,$BN$94,"")&amp;IF((Z102)=95,$BN$95,"")&amp;IF((Z102)=96,$BN$96,"")&amp;IF((Z102)=97,$BN$97,"")&amp;IF((Z102)=98,$BN$98,"")&amp;IF((Z102)=99,$BN$99,"")&amp;IF((Z102)=100,$BN$100,"")&amp;IF((Z102)=101,$BN$101,"")&amp;IF((Z102)=102,$BN$102,"")&amp;IF((Z102)=103,$BN$103,"")&amp;IF((Z102)=104,$BN$104,"")&amp;IF((Z102)=105,$BN$105,"")&amp;IF((Z102)=106,$BN$106,"")&amp;IF((Z102)=107,$BN$107,"")&amp;IF((Z102)=108,$BN$108,"")&amp;IF((Z102)=109,$BN$109,"")&amp;IF((Z102)=110,$BN$110,"")&amp;IF((Z102)=111,$BN$111,"")&amp;IF((Z102)=112,$BN$112,"")&amp;IF((Z102)=113,$BN$113,"")&amp;IF((Z102)=114,$BN$114,"")&amp;IF((Z102)=115,$BN$115,"")&amp;IF((Z102)=116,$BN$116,"")&amp;IF((Z102)=117,$BN$117,"")&amp;IF((Z102)=118,$BN$118,"")&amp;IF((Z102)=119,$BN$119,"")&amp;IF((Z102)=120,$BN$120,"")&amp;IF((Z102)=121,$BN$121,"")&amp;IF((Z102)=122,$BN$122,"")&amp;IF((Z102)=123,$BN$123,"")&amp;IF((Z102)=124,$BN$124,"")&amp;IF((Z102)=125,$BN$125,"")&amp;IF((Z102)=126,$BN$126,"")&amp;IF((Z102)=127,$BN$127,"")&amp;IF((Z102)=128,$BN$128,"")</f>
        <v>PETER</v>
      </c>
      <c r="AA7" s="82" t="s">
        <v>54</v>
      </c>
      <c r="AB7" s="132" t="str">
        <f t="shared" ref="AB7:AB69" si="10">IF((AD102)=1,$BM$1,"")&amp;IF((AD102)=2,$BM$2,"")&amp;IF((AD102)=3,$BM$3,"")&amp;IF((AD102)=4,$BM$4,"")&amp;IF((AD102)=5,$BM$5,"")&amp;IF((AD102)=6,$BM$6,"")&amp;IF((AD102)=7,$BM$7,"")&amp;IF((AD102)=8,$BM$8,"")&amp;IF((AD102)=9,$BM$9,"")&amp;IF((AD102)=10,$BM$10,"")&amp;IF((AD102)=11,$BM$11,"")&amp;IF((AD102)=12,$BM$12,"")&amp;IF((AD102)=13,$BM$13,"")&amp;IF((AD102)=14,$BM$14,"")&amp;IF((AD102)=15,$BM$15,"")&amp;IF((AD102)=16,$BM$16,"")&amp;IF((AD102)=17,$BM$17,"")&amp;IF((AD102)=18,$BM$18,"")&amp;IF((AD102)=19,$BM$19,"")&amp;IF((AD102)=20,$BM$20,"")&amp;IF((AD102)=21,$BM$21,"")&amp;IF((AD102)=22,$BM$22,"")&amp;IF((AD102)=23,$BM$23,"")&amp;IF((AD102)=24,$BM$24,"")&amp;IF((AD102)=25,$BM$25,"")&amp;IF((AD102)=26,$BM$26,"")&amp;IF((AD102)=27,$BM$27,"")&amp;IF((AD102)=28,$BM$28,"")&amp;IF((AD102)=29,$BM$29,"")&amp;IF((AD102)=30,$BM$30,"")&amp;IF((AD102)=31,$BM$31,"")&amp;IF((AD102)=32,$BM$32,"")&amp;IF((AD102)=33,$BM$33,"")&amp;IF((AD102)=34,$BM$34,"")&amp;IF((AD102)=35,$BM$35,"")&amp;IF((AD102)=36,$BM$36,"")&amp;IF((AD102)=37,$BM$37,"")&amp;IF((AD102)=38,$BM$38,"")&amp;IF((AD102)=39,$BM$39,"")&amp;IF((AD102)=40,$BM$40,"")&amp;IF((AD102)=41,$BM$41,"")&amp;IF((AD102)=42,$BM$42,"")&amp;IF((AD102)=43,$BM$43,"")&amp;IF((AD102)=44,$BM$44,"")&amp;IF((AD102)=45,$BM$45,"")&amp;IF((AD102)=46,$BM$46,"")&amp;IF((AD102)=47,$BM$47,"")&amp;IF((AD102)=48,$BM$48,"")&amp;IF((AD102)=49,$BM$49,"")&amp;IF((AD102)=50,$BM$50,"")&amp;IF((AD102)=51,$BM$51,"")&amp;IF((AD102)=52,$BM$52,"")&amp;IF((AD102)=53,$BM$53,"")&amp;IF((AD102)=54,$BM$54,"")&amp;IF((AD102)=55,$BM$55,"")&amp;IF((AD102)=56,$BM$56,"")&amp;IF((AD102)=57,$BM$57,"")&amp;IF((AD102)=58,$BM$58,"")&amp;IF((AD102)=59,$BM$59,"")&amp;IF((AD102)=60,$BM$60,"")&amp;IF((AD102)=61,$BM$61,"")&amp;IF((AD102)=62,$BM$62,"")&amp;IF((AD102)=63,$BM$63,"")&amp;IF((AD102)=64,$BM$64,"")&amp;IF((AD102)=65,$BM$65,"")&amp;IF((AD102)=66,$BM$66,"")&amp;IF((AD102)=67,$BM$67,"")&amp;IF((AD102)=68,$BM$68,"")&amp;IF((AD102)=69,$BM$69,"")&amp;IF((AD102)=70,$BM$70,"")&amp;IF((AD102)=71,$BM$71,"")&amp;IF((AD102)=72,$BM$72,"")&amp;IF((AD102)=73,$BM$73,"")&amp;IF((AD102)=74,$BM$74,"")&amp;IF((AD102)=75,$BM$75,"")&amp;IF((AD102)=76,$BM$76,"")&amp;IF((AD102)=77,$BM$77,"")&amp;IF((AD102)=78,$BM$78,"")&amp;IF((AD102)=79,$BM$79,"")&amp;IF((AD102)=80,$BM$80,"")&amp;IF((AD102)=81,$BM$81,"")&amp;IF((AD102)=82,$BM$82,"")&amp;IF((AD102)=83,$BM$83,"")&amp;IF((AD102)=84,$BM$84,"")&amp;IF((AD102)=85,$BM$85,"")&amp;IF((AD102)=86,$BM$86,"")&amp;IF((AD102)=87,$BM$87,"")&amp;IF((AD102)=88,$BM$88,"")&amp;IF((AD102)=89,$BM$89,"")&amp;IF((AD102)=90,$BM$90,"")&amp;IF((AD102)=91,$BM$91,"")&amp;IF((AD102)=92,$BM$92,"")&amp;IF((AD102)=93,$BM$93,"")&amp;IF((AD102)=94,$BM$94,"")&amp;IF((AD102)=95,$BM$95,"")&amp;IF((AD102)=96,$BM$96,"")&amp;IF((AD102)=97,$BM$97,"")&amp;IF((AD102)=98,$BM$98,"")&amp;IF((AD102)=99,$BM$99,"")&amp;IF((AD102)=100,$BM$100,"")&amp;IF((AD102)=101,$BM$101,"")&amp;IF((AD102)=102,$BM$102,"")&amp;IF((AD102)=103,$BM$103,"")&amp;IF((AD102)=104,$BM$104,"")&amp;IF((AD102)=105,$BM$105,"")&amp;IF((AD102)=106,$BM$106,"")&amp;IF((AD102)=107,$BM$107,"")&amp;IF((AD102)=108,$BM$108,"")&amp;IF((AD102)=109,$BM$109,"")&amp;IF((AD102)=110,$BM$110,"")&amp;IF((AD102)=111,$BM$111,"")&amp;IF((AD102)=112,$BM$112,"")&amp;IF((AD102)=113,$BM$113,"")&amp;IF((AD102)=114,$BM$114,"")&amp;IF((AD102)=115,$BM$115,"")&amp;IF((AD102)=116,$BM$116,"")&amp;IF((AD102)=117,$BM$117,"")&amp;IF((AD102)=118,$BM$118,"")&amp;IF((AD102)=119,$BM$119,"")&amp;IF((AD102)=120,$BM$120,"")&amp;IF((AD102)=121,$BM$121,"")&amp;IF((AD102)=122,$BM$122,"")&amp;IF((AD102)=123,$BM$123,"")&amp;IF((AD102)=124,$BM$124,"")&amp;IF((AD102)=125,$BM$125,"")&amp;IF((AD102)=126,$BM$126,"")&amp;IF((AD102)=127,$BM$127,"")&amp;IF((AD102)=128,$BM$128,"")</f>
        <v>3</v>
      </c>
      <c r="AC7" s="83"/>
      <c r="AD7" s="127" t="str">
        <f t="shared" ref="AD7:AD69" si="11">IF((AD102)=1,$BN$1,"")&amp;IF((AD102)=2,$BN$2,"")&amp;IF((AD102)=3,$BN$3,"")&amp;IF((AD102)=4,$BN$4,"")&amp;IF((AD102)=5,$BN$5,"")&amp;IF((AD102)=6,$BN$6,"")&amp;IF((AD102)=7,$BN$7,"")&amp;IF((AD102)=8,$BN$8,"")&amp;IF((AD102)=9,$BN$9,"")&amp;IF((AD102)=10,$BN$10,"")&amp;IF((AD102)=11,$BN$11,"")&amp;IF((AD102)=12,$BN$12,"")&amp;IF((AD102)=13,$BN$13,"")&amp;IF((AD102)=14,$BN$14,"")&amp;IF((AD102)=15,$BN$15,"")&amp;IF((AD102)=16,$BN$16,"")&amp;IF((AD102)=17,$BN$17,"")&amp;IF((AD102)=18,$BN$18,"")&amp;IF((AD102)=19,$BN$19,"")&amp;IF((AD102)=20,$BN$20,"")&amp;IF((AD102)=21,$BN$21,"")&amp;IF((AD102)=22,$BN$22,"")&amp;IF((AD102)=23,$BN$23,"")&amp;IF((AD102)=24,$BN$24,"")&amp;IF((AD102)=25,$BN$25,"")&amp;IF((AD102)=26,$BN$26,"")&amp;IF((AD102)=27,$BN$27,"")&amp;IF((AD102)=28,$BN$28,"")&amp;IF((AD102)=29,$BN$29,"")&amp;IF((AD102)=30,$BN$30,"")&amp;IF((AD102)=31,$BN$31,"")&amp;IF((AD102)=32,$BN$32,"")&amp;IF((AD102)=33,$BN$33,"")&amp;IF((AD102)=34,$BN$34,"")&amp;IF((AD102)=35,$BN$35,"")&amp;IF((AD102)=36,$BN$36,"")&amp;IF((AD102)=37,$BN$37,"")&amp;IF((AD102)=38,$BN$38,"")&amp;IF((AD102)=39,$BN$39,"")&amp;IF((AD102)=40,$BN$40,"")&amp;IF((AD102)=41,$BN$41,"")&amp;IF((AD102)=42,$BN$42,"")&amp;IF((AD102)=43,$BN$43,"")&amp;IF((AD102)=44,$BN$44,"")&amp;IF((AD102)=45,$BN$45,"")&amp;IF((AD102)=46,$BN$46,"")&amp;IF((AD102)=47,$BN$47,"")&amp;IF((AD102)=48,$BN$48,"")&amp;IF((AD102)=49,$BN$49,"")&amp;IF((AD102)=50,$BN$50,"")&amp;IF((AD102)=51,$BN$51,"")&amp;IF((AD102)=52,$BN$52,"")&amp;IF((AD102)=53,$BN$53,"")&amp;IF((AD102)=54,$BN$54,"")&amp;IF((AD102)=55,$BN$55,"")&amp;IF((AD102)=56,$BN$56,"")&amp;IF((AD102)=57,$BN$57,"")&amp;IF((AD102)=58,$BN$58,"")&amp;IF((AD102)=59,$BN$59,"")&amp;IF((AD102)=60,$BN$60,"")&amp;IF((AD102)=61,$BN$61,"")&amp;IF((AD102)=62,$BN$62,"")&amp;IF((AD102)=63,$BN$63,"")&amp;IF((AD102)=64,$BN$64,"")&amp;IF((AD102)=65,$BN$65,"")&amp;IF((AD102)=66,$BN$66,"")&amp;IF((AD102)=67,$BN$67,"")&amp;IF((AD102)=68,$BN$68,"")&amp;IF((AD102)=69,$BN$69,"")&amp;IF((AD102)=70,$BN$70,"")&amp;IF((AD102)=71,$BN$71,"")&amp;IF((AD102)=72,$BN$72,"")&amp;IF((AD102)=73,$BN$73,"")&amp;IF((AD102)=74,$BN$74,"")&amp;IF((AD102)=75,$BN$75,"")&amp;IF((AD102)=76,$BN$76,"")&amp;IF((AD102)=77,$BN$77,"")&amp;IF((AD102)=78,$BN$78,"")&amp;IF((AD102)=79,$BN$79,"")&amp;IF((AD102)=80,$BN$80,"")&amp;IF((AD102)=81,$BN$81,"")&amp;IF((AD102)=82,$BN$82,"")&amp;IF((AD102)=83,$BN$83,"")&amp;IF((AD102)=84,$BN$84,"")&amp;IF((AD102)=85,$BN$85,"")&amp;IF((AD102)=86,$BN$86,"")&amp;IF((AD102)=87,$BN$87,"")&amp;IF((AD102)=88,$BN$88,"")&amp;IF((AD102)=89,$BN$89,"")&amp;IF((AD102)=90,$BN$90,"")&amp;IF((AD102)=91,$BN$91,"")&amp;IF((AD102)=92,$BN$92,"")&amp;IF((AD102)=93,$BN$93,"")&amp;IF((AD102)=94,$BN$94,"")&amp;IF((AD102)=95,$BN$95,"")&amp;IF((AD102)=96,$BN$96,"")&amp;IF((AD102)=97,$BN$97,"")&amp;IF((AD102)=98,$BN$98,"")&amp;IF((AD102)=99,$BN$99,"")&amp;IF((AD102)=100,$BN$100,"")&amp;IF((AD102)=101,$BN$101,"")&amp;IF((AD102)=102,$BN$102,"")&amp;IF((AD102)=103,$BN$103,"")&amp;IF((AD102)=104,$BN$104,"")&amp;IF((AD102)=105,$BN$105,"")&amp;IF((AD102)=106,$BN$106,"")&amp;IF((AD102)=107,$BN$107,"")&amp;IF((AD102)=108,$BN$108,"")&amp;IF((AD102)=109,$BN$109,"")&amp;IF((AD102)=110,$BN$110,"")&amp;IF((AD102)=111,$BN$111,"")&amp;IF((AD102)=112,$BN$112,"")&amp;IF((AD102)=113,$BN$113,"")&amp;IF((AD102)=114,$BN$114,"")&amp;IF((AD102)=115,$BN$115,"")&amp;IF((AD102)=116,$BN$116,"")&amp;IF((AD102)=117,$BN$117,"")&amp;IF((AD102)=118,$BN$118,"")&amp;IF((AD102)=119,$BN$119,"")&amp;IF((AD102)=120,$BN$120,"")&amp;IF((AD102)=121,$BN$121,"")&amp;IF((AD102)=122,$BN$122,"")&amp;IF((AD102)=123,$BN$123,"")&amp;IF((AD102)=124,$BN$124,"")&amp;IF((AD102)=125,$BN$125,"")&amp;IF((AD102)=126,$BN$126,"")&amp;IF((AD102)=127,$BN$127,"")&amp;IF((AD102)=128,$BN$128,"")</f>
        <v>MARCO</v>
      </c>
      <c r="AE7" s="115"/>
      <c r="AF7" s="116"/>
      <c r="AG7" s="84" t="s">
        <v>54</v>
      </c>
      <c r="AH7" s="133" t="str">
        <f t="shared" ref="AH7:AH69" si="12">IF((AJ102)=1,$BM$1,"")&amp;IF((AJ102)=2,$BM$2,"")&amp;IF((AJ102)=3,$BM$3,"")&amp;IF((AJ102)=4,$BM$4,"")&amp;IF((AJ102)=5,$BM$5,"")&amp;IF((AJ102)=6,$BM$6,"")&amp;IF((AJ102)=7,$BM$7,"")&amp;IF((AJ102)=8,$BM$8,"")&amp;IF((AJ102)=9,$BM$9,"")&amp;IF((AJ102)=10,$BM$10,"")&amp;IF((AJ102)=11,$BM$11,"")&amp;IF((AJ102)=12,$BM$12,"")&amp;IF((AJ102)=13,$BM$13,"")&amp;IF((AJ102)=14,$BM$14,"")&amp;IF((AJ102)=15,$BM$15,"")&amp;IF((AJ102)=16,$BM$16,"")&amp;IF((AJ102)=17,$BM$17,"")&amp;IF((AJ102)=18,$BM$18,"")&amp;IF((AJ102)=19,$BM$19,"")&amp;IF((AJ102)=20,$BM$20,"")&amp;IF((AJ102)=21,$BM$21,"")&amp;IF((AJ102)=22,$BM$22,"")&amp;IF((AJ102)=23,$BM$23,"")&amp;IF((AJ102)=24,$BM$24,"")&amp;IF((AJ102)=25,$BM$25,"")&amp;IF((AJ102)=26,$BM$26,"")&amp;IF((AJ102)=27,$BM$27,"")&amp;IF((AJ102)=28,$BM$28,"")&amp;IF((AJ102)=29,$BM$29,"")&amp;IF((AJ102)=30,$BM$30,"")&amp;IF((AJ102)=31,$BM$31,"")&amp;IF((AJ102)=32,$BM$32,"")&amp;IF((AJ102)=33,$BM$33,"")&amp;IF((AJ102)=34,$BM$34,"")&amp;IF((AJ102)=35,$BM$35,"")&amp;IF((AJ102)=36,$BM$36,"")&amp;IF((AJ102)=37,$BM$37,"")&amp;IF((AJ102)=38,$BM$38,"")&amp;IF((AJ102)=39,$BM$39,"")&amp;IF((AJ102)=40,$BM$40,"")&amp;IF((AJ102)=41,$BM$41,"")&amp;IF((AJ102)=42,$BM$42,"")&amp;IF((AJ102)=43,$BM$43,"")&amp;IF((AJ102)=44,$BM$44,"")&amp;IF((AJ102)=45,$BM$45,"")&amp;IF((AJ102)=46,$BM$46,"")&amp;IF((AJ102)=47,$BM$47,"")&amp;IF((AJ102)=48,$BM$48,"")&amp;IF((AJ102)=49,$BM$49,"")&amp;IF((AJ102)=50,$BM$50,"")&amp;IF((AJ102)=51,$BM$51,"")&amp;IF((AJ102)=52,$BM$52,"")&amp;IF((AJ102)=53,$BM$53,"")&amp;IF((AJ102)=54,$BM$54,"")&amp;IF((AJ102)=55,$BM$55,"")&amp;IF((AJ102)=56,$BM$56,"")&amp;IF((AJ102)=57,$BM$57,"")&amp;IF((AJ102)=58,$BM$58,"")&amp;IF((AJ102)=59,$BM$59,"")&amp;IF((AJ102)=60,$BM$60,"")&amp;IF((AJ102)=61,$BM$61,"")&amp;IF((AJ102)=62,$BM$62,"")&amp;IF((AJ102)=63,$BM$63,"")&amp;IF((AJ102)=64,$BM$64,"")&amp;IF((AJ102)=65,$BM$65,"")&amp;IF((AJ102)=66,$BM$66,"")&amp;IF((AJ102)=67,$BM$67,"")&amp;IF((AJ102)=68,$BM$68,"")&amp;IF((AJ102)=69,$BM$69,"")&amp;IF((AJ102)=70,$BM$70,"")&amp;IF((AJ102)=71,$BM$71,"")&amp;IF((AJ102)=72,$BM$72,"")&amp;IF((AJ102)=73,$BM$73,"")&amp;IF((AJ102)=74,$BM$74,"")&amp;IF((AJ102)=75,$BM$75,"")&amp;IF((AJ102)=76,$BM$76,"")&amp;IF((AJ102)=77,$BM$77,"")&amp;IF((AJ102)=78,$BM$78,"")&amp;IF((AJ102)=79,$BM$79,"")&amp;IF((AJ102)=80,$BM$80,"")&amp;IF((AJ102)=81,$BM$81,"")&amp;IF((AJ102)=82,$BM$82,"")&amp;IF((AJ102)=83,$BM$83,"")&amp;IF((AJ102)=84,$BM$84,"")&amp;IF((AJ102)=85,$BM$85,"")&amp;IF((AJ102)=86,$BM$86,"")&amp;IF((AJ102)=87,$BM$87,"")&amp;IF((AJ102)=88,$BM$88,"")&amp;IF((AJ102)=89,$BM$89,"")&amp;IF((AJ102)=90,$BM$90,"")&amp;IF((AJ102)=91,$BM$91,"")&amp;IF((AJ102)=92,$BM$92,"")&amp;IF((AJ102)=93,$BM$93,"")&amp;IF((AJ102)=94,$BM$94,"")&amp;IF((AJ102)=95,$BM$95,"")&amp;IF((AJ102)=96,$BM$96,"")&amp;IF((AJ102)=97,$BM$97,"")&amp;IF((AJ102)=98,$BM$98,"")&amp;IF((AJ102)=99,$BM$99,"")&amp;IF((AJ102)=100,$BM$100,"")&amp;IF((AJ102)=101,$BM$101,"")&amp;IF((AJ102)=102,$BM$102,"")&amp;IF((AJ102)=103,$BM$103,"")&amp;IF((AJ102)=104,$BM$104,"")&amp;IF((AJ102)=105,$BM$105,"")&amp;IF((AJ102)=106,$BM$106,"")&amp;IF((AJ102)=107,$BM$107,"")&amp;IF((AJ102)=108,$BM$108,"")&amp;IF((AJ102)=109,$BM$109,"")&amp;IF((AJ102)=110,$BM$110,"")&amp;IF((AJ102)=111,$BM$111,"")&amp;IF((AJ102)=112,$BM$112,"")&amp;IF((AJ102)=113,$BM$113,"")&amp;IF((AJ102)=114,$BM$114,"")&amp;IF((AJ102)=115,$BM$115,"")&amp;IF((AJ102)=116,$BM$116,"")&amp;IF((AJ102)=117,$BM$117,"")&amp;IF((AJ102)=118,$BM$118,"")&amp;IF((AJ102)=119,$BM$119,"")&amp;IF((AJ102)=120,$BM$120,"")&amp;IF((AJ102)=121,$BM$121,"")&amp;IF((AJ102)=122,$BM$122,"")&amp;IF((AJ102)=123,$BM$123,"")&amp;IF((AJ102)=124,$BM$124,"")&amp;IF((AJ102)=125,$BM$125,"")&amp;IF((AJ102)=126,$BM$126,"")&amp;IF((AJ102)=127,$BM$127,"")&amp;IF((AJ102)=128,$BM$128,"")</f>
        <v>67</v>
      </c>
      <c r="AI7" s="85"/>
      <c r="AJ7" s="126" t="str">
        <f t="shared" ref="AJ7:AJ69" si="13">IF((AJ102)=1,$BN$1,"")&amp;IF((AJ102)=2,$BN$2,"")&amp;IF((AJ102)=3,$BN$3,"")&amp;IF((AJ102)=4,$BN$4,"")&amp;IF((AJ102)=5,$BN$5,"")&amp;IF((AJ102)=6,$BN$6,"")&amp;IF((AJ102)=7,$BN$7,"")&amp;IF((AJ102)=8,$BN$8,"")&amp;IF((AJ102)=9,$BN$9,"")&amp;IF((AJ102)=10,$BN$10,"")&amp;IF((AJ102)=11,$BN$11,"")&amp;IF((AJ102)=12,$BN$12,"")&amp;IF((AJ102)=13,$BN$13,"")&amp;IF((AJ102)=14,$BN$14,"")&amp;IF((AJ102)=15,$BN$15,"")&amp;IF((AJ102)=16,$BN$16,"")&amp;IF((AJ102)=17,$BN$17,"")&amp;IF((AJ102)=18,$BN$18,"")&amp;IF((AJ102)=19,$BN$19,"")&amp;IF((AJ102)=20,$BN$20,"")&amp;IF((AJ102)=21,$BN$21,"")&amp;IF((AJ102)=22,$BN$22,"")&amp;IF((AJ102)=23,$BN$23,"")&amp;IF((AJ102)=24,$BN$24,"")&amp;IF((AJ102)=25,$BN$25,"")&amp;IF((AJ102)=26,$BN$26,"")&amp;IF((AJ102)=27,$BN$27,"")&amp;IF((AJ102)=28,$BN$28,"")&amp;IF((AJ102)=29,$BN$29,"")&amp;IF((AJ102)=30,$BN$30,"")&amp;IF((AJ102)=31,$BN$31,"")&amp;IF((AJ102)=32,$BN$32,"")&amp;IF((AJ102)=33,$BN$33,"")&amp;IF((AJ102)=34,$BN$34,"")&amp;IF((AJ102)=35,$BN$35,"")&amp;IF((AJ102)=36,$BN$36,"")&amp;IF((AJ102)=37,$BN$37,"")&amp;IF((AJ102)=38,$BN$38,"")&amp;IF((AJ102)=39,$BN$39,"")&amp;IF((AJ102)=40,$BN$40,"")&amp;IF((AJ102)=41,$BN$41,"")&amp;IF((AJ102)=42,$BN$42,"")&amp;IF((AJ102)=43,$BN$43,"")&amp;IF((AJ102)=44,$BN$44,"")&amp;IF((AJ102)=45,$BN$45,"")&amp;IF((AJ102)=46,$BN$46,"")&amp;IF((AJ102)=47,$BN$47,"")&amp;IF((AJ102)=48,$BN$48,"")&amp;IF((AJ102)=49,$BN$49,"")&amp;IF((AJ102)=50,$BN$50,"")&amp;IF((AJ102)=51,$BN$51,"")&amp;IF((AJ102)=52,$BN$52,"")&amp;IF((AJ102)=53,$BN$53,"")&amp;IF((AJ102)=54,$BN$54,"")&amp;IF((AJ102)=55,$BN$55,"")&amp;IF((AJ102)=56,$BN$56,"")&amp;IF((AJ102)=57,$BN$57,"")&amp;IF((AJ102)=58,$BN$58,"")&amp;IF((AJ102)=59,$BN$59,"")&amp;IF((AJ102)=60,$BN$60,"")&amp;IF((AJ102)=61,$BN$61,"")&amp;IF((AJ102)=62,$BN$62,"")&amp;IF((AJ102)=63,$BN$63,"")&amp;IF((AJ102)=64,$BN$64,"")&amp;IF((AJ102)=65,$BN$65,"")&amp;IF((AJ102)=66,$BN$66,"")&amp;IF((AJ102)=67,$BN$67,"")&amp;IF((AJ102)=68,$BN$68,"")&amp;IF((AJ102)=69,$BN$69,"")&amp;IF((AJ102)=70,$BN$70,"")&amp;IF((AJ102)=71,$BN$71,"")&amp;IF((AJ102)=72,$BN$72,"")&amp;IF((AJ102)=73,$BN$73,"")&amp;IF((AJ102)=74,$BN$74,"")&amp;IF((AJ102)=75,$BN$75,"")&amp;IF((AJ102)=76,$BN$76,"")&amp;IF((AJ102)=77,$BN$77,"")&amp;IF((AJ102)=78,$BN$78,"")&amp;IF((AJ102)=79,$BN$79,"")&amp;IF((AJ102)=80,$BN$80,"")&amp;IF((AJ102)=81,$BN$81,"")&amp;IF((AJ102)=82,$BN$82,"")&amp;IF((AJ102)=83,$BN$83,"")&amp;IF((AJ102)=84,$BN$84,"")&amp;IF((AJ102)=85,$BN$85,"")&amp;IF((AJ102)=86,$BN$86,"")&amp;IF((AJ102)=87,$BN$87,"")&amp;IF((AJ102)=88,$BN$88,"")&amp;IF((AJ102)=89,$BN$89,"")&amp;IF((AJ102)=90,$BN$90,"")&amp;IF((AJ102)=91,$BN$91,"")&amp;IF((AJ102)=92,$BN$92,"")&amp;IF((AJ102)=93,$BN$93,"")&amp;IF((AJ102)=94,$BN$94,"")&amp;IF((AJ102)=95,$BN$95,"")&amp;IF((AJ102)=96,$BN$96,"")&amp;IF((AJ102)=97,$BN$97,"")&amp;IF((AJ102)=98,$BN$98,"")&amp;IF((AJ102)=99,$BN$99,"")&amp;IF((AJ102)=100,$BN$100,"")&amp;IF((AJ102)=101,$BN$101,"")&amp;IF((AJ102)=102,$BN$102,"")&amp;IF((AJ102)=103,$BN$103,"")&amp;IF((AJ102)=104,$BN$104,"")&amp;IF((AJ102)=105,$BN$105,"")&amp;IF((AJ102)=106,$BN$106,"")&amp;IF((AJ102)=107,$BN$107,"")&amp;IF((AJ102)=108,$BN$108,"")&amp;IF((AJ102)=109,$BN$109,"")&amp;IF((AJ102)=110,$BN$110,"")&amp;IF((AJ102)=111,$BN$111,"")&amp;IF((AJ102)=112,$BN$112,"")&amp;IF((AJ102)=113,$BN$113,"")&amp;IF((AJ102)=114,$BN$114,"")&amp;IF((AJ102)=115,$BN$115,"")&amp;IF((AJ102)=116,$BN$116,"")&amp;IF((AJ102)=117,$BN$117,"")&amp;IF((AJ102)=118,$BN$118,"")&amp;IF((AJ102)=119,$BN$119,"")&amp;IF((AJ102)=120,$BN$120,"")&amp;IF((AJ102)=121,$BN$121,"")&amp;IF((AJ102)=122,$BN$122,"")&amp;IF((AJ102)=123,$BN$123,"")&amp;IF((AJ102)=124,$BN$124,"")&amp;IF((AJ102)=125,$BN$125,"")&amp;IF((AJ102)=126,$BN$126,"")&amp;IF((AJ102)=127,$BN$127,"")&amp;IF((AJ102)=128,$BN$128,"")</f>
        <v>YVONNICK</v>
      </c>
      <c r="AK7" s="86" t="s">
        <v>54</v>
      </c>
      <c r="AL7" s="133" t="str">
        <f t="shared" ref="AL7:AL69" si="14">IF((AN102)=1,$BM$1,"")&amp;IF((AN102)=2,$BM$2,"")&amp;IF((AN102)=3,$BM$3,"")&amp;IF((AN102)=4,$BM$4,"")&amp;IF((AN102)=5,$BM$5,"")&amp;IF((AN102)=6,$BM$6,"")&amp;IF((AN102)=7,$BM$7,"")&amp;IF((AN102)=8,$BM$8,"")&amp;IF((AN102)=9,$BM$9,"")&amp;IF((AN102)=10,$BM$10,"")&amp;IF((AN102)=11,$BM$11,"")&amp;IF((AN102)=12,$BM$12,"")&amp;IF((AN102)=13,$BM$13,"")&amp;IF((AN102)=14,$BM$14,"")&amp;IF((AN102)=15,$BM$15,"")&amp;IF((AN102)=16,$BM$16,"")&amp;IF((AN102)=17,$BM$17,"")&amp;IF((AN102)=18,$BM$18,"")&amp;IF((AN102)=19,$BM$19,"")&amp;IF((AN102)=20,$BM$20,"")&amp;IF((AN102)=21,$BM$21,"")&amp;IF((AN102)=22,$BM$22,"")&amp;IF((AN102)=23,$BM$23,"")&amp;IF((AN102)=24,$BM$24,"")&amp;IF((AN102)=25,$BM$25,"")&amp;IF((AN102)=26,$BM$26,"")&amp;IF((AN102)=27,$BM$27,"")&amp;IF((AN102)=28,$BM$28,"")&amp;IF((AN102)=29,$BM$29,"")&amp;IF((AN102)=30,$BM$30,"")&amp;IF((AN102)=31,$BM$31,"")&amp;IF((AN102)=32,$BM$32,"")&amp;IF((AN102)=33,$BM$33,"")&amp;IF((AN102)=34,$BM$34,"")&amp;IF((AN102)=35,$BM$35,"")&amp;IF((AN102)=36,$BM$36,"")&amp;IF((AN102)=37,$BM$37,"")&amp;IF((AN102)=38,$BM$38,"")&amp;IF((AN102)=39,$BM$39,"")&amp;IF((AN102)=40,$BM$40,"")&amp;IF((AN102)=41,$BM$41,"")&amp;IF((AN102)=42,$BM$42,"")&amp;IF((AN102)=43,$BM$43,"")&amp;IF((AN102)=44,$BM$44,"")&amp;IF((AN102)=45,$BM$45,"")&amp;IF((AN102)=46,$BM$46,"")&amp;IF((AN102)=47,$BM$47,"")&amp;IF((AN102)=48,$BM$48,"")&amp;IF((AN102)=49,$BM$49,"")&amp;IF((AN102)=50,$BM$50,"")&amp;IF((AN102)=51,$BM$51,"")&amp;IF((AN102)=52,$BM$52,"")&amp;IF((AN102)=53,$BM$53,"")&amp;IF((AN102)=54,$BM$54,"")&amp;IF((AN102)=55,$BM$55,"")&amp;IF((AN102)=56,$BM$56,"")&amp;IF((AN102)=57,$BM$57,"")&amp;IF((AN102)=58,$BM$58,"")&amp;IF((AN102)=59,$BM$59,"")&amp;IF((AN102)=60,$BM$60,"")&amp;IF((AN102)=61,$BM$61,"")&amp;IF((AN102)=62,$BM$62,"")&amp;IF((AN102)=63,$BM$63,"")&amp;IF((AN102)=64,$BM$64,"")&amp;IF((AN102)=65,$BM$65,"")&amp;IF((AN102)=66,$BM$66,"")&amp;IF((AN102)=67,$BM$67,"")&amp;IF((AN102)=68,$BM$68,"")&amp;IF((AN102)=69,$BM$69,"")&amp;IF((AN102)=70,$BM$70,"")&amp;IF((AN102)=71,$BM$71,"")&amp;IF((AN102)=72,$BM$72,"")&amp;IF((AN102)=73,$BM$73,"")&amp;IF((AN102)=74,$BM$74,"")&amp;IF((AN102)=75,$BM$75,"")&amp;IF((AN102)=76,$BM$76,"")&amp;IF((AN102)=77,$BM$77,"")&amp;IF((AN102)=78,$BM$78,"")&amp;IF((AN102)=79,$BM$79,"")&amp;IF((AN102)=80,$BM$80,"")&amp;IF((AN102)=81,$BM$81,"")&amp;IF((AN102)=82,$BM$82,"")&amp;IF((AN102)=83,$BM$83,"")&amp;IF((AN102)=84,$BM$84,"")&amp;IF((AN102)=85,$BM$85,"")&amp;IF((AN102)=86,$BM$86,"")&amp;IF((AN102)=87,$BM$87,"")&amp;IF((AN102)=88,$BM$88,"")&amp;IF((AN102)=89,$BM$89,"")&amp;IF((AN102)=90,$BM$90,"")&amp;IF((AN102)=91,$BM$91,"")&amp;IF((AN102)=92,$BM$92,"")&amp;IF((AN102)=93,$BM$93,"")&amp;IF((AN102)=94,$BM$94,"")&amp;IF((AN102)=95,$BM$95,"")&amp;IF((AN102)=96,$BM$96,"")&amp;IF((AN102)=97,$BM$97,"")&amp;IF((AN102)=98,$BM$98,"")&amp;IF((AN102)=99,$BM$99,"")&amp;IF((AN102)=100,$BM$100,"")&amp;IF((AN102)=101,$BM$101,"")&amp;IF((AN102)=102,$BM$102,"")&amp;IF((AN102)=103,$BM$103,"")&amp;IF((AN102)=104,$BM$104,"")&amp;IF((AN102)=105,$BM$105,"")&amp;IF((AN102)=106,$BM$106,"")&amp;IF((AN102)=107,$BM$107,"")&amp;IF((AN102)=108,$BM$108,"")&amp;IF((AN102)=109,$BM$109,"")&amp;IF((AN102)=110,$BM$110,"")&amp;IF((AN102)=111,$BM$111,"")&amp;IF((AN102)=112,$BM$112,"")&amp;IF((AN102)=113,$BM$113,"")&amp;IF((AN102)=114,$BM$114,"")&amp;IF((AN102)=115,$BM$115,"")&amp;IF((AN102)=116,$BM$116,"")&amp;IF((AN102)=117,$BM$117,"")&amp;IF((AN102)=118,$BM$118,"")&amp;IF((AN102)=119,$BM$119,"")&amp;IF((AN102)=120,$BM$120,"")&amp;IF((AN102)=121,$BM$121,"")&amp;IF((AN102)=122,$BM$122,"")&amp;IF((AN102)=123,$BM$123,"")&amp;IF((AN102)=124,$BM$124,"")&amp;IF((AN102)=125,$BM$125,"")&amp;IF((AN102)=126,$BM$126,"")&amp;IF((AN102)=127,$BM$127,"")&amp;IF((AN102)=128,$BM$128,"")</f>
        <v>100</v>
      </c>
      <c r="AM7" s="87"/>
      <c r="AN7" s="126" t="str">
        <f t="shared" ref="AN7:AN69" si="15">IF((AN102)=1,$BN$1,"")&amp;IF((AN102)=2,$BN$2,"")&amp;IF((AN102)=3,$BN$3,"")&amp;IF((AN102)=4,$BN$4,"")&amp;IF((AN102)=5,$BN$5,"")&amp;IF((AN102)=6,$BN$6,"")&amp;IF((AN102)=7,$BN$7,"")&amp;IF((AN102)=8,$BN$8,"")&amp;IF((AN102)=9,$BN$9,"")&amp;IF((AN102)=10,$BN$10,"")&amp;IF((AN102)=11,$BN$11,"")&amp;IF((AN102)=12,$BN$12,"")&amp;IF((AN102)=13,$BN$13,"")&amp;IF((AN102)=14,$BN$14,"")&amp;IF((AN102)=15,$BN$15,"")&amp;IF((AN102)=16,$BN$16,"")&amp;IF((AN102)=17,$BN$17,"")&amp;IF((AN102)=18,$BN$18,"")&amp;IF((AN102)=19,$BN$19,"")&amp;IF((AN102)=20,$BN$20,"")&amp;IF((AN102)=21,$BN$21,"")&amp;IF((AN102)=22,$BN$22,"")&amp;IF((AN102)=23,$BN$23,"")&amp;IF((AN102)=24,$BN$24,"")&amp;IF((AN102)=25,$BN$25,"")&amp;IF((AN102)=26,$BN$26,"")&amp;IF((AN102)=27,$BN$27,"")&amp;IF((AN102)=28,$BN$28,"")&amp;IF((AN102)=29,$BN$29,"")&amp;IF((AN102)=30,$BN$30,"")&amp;IF((AN102)=31,$BN$31,"")&amp;IF((AN102)=32,$BN$32,"")&amp;IF((AN102)=33,$BN$33,"")&amp;IF((AN102)=34,$BN$34,"")&amp;IF((AN102)=35,$BN$35,"")&amp;IF((AN102)=36,$BN$36,"")&amp;IF((AN102)=37,$BN$37,"")&amp;IF((AN102)=38,$BN$38,"")&amp;IF((AN102)=39,$BN$39,"")&amp;IF((AN102)=40,$BN$40,"")&amp;IF((AN102)=41,$BN$41,"")&amp;IF((AN102)=42,$BN$42,"")&amp;IF((AN102)=43,$BN$43,"")&amp;IF((AN102)=44,$BN$44,"")&amp;IF((AN102)=45,$BN$45,"")&amp;IF((AN102)=46,$BN$46,"")&amp;IF((AN102)=47,$BN$47,"")&amp;IF((AN102)=48,$BN$48,"")&amp;IF((AN102)=49,$BN$49,"")&amp;IF((AN102)=50,$BN$50,"")&amp;IF((AN102)=51,$BN$51,"")&amp;IF((AN102)=52,$BN$52,"")&amp;IF((AN102)=53,$BN$53,"")&amp;IF((AN102)=54,$BN$54,"")&amp;IF((AN102)=55,$BN$55,"")&amp;IF((AN102)=56,$BN$56,"")&amp;IF((AN102)=57,$BN$57,"")&amp;IF((AN102)=58,$BN$58,"")&amp;IF((AN102)=59,$BN$59,"")&amp;IF((AN102)=60,$BN$60,"")&amp;IF((AN102)=61,$BN$61,"")&amp;IF((AN102)=62,$BN$62,"")&amp;IF((AN102)=63,$BN$63,"")&amp;IF((AN102)=64,$BN$64,"")&amp;IF((AN102)=65,$BN$65,"")&amp;IF((AN102)=66,$BN$66,"")&amp;IF((AN102)=67,$BN$67,"")&amp;IF((AN102)=68,$BN$68,"")&amp;IF((AN102)=69,$BN$69,"")&amp;IF((AN102)=70,$BN$70,"")&amp;IF((AN102)=71,$BN$71,"")&amp;IF((AN102)=72,$BN$72,"")&amp;IF((AN102)=73,$BN$73,"")&amp;IF((AN102)=74,$BN$74,"")&amp;IF((AN102)=75,$BN$75,"")&amp;IF((AN102)=76,$BN$76,"")&amp;IF((AN102)=77,$BN$77,"")&amp;IF((AN102)=78,$BN$78,"")&amp;IF((AN102)=79,$BN$79,"")&amp;IF((AN102)=80,$BN$80,"")&amp;IF((AN102)=81,$BN$81,"")&amp;IF((AN102)=82,$BN$82,"")&amp;IF((AN102)=83,$BN$83,"")&amp;IF((AN102)=84,$BN$84,"")&amp;IF((AN102)=85,$BN$85,"")&amp;IF((AN102)=86,$BN$86,"")&amp;IF((AN102)=87,$BN$87,"")&amp;IF((AN102)=88,$BN$88,"")&amp;IF((AN102)=89,$BN$89,"")&amp;IF((AN102)=90,$BN$90,"")&amp;IF((AN102)=91,$BN$91,"")&amp;IF((AN102)=92,$BN$92,"")&amp;IF((AN102)=93,$BN$93,"")&amp;IF((AN102)=94,$BN$94,"")&amp;IF((AN102)=95,$BN$95,"")&amp;IF((AN102)=96,$BN$96,"")&amp;IF((AN102)=97,$BN$97,"")&amp;IF((AN102)=98,$BN$98,"")&amp;IF((AN102)=99,$BN$99,"")&amp;IF((AN102)=100,$BN$100,"")&amp;IF((AN102)=101,$BN$101,"")&amp;IF((AN102)=102,$BN$102,"")&amp;IF((AN102)=103,$BN$103,"")&amp;IF((AN102)=104,$BN$104,"")&amp;IF((AN102)=105,$BN$105,"")&amp;IF((AN102)=106,$BN$106,"")&amp;IF((AN102)=107,$BN$107,"")&amp;IF((AN102)=108,$BN$108,"")&amp;IF((AN102)=109,$BN$109,"")&amp;IF((AN102)=110,$BN$110,"")&amp;IF((AN102)=111,$BN$111,"")&amp;IF((AN102)=112,$BN$112,"")&amp;IF((AN102)=113,$BN$113,"")&amp;IF((AN102)=114,$BN$114,"")&amp;IF((AN102)=115,$BN$115,"")&amp;IF((AN102)=116,$BN$116,"")&amp;IF((AN102)=117,$BN$117,"")&amp;IF((AN102)=118,$BN$118,"")&amp;IF((AN102)=119,$BN$119,"")&amp;IF((AN102)=120,$BN$120,"")&amp;IF((AN102)=121,$BN$121,"")&amp;IF((AN102)=122,$BN$122,"")&amp;IF((AN102)=123,$BN$123,"")&amp;IF((AN102)=124,$BN$124,"")&amp;IF((AN102)=125,$BN$125,"")&amp;IF((AN102)=126,$BN$126,"")&amp;IF((AN102)=127,$BN$127,"")&amp;IF((AN102)=128,$BN$128,"")</f>
        <v>CONSTANTIN</v>
      </c>
      <c r="AO7" s="117"/>
      <c r="AP7" s="118"/>
      <c r="AQ7" s="88" t="s">
        <v>54</v>
      </c>
      <c r="AR7" s="134" t="str">
        <f t="shared" ref="AR7:AR69" si="16">IF((AT102)=1,$BM$1,"")&amp;IF((AT102)=2,$BM$2,"")&amp;IF((AT102)=3,$BM$3,"")&amp;IF((AT102)=4,$BM$4,"")&amp;IF((AT102)=5,$BM$5,"")&amp;IF((AT102)=6,$BM$6,"")&amp;IF((AT102)=7,$BM$7,"")&amp;IF((AT102)=8,$BM$8,"")&amp;IF((AT102)=9,$BM$9,"")&amp;IF((AT102)=10,$BM$10,"")&amp;IF((AT102)=11,$BM$11,"")&amp;IF((AT102)=12,$BM$12,"")&amp;IF((AT102)=13,$BM$13,"")&amp;IF((AT102)=14,$BM$14,"")&amp;IF((AT102)=15,$BM$15,"")&amp;IF((AT102)=16,$BM$16,"")&amp;IF((AT102)=17,$BM$17,"")&amp;IF((AT102)=18,$BM$18,"")&amp;IF((AT102)=19,$BM$19,"")&amp;IF((AT102)=20,$BM$20,"")&amp;IF((AT102)=21,$BM$21,"")&amp;IF((AT102)=22,$BM$22,"")&amp;IF((AT102)=23,$BM$23,"")&amp;IF((AT102)=24,$BM$24,"")&amp;IF((AT102)=25,$BM$25,"")&amp;IF((AT102)=26,$BM$26,"")&amp;IF((AT102)=27,$BM$27,"")&amp;IF((AT102)=28,$BM$28,"")&amp;IF((AT102)=29,$BM$29,"")&amp;IF((AT102)=30,$BM$30,"")&amp;IF((AT102)=31,$BM$31,"")&amp;IF((AT102)=32,$BM$32,"")&amp;IF((AT102)=33,$BM$33,"")&amp;IF((AT102)=34,$BM$34,"")&amp;IF((AT102)=35,$BM$35,"")&amp;IF((AT102)=36,$BM$36,"")&amp;IF((AT102)=37,$BM$37,"")&amp;IF((AT102)=38,$BM$38,"")&amp;IF((AT102)=39,$BM$39,"")&amp;IF((AT102)=40,$BM$40,"")&amp;IF((AT102)=41,$BM$41,"")&amp;IF((AT102)=42,$BM$42,"")&amp;IF((AT102)=43,$BM$43,"")&amp;IF((AT102)=44,$BM$44,"")&amp;IF((AT102)=45,$BM$45,"")&amp;IF((AT102)=46,$BM$46,"")&amp;IF((AT102)=47,$BM$47,"")&amp;IF((AT102)=48,$BM$48,"")&amp;IF((AT102)=49,$BM$49,"")&amp;IF((AT102)=50,$BM$50,"")&amp;IF((AT102)=51,$BM$51,"")&amp;IF((AT102)=52,$BM$52,"")&amp;IF((AT102)=53,$BM$53,"")&amp;IF((AT102)=54,$BM$54,"")&amp;IF((AT102)=55,$BM$55,"")&amp;IF((AT102)=56,$BM$56,"")&amp;IF((AT102)=57,$BM$57,"")&amp;IF((AT102)=58,$BM$58,"")&amp;IF((AT102)=59,$BM$59,"")&amp;IF((AT102)=60,$BM$60,"")&amp;IF((AT102)=61,$BM$61,"")&amp;IF((AT102)=62,$BM$62,"")&amp;IF((AT102)=63,$BM$63,"")&amp;IF((AT102)=64,$BM$64,"")&amp;IF((AT102)=65,$BM$65,"")&amp;IF((AT102)=66,$BM$66,"")&amp;IF((AT102)=67,$BM$67,"")&amp;IF((AT102)=68,$BM$68,"")&amp;IF((AT102)=69,$BM$69,"")&amp;IF((AT102)=70,$BM$70,"")&amp;IF((AT102)=71,$BM$71,"")&amp;IF((AT102)=72,$BM$72,"")&amp;IF((AT102)=73,$BM$73,"")&amp;IF((AT102)=74,$BM$74,"")&amp;IF((AT102)=75,$BM$75,"")&amp;IF((AT102)=76,$BM$76,"")&amp;IF((AT102)=77,$BM$77,"")&amp;IF((AT102)=78,$BM$78,"")&amp;IF((AT102)=79,$BM$79,"")&amp;IF((AT102)=80,$BM$80,"")&amp;IF((AT102)=81,$BM$81,"")&amp;IF((AT102)=82,$BM$82,"")&amp;IF((AT102)=83,$BM$83,"")&amp;IF((AT102)=84,$BM$84,"")&amp;IF((AT102)=85,$BM$85,"")&amp;IF((AT102)=86,$BM$86,"")&amp;IF((AT102)=87,$BM$87,"")&amp;IF((AT102)=88,$BM$88,"")&amp;IF((AT102)=89,$BM$89,"")&amp;IF((AT102)=90,$BM$90,"")&amp;IF((AT102)=91,$BM$91,"")&amp;IF((AT102)=92,$BM$92,"")&amp;IF((AT102)=93,$BM$93,"")&amp;IF((AT102)=94,$BM$94,"")&amp;IF((AT102)=95,$BM$95,"")&amp;IF((AT102)=96,$BM$96,"")&amp;IF((AT102)=97,$BM$97,"")&amp;IF((AT102)=98,$BM$98,"")&amp;IF((AT102)=99,$BM$99,"")&amp;IF((AT102)=100,$BM$100,"")&amp;IF((AT102)=101,$BM$101,"")&amp;IF((AT102)=102,$BM$102,"")&amp;IF((AT102)=103,$BM$103,"")&amp;IF((AT102)=104,$BM$104,"")&amp;IF((AT102)=105,$BM$105,"")&amp;IF((AT102)=106,$BM$106,"")&amp;IF((AT102)=107,$BM$107,"")&amp;IF((AT102)=108,$BM$108,"")&amp;IF((AT102)=109,$BM$109,"")&amp;IF((AT102)=110,$BM$110,"")&amp;IF((AT102)=111,$BM$111,"")&amp;IF((AT102)=112,$BM$112,"")&amp;IF((AT102)=113,$BM$113,"")&amp;IF((AT102)=114,$BM$114,"")&amp;IF((AT102)=115,$BM$115,"")&amp;IF((AT102)=116,$BM$116,"")&amp;IF((AT102)=117,$BM$117,"")&amp;IF((AT102)=118,$BM$118,"")&amp;IF((AT102)=119,$BM$119,"")&amp;IF((AT102)=120,$BM$120,"")&amp;IF((AT102)=121,$BM$121,"")&amp;IF((AT102)=122,$BM$122,"")&amp;IF((AT102)=123,$BM$123,"")&amp;IF((AT102)=124,$BM$124,"")&amp;IF((AT102)=125,$BM$125,"")&amp;IF((AT102)=126,$BM$126,"")&amp;IF((AT102)=127,$BM$127,"")&amp;IF((AT102)=128,$BM$128,"")</f>
        <v>44</v>
      </c>
      <c r="AS7" s="89"/>
      <c r="AT7" s="124" t="str">
        <f t="shared" ref="AT7:AT69" si="17">IF((AT102)=1,$BN$1,"")&amp;IF((AT102)=2,$BN$2,"")&amp;IF((AT102)=3,$BN$3,"")&amp;IF((AT102)=4,$BN$4,"")&amp;IF((AT102)=5,$BN$5,"")&amp;IF((AT102)=6,$BN$6,"")&amp;IF((AT102)=7,$BN$7,"")&amp;IF((AT102)=8,$BN$8,"")&amp;IF((AT102)=9,$BN$9,"")&amp;IF((AT102)=10,$BN$10,"")&amp;IF((AT102)=11,$BN$11,"")&amp;IF((AT102)=12,$BN$12,"")&amp;IF((AT102)=13,$BN$13,"")&amp;IF((AT102)=14,$BN$14,"")&amp;IF((AT102)=15,$BN$15,"")&amp;IF((AT102)=16,$BN$16,"")&amp;IF((AT102)=17,$BN$17,"")&amp;IF((AT102)=18,$BN$18,"")&amp;IF((AT102)=19,$BN$19,"")&amp;IF((AT102)=20,$BN$20,"")&amp;IF((AT102)=21,$BN$21,"")&amp;IF((AT102)=22,$BN$22,"")&amp;IF((AT102)=23,$BN$23,"")&amp;IF((AT102)=24,$BN$24,"")&amp;IF((AT102)=25,$BN$25,"")&amp;IF((AT102)=26,$BN$26,"")&amp;IF((AT102)=27,$BN$27,"")&amp;IF((AT102)=28,$BN$28,"")&amp;IF((AT102)=29,$BN$29,"")&amp;IF((AT102)=30,$BN$30,"")&amp;IF((AT102)=31,$BN$31,"")&amp;IF((AT102)=32,$BN$32,"")&amp;IF((AT102)=33,$BN$33,"")&amp;IF((AT102)=34,$BN$34,"")&amp;IF((AT102)=35,$BN$35,"")&amp;IF((AT102)=36,$BN$36,"")&amp;IF((AT102)=37,$BN$37,"")&amp;IF((AT102)=38,$BN$38,"")&amp;IF((AT102)=39,$BN$39,"")&amp;IF((AT102)=40,$BN$40,"")&amp;IF((AT102)=41,$BN$41,"")&amp;IF((AT102)=42,$BN$42,"")&amp;IF((AT102)=43,$BN$43,"")&amp;IF((AT102)=44,$BN$44,"")&amp;IF((AT102)=45,$BN$45,"")&amp;IF((AT102)=46,$BN$46,"")&amp;IF((AT102)=47,$BN$47,"")&amp;IF((AT102)=48,$BN$48,"")&amp;IF((AT102)=49,$BN$49,"")&amp;IF((AT102)=50,$BN$50,"")&amp;IF((AT102)=51,$BN$51,"")&amp;IF((AT102)=52,$BN$52,"")&amp;IF((AT102)=53,$BN$53,"")&amp;IF((AT102)=54,$BN$54,"")&amp;IF((AT102)=55,$BN$55,"")&amp;IF((AT102)=56,$BN$56,"")&amp;IF((AT102)=57,$BN$57,"")&amp;IF((AT102)=58,$BN$58,"")&amp;IF((AT102)=59,$BN$59,"")&amp;IF((AT102)=60,$BN$60,"")&amp;IF((AT102)=61,$BN$61,"")&amp;IF((AT102)=62,$BN$62,"")&amp;IF((AT102)=63,$BN$63,"")&amp;IF((AT102)=64,$BN$64,"")&amp;IF((AT102)=65,$BN$65,"")&amp;IF((AT102)=66,$BN$66,"")&amp;IF((AT102)=67,$BN$67,"")&amp;IF((AT102)=68,$BN$68,"")&amp;IF((AT102)=69,$BN$69,"")&amp;IF((AT102)=70,$BN$70,"")&amp;IF((AT102)=71,$BN$71,"")&amp;IF((AT102)=72,$BN$72,"")&amp;IF((AT102)=73,$BN$73,"")&amp;IF((AT102)=74,$BN$74,"")&amp;IF((AT102)=75,$BN$75,"")&amp;IF((AT102)=76,$BN$76,"")&amp;IF((AT102)=77,$BN$77,"")&amp;IF((AT102)=78,$BN$78,"")&amp;IF((AT102)=79,$BN$79,"")&amp;IF((AT102)=80,$BN$80,"")&amp;IF((AT102)=81,$BN$81,"")&amp;IF((AT102)=82,$BN$82,"")&amp;IF((AT102)=83,$BN$83,"")&amp;IF((AT102)=84,$BN$84,"")&amp;IF((AT102)=85,$BN$85,"")&amp;IF((AT102)=86,$BN$86,"")&amp;IF((AT102)=87,$BN$87,"")&amp;IF((AT102)=88,$BN$88,"")&amp;IF((AT102)=89,$BN$89,"")&amp;IF((AT102)=90,$BN$90,"")&amp;IF((AT102)=91,$BN$91,"")&amp;IF((AT102)=92,$BN$92,"")&amp;IF((AT102)=93,$BN$93,"")&amp;IF((AT102)=94,$BN$94,"")&amp;IF((AT102)=95,$BN$95,"")&amp;IF((AT102)=96,$BN$96,"")&amp;IF((AT102)=97,$BN$97,"")&amp;IF((AT102)=98,$BN$98,"")&amp;IF((AT102)=99,$BN$99,"")&amp;IF((AT102)=100,$BN$100,"")&amp;IF((AT102)=101,$BN$101,"")&amp;IF((AT102)=102,$BN$102,"")&amp;IF((AT102)=103,$BN$103,"")&amp;IF((AT102)=104,$BN$104,"")&amp;IF((AT102)=105,$BN$105,"")&amp;IF((AT102)=106,$BN$106,"")&amp;IF((AT102)=107,$BN$107,"")&amp;IF((AT102)=108,$BN$108,"")&amp;IF((AT102)=109,$BN$109,"")&amp;IF((AT102)=110,$BN$110,"")&amp;IF((AT102)=111,$BN$111,"")&amp;IF((AT102)=112,$BN$112,"")&amp;IF((AT102)=113,$BN$113,"")&amp;IF((AT102)=114,$BN$114,"")&amp;IF((AT102)=115,$BN$115,"")&amp;IF((AT102)=116,$BN$116,"")&amp;IF((AT102)=117,$BN$117,"")&amp;IF((AT102)=118,$BN$118,"")&amp;IF((AT102)=119,$BN$119,"")&amp;IF((AT102)=120,$BN$120,"")&amp;IF((AT102)=121,$BN$121,"")&amp;IF((AT102)=122,$BN$122,"")&amp;IF((AT102)=123,$BN$123,"")&amp;IF((AT102)=124,$BN$124,"")&amp;IF((AT102)=125,$BN$125,"")&amp;IF((AT102)=126,$BN$126,"")&amp;IF((AT102)=127,$BN$127,"")&amp;IF((AT102)=128,$BN$128,"")</f>
        <v>GUY JEAN</v>
      </c>
      <c r="AU7" s="90" t="s">
        <v>54</v>
      </c>
      <c r="AV7" s="134" t="str">
        <f t="shared" ref="AV7:AV69" si="18">IF((AX102)=1,$BM$1,"")&amp;IF((AX102)=2,$BM$2,"")&amp;IF((AX102)=3,$BM$3,"")&amp;IF((AX102)=4,$BM$4,"")&amp;IF((AX102)=5,$BM$5,"")&amp;IF((AX102)=6,$BM$6,"")&amp;IF((AX102)=7,$BM$7,"")&amp;IF((AX102)=8,$BM$8,"")&amp;IF((AX102)=9,$BM$9,"")&amp;IF((AX102)=10,$BM$10,"")&amp;IF((AX102)=11,$BM$11,"")&amp;IF((AX102)=12,$BM$12,"")&amp;IF((AX102)=13,$BM$13,"")&amp;IF((AX102)=14,$BM$14,"")&amp;IF((AX102)=15,$BM$15,"")&amp;IF((AX102)=16,$BM$16,"")&amp;IF((AX102)=17,$BM$17,"")&amp;IF((AX102)=18,$BM$18,"")&amp;IF((AX102)=19,$BM$19,"")&amp;IF((AX102)=20,$BM$20,"")&amp;IF((AX102)=21,$BM$21,"")&amp;IF((AX102)=22,$BM$22,"")&amp;IF((AX102)=23,$BM$23,"")&amp;IF((AX102)=24,$BM$24,"")&amp;IF((AX102)=25,$BM$25,"")&amp;IF((AX102)=26,$BM$26,"")&amp;IF((AX102)=27,$BM$27,"")&amp;IF((AX102)=28,$BM$28,"")&amp;IF((AX102)=29,$BM$29,"")&amp;IF((AX102)=30,$BM$30,"")&amp;IF((AX102)=31,$BM$31,"")&amp;IF((AX102)=32,$BM$32,"")&amp;IF((AX102)=33,$BM$33,"")&amp;IF((AX102)=34,$BM$34,"")&amp;IF((AX102)=35,$BM$35,"")&amp;IF((AX102)=36,$BM$36,"")&amp;IF((AX102)=37,$BM$37,"")&amp;IF((AX102)=38,$BM$38,"")&amp;IF((AX102)=39,$BM$39,"")&amp;IF((AX102)=40,$BM$40,"")&amp;IF((AX102)=41,$BM$41,"")&amp;IF((AX102)=42,$BM$42,"")&amp;IF((AX102)=43,$BM$43,"")&amp;IF((AX102)=44,$BM$44,"")&amp;IF((AX102)=45,$BM$45,"")&amp;IF((AX102)=46,$BM$46,"")&amp;IF((AX102)=47,$BM$47,"")&amp;IF((AX102)=48,$BM$48,"")&amp;IF((AX102)=49,$BM$49,"")&amp;IF((AX102)=50,$BM$50,"")&amp;IF((AX102)=51,$BM$51,"")&amp;IF((AX102)=52,$BM$52,"")&amp;IF((AX102)=53,$BM$53,"")&amp;IF((AX102)=54,$BM$54,"")&amp;IF((AX102)=55,$BM$55,"")&amp;IF((AX102)=56,$BM$56,"")&amp;IF((AX102)=57,$BM$57,"")&amp;IF((AX102)=58,$BM$58,"")&amp;IF((AX102)=59,$BM$59,"")&amp;IF((AX102)=60,$BM$60,"")&amp;IF((AX102)=61,$BM$61,"")&amp;IF((AX102)=62,$BM$62,"")&amp;IF((AX102)=63,$BM$63,"")&amp;IF((AX102)=64,$BM$64,"")&amp;IF((AX102)=65,$BM$65,"")&amp;IF((AX102)=66,$BM$66,"")&amp;IF((AX102)=67,$BM$67,"")&amp;IF((AX102)=68,$BM$68,"")&amp;IF((AX102)=69,$BM$69,"")&amp;IF((AX102)=70,$BM$70,"")&amp;IF((AX102)=71,$BM$71,"")&amp;IF((AX102)=72,$BM$72,"")&amp;IF((AX102)=73,$BM$73,"")&amp;IF((AX102)=74,$BM$74,"")&amp;IF((AX102)=75,$BM$75,"")&amp;IF((AX102)=76,$BM$76,"")&amp;IF((AX102)=77,$BM$77,"")&amp;IF((AX102)=78,$BM$78,"")&amp;IF((AX102)=79,$BM$79,"")&amp;IF((AX102)=80,$BM$80,"")&amp;IF((AX102)=81,$BM$81,"")&amp;IF((AX102)=82,$BM$82,"")&amp;IF((AX102)=83,$BM$83,"")&amp;IF((AX102)=84,$BM$84,"")&amp;IF((AX102)=85,$BM$85,"")&amp;IF((AX102)=86,$BM$86,"")&amp;IF((AX102)=87,$BM$87,"")&amp;IF((AX102)=88,$BM$88,"")&amp;IF((AX102)=89,$BM$89,"")&amp;IF((AX102)=90,$BM$90,"")&amp;IF((AX102)=91,$BM$91,"")&amp;IF((AX102)=92,$BM$92,"")&amp;IF((AX102)=93,$BM$93,"")&amp;IF((AX102)=94,$BM$94,"")&amp;IF((AX102)=95,$BM$95,"")&amp;IF((AX102)=96,$BM$96,"")&amp;IF((AX102)=97,$BM$97,"")&amp;IF((AX102)=98,$BM$98,"")&amp;IF((AX102)=99,$BM$99,"")&amp;IF((AX102)=100,$BM$100,"")&amp;IF((AX102)=101,$BM$101,"")&amp;IF((AX102)=102,$BM$102,"")&amp;IF((AX102)=103,$BM$103,"")&amp;IF((AX102)=104,$BM$104,"")&amp;IF((AX102)=105,$BM$105,"")&amp;IF((AX102)=106,$BM$106,"")&amp;IF((AX102)=107,$BM$107,"")&amp;IF((AX102)=108,$BM$108,"")&amp;IF((AX102)=109,$BM$109,"")&amp;IF((AX102)=110,$BM$110,"")&amp;IF((AX102)=111,$BM$111,"")&amp;IF((AX102)=112,$BM$112,"")&amp;IF((AX102)=113,$BM$113,"")&amp;IF((AX102)=114,$BM$114,"")&amp;IF((AX102)=115,$BM$115,"")&amp;IF((AX102)=116,$BM$116,"")&amp;IF((AX102)=117,$BM$117,"")&amp;IF((AX102)=118,$BM$118,"")&amp;IF((AX102)=119,$BM$119,"")&amp;IF((AX102)=120,$BM$120,"")&amp;IF((AX102)=121,$BM$121,"")&amp;IF((AX102)=122,$BM$122,"")&amp;IF((AX102)=123,$BM$123,"")&amp;IF((AX102)=124,$BM$124,"")&amp;IF((AX102)=125,$BM$125,"")&amp;IF((AX102)=126,$BM$126,"")&amp;IF((AX102)=127,$BM$127,"")&amp;IF((AX102)=128,$BM$128,"")</f>
        <v>103</v>
      </c>
      <c r="AW7" s="91"/>
      <c r="AX7" s="124" t="str">
        <f t="shared" ref="AX7:AX69" si="19">IF((AX102)=1,$BN$1,"")&amp;IF((AX102)=2,$BN$2,"")&amp;IF((AX102)=3,$BN$3,"")&amp;IF((AX102)=4,$BN$4,"")&amp;IF((AX102)=5,$BN$5,"")&amp;IF((AX102)=6,$BN$6,"")&amp;IF((AX102)=7,$BN$7,"")&amp;IF((AX102)=8,$BN$8,"")&amp;IF((AX102)=9,$BN$9,"")&amp;IF((AX102)=10,$BN$10,"")&amp;IF((AX102)=11,$BN$11,"")&amp;IF((AX102)=12,$BN$12,"")&amp;IF((AX102)=13,$BN$13,"")&amp;IF((AX102)=14,$BN$14,"")&amp;IF((AX102)=15,$BN$15,"")&amp;IF((AX102)=16,$BN$16,"")&amp;IF((AX102)=17,$BN$17,"")&amp;IF((AX102)=18,$BN$18,"")&amp;IF((AX102)=19,$BN$19,"")&amp;IF((AX102)=20,$BN$20,"")&amp;IF((AX102)=21,$BN$21,"")&amp;IF((AX102)=22,$BN$22,"")&amp;IF((AX102)=23,$BN$23,"")&amp;IF((AX102)=24,$BN$24,"")&amp;IF((AX102)=25,$BN$25,"")&amp;IF((AX102)=26,$BN$26,"")&amp;IF((AX102)=27,$BN$27,"")&amp;IF((AX102)=28,$BN$28,"")&amp;IF((AX102)=29,$BN$29,"")&amp;IF((AX102)=30,$BN$30,"")&amp;IF((AX102)=31,$BN$31,"")&amp;IF((AX102)=32,$BN$32,"")&amp;IF((AX102)=33,$BN$33,"")&amp;IF((AX102)=34,$BN$34,"")&amp;IF((AX102)=35,$BN$35,"")&amp;IF((AX102)=36,$BN$36,"")&amp;IF((AX102)=37,$BN$37,"")&amp;IF((AX102)=38,$BN$38,"")&amp;IF((AX102)=39,$BN$39,"")&amp;IF((AX102)=40,$BN$40,"")&amp;IF((AX102)=41,$BN$41,"")&amp;IF((AX102)=42,$BN$42,"")&amp;IF((AX102)=43,$BN$43,"")&amp;IF((AX102)=44,$BN$44,"")&amp;IF((AX102)=45,$BN$45,"")&amp;IF((AX102)=46,$BN$46,"")&amp;IF((AX102)=47,$BN$47,"")&amp;IF((AX102)=48,$BN$48,"")&amp;IF((AX102)=49,$BN$49,"")&amp;IF((AX102)=50,$BN$50,"")&amp;IF((AX102)=51,$BN$51,"")&amp;IF((AX102)=52,$BN$52,"")&amp;IF((AX102)=53,$BN$53,"")&amp;IF((AX102)=54,$BN$54,"")&amp;IF((AX102)=55,$BN$55,"")&amp;IF((AX102)=56,$BN$56,"")&amp;IF((AX102)=57,$BN$57,"")&amp;IF((AX102)=58,$BN$58,"")&amp;IF((AX102)=59,$BN$59,"")&amp;IF((AX102)=60,$BN$60,"")&amp;IF((AX102)=61,$BN$61,"")&amp;IF((AX102)=62,$BN$62,"")&amp;IF((AX102)=63,$BN$63,"")&amp;IF((AX102)=64,$BN$64,"")&amp;IF((AX102)=65,$BN$65,"")&amp;IF((AX102)=66,$BN$66,"")&amp;IF((AX102)=67,$BN$67,"")&amp;IF((AX102)=68,$BN$68,"")&amp;IF((AX102)=69,$BN$69,"")&amp;IF((AX102)=70,$BN$70,"")&amp;IF((AX102)=71,$BN$71,"")&amp;IF((AX102)=72,$BN$72,"")&amp;IF((AX102)=73,$BN$73,"")&amp;IF((AX102)=74,$BN$74,"")&amp;IF((AX102)=75,$BN$75,"")&amp;IF((AX102)=76,$BN$76,"")&amp;IF((AX102)=77,$BN$77,"")&amp;IF((AX102)=78,$BN$78,"")&amp;IF((AX102)=79,$BN$79,"")&amp;IF((AX102)=80,$BN$80,"")&amp;IF((AX102)=81,$BN$81,"")&amp;IF((AX102)=82,$BN$82,"")&amp;IF((AX102)=83,$BN$83,"")&amp;IF((AX102)=84,$BN$84,"")&amp;IF((AX102)=85,$BN$85,"")&amp;IF((AX102)=86,$BN$86,"")&amp;IF((AX102)=87,$BN$87,"")&amp;IF((AX102)=88,$BN$88,"")&amp;IF((AX102)=89,$BN$89,"")&amp;IF((AX102)=90,$BN$90,"")&amp;IF((AX102)=91,$BN$91,"")&amp;IF((AX102)=92,$BN$92,"")&amp;IF((AX102)=93,$BN$93,"")&amp;IF((AX102)=94,$BN$94,"")&amp;IF((AX102)=95,$BN$95,"")&amp;IF((AX102)=96,$BN$96,"")&amp;IF((AX102)=97,$BN$97,"")&amp;IF((AX102)=98,$BN$98,"")&amp;IF((AX102)=99,$BN$99,"")&amp;IF((AX102)=100,$BN$100,"")&amp;IF((AX102)=101,$BN$101,"")&amp;IF((AX102)=102,$BN$102,"")&amp;IF((AX102)=103,$BN$103,"")&amp;IF((AX102)=104,$BN$104,"")&amp;IF((AX102)=105,$BN$105,"")&amp;IF((AX102)=106,$BN$106,"")&amp;IF((AX102)=107,$BN$107,"")&amp;IF((AX102)=108,$BN$108,"")&amp;IF((AX102)=109,$BN$109,"")&amp;IF((AX102)=110,$BN$110,"")&amp;IF((AX102)=111,$BN$111,"")&amp;IF((AX102)=112,$BN$112,"")&amp;IF((AX102)=113,$BN$113,"")&amp;IF((AX102)=114,$BN$114,"")&amp;IF((AX102)=115,$BN$115,"")&amp;IF((AX102)=116,$BN$116,"")&amp;IF((AX102)=117,$BN$117,"")&amp;IF((AX102)=118,$BN$118,"")&amp;IF((AX102)=119,$BN$119,"")&amp;IF((AX102)=120,$BN$120,"")&amp;IF((AX102)=121,$BN$121,"")&amp;IF((AX102)=122,$BN$122,"")&amp;IF((AX102)=123,$BN$123,"")&amp;IF((AX102)=124,$BN$124,"")&amp;IF((AX102)=125,$BN$125,"")&amp;IF((AX102)=126,$BN$126,"")&amp;IF((AX102)=127,$BN$127,"")&amp;IF((AX102)=128,$BN$128,"")</f>
        <v>GERMAIN</v>
      </c>
      <c r="AY7" s="119"/>
      <c r="AZ7" s="120"/>
      <c r="BA7" s="92" t="s">
        <v>54</v>
      </c>
      <c r="BB7" s="135" t="str">
        <f t="shared" ref="BB7:BB69" si="20">IF((BD102)=1,$BM$1,"")&amp;IF((BD102)=2,$BM$2,"")&amp;IF((BD102)=3,$BM$3,"")&amp;IF((BD102)=4,$BM$4,"")&amp;IF((BD102)=5,$BM$5,"")&amp;IF((BD102)=6,$BM$6,"")&amp;IF((BD102)=7,$BM$7,"")&amp;IF((BD102)=8,$BM$8,"")&amp;IF((BD102)=9,$BM$9,"")&amp;IF((BD102)=10,$BM$10,"")&amp;IF((BD102)=11,$BM$11,"")&amp;IF((BD102)=12,$BM$12,"")&amp;IF((BD102)=13,$BM$13,"")&amp;IF((BD102)=14,$BM$14,"")&amp;IF((BD102)=15,$BM$15,"")&amp;IF((BD102)=16,$BM$16,"")&amp;IF((BD102)=17,$BM$17,"")&amp;IF((BD102)=18,$BM$18,"")&amp;IF((BD102)=19,$BM$19,"")&amp;IF((BD102)=20,$BM$20,"")&amp;IF((BD102)=21,$BM$21,"")&amp;IF((BD102)=22,$BM$22,"")&amp;IF((BD102)=23,$BM$23,"")&amp;IF((BD102)=24,$BM$24,"")&amp;IF((BD102)=25,$BM$25,"")&amp;IF((BD102)=26,$BM$26,"")&amp;IF((BD102)=27,$BM$27,"")&amp;IF((BD102)=28,$BM$28,"")&amp;IF((BD102)=29,$BM$29,"")&amp;IF((BD102)=30,$BM$30,"")&amp;IF((BD102)=31,$BM$31,"")&amp;IF((BD102)=32,$BM$32,"")&amp;IF((BD102)=33,$BM$33,"")&amp;IF((BD102)=34,$BM$34,"")&amp;IF((BD102)=35,$BM$35,"")&amp;IF((BD102)=36,$BM$36,"")&amp;IF((BD102)=37,$BM$37,"")&amp;IF((BD102)=38,$BM$38,"")&amp;IF((BD102)=39,$BM$39,"")&amp;IF((BD102)=40,$BM$40,"")&amp;IF((BD102)=41,$BM$41,"")&amp;IF((BD102)=42,$BM$42,"")&amp;IF((BD102)=43,$BM$43,"")&amp;IF((BD102)=44,$BM$44,"")&amp;IF((BD102)=45,$BM$45,"")&amp;IF((BD102)=46,$BM$46,"")&amp;IF((BD102)=47,$BM$47,"")&amp;IF((BD102)=48,$BM$48,"")&amp;IF((BD102)=49,$BM$49,"")&amp;IF((BD102)=50,$BM$50,"")&amp;IF((BD102)=51,$BM$51,"")&amp;IF((BD102)=52,$BM$52,"")&amp;IF((BD102)=53,$BM$53,"")&amp;IF((BD102)=54,$BM$54,"")&amp;IF((BD102)=55,$BM$55,"")&amp;IF((BD102)=56,$BM$56,"")&amp;IF((BD102)=57,$BM$57,"")&amp;IF((BD102)=58,$BM$58,"")&amp;IF((BD102)=59,$BM$59,"")&amp;IF((BD102)=60,$BM$60,"")&amp;IF((BD102)=61,$BM$61,"")&amp;IF((BD102)=62,$BM$62,"")&amp;IF((BD102)=63,$BM$63,"")&amp;IF((BD102)=64,$BM$64,"")&amp;IF((BD102)=65,$BM$65,"")&amp;IF((BD102)=66,$BM$66,"")&amp;IF((BD102)=67,$BM$67,"")&amp;IF((BD102)=68,$BM$68,"")&amp;IF((BD102)=69,$BM$69,"")&amp;IF((BD102)=70,$BM$70,"")&amp;IF((BD102)=71,$BM$71,"")&amp;IF((BD102)=72,$BM$72,"")&amp;IF((BD102)=73,$BM$73,"")&amp;IF((BD102)=74,$BM$74,"")&amp;IF((BD102)=75,$BM$75,"")&amp;IF((BD102)=76,$BM$76,"")&amp;IF((BD102)=77,$BM$77,"")&amp;IF((BD102)=78,$BM$78,"")&amp;IF((BD102)=79,$BM$79,"")&amp;IF((BD102)=80,$BM$80,"")&amp;IF((BD102)=81,$BM$81,"")&amp;IF((BD102)=82,$BM$82,"")&amp;IF((BD102)=83,$BM$83,"")&amp;IF((BD102)=84,$BM$84,"")&amp;IF((BD102)=85,$BM$85,"")&amp;IF((BD102)=86,$BM$86,"")&amp;IF((BD102)=87,$BM$87,"")&amp;IF((BD102)=88,$BM$88,"")&amp;IF((BD102)=89,$BM$89,"")&amp;IF((BD102)=90,$BM$90,"")&amp;IF((BD102)=91,$BM$91,"")&amp;IF((BD102)=92,$BM$92,"")&amp;IF((BD102)=93,$BM$93,"")&amp;IF((BD102)=94,$BM$94,"")&amp;IF((BD102)=95,$BM$95,"")&amp;IF((BD102)=96,$BM$96,"")&amp;IF((BD102)=97,$BM$97,"")&amp;IF((BD102)=98,$BM$98,"")&amp;IF((BD102)=99,$BM$99,"")&amp;IF((BD102)=100,$BM$100,"")&amp;IF((BD102)=101,$BM$101,"")&amp;IF((BD102)=102,$BM$102,"")&amp;IF((BD102)=103,$BM$103,"")&amp;IF((BD102)=104,$BM$104,"")&amp;IF((BD102)=105,$BM$105,"")&amp;IF((BD102)=106,$BM$106,"")&amp;IF((BD102)=107,$BM$107,"")&amp;IF((BD102)=108,$BM$108,"")&amp;IF((BD102)=109,$BM$109,"")&amp;IF((BD102)=110,$BM$110,"")&amp;IF((BD102)=111,$BM$111,"")&amp;IF((BD102)=112,$BM$112,"")&amp;IF((BD102)=113,$BM$113,"")&amp;IF((BD102)=114,$BM$114,"")&amp;IF((BD102)=115,$BM$115,"")&amp;IF((BD102)=116,$BM$116,"")&amp;IF((BD102)=117,$BM$117,"")&amp;IF((BD102)=118,$BM$118,"")&amp;IF((BD102)=119,$BM$119,"")&amp;IF((BD102)=120,$BM$120,"")&amp;IF((BD102)=121,$BM$121,"")&amp;IF((BD102)=122,$BM$122,"")&amp;IF((BD102)=123,$BM$123,"")&amp;IF((BD102)=124,$BM$124,"")&amp;IF((BD102)=125,$BM$125,"")&amp;IF((BD102)=126,$BM$126,"")&amp;IF((BD102)=127,$BM$127,"")&amp;IF((BD102)=128,$BM$128,"")</f>
        <v>100</v>
      </c>
      <c r="BC7" s="93"/>
      <c r="BD7" s="125" t="str">
        <f t="shared" ref="BD7:BD69" si="21">IF((BD102)=1,$BN$1,"")&amp;IF((BD102)=2,$BN$2,"")&amp;IF((BD102)=3,$BN$3,"")&amp;IF((BD102)=4,$BN$4,"")&amp;IF((BD102)=5,$BN$5,"")&amp;IF((BD102)=6,$BN$6,"")&amp;IF((BD102)=7,$BN$7,"")&amp;IF((BD102)=8,$BN$8,"")&amp;IF((BD102)=9,$BN$9,"")&amp;IF((BD102)=10,$BN$10,"")&amp;IF((BD102)=11,$BN$11,"")&amp;IF((BD102)=12,$BN$12,"")&amp;IF((BD102)=13,$BN$13,"")&amp;IF((BD102)=14,$BN$14,"")&amp;IF((BD102)=15,$BN$15,"")&amp;IF((BD102)=16,$BN$16,"")&amp;IF((BD102)=17,$BN$17,"")&amp;IF((BD102)=18,$BN$18,"")&amp;IF((BD102)=19,$BN$19,"")&amp;IF((BD102)=20,$BN$20,"")&amp;IF((BD102)=21,$BN$21,"")&amp;IF((BD102)=22,$BN$22,"")&amp;IF((BD102)=23,$BN$23,"")&amp;IF((BD102)=24,$BN$24,"")&amp;IF((BD102)=25,$BN$25,"")&amp;IF((BD102)=26,$BN$26,"")&amp;IF((BD102)=27,$BN$27,"")&amp;IF((BD102)=28,$BN$28,"")&amp;IF((BD102)=29,$BN$29,"")&amp;IF((BD102)=30,$BN$30,"")&amp;IF((BD102)=31,$BN$31,"")&amp;IF((BD102)=32,$BN$32,"")&amp;IF((BD102)=33,$BN$33,"")&amp;IF((BD102)=34,$BN$34,"")&amp;IF((BD102)=35,$BN$35,"")&amp;IF((BD102)=36,$BN$36,"")&amp;IF((BD102)=37,$BN$37,"")&amp;IF((BD102)=38,$BN$38,"")&amp;IF((BD102)=39,$BN$39,"")&amp;IF((BD102)=40,$BN$40,"")&amp;IF((BD102)=41,$BN$41,"")&amp;IF((BD102)=42,$BN$42,"")&amp;IF((BD102)=43,$BN$43,"")&amp;IF((BD102)=44,$BN$44,"")&amp;IF((BD102)=45,$BN$45,"")&amp;IF((BD102)=46,$BN$46,"")&amp;IF((BD102)=47,$BN$47,"")&amp;IF((BD102)=48,$BN$48,"")&amp;IF((BD102)=49,$BN$49,"")&amp;IF((BD102)=50,$BN$50,"")&amp;IF((BD102)=51,$BN$51,"")&amp;IF((BD102)=52,$BN$52,"")&amp;IF((BD102)=53,$BN$53,"")&amp;IF((BD102)=54,$BN$54,"")&amp;IF((BD102)=55,$BN$55,"")&amp;IF((BD102)=56,$BN$56,"")&amp;IF((BD102)=57,$BN$57,"")&amp;IF((BD102)=58,$BN$58,"")&amp;IF((BD102)=59,$BN$59,"")&amp;IF((BD102)=60,$BN$60,"")&amp;IF((BD102)=61,$BN$61,"")&amp;IF((BD102)=62,$BN$62,"")&amp;IF((BD102)=63,$BN$63,"")&amp;IF((BD102)=64,$BN$64,"")&amp;IF((BD102)=65,$BN$65,"")&amp;IF((BD102)=66,$BN$66,"")&amp;IF((BD102)=67,$BN$67,"")&amp;IF((BD102)=68,$BN$68,"")&amp;IF((BD102)=69,$BN$69,"")&amp;IF((BD102)=70,$BN$70,"")&amp;IF((BD102)=71,$BN$71,"")&amp;IF((BD102)=72,$BN$72,"")&amp;IF((BD102)=73,$BN$73,"")&amp;IF((BD102)=74,$BN$74,"")&amp;IF((BD102)=75,$BN$75,"")&amp;IF((BD102)=76,$BN$76,"")&amp;IF((BD102)=77,$BN$77,"")&amp;IF((BD102)=78,$BN$78,"")&amp;IF((BD102)=79,$BN$79,"")&amp;IF((BD102)=80,$BN$80,"")&amp;IF((BD102)=81,$BN$81,"")&amp;IF((BD102)=82,$BN$82,"")&amp;IF((BD102)=83,$BN$83,"")&amp;IF((BD102)=84,$BN$84,"")&amp;IF((BD102)=85,$BN$85,"")&amp;IF((BD102)=86,$BN$86,"")&amp;IF((BD102)=87,$BN$87,"")&amp;IF((BD102)=88,$BN$88,"")&amp;IF((BD102)=89,$BN$89,"")&amp;IF((BD102)=90,$BN$90,"")&amp;IF((BD102)=91,$BN$91,"")&amp;IF((BD102)=92,$BN$92,"")&amp;IF((BD102)=93,$BN$93,"")&amp;IF((BD102)=94,$BN$94,"")&amp;IF((BD102)=95,$BN$95,"")&amp;IF((BD102)=96,$BN$96,"")&amp;IF((BD102)=97,$BN$97,"")&amp;IF((BD102)=98,$BN$98,"")&amp;IF((BD102)=99,$BN$99,"")&amp;IF((BD102)=100,$BN$100,"")&amp;IF((BD102)=101,$BN$101,"")&amp;IF((BD102)=102,$BN$102,"")&amp;IF((BD102)=103,$BN$103,"")&amp;IF((BD102)=104,$BN$104,"")&amp;IF((BD102)=105,$BN$105,"")&amp;IF((BD102)=106,$BN$106,"")&amp;IF((BD102)=107,$BN$107,"")&amp;IF((BD102)=108,$BN$108,"")&amp;IF((BD102)=109,$BN$109,"")&amp;IF((BD102)=110,$BN$110,"")&amp;IF((BD102)=111,$BN$111,"")&amp;IF((BD102)=112,$BN$112,"")&amp;IF((BD102)=113,$BN$113,"")&amp;IF((BD102)=114,$BN$114,"")&amp;IF((BD102)=115,$BN$115,"")&amp;IF((BD102)=116,$BN$116,"")&amp;IF((BD102)=117,$BN$117,"")&amp;IF((BD102)=118,$BN$118,"")&amp;IF((BD102)=119,$BN$119,"")&amp;IF((BD102)=120,$BN$120,"")&amp;IF((BD102)=121,$BN$121,"")&amp;IF((BD102)=122,$BN$122,"")&amp;IF((BD102)=123,$BN$123,"")&amp;IF((BD102)=124,$BN$124,"")&amp;IF((BD102)=125,$BN$125,"")&amp;IF((BD102)=126,$BN$126,"")&amp;IF((BD102)=127,$BN$127,"")&amp;IF((BD102)=128,$BN$128,"")</f>
        <v>CONSTANTIN</v>
      </c>
      <c r="BE7" s="94" t="s">
        <v>54</v>
      </c>
      <c r="BF7" s="135" t="str">
        <f t="shared" ref="BF7:BF69" si="22">IF((BH102)=1,$BM$1,"")&amp;IF((BH102)=2,$BM$2,"")&amp;IF((BH102)=3,$BM$3,"")&amp;IF((BH102)=4,$BM$4,"")&amp;IF((BH102)=5,$BM$5,"")&amp;IF((BH102)=6,$BM$6,"")&amp;IF((BH102)=7,$BM$7,"")&amp;IF((BH102)=8,$BM$8,"")&amp;IF((BH102)=9,$BM$9,"")&amp;IF((BH102)=10,$BM$10,"")&amp;IF((BH102)=11,$BM$11,"")&amp;IF((BH102)=12,$BM$12,"")&amp;IF((BH102)=13,$BM$13,"")&amp;IF((BH102)=14,$BM$14,"")&amp;IF((BH102)=15,$BM$15,"")&amp;IF((BH102)=16,$BM$16,"")&amp;IF((BH102)=17,$BM$17,"")&amp;IF((BH102)=18,$BM$18,"")&amp;IF((BH102)=19,$BM$19,"")&amp;IF((BH102)=20,$BM$20,"")&amp;IF((BH102)=21,$BM$21,"")&amp;IF((BH102)=22,$BM$22,"")&amp;IF((BH102)=23,$BM$23,"")&amp;IF((BH102)=24,$BM$24,"")&amp;IF((BH102)=25,$BM$25,"")&amp;IF((BH102)=26,$BM$26,"")&amp;IF((BH102)=27,$BM$27,"")&amp;IF((BH102)=28,$BM$28,"")&amp;IF((BH102)=29,$BM$29,"")&amp;IF((BH102)=30,$BM$30,"")&amp;IF((BH102)=31,$BM$31,"")&amp;IF((BH102)=32,$BM$32,"")&amp;IF((BH102)=33,$BM$33,"")&amp;IF((BH102)=34,$BM$34,"")&amp;IF((BH102)=35,$BM$35,"")&amp;IF((BH102)=36,$BM$36,"")&amp;IF((BH102)=37,$BM$37,"")&amp;IF((BH102)=38,$BM$38,"")&amp;IF((BH102)=39,$BM$39,"")&amp;IF((BH102)=40,$BM$40,"")&amp;IF((BH102)=41,$BM$41,"")&amp;IF((BH102)=42,$BM$42,"")&amp;IF((BH102)=43,$BM$43,"")&amp;IF((BH102)=44,$BM$44,"")&amp;IF((BH102)=45,$BM$45,"")&amp;IF((BH102)=46,$BM$46,"")&amp;IF((BH102)=47,$BM$47,"")&amp;IF((BH102)=48,$BM$48,"")&amp;IF((BH102)=49,$BM$49,"")&amp;IF((BH102)=50,$BM$50,"")&amp;IF((BH102)=51,$BM$51,"")&amp;IF((BH102)=52,$BM$52,"")&amp;IF((BH102)=53,$BM$53,"")&amp;IF((BH102)=54,$BM$54,"")&amp;IF((BH102)=55,$BM$55,"")&amp;IF((BH102)=56,$BM$56,"")&amp;IF((BH102)=57,$BM$57,"")&amp;IF((BH102)=58,$BM$58,"")&amp;IF((BH102)=59,$BM$59,"")&amp;IF((BH102)=60,$BM$60,"")&amp;IF((BH102)=61,$BM$61,"")&amp;IF((BH102)=62,$BM$62,"")&amp;IF((BH102)=63,$BM$63,"")&amp;IF((BH102)=64,$BM$64,"")&amp;IF((BH102)=65,$BM$65,"")&amp;IF((BH102)=66,$BM$66,"")&amp;IF((BH102)=67,$BM$67,"")&amp;IF((BH102)=68,$BM$68,"")&amp;IF((BH102)=69,$BM$69,"")&amp;IF((BH102)=70,$BM$70,"")&amp;IF((BH102)=71,$BM$71,"")&amp;IF((BH102)=72,$BM$72,"")&amp;IF((BH102)=73,$BM$73,"")&amp;IF((BH102)=74,$BM$74,"")&amp;IF((BH102)=75,$BM$75,"")&amp;IF((BH102)=76,$BM$76,"")&amp;IF((BH102)=77,$BM$77,"")&amp;IF((BH102)=78,$BM$78,"")&amp;IF((BH102)=79,$BM$79,"")&amp;IF((BH102)=80,$BM$80,"")&amp;IF((BH102)=81,$BM$81,"")&amp;IF((BH102)=82,$BM$82,"")&amp;IF((BH102)=83,$BM$83,"")&amp;IF((BH102)=84,$BM$84,"")&amp;IF((BH102)=85,$BM$85,"")&amp;IF((BH102)=86,$BM$86,"")&amp;IF((BH102)=87,$BM$87,"")&amp;IF((BH102)=88,$BM$88,"")&amp;IF((BH102)=89,$BM$89,"")&amp;IF((BH102)=90,$BM$90,"")&amp;IF((BH102)=91,$BM$91,"")&amp;IF((BH102)=92,$BM$92,"")&amp;IF((BH102)=93,$BM$93,"")&amp;IF((BH102)=94,$BM$94,"")&amp;IF((BH102)=95,$BM$95,"")&amp;IF((BH102)=96,$BM$96,"")&amp;IF((BH102)=97,$BM$97,"")&amp;IF((BH102)=98,$BM$98,"")&amp;IF((BH102)=99,$BM$99,"")&amp;IF((BH102)=100,$BM$100,"")&amp;IF((BH102)=101,$BM$101,"")&amp;IF((BH102)=102,$BM$102,"")&amp;IF((BH102)=103,$BM$103,"")&amp;IF((BH102)=104,$BM$104,"")&amp;IF((BH102)=105,$BM$105,"")&amp;IF((BH102)=106,$BM$106,"")&amp;IF((BH102)=107,$BM$107,"")&amp;IF((BH102)=108,$BM$108,"")&amp;IF((BH102)=109,$BM$109,"")&amp;IF((BH102)=110,$BM$110,"")&amp;IF((BH102)=111,$BM$111,"")&amp;IF((BH102)=112,$BM$112,"")&amp;IF((BH102)=113,$BM$113,"")&amp;IF((BH102)=114,$BM$114,"")&amp;IF((BH102)=115,$BM$115,"")&amp;IF((BH102)=116,$BM$116,"")&amp;IF((BH102)=117,$BM$117,"")&amp;IF((BH102)=118,$BM$118,"")&amp;IF((BH102)=119,$BM$119,"")&amp;IF((BH102)=120,$BM$120,"")&amp;IF((BH102)=121,$BM$121,"")&amp;IF((BH102)=122,$BM$122,"")&amp;IF((BH102)=123,$BM$123,"")&amp;IF((BH102)=124,$BM$124,"")&amp;IF((BH102)=125,$BM$125,"")&amp;IF((BH102)=126,$BM$126,"")&amp;IF((BH102)=127,$BM$127,"")&amp;IF((BH102)=128,$BM$128,"")</f>
        <v>19</v>
      </c>
      <c r="BG7" s="95"/>
      <c r="BH7" s="125" t="str">
        <f t="shared" ref="BH7:BH69" si="23">IF((BH102)=1,$BN$1,"")&amp;IF((BH102)=2,$BN$2,"")&amp;IF((BH102)=3,$BN$3,"")&amp;IF((BH102)=4,$BN$4,"")&amp;IF((BH102)=5,$BN$5,"")&amp;IF((BH102)=6,$BN$6,"")&amp;IF((BH102)=7,$BN$7,"")&amp;IF((BH102)=8,$BN$8,"")&amp;IF((BH102)=9,$BN$9,"")&amp;IF((BH102)=10,$BN$10,"")&amp;IF((BH102)=11,$BN$11,"")&amp;IF((BH102)=12,$BN$12,"")&amp;IF((BH102)=13,$BN$13,"")&amp;IF((BH102)=14,$BN$14,"")&amp;IF((BH102)=15,$BN$15,"")&amp;IF((BH102)=16,$BN$16,"")&amp;IF((BH102)=17,$BN$17,"")&amp;IF((BH102)=18,$BN$18,"")&amp;IF((BH102)=19,$BN$19,"")&amp;IF((BH102)=20,$BN$20,"")&amp;IF((BH102)=21,$BN$21,"")&amp;IF((BH102)=22,$BN$22,"")&amp;IF((BH102)=23,$BN$23,"")&amp;IF((BH102)=24,$BN$24,"")&amp;IF((BH102)=25,$BN$25,"")&amp;IF((BH102)=26,$BN$26,"")&amp;IF((BH102)=27,$BN$27,"")&amp;IF((BH102)=28,$BN$28,"")&amp;IF((BH102)=29,$BN$29,"")&amp;IF((BH102)=30,$BN$30,"")&amp;IF((BH102)=31,$BN$31,"")&amp;IF((BH102)=32,$BN$32,"")&amp;IF((BH102)=33,$BN$33,"")&amp;IF((BH102)=34,$BN$34,"")&amp;IF((BH102)=35,$BN$35,"")&amp;IF((BH102)=36,$BN$36,"")&amp;IF((BH102)=37,$BN$37,"")&amp;IF((BH102)=38,$BN$38,"")&amp;IF((BH102)=39,$BN$39,"")&amp;IF((BH102)=40,$BN$40,"")&amp;IF((BH102)=41,$BN$41,"")&amp;IF((BH102)=42,$BN$42,"")&amp;IF((BH102)=43,$BN$43,"")&amp;IF((BH102)=44,$BN$44,"")&amp;IF((BH102)=45,$BN$45,"")&amp;IF((BH102)=46,$BN$46,"")&amp;IF((BH102)=47,$BN$47,"")&amp;IF((BH102)=48,$BN$48,"")&amp;IF((BH102)=49,$BN$49,"")&amp;IF((BH102)=50,$BN$50,"")&amp;IF((BH102)=51,$BN$51,"")&amp;IF((BH102)=52,$BN$52,"")&amp;IF((BH102)=53,$BN$53,"")&amp;IF((BH102)=54,$BN$54,"")&amp;IF((BH102)=55,$BN$55,"")&amp;IF((BH102)=56,$BN$56,"")&amp;IF((BH102)=57,$BN$57,"")&amp;IF((BH102)=58,$BN$58,"")&amp;IF((BH102)=59,$BN$59,"")&amp;IF((BH102)=60,$BN$60,"")&amp;IF((BH102)=61,$BN$61,"")&amp;IF((BH102)=62,$BN$62,"")&amp;IF((BH102)=63,$BN$63,"")&amp;IF((BH102)=64,$BN$64,"")&amp;IF((BH102)=65,$BN$65,"")&amp;IF((BH102)=66,$BN$66,"")&amp;IF((BH102)=67,$BN$67,"")&amp;IF((BH102)=68,$BN$68,"")&amp;IF((BH102)=69,$BN$69,"")&amp;IF((BH102)=70,$BN$70,"")&amp;IF((BH102)=71,$BN$71,"")&amp;IF((BH102)=72,$BN$72,"")&amp;IF((BH102)=73,$BN$73,"")&amp;IF((BH102)=74,$BN$74,"")&amp;IF((BH102)=75,$BN$75,"")&amp;IF((BH102)=76,$BN$76,"")&amp;IF((BH102)=77,$BN$77,"")&amp;IF((BH102)=78,$BN$78,"")&amp;IF((BH102)=79,$BN$79,"")&amp;IF((BH102)=80,$BN$80,"")&amp;IF((BH102)=81,$BN$81,"")&amp;IF((BH102)=82,$BN$82,"")&amp;IF((BH102)=83,$BN$83,"")&amp;IF((BH102)=84,$BN$84,"")&amp;IF((BH102)=85,$BN$85,"")&amp;IF((BH102)=86,$BN$86,"")&amp;IF((BH102)=87,$BN$87,"")&amp;IF((BH102)=88,$BN$88,"")&amp;IF((BH102)=89,$BN$89,"")&amp;IF((BH102)=90,$BN$90,"")&amp;IF((BH102)=91,$BN$91,"")&amp;IF((BH102)=92,$BN$92,"")&amp;IF((BH102)=93,$BN$93,"")&amp;IF((BH102)=94,$BN$94,"")&amp;IF((BH102)=95,$BN$95,"")&amp;IF((BH102)=96,$BN$96,"")&amp;IF((BH102)=97,$BN$97,"")&amp;IF((BH102)=98,$BN$98,"")&amp;IF((BH102)=99,$BN$99,"")&amp;IF((BH102)=100,$BN$100,"")&amp;IF((BH102)=101,$BN$101,"")&amp;IF((BH102)=102,$BN$102,"")&amp;IF((BH102)=103,$BN$103,"")&amp;IF((BH102)=104,$BN$104,"")&amp;IF((BH102)=105,$BN$105,"")&amp;IF((BH102)=106,$BN$106,"")&amp;IF((BH102)=107,$BN$107,"")&amp;IF((BH102)=108,$BN$108,"")&amp;IF((BH102)=109,$BN$109,"")&amp;IF((BH102)=110,$BN$110,"")&amp;IF((BH102)=111,$BN$111,"")&amp;IF((BH102)=112,$BN$112,"")&amp;IF((BH102)=113,$BN$113,"")&amp;IF((BH102)=114,$BN$114,"")&amp;IF((BH102)=115,$BN$115,"")&amp;IF((BH102)=116,$BN$116,"")&amp;IF((BH102)=117,$BN$117,"")&amp;IF((BH102)=118,$BN$118,"")&amp;IF((BH102)=119,$BN$119,"")&amp;IF((BH102)=120,$BN$120,"")&amp;IF((BH102)=121,$BN$121,"")&amp;IF((BH102)=122,$BN$122,"")&amp;IF((BH102)=123,$BN$123,"")&amp;IF((BH102)=124,$BN$124,"")&amp;IF((BH102)=125,$BN$125,"")&amp;IF((BH102)=126,$BN$126,"")&amp;IF((BH102)=127,$BN$127,"")&amp;IF((BH102)=128,$BN$128,"")</f>
        <v xml:space="preserve">SYLVAIN   </v>
      </c>
      <c r="BI7" s="121"/>
      <c r="BJ7" s="122"/>
      <c r="BK7" s="63"/>
      <c r="BM7" s="65">
        <f>[1]resultat!AL7</f>
        <v>7</v>
      </c>
      <c r="BN7" s="65" t="str">
        <f>[1]resultat!AM7</f>
        <v>PIERRE</v>
      </c>
      <c r="BO7" s="229">
        <v>7</v>
      </c>
      <c r="BP7" s="142">
        <v>13</v>
      </c>
      <c r="BQ7" s="148">
        <v>7</v>
      </c>
      <c r="BR7" s="273">
        <f t="shared" ref="BR7:BR70" si="24">B6</f>
        <v>1</v>
      </c>
      <c r="BS7" s="274" t="str">
        <f t="shared" ref="BS7:BS70" si="25">D6</f>
        <v>105</v>
      </c>
      <c r="BT7" s="275" t="str">
        <f t="shared" ref="BT7:BT70" si="26">F6</f>
        <v>CYRILL</v>
      </c>
      <c r="BU7" s="276" t="str">
        <f t="shared" ref="BU7:BU70" si="27">H6</f>
        <v>23</v>
      </c>
      <c r="BV7" s="277" t="str">
        <f>J6</f>
        <v>MARTIAL</v>
      </c>
      <c r="BW7" s="273">
        <f>K6</f>
        <v>13</v>
      </c>
      <c r="BX7" s="273">
        <f>L6</f>
        <v>7</v>
      </c>
    </row>
    <row r="8" spans="1:76">
      <c r="A8" s="70" t="s">
        <v>187</v>
      </c>
      <c r="B8" s="20">
        <v>3</v>
      </c>
      <c r="C8" s="71" t="s">
        <v>54</v>
      </c>
      <c r="D8" s="130" t="str">
        <f t="shared" si="0"/>
        <v>55</v>
      </c>
      <c r="E8" s="72"/>
      <c r="F8" s="73" t="str">
        <f t="shared" si="1"/>
        <v>GREGOIRE</v>
      </c>
      <c r="G8" s="74" t="s">
        <v>54</v>
      </c>
      <c r="H8" s="130" t="str">
        <f t="shared" si="2"/>
        <v>57</v>
      </c>
      <c r="I8" s="75"/>
      <c r="J8" s="73" t="str">
        <f t="shared" si="3"/>
        <v>ARSENE</v>
      </c>
      <c r="K8" s="142">
        <v>13</v>
      </c>
      <c r="L8" s="148">
        <v>7</v>
      </c>
      <c r="M8" s="76" t="s">
        <v>54</v>
      </c>
      <c r="N8" s="131" t="str">
        <f t="shared" si="4"/>
        <v>22</v>
      </c>
      <c r="O8" s="77"/>
      <c r="P8" s="123" t="str">
        <f t="shared" si="5"/>
        <v xml:space="preserve">LANDRY   </v>
      </c>
      <c r="Q8" s="78" t="s">
        <v>54</v>
      </c>
      <c r="R8" s="131" t="str">
        <f t="shared" si="6"/>
        <v>23</v>
      </c>
      <c r="S8" s="79"/>
      <c r="T8" s="123" t="str">
        <f t="shared" si="7"/>
        <v>MARTIAL</v>
      </c>
      <c r="U8" s="56"/>
      <c r="V8" s="57"/>
      <c r="W8" s="80" t="s">
        <v>54</v>
      </c>
      <c r="X8" s="132" t="str">
        <f t="shared" si="8"/>
        <v>35</v>
      </c>
      <c r="Y8" s="81"/>
      <c r="Z8" s="127" t="str">
        <f t="shared" si="9"/>
        <v>MARTIN</v>
      </c>
      <c r="AA8" s="82" t="s">
        <v>54</v>
      </c>
      <c r="AB8" s="132" t="str">
        <f t="shared" si="10"/>
        <v>82</v>
      </c>
      <c r="AC8" s="83"/>
      <c r="AD8" s="127" t="str">
        <f t="shared" si="11"/>
        <v>URBAIN</v>
      </c>
      <c r="AE8" s="115"/>
      <c r="AF8" s="116"/>
      <c r="AG8" s="84" t="s">
        <v>54</v>
      </c>
      <c r="AH8" s="133" t="str">
        <f t="shared" si="12"/>
        <v>103</v>
      </c>
      <c r="AI8" s="85"/>
      <c r="AJ8" s="126" t="str">
        <f t="shared" si="13"/>
        <v>GERMAIN</v>
      </c>
      <c r="AK8" s="86" t="s">
        <v>54</v>
      </c>
      <c r="AL8" s="133" t="str">
        <f t="shared" si="14"/>
        <v>18</v>
      </c>
      <c r="AM8" s="87"/>
      <c r="AN8" s="126" t="str">
        <f t="shared" si="15"/>
        <v xml:space="preserve">CHARLES  </v>
      </c>
      <c r="AO8" s="117"/>
      <c r="AP8" s="118"/>
      <c r="AQ8" s="88" t="s">
        <v>54</v>
      </c>
      <c r="AR8" s="134" t="str">
        <f t="shared" si="16"/>
        <v>87</v>
      </c>
      <c r="AS8" s="89"/>
      <c r="AT8" s="124" t="str">
        <f t="shared" si="17"/>
        <v>GUILLAUME</v>
      </c>
      <c r="AU8" s="90" t="s">
        <v>54</v>
      </c>
      <c r="AV8" s="134" t="str">
        <f t="shared" si="18"/>
        <v>113</v>
      </c>
      <c r="AW8" s="91"/>
      <c r="AX8" s="124" t="str">
        <f t="shared" si="19"/>
        <v>NORBERT</v>
      </c>
      <c r="AY8" s="119"/>
      <c r="AZ8" s="120"/>
      <c r="BA8" s="92" t="s">
        <v>54</v>
      </c>
      <c r="BB8" s="135" t="str">
        <f t="shared" si="20"/>
        <v>72</v>
      </c>
      <c r="BC8" s="93"/>
      <c r="BD8" s="125" t="str">
        <f t="shared" si="21"/>
        <v>DELPHINE</v>
      </c>
      <c r="BE8" s="94" t="s">
        <v>54</v>
      </c>
      <c r="BF8" s="135" t="str">
        <f t="shared" si="22"/>
        <v>59</v>
      </c>
      <c r="BG8" s="95"/>
      <c r="BH8" s="125" t="str">
        <f t="shared" si="23"/>
        <v>NADEGE</v>
      </c>
      <c r="BI8" s="121"/>
      <c r="BJ8" s="122"/>
      <c r="BK8" s="63"/>
      <c r="BM8" s="65">
        <f>[1]resultat!AL8</f>
        <v>8</v>
      </c>
      <c r="BN8" s="65" t="str">
        <f>[1]resultat!AM8</f>
        <v>THIBAULT</v>
      </c>
      <c r="BO8" s="229">
        <v>8</v>
      </c>
      <c r="BP8" s="142">
        <v>13</v>
      </c>
      <c r="BQ8" s="148">
        <v>7</v>
      </c>
      <c r="BR8" s="273">
        <f t="shared" si="24"/>
        <v>2</v>
      </c>
      <c r="BS8" s="274" t="str">
        <f t="shared" si="25"/>
        <v>7</v>
      </c>
      <c r="BT8" s="275" t="str">
        <f t="shared" si="26"/>
        <v>PIERRE</v>
      </c>
      <c r="BU8" s="276" t="str">
        <f t="shared" si="27"/>
        <v>65</v>
      </c>
      <c r="BV8" s="277" t="str">
        <f t="shared" ref="BV8:BX39" si="28">J7</f>
        <v>GEOFFROY</v>
      </c>
      <c r="BW8" s="273">
        <f t="shared" si="28"/>
        <v>13</v>
      </c>
      <c r="BX8" s="273">
        <f t="shared" si="28"/>
        <v>7</v>
      </c>
    </row>
    <row r="9" spans="1:76">
      <c r="A9" s="70" t="s">
        <v>187</v>
      </c>
      <c r="B9" s="20">
        <v>4</v>
      </c>
      <c r="C9" s="71" t="s">
        <v>54</v>
      </c>
      <c r="D9" s="130" t="str">
        <f t="shared" si="0"/>
        <v>41</v>
      </c>
      <c r="E9" s="72"/>
      <c r="F9" s="73" t="str">
        <f t="shared" si="1"/>
        <v>ETIENNE</v>
      </c>
      <c r="G9" s="74" t="s">
        <v>54</v>
      </c>
      <c r="H9" s="130" t="str">
        <f t="shared" si="2"/>
        <v>56</v>
      </c>
      <c r="I9" s="75"/>
      <c r="J9" s="73" t="str">
        <f t="shared" si="3"/>
        <v xml:space="preserve">RENE  </v>
      </c>
      <c r="K9" s="142">
        <v>13</v>
      </c>
      <c r="L9" s="148">
        <v>7</v>
      </c>
      <c r="M9" s="76" t="s">
        <v>54</v>
      </c>
      <c r="N9" s="131" t="str">
        <f t="shared" si="4"/>
        <v>25</v>
      </c>
      <c r="O9" s="77"/>
      <c r="P9" s="123" t="str">
        <f t="shared" si="5"/>
        <v>AURELIEN</v>
      </c>
      <c r="Q9" s="78" t="s">
        <v>54</v>
      </c>
      <c r="R9" s="131" t="str">
        <f t="shared" si="6"/>
        <v>118</v>
      </c>
      <c r="S9" s="79"/>
      <c r="T9" s="123" t="str">
        <f t="shared" si="7"/>
        <v>FERNAND</v>
      </c>
      <c r="U9" s="56"/>
      <c r="V9" s="57"/>
      <c r="W9" s="80" t="s">
        <v>54</v>
      </c>
      <c r="X9" s="132" t="str">
        <f t="shared" si="8"/>
        <v>91</v>
      </c>
      <c r="Y9" s="81"/>
      <c r="Z9" s="127" t="str">
        <f t="shared" si="9"/>
        <v>VALERIE</v>
      </c>
      <c r="AA9" s="82" t="s">
        <v>54</v>
      </c>
      <c r="AB9" s="132" t="str">
        <f t="shared" si="10"/>
        <v>55</v>
      </c>
      <c r="AC9" s="83"/>
      <c r="AD9" s="127" t="str">
        <f t="shared" si="11"/>
        <v>GREGOIRE</v>
      </c>
      <c r="AE9" s="115"/>
      <c r="AF9" s="116"/>
      <c r="AG9" s="84" t="s">
        <v>54</v>
      </c>
      <c r="AH9" s="133" t="str">
        <f t="shared" si="12"/>
        <v>46</v>
      </c>
      <c r="AI9" s="85"/>
      <c r="AJ9" s="126" t="str">
        <f t="shared" si="13"/>
        <v xml:space="preserve">SERGE  </v>
      </c>
      <c r="AK9" s="86" t="s">
        <v>54</v>
      </c>
      <c r="AL9" s="133" t="str">
        <f t="shared" si="14"/>
        <v>108</v>
      </c>
      <c r="AM9" s="87"/>
      <c r="AN9" s="126" t="str">
        <f t="shared" si="15"/>
        <v>ISIDORE</v>
      </c>
      <c r="AO9" s="117"/>
      <c r="AP9" s="118"/>
      <c r="AQ9" s="88" t="s">
        <v>54</v>
      </c>
      <c r="AR9" s="134" t="str">
        <f t="shared" si="16"/>
        <v>9</v>
      </c>
      <c r="AS9" s="89"/>
      <c r="AT9" s="124" t="str">
        <f t="shared" si="17"/>
        <v>SEBASTIEN</v>
      </c>
      <c r="AU9" s="90" t="s">
        <v>54</v>
      </c>
      <c r="AV9" s="134" t="str">
        <f t="shared" si="18"/>
        <v>101</v>
      </c>
      <c r="AW9" s="91"/>
      <c r="AX9" s="124" t="str">
        <f t="shared" si="19"/>
        <v>HONORE</v>
      </c>
      <c r="AY9" s="119"/>
      <c r="AZ9" s="120"/>
      <c r="BA9" s="92" t="s">
        <v>54</v>
      </c>
      <c r="BB9" s="135" t="str">
        <f t="shared" si="20"/>
        <v>96</v>
      </c>
      <c r="BC9" s="93"/>
      <c r="BD9" s="125" t="str">
        <f t="shared" si="21"/>
        <v>GAUTIER</v>
      </c>
      <c r="BE9" s="94" t="s">
        <v>54</v>
      </c>
      <c r="BF9" s="135" t="str">
        <f t="shared" si="22"/>
        <v>101</v>
      </c>
      <c r="BG9" s="95"/>
      <c r="BH9" s="125" t="str">
        <f t="shared" si="23"/>
        <v>HONORE</v>
      </c>
      <c r="BI9" s="121"/>
      <c r="BJ9" s="122"/>
      <c r="BK9" s="63"/>
      <c r="BM9" s="65">
        <f>[1]resultat!AL9</f>
        <v>9</v>
      </c>
      <c r="BN9" s="65" t="str">
        <f>[1]resultat!AM9</f>
        <v>SEBASTIEN</v>
      </c>
      <c r="BO9" s="229">
        <v>9</v>
      </c>
      <c r="BP9" s="142">
        <v>13</v>
      </c>
      <c r="BQ9" s="148">
        <v>7</v>
      </c>
      <c r="BR9" s="273">
        <f t="shared" si="24"/>
        <v>3</v>
      </c>
      <c r="BS9" s="274" t="str">
        <f t="shared" si="25"/>
        <v>55</v>
      </c>
      <c r="BT9" s="275" t="str">
        <f t="shared" si="26"/>
        <v>GREGOIRE</v>
      </c>
      <c r="BU9" s="276" t="str">
        <f t="shared" si="27"/>
        <v>57</v>
      </c>
      <c r="BV9" s="277" t="str">
        <f t="shared" si="28"/>
        <v>ARSENE</v>
      </c>
      <c r="BW9" s="273">
        <f t="shared" si="28"/>
        <v>13</v>
      </c>
      <c r="BX9" s="273">
        <f t="shared" si="28"/>
        <v>7</v>
      </c>
    </row>
    <row r="10" spans="1:76">
      <c r="A10" s="70" t="s">
        <v>187</v>
      </c>
      <c r="B10" s="20">
        <v>5</v>
      </c>
      <c r="C10" s="71" t="s">
        <v>54</v>
      </c>
      <c r="D10" s="130" t="str">
        <f t="shared" si="0"/>
        <v>75</v>
      </c>
      <c r="E10" s="72"/>
      <c r="F10" s="73" t="str">
        <f t="shared" si="1"/>
        <v>NICOLAS</v>
      </c>
      <c r="G10" s="74" t="s">
        <v>54</v>
      </c>
      <c r="H10" s="130" t="str">
        <f t="shared" si="2"/>
        <v>53</v>
      </c>
      <c r="I10" s="75"/>
      <c r="J10" s="73" t="str">
        <f t="shared" si="3"/>
        <v>AURELIEN</v>
      </c>
      <c r="K10" s="142">
        <v>13</v>
      </c>
      <c r="L10" s="148">
        <v>7</v>
      </c>
      <c r="M10" s="76" t="s">
        <v>54</v>
      </c>
      <c r="N10" s="131" t="str">
        <f t="shared" si="4"/>
        <v>35</v>
      </c>
      <c r="O10" s="77"/>
      <c r="P10" s="123" t="str">
        <f t="shared" si="5"/>
        <v>MARTIN</v>
      </c>
      <c r="Q10" s="78" t="s">
        <v>54</v>
      </c>
      <c r="R10" s="131" t="str">
        <f t="shared" si="6"/>
        <v>95</v>
      </c>
      <c r="S10" s="79"/>
      <c r="T10" s="123" t="str">
        <f t="shared" si="7"/>
        <v>RICHARD</v>
      </c>
      <c r="U10" s="56"/>
      <c r="V10" s="57"/>
      <c r="W10" s="80" t="s">
        <v>54</v>
      </c>
      <c r="X10" s="132" t="str">
        <f t="shared" si="8"/>
        <v>28</v>
      </c>
      <c r="Y10" s="81"/>
      <c r="Z10" s="127" t="str">
        <f t="shared" si="9"/>
        <v xml:space="preserve">RENE  </v>
      </c>
      <c r="AA10" s="82" t="s">
        <v>54</v>
      </c>
      <c r="AB10" s="132" t="str">
        <f t="shared" si="10"/>
        <v>89</v>
      </c>
      <c r="AC10" s="83"/>
      <c r="AD10" s="127" t="str">
        <f t="shared" si="11"/>
        <v>BERNARD</v>
      </c>
      <c r="AE10" s="115"/>
      <c r="AF10" s="116"/>
      <c r="AG10" s="84" t="s">
        <v>54</v>
      </c>
      <c r="AH10" s="133" t="str">
        <f t="shared" si="12"/>
        <v>36</v>
      </c>
      <c r="AI10" s="85"/>
      <c r="AJ10" s="126" t="str">
        <f t="shared" si="13"/>
        <v xml:space="preserve">ALCIDE  </v>
      </c>
      <c r="AK10" s="86" t="s">
        <v>54</v>
      </c>
      <c r="AL10" s="133" t="str">
        <f t="shared" si="14"/>
        <v>22</v>
      </c>
      <c r="AM10" s="87"/>
      <c r="AN10" s="126" t="str">
        <f t="shared" si="15"/>
        <v xml:space="preserve">LANDRY   </v>
      </c>
      <c r="AO10" s="117"/>
      <c r="AP10" s="118"/>
      <c r="AQ10" s="88" t="s">
        <v>54</v>
      </c>
      <c r="AR10" s="134" t="str">
        <f t="shared" si="16"/>
        <v>93</v>
      </c>
      <c r="AS10" s="89"/>
      <c r="AT10" s="124" t="str">
        <f t="shared" si="17"/>
        <v>JOSEPH</v>
      </c>
      <c r="AU10" s="90" t="s">
        <v>54</v>
      </c>
      <c r="AV10" s="134" t="str">
        <f t="shared" si="18"/>
        <v>11</v>
      </c>
      <c r="AW10" s="91"/>
      <c r="AX10" s="124" t="str">
        <f t="shared" si="19"/>
        <v>JOHN</v>
      </c>
      <c r="AY10" s="119"/>
      <c r="AZ10" s="120"/>
      <c r="BA10" s="92" t="s">
        <v>54</v>
      </c>
      <c r="BB10" s="135" t="str">
        <f t="shared" si="20"/>
        <v>113</v>
      </c>
      <c r="BC10" s="93"/>
      <c r="BD10" s="125" t="str">
        <f t="shared" si="21"/>
        <v>NORBERT</v>
      </c>
      <c r="BE10" s="94" t="s">
        <v>54</v>
      </c>
      <c r="BF10" s="135" t="str">
        <f t="shared" si="22"/>
        <v>53</v>
      </c>
      <c r="BG10" s="95"/>
      <c r="BH10" s="125" t="str">
        <f t="shared" si="23"/>
        <v>AURELIEN</v>
      </c>
      <c r="BI10" s="121"/>
      <c r="BJ10" s="122"/>
      <c r="BK10" s="63"/>
      <c r="BM10" s="65">
        <f>[1]resultat!AL10</f>
        <v>10</v>
      </c>
      <c r="BN10" s="65" t="str">
        <f>[1]resultat!AM10</f>
        <v>PETER</v>
      </c>
      <c r="BO10" s="229">
        <v>10</v>
      </c>
      <c r="BP10" s="142">
        <v>13</v>
      </c>
      <c r="BQ10" s="148">
        <v>7</v>
      </c>
      <c r="BR10" s="273">
        <f t="shared" si="24"/>
        <v>4</v>
      </c>
      <c r="BS10" s="274" t="str">
        <f t="shared" si="25"/>
        <v>41</v>
      </c>
      <c r="BT10" s="275" t="str">
        <f t="shared" si="26"/>
        <v>ETIENNE</v>
      </c>
      <c r="BU10" s="276" t="str">
        <f t="shared" si="27"/>
        <v>56</v>
      </c>
      <c r="BV10" s="277" t="str">
        <f t="shared" si="28"/>
        <v xml:space="preserve">RENE  </v>
      </c>
      <c r="BW10" s="273">
        <f t="shared" si="28"/>
        <v>13</v>
      </c>
      <c r="BX10" s="273">
        <f t="shared" si="28"/>
        <v>7</v>
      </c>
    </row>
    <row r="11" spans="1:76">
      <c r="A11" s="70" t="s">
        <v>187</v>
      </c>
      <c r="B11" s="20">
        <v>6</v>
      </c>
      <c r="C11" s="71" t="s">
        <v>54</v>
      </c>
      <c r="D11" s="130" t="str">
        <f t="shared" si="0"/>
        <v>32</v>
      </c>
      <c r="E11" s="72"/>
      <c r="F11" s="73" t="str">
        <f t="shared" si="1"/>
        <v xml:space="preserve">ADELINE  </v>
      </c>
      <c r="G11" s="74" t="s">
        <v>54</v>
      </c>
      <c r="H11" s="130" t="str">
        <f t="shared" si="2"/>
        <v>51</v>
      </c>
      <c r="I11" s="75"/>
      <c r="J11" s="73" t="str">
        <f t="shared" si="3"/>
        <v>BEAUDOUIN</v>
      </c>
      <c r="K11" s="142">
        <v>13</v>
      </c>
      <c r="L11" s="148">
        <v>7</v>
      </c>
      <c r="M11" s="76" t="s">
        <v>54</v>
      </c>
      <c r="N11" s="131" t="str">
        <f t="shared" si="4"/>
        <v>116</v>
      </c>
      <c r="O11" s="77"/>
      <c r="P11" s="123" t="str">
        <f t="shared" si="5"/>
        <v>ALBAN</v>
      </c>
      <c r="Q11" s="78" t="s">
        <v>54</v>
      </c>
      <c r="R11" s="131" t="str">
        <f t="shared" si="6"/>
        <v>11</v>
      </c>
      <c r="S11" s="79"/>
      <c r="T11" s="123" t="str">
        <f t="shared" si="7"/>
        <v>JOHN</v>
      </c>
      <c r="U11" s="56"/>
      <c r="V11" s="57"/>
      <c r="W11" s="80" t="s">
        <v>54</v>
      </c>
      <c r="X11" s="132" t="str">
        <f t="shared" si="8"/>
        <v>48</v>
      </c>
      <c r="Y11" s="81"/>
      <c r="Z11" s="127" t="str">
        <f t="shared" si="9"/>
        <v>LUC</v>
      </c>
      <c r="AA11" s="82" t="s">
        <v>54</v>
      </c>
      <c r="AB11" s="132" t="str">
        <f t="shared" si="10"/>
        <v>115</v>
      </c>
      <c r="AC11" s="83"/>
      <c r="AD11" s="127" t="str">
        <f t="shared" si="11"/>
        <v>LEON</v>
      </c>
      <c r="AE11" s="115"/>
      <c r="AF11" s="116"/>
      <c r="AG11" s="84" t="s">
        <v>54</v>
      </c>
      <c r="AH11" s="133" t="str">
        <f t="shared" si="12"/>
        <v>65</v>
      </c>
      <c r="AI11" s="85"/>
      <c r="AJ11" s="126" t="str">
        <f t="shared" si="13"/>
        <v>GEOFFROY</v>
      </c>
      <c r="AK11" s="86" t="s">
        <v>54</v>
      </c>
      <c r="AL11" s="133" t="str">
        <f t="shared" si="14"/>
        <v>106</v>
      </c>
      <c r="AM11" s="87"/>
      <c r="AN11" s="126" t="str">
        <f t="shared" si="15"/>
        <v>LOUISE</v>
      </c>
      <c r="AO11" s="117"/>
      <c r="AP11" s="118"/>
      <c r="AQ11" s="88" t="s">
        <v>54</v>
      </c>
      <c r="AR11" s="134" t="str">
        <f t="shared" si="16"/>
        <v>6</v>
      </c>
      <c r="AS11" s="89"/>
      <c r="AT11" s="124" t="str">
        <f t="shared" si="17"/>
        <v>JACQUES</v>
      </c>
      <c r="AU11" s="90" t="s">
        <v>54</v>
      </c>
      <c r="AV11" s="134" t="str">
        <f t="shared" si="18"/>
        <v>115</v>
      </c>
      <c r="AW11" s="91"/>
      <c r="AX11" s="124" t="str">
        <f t="shared" si="19"/>
        <v>LEON</v>
      </c>
      <c r="AY11" s="119"/>
      <c r="AZ11" s="120"/>
      <c r="BA11" s="92" t="s">
        <v>54</v>
      </c>
      <c r="BB11" s="135" t="str">
        <f t="shared" si="20"/>
        <v>35</v>
      </c>
      <c r="BC11" s="93"/>
      <c r="BD11" s="125" t="str">
        <f t="shared" si="21"/>
        <v>MARTIN</v>
      </c>
      <c r="BE11" s="94" t="s">
        <v>54</v>
      </c>
      <c r="BF11" s="135" t="str">
        <f t="shared" si="22"/>
        <v>86</v>
      </c>
      <c r="BG11" s="95"/>
      <c r="BH11" s="125" t="str">
        <f t="shared" si="23"/>
        <v>LUCIEN</v>
      </c>
      <c r="BI11" s="121"/>
      <c r="BJ11" s="122"/>
      <c r="BK11" s="63"/>
      <c r="BM11" s="65">
        <f>[1]resultat!AL11</f>
        <v>11</v>
      </c>
      <c r="BN11" s="65" t="str">
        <f>[1]resultat!AM11</f>
        <v>JOHN</v>
      </c>
      <c r="BO11" s="140">
        <v>11</v>
      </c>
      <c r="BP11" s="148">
        <v>7</v>
      </c>
      <c r="BQ11" s="142">
        <v>13</v>
      </c>
      <c r="BR11" s="273">
        <f t="shared" si="24"/>
        <v>5</v>
      </c>
      <c r="BS11" s="274" t="str">
        <f t="shared" si="25"/>
        <v>75</v>
      </c>
      <c r="BT11" s="275" t="str">
        <f t="shared" si="26"/>
        <v>NICOLAS</v>
      </c>
      <c r="BU11" s="276" t="str">
        <f t="shared" si="27"/>
        <v>53</v>
      </c>
      <c r="BV11" s="277" t="str">
        <f t="shared" si="28"/>
        <v>AURELIEN</v>
      </c>
      <c r="BW11" s="273">
        <f t="shared" si="28"/>
        <v>13</v>
      </c>
      <c r="BX11" s="273">
        <f t="shared" si="28"/>
        <v>7</v>
      </c>
    </row>
    <row r="12" spans="1:76">
      <c r="A12" s="70" t="s">
        <v>187</v>
      </c>
      <c r="B12" s="20">
        <v>7</v>
      </c>
      <c r="C12" s="71" t="s">
        <v>54</v>
      </c>
      <c r="D12" s="130" t="str">
        <f t="shared" si="0"/>
        <v>90</v>
      </c>
      <c r="E12" s="72"/>
      <c r="F12" s="73" t="str">
        <f t="shared" si="1"/>
        <v>VALENTIN</v>
      </c>
      <c r="G12" s="74" t="s">
        <v>54</v>
      </c>
      <c r="H12" s="130" t="str">
        <f t="shared" si="2"/>
        <v>36</v>
      </c>
      <c r="I12" s="75"/>
      <c r="J12" s="73" t="str">
        <f t="shared" si="3"/>
        <v xml:space="preserve">ALCIDE  </v>
      </c>
      <c r="K12" s="142">
        <v>13</v>
      </c>
      <c r="L12" s="148">
        <v>7</v>
      </c>
      <c r="M12" s="76" t="s">
        <v>54</v>
      </c>
      <c r="N12" s="131" t="str">
        <f t="shared" si="4"/>
        <v>14</v>
      </c>
      <c r="O12" s="77"/>
      <c r="P12" s="123" t="str">
        <f t="shared" si="5"/>
        <v>CHRISTOPHE</v>
      </c>
      <c r="Q12" s="78" t="s">
        <v>54</v>
      </c>
      <c r="R12" s="131" t="str">
        <f t="shared" si="6"/>
        <v>111</v>
      </c>
      <c r="S12" s="79"/>
      <c r="T12" s="123" t="str">
        <f t="shared" si="7"/>
        <v>SOLANGE</v>
      </c>
      <c r="U12" s="56"/>
      <c r="V12" s="57"/>
      <c r="W12" s="80" t="s">
        <v>54</v>
      </c>
      <c r="X12" s="132" t="str">
        <f t="shared" si="8"/>
        <v>113</v>
      </c>
      <c r="Y12" s="81"/>
      <c r="Z12" s="127" t="str">
        <f t="shared" si="9"/>
        <v>NORBERT</v>
      </c>
      <c r="AA12" s="82" t="s">
        <v>54</v>
      </c>
      <c r="AB12" s="132" t="str">
        <f t="shared" si="10"/>
        <v>51</v>
      </c>
      <c r="AC12" s="83"/>
      <c r="AD12" s="127" t="str">
        <f t="shared" si="11"/>
        <v>BEAUDOUIN</v>
      </c>
      <c r="AE12" s="115"/>
      <c r="AF12" s="116"/>
      <c r="AG12" s="84" t="s">
        <v>54</v>
      </c>
      <c r="AH12" s="133" t="str">
        <f t="shared" si="12"/>
        <v>32</v>
      </c>
      <c r="AI12" s="85"/>
      <c r="AJ12" s="126" t="str">
        <f t="shared" si="13"/>
        <v xml:space="preserve">ADELINE  </v>
      </c>
      <c r="AK12" s="86" t="s">
        <v>54</v>
      </c>
      <c r="AL12" s="133" t="str">
        <f t="shared" si="14"/>
        <v>95</v>
      </c>
      <c r="AM12" s="87"/>
      <c r="AN12" s="126" t="str">
        <f t="shared" si="15"/>
        <v>RICHARD</v>
      </c>
      <c r="AO12" s="117"/>
      <c r="AP12" s="118"/>
      <c r="AQ12" s="88" t="s">
        <v>54</v>
      </c>
      <c r="AR12" s="134" t="str">
        <f t="shared" si="16"/>
        <v>59</v>
      </c>
      <c r="AS12" s="89"/>
      <c r="AT12" s="124" t="str">
        <f t="shared" si="17"/>
        <v>NADEGE</v>
      </c>
      <c r="AU12" s="90" t="s">
        <v>54</v>
      </c>
      <c r="AV12" s="134" t="str">
        <f t="shared" si="18"/>
        <v>118</v>
      </c>
      <c r="AW12" s="91"/>
      <c r="AX12" s="124" t="str">
        <f t="shared" si="19"/>
        <v>FERNAND</v>
      </c>
      <c r="AY12" s="119"/>
      <c r="AZ12" s="120"/>
      <c r="BA12" s="92" t="s">
        <v>54</v>
      </c>
      <c r="BB12" s="135" t="str">
        <f t="shared" si="20"/>
        <v>81</v>
      </c>
      <c r="BC12" s="93"/>
      <c r="BD12" s="125" t="str">
        <f t="shared" si="21"/>
        <v>THEOPHILE</v>
      </c>
      <c r="BE12" s="94" t="s">
        <v>54</v>
      </c>
      <c r="BF12" s="135" t="str">
        <f t="shared" si="22"/>
        <v>111</v>
      </c>
      <c r="BG12" s="95"/>
      <c r="BH12" s="125" t="str">
        <f t="shared" si="23"/>
        <v>SOLANGE</v>
      </c>
      <c r="BI12" s="121"/>
      <c r="BJ12" s="122"/>
      <c r="BK12" s="63"/>
      <c r="BM12" s="65">
        <f>[1]resultat!AL12</f>
        <v>12</v>
      </c>
      <c r="BN12" s="65" t="str">
        <f>[1]resultat!AM12</f>
        <v>ALAIN</v>
      </c>
      <c r="BO12" s="140">
        <v>12</v>
      </c>
      <c r="BP12" s="148">
        <v>7</v>
      </c>
      <c r="BQ12" s="142">
        <v>13</v>
      </c>
      <c r="BR12" s="273">
        <f t="shared" si="24"/>
        <v>6</v>
      </c>
      <c r="BS12" s="274" t="str">
        <f t="shared" si="25"/>
        <v>32</v>
      </c>
      <c r="BT12" s="275" t="str">
        <f t="shared" si="26"/>
        <v xml:space="preserve">ADELINE  </v>
      </c>
      <c r="BU12" s="276" t="str">
        <f t="shared" si="27"/>
        <v>51</v>
      </c>
      <c r="BV12" s="277" t="str">
        <f t="shared" si="28"/>
        <v>BEAUDOUIN</v>
      </c>
      <c r="BW12" s="273">
        <f t="shared" si="28"/>
        <v>13</v>
      </c>
      <c r="BX12" s="273">
        <f t="shared" si="28"/>
        <v>7</v>
      </c>
    </row>
    <row r="13" spans="1:76">
      <c r="A13" s="70" t="s">
        <v>187</v>
      </c>
      <c r="B13" s="20">
        <v>8</v>
      </c>
      <c r="C13" s="71" t="s">
        <v>54</v>
      </c>
      <c r="D13" s="130" t="str">
        <f t="shared" si="0"/>
        <v>35</v>
      </c>
      <c r="E13" s="72"/>
      <c r="F13" s="73" t="str">
        <f t="shared" si="1"/>
        <v>MARTIN</v>
      </c>
      <c r="G13" s="74" t="s">
        <v>54</v>
      </c>
      <c r="H13" s="130" t="str">
        <f t="shared" si="2"/>
        <v>106</v>
      </c>
      <c r="I13" s="75"/>
      <c r="J13" s="73" t="str">
        <f t="shared" si="3"/>
        <v>LOUISE</v>
      </c>
      <c r="K13" s="142">
        <v>13</v>
      </c>
      <c r="L13" s="148">
        <v>7</v>
      </c>
      <c r="M13" s="76" t="s">
        <v>54</v>
      </c>
      <c r="N13" s="131" t="str">
        <f t="shared" si="4"/>
        <v>2</v>
      </c>
      <c r="O13" s="77"/>
      <c r="P13" s="123" t="str">
        <f t="shared" si="5"/>
        <v>FRANCIS</v>
      </c>
      <c r="Q13" s="78" t="s">
        <v>54</v>
      </c>
      <c r="R13" s="131" t="str">
        <f t="shared" si="6"/>
        <v>69</v>
      </c>
      <c r="S13" s="79"/>
      <c r="T13" s="123" t="str">
        <f t="shared" si="7"/>
        <v>ALBERT</v>
      </c>
      <c r="U13" s="56"/>
      <c r="V13" s="57"/>
      <c r="W13" s="80" t="s">
        <v>54</v>
      </c>
      <c r="X13" s="132" t="str">
        <f t="shared" si="8"/>
        <v>22</v>
      </c>
      <c r="Y13" s="81"/>
      <c r="Z13" s="127" t="str">
        <f t="shared" si="9"/>
        <v xml:space="preserve">LANDRY   </v>
      </c>
      <c r="AA13" s="82" t="s">
        <v>54</v>
      </c>
      <c r="AB13" s="132" t="str">
        <f t="shared" si="10"/>
        <v>68</v>
      </c>
      <c r="AC13" s="83"/>
      <c r="AD13" s="127" t="str">
        <f t="shared" si="11"/>
        <v>BRICE</v>
      </c>
      <c r="AE13" s="115"/>
      <c r="AF13" s="116"/>
      <c r="AG13" s="84" t="s">
        <v>54</v>
      </c>
      <c r="AH13" s="133" t="str">
        <f t="shared" si="12"/>
        <v>64</v>
      </c>
      <c r="AI13" s="85"/>
      <c r="AJ13" s="126" t="str">
        <f t="shared" si="13"/>
        <v>QUENTIN</v>
      </c>
      <c r="AK13" s="86" t="s">
        <v>54</v>
      </c>
      <c r="AL13" s="133" t="str">
        <f t="shared" si="14"/>
        <v>8</v>
      </c>
      <c r="AM13" s="87"/>
      <c r="AN13" s="126" t="str">
        <f t="shared" si="15"/>
        <v>THIBAULT</v>
      </c>
      <c r="AO13" s="117"/>
      <c r="AP13" s="118"/>
      <c r="AQ13" s="88" t="s">
        <v>54</v>
      </c>
      <c r="AR13" s="134" t="str">
        <f t="shared" si="16"/>
        <v>55</v>
      </c>
      <c r="AS13" s="89"/>
      <c r="AT13" s="124" t="str">
        <f t="shared" si="17"/>
        <v>GREGOIRE</v>
      </c>
      <c r="AU13" s="90" t="s">
        <v>54</v>
      </c>
      <c r="AV13" s="134" t="str">
        <f t="shared" si="18"/>
        <v>69</v>
      </c>
      <c r="AW13" s="91"/>
      <c r="AX13" s="124" t="str">
        <f t="shared" si="19"/>
        <v>ALBERT</v>
      </c>
      <c r="AY13" s="119"/>
      <c r="AZ13" s="120"/>
      <c r="BA13" s="92" t="s">
        <v>54</v>
      </c>
      <c r="BB13" s="135" t="str">
        <f t="shared" si="20"/>
        <v>10</v>
      </c>
      <c r="BC13" s="93"/>
      <c r="BD13" s="125" t="str">
        <f t="shared" si="21"/>
        <v>PETER</v>
      </c>
      <c r="BE13" s="94" t="s">
        <v>54</v>
      </c>
      <c r="BF13" s="135" t="str">
        <f t="shared" si="22"/>
        <v>114</v>
      </c>
      <c r="BG13" s="95"/>
      <c r="BH13" s="125" t="str">
        <f t="shared" si="23"/>
        <v>BARNABE</v>
      </c>
      <c r="BI13" s="121"/>
      <c r="BJ13" s="122"/>
      <c r="BK13" s="63"/>
      <c r="BM13" s="65">
        <f>[1]resultat!AL13</f>
        <v>13</v>
      </c>
      <c r="BN13" s="65" t="str">
        <f>[1]resultat!AM13</f>
        <v>JEAN PIERRE</v>
      </c>
      <c r="BO13" s="229">
        <v>13</v>
      </c>
      <c r="BP13" s="142">
        <v>13</v>
      </c>
      <c r="BQ13" s="148">
        <v>7</v>
      </c>
      <c r="BR13" s="273">
        <f t="shared" si="24"/>
        <v>7</v>
      </c>
      <c r="BS13" s="274" t="str">
        <f t="shared" si="25"/>
        <v>90</v>
      </c>
      <c r="BT13" s="275" t="str">
        <f t="shared" si="26"/>
        <v>VALENTIN</v>
      </c>
      <c r="BU13" s="276" t="str">
        <f t="shared" si="27"/>
        <v>36</v>
      </c>
      <c r="BV13" s="277" t="str">
        <f t="shared" si="28"/>
        <v xml:space="preserve">ALCIDE  </v>
      </c>
      <c r="BW13" s="273">
        <f t="shared" si="28"/>
        <v>13</v>
      </c>
      <c r="BX13" s="273">
        <f t="shared" si="28"/>
        <v>7</v>
      </c>
    </row>
    <row r="14" spans="1:76">
      <c r="A14" s="70" t="s">
        <v>187</v>
      </c>
      <c r="B14" s="20">
        <v>9</v>
      </c>
      <c r="C14" s="71" t="s">
        <v>54</v>
      </c>
      <c r="D14" s="130" t="str">
        <f t="shared" si="0"/>
        <v>2</v>
      </c>
      <c r="E14" s="72"/>
      <c r="F14" s="73" t="str">
        <f t="shared" si="1"/>
        <v>FRANCIS</v>
      </c>
      <c r="G14" s="74" t="s">
        <v>54</v>
      </c>
      <c r="H14" s="130" t="str">
        <f t="shared" si="2"/>
        <v>97</v>
      </c>
      <c r="I14" s="75"/>
      <c r="J14" s="73" t="str">
        <f t="shared" si="3"/>
        <v>MATTHIAS</v>
      </c>
      <c r="K14" s="142">
        <v>13</v>
      </c>
      <c r="L14" s="148">
        <v>7</v>
      </c>
      <c r="M14" s="76" t="s">
        <v>54</v>
      </c>
      <c r="N14" s="131" t="str">
        <f t="shared" si="4"/>
        <v>19</v>
      </c>
      <c r="O14" s="77"/>
      <c r="P14" s="123" t="str">
        <f t="shared" si="5"/>
        <v xml:space="preserve">SYLVAIN   </v>
      </c>
      <c r="Q14" s="78" t="s">
        <v>54</v>
      </c>
      <c r="R14" s="131" t="str">
        <f t="shared" si="6"/>
        <v>56</v>
      </c>
      <c r="S14" s="79"/>
      <c r="T14" s="123" t="str">
        <f t="shared" si="7"/>
        <v xml:space="preserve">RENE  </v>
      </c>
      <c r="U14" s="56"/>
      <c r="V14" s="57"/>
      <c r="W14" s="80" t="s">
        <v>54</v>
      </c>
      <c r="X14" s="132" t="str">
        <f t="shared" si="8"/>
        <v>46</v>
      </c>
      <c r="Y14" s="81"/>
      <c r="Z14" s="127" t="str">
        <f t="shared" si="9"/>
        <v xml:space="preserve">SERGE  </v>
      </c>
      <c r="AA14" s="82" t="s">
        <v>54</v>
      </c>
      <c r="AB14" s="132" t="str">
        <f t="shared" si="10"/>
        <v>24</v>
      </c>
      <c r="AC14" s="83"/>
      <c r="AD14" s="127" t="str">
        <f t="shared" si="11"/>
        <v>JACQUES</v>
      </c>
      <c r="AE14" s="115"/>
      <c r="AF14" s="116"/>
      <c r="AG14" s="84" t="s">
        <v>54</v>
      </c>
      <c r="AH14" s="133" t="str">
        <f t="shared" si="12"/>
        <v>54</v>
      </c>
      <c r="AI14" s="85"/>
      <c r="AJ14" s="126" t="str">
        <f t="shared" si="13"/>
        <v>DAMIEN</v>
      </c>
      <c r="AK14" s="86" t="s">
        <v>54</v>
      </c>
      <c r="AL14" s="133" t="str">
        <f t="shared" si="14"/>
        <v>73</v>
      </c>
      <c r="AM14" s="87"/>
      <c r="AN14" s="126" t="str">
        <f t="shared" si="15"/>
        <v>EDMOND</v>
      </c>
      <c r="AO14" s="117"/>
      <c r="AP14" s="118"/>
      <c r="AQ14" s="88" t="s">
        <v>54</v>
      </c>
      <c r="AR14" s="134" t="str">
        <f t="shared" si="16"/>
        <v>57</v>
      </c>
      <c r="AS14" s="89"/>
      <c r="AT14" s="124" t="str">
        <f t="shared" si="17"/>
        <v>ARSENE</v>
      </c>
      <c r="AU14" s="90" t="s">
        <v>54</v>
      </c>
      <c r="AV14" s="134" t="str">
        <f t="shared" si="18"/>
        <v>64</v>
      </c>
      <c r="AW14" s="91"/>
      <c r="AX14" s="124" t="str">
        <f t="shared" si="19"/>
        <v>QUENTIN</v>
      </c>
      <c r="AY14" s="119"/>
      <c r="AZ14" s="120"/>
      <c r="BA14" s="92" t="s">
        <v>54</v>
      </c>
      <c r="BB14" s="135" t="str">
        <f t="shared" si="20"/>
        <v>99</v>
      </c>
      <c r="BC14" s="93"/>
      <c r="BD14" s="125" t="str">
        <f t="shared" si="21"/>
        <v>ROLANDE</v>
      </c>
      <c r="BE14" s="94" t="s">
        <v>54</v>
      </c>
      <c r="BF14" s="135" t="str">
        <f t="shared" si="22"/>
        <v>91</v>
      </c>
      <c r="BG14" s="95"/>
      <c r="BH14" s="125" t="str">
        <f t="shared" si="23"/>
        <v>VALERIE</v>
      </c>
      <c r="BI14" s="121"/>
      <c r="BJ14" s="122"/>
      <c r="BK14" s="63"/>
      <c r="BM14" s="65">
        <f>[1]resultat!AL14</f>
        <v>14</v>
      </c>
      <c r="BN14" s="65" t="str">
        <f>[1]resultat!AM14</f>
        <v>CHRISTOPHE</v>
      </c>
      <c r="BO14" s="229">
        <v>14</v>
      </c>
      <c r="BP14" s="142">
        <v>13</v>
      </c>
      <c r="BQ14" s="148">
        <v>7</v>
      </c>
      <c r="BR14" s="273">
        <f t="shared" si="24"/>
        <v>8</v>
      </c>
      <c r="BS14" s="274" t="str">
        <f t="shared" si="25"/>
        <v>35</v>
      </c>
      <c r="BT14" s="275" t="str">
        <f t="shared" si="26"/>
        <v>MARTIN</v>
      </c>
      <c r="BU14" s="276" t="str">
        <f t="shared" si="27"/>
        <v>106</v>
      </c>
      <c r="BV14" s="277" t="str">
        <f t="shared" si="28"/>
        <v>LOUISE</v>
      </c>
      <c r="BW14" s="273">
        <f t="shared" si="28"/>
        <v>13</v>
      </c>
      <c r="BX14" s="273">
        <f t="shared" si="28"/>
        <v>7</v>
      </c>
    </row>
    <row r="15" spans="1:76">
      <c r="A15" s="70" t="s">
        <v>187</v>
      </c>
      <c r="B15" s="20">
        <v>10</v>
      </c>
      <c r="C15" s="71" t="s">
        <v>54</v>
      </c>
      <c r="D15" s="130" t="str">
        <f t="shared" si="0"/>
        <v>13</v>
      </c>
      <c r="E15" s="72"/>
      <c r="F15" s="73" t="str">
        <f t="shared" si="1"/>
        <v>JEAN PIERRE</v>
      </c>
      <c r="G15" s="74" t="s">
        <v>54</v>
      </c>
      <c r="H15" s="130" t="str">
        <f t="shared" si="2"/>
        <v>68</v>
      </c>
      <c r="I15" s="75"/>
      <c r="J15" s="73" t="str">
        <f t="shared" si="3"/>
        <v>BRICE</v>
      </c>
      <c r="K15" s="142">
        <v>13</v>
      </c>
      <c r="L15" s="148">
        <v>7</v>
      </c>
      <c r="M15" s="76" t="s">
        <v>54</v>
      </c>
      <c r="N15" s="131" t="str">
        <f t="shared" si="4"/>
        <v>75</v>
      </c>
      <c r="O15" s="77"/>
      <c r="P15" s="123" t="str">
        <f t="shared" si="5"/>
        <v>NICOLAS</v>
      </c>
      <c r="Q15" s="78" t="s">
        <v>54</v>
      </c>
      <c r="R15" s="131" t="str">
        <f t="shared" si="6"/>
        <v>40</v>
      </c>
      <c r="S15" s="79"/>
      <c r="T15" s="123" t="str">
        <f t="shared" si="7"/>
        <v>VINCENT</v>
      </c>
      <c r="U15" s="56"/>
      <c r="V15" s="57"/>
      <c r="W15" s="80" t="s">
        <v>54</v>
      </c>
      <c r="X15" s="132" t="str">
        <f t="shared" si="8"/>
        <v>52</v>
      </c>
      <c r="Y15" s="81"/>
      <c r="Z15" s="127" t="str">
        <f t="shared" si="9"/>
        <v>ABEL</v>
      </c>
      <c r="AA15" s="82" t="s">
        <v>54</v>
      </c>
      <c r="AB15" s="132" t="str">
        <f t="shared" si="10"/>
        <v>56</v>
      </c>
      <c r="AC15" s="83"/>
      <c r="AD15" s="127" t="str">
        <f t="shared" si="11"/>
        <v xml:space="preserve">RENE  </v>
      </c>
      <c r="AE15" s="115"/>
      <c r="AF15" s="116"/>
      <c r="AG15" s="84" t="s">
        <v>54</v>
      </c>
      <c r="AH15" s="133" t="str">
        <f t="shared" si="12"/>
        <v>25</v>
      </c>
      <c r="AI15" s="85"/>
      <c r="AJ15" s="126" t="str">
        <f t="shared" si="13"/>
        <v>AURELIEN</v>
      </c>
      <c r="AK15" s="86" t="s">
        <v>54</v>
      </c>
      <c r="AL15" s="133" t="str">
        <f t="shared" si="14"/>
        <v>101</v>
      </c>
      <c r="AM15" s="87"/>
      <c r="AN15" s="126" t="str">
        <f t="shared" si="15"/>
        <v>HONORE</v>
      </c>
      <c r="AO15" s="117"/>
      <c r="AP15" s="118"/>
      <c r="AQ15" s="88" t="s">
        <v>54</v>
      </c>
      <c r="AR15" s="134" t="str">
        <f t="shared" si="16"/>
        <v>50</v>
      </c>
      <c r="AS15" s="89"/>
      <c r="AT15" s="124" t="str">
        <f t="shared" si="17"/>
        <v>FLORENTIN</v>
      </c>
      <c r="AU15" s="90" t="s">
        <v>54</v>
      </c>
      <c r="AV15" s="134" t="str">
        <f t="shared" si="18"/>
        <v>96</v>
      </c>
      <c r="AW15" s="91"/>
      <c r="AX15" s="124" t="str">
        <f t="shared" si="19"/>
        <v>GAUTIER</v>
      </c>
      <c r="AY15" s="119"/>
      <c r="AZ15" s="120"/>
      <c r="BA15" s="92" t="s">
        <v>54</v>
      </c>
      <c r="BB15" s="135" t="str">
        <f t="shared" si="20"/>
        <v>62</v>
      </c>
      <c r="BC15" s="93"/>
      <c r="BD15" s="125" t="str">
        <f t="shared" si="21"/>
        <v>DIMITRI</v>
      </c>
      <c r="BE15" s="94" t="s">
        <v>54</v>
      </c>
      <c r="BF15" s="135" t="str">
        <f t="shared" si="22"/>
        <v>29</v>
      </c>
      <c r="BG15" s="95"/>
      <c r="BH15" s="125" t="str">
        <f t="shared" si="23"/>
        <v xml:space="preserve">YOANN   </v>
      </c>
      <c r="BI15" s="121"/>
      <c r="BJ15" s="122"/>
      <c r="BK15" s="63"/>
      <c r="BM15" s="65">
        <f>[1]resultat!AL15</f>
        <v>15</v>
      </c>
      <c r="BN15" s="65" t="str">
        <f>[1]resultat!AM15</f>
        <v>JEAN PAUL</v>
      </c>
      <c r="BO15" s="229">
        <v>15</v>
      </c>
      <c r="BP15" s="142">
        <v>13</v>
      </c>
      <c r="BQ15" s="148">
        <v>7</v>
      </c>
      <c r="BR15" s="273">
        <f t="shared" si="24"/>
        <v>9</v>
      </c>
      <c r="BS15" s="274" t="str">
        <f t="shared" si="25"/>
        <v>2</v>
      </c>
      <c r="BT15" s="275" t="str">
        <f t="shared" si="26"/>
        <v>FRANCIS</v>
      </c>
      <c r="BU15" s="276" t="str">
        <f t="shared" si="27"/>
        <v>97</v>
      </c>
      <c r="BV15" s="277" t="str">
        <f t="shared" si="28"/>
        <v>MATTHIAS</v>
      </c>
      <c r="BW15" s="273">
        <f t="shared" si="28"/>
        <v>13</v>
      </c>
      <c r="BX15" s="273">
        <f t="shared" si="28"/>
        <v>7</v>
      </c>
    </row>
    <row r="16" spans="1:76">
      <c r="A16" s="70" t="s">
        <v>187</v>
      </c>
      <c r="B16" s="20">
        <v>11</v>
      </c>
      <c r="C16" s="71" t="s">
        <v>54</v>
      </c>
      <c r="D16" s="130" t="str">
        <f t="shared" si="0"/>
        <v>99</v>
      </c>
      <c r="E16" s="72"/>
      <c r="F16" s="73" t="str">
        <f t="shared" si="1"/>
        <v>ROLANDE</v>
      </c>
      <c r="G16" s="74" t="s">
        <v>54</v>
      </c>
      <c r="H16" s="130" t="str">
        <f t="shared" si="2"/>
        <v>89</v>
      </c>
      <c r="I16" s="75"/>
      <c r="J16" s="73" t="str">
        <f t="shared" si="3"/>
        <v>BERNARD</v>
      </c>
      <c r="K16" s="142">
        <v>13</v>
      </c>
      <c r="L16" s="148">
        <v>7</v>
      </c>
      <c r="M16" s="76" t="s">
        <v>54</v>
      </c>
      <c r="N16" s="131" t="str">
        <f t="shared" si="4"/>
        <v>39</v>
      </c>
      <c r="O16" s="77"/>
      <c r="P16" s="123" t="str">
        <f t="shared" si="5"/>
        <v xml:space="preserve">NICO  </v>
      </c>
      <c r="Q16" s="78" t="s">
        <v>54</v>
      </c>
      <c r="R16" s="131" t="str">
        <f t="shared" si="6"/>
        <v>114</v>
      </c>
      <c r="S16" s="79"/>
      <c r="T16" s="123" t="str">
        <f t="shared" si="7"/>
        <v>BARNABE</v>
      </c>
      <c r="U16" s="56"/>
      <c r="V16" s="57"/>
      <c r="W16" s="80" t="s">
        <v>54</v>
      </c>
      <c r="X16" s="132" t="str">
        <f t="shared" si="8"/>
        <v>67</v>
      </c>
      <c r="Y16" s="81"/>
      <c r="Z16" s="127" t="str">
        <f t="shared" si="9"/>
        <v>YVONNICK</v>
      </c>
      <c r="AA16" s="82" t="s">
        <v>54</v>
      </c>
      <c r="AB16" s="132" t="str">
        <f t="shared" si="10"/>
        <v>81</v>
      </c>
      <c r="AC16" s="83"/>
      <c r="AD16" s="127" t="str">
        <f t="shared" si="11"/>
        <v>THEOPHILE</v>
      </c>
      <c r="AE16" s="115"/>
      <c r="AF16" s="116"/>
      <c r="AG16" s="84" t="s">
        <v>54</v>
      </c>
      <c r="AH16" s="133" t="str">
        <f t="shared" si="12"/>
        <v>118</v>
      </c>
      <c r="AI16" s="85"/>
      <c r="AJ16" s="126" t="str">
        <f t="shared" si="13"/>
        <v>FERNAND</v>
      </c>
      <c r="AK16" s="86" t="s">
        <v>54</v>
      </c>
      <c r="AL16" s="133" t="str">
        <f t="shared" si="14"/>
        <v>111</v>
      </c>
      <c r="AM16" s="87"/>
      <c r="AN16" s="126" t="str">
        <f t="shared" si="15"/>
        <v>SOLANGE</v>
      </c>
      <c r="AO16" s="117"/>
      <c r="AP16" s="118"/>
      <c r="AQ16" s="88" t="s">
        <v>54</v>
      </c>
      <c r="AR16" s="134" t="str">
        <f t="shared" si="16"/>
        <v>91</v>
      </c>
      <c r="AS16" s="89"/>
      <c r="AT16" s="124" t="str">
        <f t="shared" si="17"/>
        <v>VALERIE</v>
      </c>
      <c r="AU16" s="90" t="s">
        <v>54</v>
      </c>
      <c r="AV16" s="134" t="str">
        <f t="shared" si="18"/>
        <v>74</v>
      </c>
      <c r="AW16" s="91"/>
      <c r="AX16" s="124" t="str">
        <f t="shared" si="19"/>
        <v>GERALD</v>
      </c>
      <c r="AY16" s="119"/>
      <c r="AZ16" s="120"/>
      <c r="BA16" s="92" t="s">
        <v>54</v>
      </c>
      <c r="BB16" s="135" t="str">
        <f t="shared" si="20"/>
        <v>6</v>
      </c>
      <c r="BC16" s="93"/>
      <c r="BD16" s="125" t="str">
        <f t="shared" si="21"/>
        <v>JACQUES</v>
      </c>
      <c r="BE16" s="94" t="s">
        <v>54</v>
      </c>
      <c r="BF16" s="135" t="str">
        <f t="shared" si="22"/>
        <v>112</v>
      </c>
      <c r="BG16" s="95"/>
      <c r="BH16" s="125" t="str">
        <f t="shared" si="23"/>
        <v>AYMAR</v>
      </c>
      <c r="BI16" s="121"/>
      <c r="BJ16" s="122"/>
      <c r="BK16" s="63"/>
      <c r="BM16" s="65">
        <f>[1]resultat!AL16</f>
        <v>16</v>
      </c>
      <c r="BN16" s="65" t="str">
        <f>[1]resultat!AM16</f>
        <v>MICKAEL</v>
      </c>
      <c r="BO16" s="229">
        <v>16</v>
      </c>
      <c r="BP16" s="142">
        <v>13</v>
      </c>
      <c r="BQ16" s="148">
        <v>7</v>
      </c>
      <c r="BR16" s="273">
        <f t="shared" si="24"/>
        <v>10</v>
      </c>
      <c r="BS16" s="274" t="str">
        <f t="shared" si="25"/>
        <v>13</v>
      </c>
      <c r="BT16" s="275" t="str">
        <f t="shared" si="26"/>
        <v>JEAN PIERRE</v>
      </c>
      <c r="BU16" s="276" t="str">
        <f t="shared" si="27"/>
        <v>68</v>
      </c>
      <c r="BV16" s="277" t="str">
        <f t="shared" si="28"/>
        <v>BRICE</v>
      </c>
      <c r="BW16" s="273">
        <f t="shared" si="28"/>
        <v>13</v>
      </c>
      <c r="BX16" s="273">
        <f t="shared" si="28"/>
        <v>7</v>
      </c>
    </row>
    <row r="17" spans="1:76">
      <c r="A17" s="70" t="s">
        <v>187</v>
      </c>
      <c r="B17" s="20">
        <v>12</v>
      </c>
      <c r="C17" s="71" t="s">
        <v>54</v>
      </c>
      <c r="D17" s="130" t="str">
        <f t="shared" si="0"/>
        <v>22</v>
      </c>
      <c r="E17" s="72"/>
      <c r="F17" s="73" t="str">
        <f t="shared" si="1"/>
        <v xml:space="preserve">LANDRY   </v>
      </c>
      <c r="G17" s="74" t="s">
        <v>54</v>
      </c>
      <c r="H17" s="130" t="str">
        <f t="shared" si="2"/>
        <v>74</v>
      </c>
      <c r="I17" s="75"/>
      <c r="J17" s="73" t="str">
        <f t="shared" si="3"/>
        <v>GERALD</v>
      </c>
      <c r="K17" s="142">
        <v>13</v>
      </c>
      <c r="L17" s="148">
        <v>7</v>
      </c>
      <c r="M17" s="76" t="s">
        <v>54</v>
      </c>
      <c r="N17" s="131" t="str">
        <f t="shared" si="4"/>
        <v>48</v>
      </c>
      <c r="O17" s="77"/>
      <c r="P17" s="123" t="str">
        <f t="shared" si="5"/>
        <v>LUC</v>
      </c>
      <c r="Q17" s="78" t="s">
        <v>54</v>
      </c>
      <c r="R17" s="131" t="str">
        <f t="shared" si="6"/>
        <v>55</v>
      </c>
      <c r="S17" s="79"/>
      <c r="T17" s="123" t="str">
        <f t="shared" si="7"/>
        <v>GREGOIRE</v>
      </c>
      <c r="U17" s="56"/>
      <c r="V17" s="57"/>
      <c r="W17" s="80" t="s">
        <v>54</v>
      </c>
      <c r="X17" s="132" t="str">
        <f t="shared" si="8"/>
        <v>100</v>
      </c>
      <c r="Y17" s="81"/>
      <c r="Z17" s="127" t="str">
        <f t="shared" si="9"/>
        <v>CONSTANTIN</v>
      </c>
      <c r="AA17" s="82" t="s">
        <v>54</v>
      </c>
      <c r="AB17" s="132" t="str">
        <f t="shared" si="10"/>
        <v>84</v>
      </c>
      <c r="AC17" s="83"/>
      <c r="AD17" s="127" t="str">
        <f t="shared" si="11"/>
        <v>BASILE</v>
      </c>
      <c r="AE17" s="115"/>
      <c r="AF17" s="116"/>
      <c r="AG17" s="84" t="s">
        <v>54</v>
      </c>
      <c r="AH17" s="133" t="str">
        <f t="shared" si="12"/>
        <v>76</v>
      </c>
      <c r="AI17" s="85"/>
      <c r="AJ17" s="126" t="str">
        <f t="shared" si="13"/>
        <v>AMBROISE</v>
      </c>
      <c r="AK17" s="86" t="s">
        <v>54</v>
      </c>
      <c r="AL17" s="133" t="str">
        <f t="shared" si="14"/>
        <v>26</v>
      </c>
      <c r="AM17" s="87"/>
      <c r="AN17" s="126" t="str">
        <f t="shared" si="15"/>
        <v xml:space="preserve">THIERRY  </v>
      </c>
      <c r="AO17" s="117"/>
      <c r="AP17" s="118"/>
      <c r="AQ17" s="88" t="s">
        <v>54</v>
      </c>
      <c r="AR17" s="134" t="str">
        <f t="shared" si="16"/>
        <v>5</v>
      </c>
      <c r="AS17" s="89"/>
      <c r="AT17" s="124" t="str">
        <f t="shared" si="17"/>
        <v>YVON</v>
      </c>
      <c r="AU17" s="90" t="s">
        <v>54</v>
      </c>
      <c r="AV17" s="134" t="str">
        <f t="shared" si="18"/>
        <v>26</v>
      </c>
      <c r="AW17" s="91"/>
      <c r="AX17" s="124" t="str">
        <f t="shared" si="19"/>
        <v xml:space="preserve">THIERRY  </v>
      </c>
      <c r="AY17" s="119"/>
      <c r="AZ17" s="120"/>
      <c r="BA17" s="92" t="s">
        <v>54</v>
      </c>
      <c r="BB17" s="135" t="str">
        <f t="shared" si="20"/>
        <v>87</v>
      </c>
      <c r="BC17" s="93"/>
      <c r="BD17" s="125" t="str">
        <f t="shared" si="21"/>
        <v>GUILLAUME</v>
      </c>
      <c r="BE17" s="94" t="s">
        <v>54</v>
      </c>
      <c r="BF17" s="135" t="str">
        <f t="shared" si="22"/>
        <v>75</v>
      </c>
      <c r="BG17" s="95"/>
      <c r="BH17" s="125" t="str">
        <f t="shared" si="23"/>
        <v>NICOLAS</v>
      </c>
      <c r="BI17" s="121"/>
      <c r="BJ17" s="122"/>
      <c r="BK17" s="63"/>
      <c r="BM17" s="65">
        <f>[1]resultat!AL17</f>
        <v>17</v>
      </c>
      <c r="BN17" s="65" t="str">
        <f>[1]resultat!AM17</f>
        <v xml:space="preserve">LAURENT    </v>
      </c>
      <c r="BO17" s="229">
        <v>17</v>
      </c>
      <c r="BP17" s="142">
        <v>13</v>
      </c>
      <c r="BQ17" s="148">
        <v>7</v>
      </c>
      <c r="BR17" s="273">
        <f t="shared" si="24"/>
        <v>11</v>
      </c>
      <c r="BS17" s="274" t="str">
        <f t="shared" si="25"/>
        <v>99</v>
      </c>
      <c r="BT17" s="275" t="str">
        <f t="shared" si="26"/>
        <v>ROLANDE</v>
      </c>
      <c r="BU17" s="276" t="str">
        <f t="shared" si="27"/>
        <v>89</v>
      </c>
      <c r="BV17" s="277" t="str">
        <f t="shared" si="28"/>
        <v>BERNARD</v>
      </c>
      <c r="BW17" s="273">
        <f t="shared" si="28"/>
        <v>13</v>
      </c>
      <c r="BX17" s="273">
        <f t="shared" si="28"/>
        <v>7</v>
      </c>
    </row>
    <row r="18" spans="1:76">
      <c r="A18" s="70" t="s">
        <v>187</v>
      </c>
      <c r="B18" s="20">
        <v>13</v>
      </c>
      <c r="C18" s="71" t="s">
        <v>54</v>
      </c>
      <c r="D18" s="130" t="str">
        <f t="shared" si="0"/>
        <v>107</v>
      </c>
      <c r="E18" s="72"/>
      <c r="F18" s="73" t="str">
        <f t="shared" si="1"/>
        <v>GONTRAN</v>
      </c>
      <c r="G18" s="74" t="s">
        <v>54</v>
      </c>
      <c r="H18" s="130" t="str">
        <f t="shared" si="2"/>
        <v>58</v>
      </c>
      <c r="I18" s="75"/>
      <c r="J18" s="73" t="str">
        <f t="shared" si="3"/>
        <v>FRANCIS</v>
      </c>
      <c r="K18" s="142">
        <v>13</v>
      </c>
      <c r="L18" s="148">
        <v>7</v>
      </c>
      <c r="M18" s="76" t="s">
        <v>54</v>
      </c>
      <c r="N18" s="131" t="str">
        <f t="shared" si="4"/>
        <v>97</v>
      </c>
      <c r="O18" s="77"/>
      <c r="P18" s="123" t="str">
        <f t="shared" si="5"/>
        <v>MATTHIAS</v>
      </c>
      <c r="Q18" s="78" t="s">
        <v>54</v>
      </c>
      <c r="R18" s="131" t="str">
        <f t="shared" si="6"/>
        <v>15</v>
      </c>
      <c r="S18" s="79"/>
      <c r="T18" s="123" t="str">
        <f t="shared" si="7"/>
        <v>JEAN PAUL</v>
      </c>
      <c r="U18" s="56"/>
      <c r="V18" s="57"/>
      <c r="W18" s="80" t="s">
        <v>54</v>
      </c>
      <c r="X18" s="132" t="str">
        <f t="shared" si="8"/>
        <v>36</v>
      </c>
      <c r="Y18" s="81"/>
      <c r="Z18" s="127" t="str">
        <f t="shared" si="9"/>
        <v xml:space="preserve">ALCIDE  </v>
      </c>
      <c r="AA18" s="82" t="s">
        <v>54</v>
      </c>
      <c r="AB18" s="132" t="str">
        <f t="shared" si="10"/>
        <v>49</v>
      </c>
      <c r="AC18" s="83"/>
      <c r="AD18" s="127" t="str">
        <f t="shared" si="11"/>
        <v>OLIVIER</v>
      </c>
      <c r="AE18" s="115"/>
      <c r="AF18" s="116"/>
      <c r="AG18" s="84" t="s">
        <v>54</v>
      </c>
      <c r="AH18" s="133" t="str">
        <f t="shared" si="12"/>
        <v>28</v>
      </c>
      <c r="AI18" s="85"/>
      <c r="AJ18" s="126" t="str">
        <f t="shared" si="13"/>
        <v xml:space="preserve">RENE  </v>
      </c>
      <c r="AK18" s="86" t="s">
        <v>54</v>
      </c>
      <c r="AL18" s="133" t="str">
        <f t="shared" si="14"/>
        <v>44</v>
      </c>
      <c r="AM18" s="87"/>
      <c r="AN18" s="126" t="str">
        <f t="shared" si="15"/>
        <v>GUY JEAN</v>
      </c>
      <c r="AO18" s="117"/>
      <c r="AP18" s="118"/>
      <c r="AQ18" s="88" t="s">
        <v>54</v>
      </c>
      <c r="AR18" s="134" t="str">
        <f t="shared" si="16"/>
        <v>14</v>
      </c>
      <c r="AS18" s="89"/>
      <c r="AT18" s="124" t="str">
        <f t="shared" si="17"/>
        <v>CHRISTOPHE</v>
      </c>
      <c r="AU18" s="90" t="s">
        <v>54</v>
      </c>
      <c r="AV18" s="134" t="str">
        <f t="shared" si="18"/>
        <v>10</v>
      </c>
      <c r="AW18" s="91"/>
      <c r="AX18" s="124" t="str">
        <f t="shared" si="19"/>
        <v>PETER</v>
      </c>
      <c r="AY18" s="119"/>
      <c r="AZ18" s="120"/>
      <c r="BA18" s="92" t="s">
        <v>54</v>
      </c>
      <c r="BB18" s="135" t="str">
        <f t="shared" si="20"/>
        <v>8</v>
      </c>
      <c r="BC18" s="93"/>
      <c r="BD18" s="125" t="str">
        <f t="shared" si="21"/>
        <v>THIBAULT</v>
      </c>
      <c r="BE18" s="94" t="s">
        <v>54</v>
      </c>
      <c r="BF18" s="135" t="str">
        <f t="shared" si="22"/>
        <v>69</v>
      </c>
      <c r="BG18" s="95"/>
      <c r="BH18" s="125" t="str">
        <f t="shared" si="23"/>
        <v>ALBERT</v>
      </c>
      <c r="BI18" s="121"/>
      <c r="BJ18" s="122"/>
      <c r="BK18" s="63"/>
      <c r="BM18" s="65">
        <f>[1]resultat!AL18</f>
        <v>18</v>
      </c>
      <c r="BN18" s="65" t="str">
        <f>[1]resultat!AM18</f>
        <v xml:space="preserve">CHARLES  </v>
      </c>
      <c r="BO18" s="140">
        <v>18</v>
      </c>
      <c r="BP18" s="148">
        <v>7</v>
      </c>
      <c r="BQ18" s="142">
        <v>13</v>
      </c>
      <c r="BR18" s="273">
        <f t="shared" si="24"/>
        <v>12</v>
      </c>
      <c r="BS18" s="274" t="str">
        <f t="shared" si="25"/>
        <v>22</v>
      </c>
      <c r="BT18" s="275" t="str">
        <f t="shared" si="26"/>
        <v xml:space="preserve">LANDRY   </v>
      </c>
      <c r="BU18" s="276" t="str">
        <f t="shared" si="27"/>
        <v>74</v>
      </c>
      <c r="BV18" s="277" t="str">
        <f t="shared" si="28"/>
        <v>GERALD</v>
      </c>
      <c r="BW18" s="273">
        <f t="shared" si="28"/>
        <v>13</v>
      </c>
      <c r="BX18" s="273">
        <f t="shared" si="28"/>
        <v>7</v>
      </c>
    </row>
    <row r="19" spans="1:76">
      <c r="A19" s="70" t="s">
        <v>187</v>
      </c>
      <c r="B19" s="20">
        <v>14</v>
      </c>
      <c r="C19" s="71" t="s">
        <v>54</v>
      </c>
      <c r="D19" s="130" t="str">
        <f t="shared" si="0"/>
        <v>81</v>
      </c>
      <c r="E19" s="72"/>
      <c r="F19" s="73" t="str">
        <f t="shared" si="1"/>
        <v>THEOPHILE</v>
      </c>
      <c r="G19" s="74" t="s">
        <v>54</v>
      </c>
      <c r="H19" s="130" t="str">
        <f t="shared" si="2"/>
        <v>25</v>
      </c>
      <c r="I19" s="75"/>
      <c r="J19" s="73" t="str">
        <f t="shared" si="3"/>
        <v>AURELIEN</v>
      </c>
      <c r="K19" s="142">
        <v>13</v>
      </c>
      <c r="L19" s="148">
        <v>7</v>
      </c>
      <c r="M19" s="76" t="s">
        <v>54</v>
      </c>
      <c r="N19" s="131" t="str">
        <f t="shared" si="4"/>
        <v>109</v>
      </c>
      <c r="O19" s="77"/>
      <c r="P19" s="123" t="str">
        <f t="shared" si="5"/>
        <v>MARCELLIN</v>
      </c>
      <c r="Q19" s="78" t="s">
        <v>54</v>
      </c>
      <c r="R19" s="131" t="str">
        <f t="shared" si="6"/>
        <v>42</v>
      </c>
      <c r="S19" s="79"/>
      <c r="T19" s="123" t="str">
        <f t="shared" si="7"/>
        <v xml:space="preserve">FREDDY  </v>
      </c>
      <c r="U19" s="56"/>
      <c r="V19" s="57"/>
      <c r="W19" s="80" t="s">
        <v>54</v>
      </c>
      <c r="X19" s="132" t="str">
        <f t="shared" si="8"/>
        <v>10</v>
      </c>
      <c r="Y19" s="81"/>
      <c r="Z19" s="127" t="str">
        <f t="shared" si="9"/>
        <v>PETER</v>
      </c>
      <c r="AA19" s="82" t="s">
        <v>54</v>
      </c>
      <c r="AB19" s="132" t="str">
        <f t="shared" si="10"/>
        <v>117</v>
      </c>
      <c r="AC19" s="83"/>
      <c r="AD19" s="127" t="str">
        <f t="shared" si="11"/>
        <v>PROSPER</v>
      </c>
      <c r="AE19" s="115"/>
      <c r="AF19" s="116"/>
      <c r="AG19" s="84" t="s">
        <v>54</v>
      </c>
      <c r="AH19" s="133" t="str">
        <f t="shared" si="12"/>
        <v>88</v>
      </c>
      <c r="AI19" s="85"/>
      <c r="AJ19" s="126" t="str">
        <f t="shared" si="13"/>
        <v>VINCENT</v>
      </c>
      <c r="AK19" s="86" t="s">
        <v>54</v>
      </c>
      <c r="AL19" s="133" t="str">
        <f t="shared" si="14"/>
        <v>4</v>
      </c>
      <c r="AM19" s="87"/>
      <c r="AN19" s="126" t="str">
        <f t="shared" si="15"/>
        <v>DENISE</v>
      </c>
      <c r="AO19" s="117"/>
      <c r="AP19" s="118"/>
      <c r="AQ19" s="88" t="s">
        <v>54</v>
      </c>
      <c r="AR19" s="134" t="str">
        <f t="shared" si="16"/>
        <v>47</v>
      </c>
      <c r="AS19" s="89"/>
      <c r="AT19" s="124" t="str">
        <f t="shared" si="17"/>
        <v>HERMAN</v>
      </c>
      <c r="AU19" s="90" t="s">
        <v>54</v>
      </c>
      <c r="AV19" s="134" t="str">
        <f t="shared" si="18"/>
        <v>31</v>
      </c>
      <c r="AW19" s="91"/>
      <c r="AX19" s="124" t="str">
        <f t="shared" si="19"/>
        <v>EDOUARD</v>
      </c>
      <c r="AY19" s="119"/>
      <c r="AZ19" s="120"/>
      <c r="BA19" s="92" t="s">
        <v>54</v>
      </c>
      <c r="BB19" s="135" t="str">
        <f t="shared" si="20"/>
        <v>4</v>
      </c>
      <c r="BC19" s="93"/>
      <c r="BD19" s="125" t="str">
        <f t="shared" si="21"/>
        <v>DENISE</v>
      </c>
      <c r="BE19" s="94" t="s">
        <v>54</v>
      </c>
      <c r="BF19" s="135" t="str">
        <f t="shared" si="22"/>
        <v>41</v>
      </c>
      <c r="BG19" s="95"/>
      <c r="BH19" s="125" t="str">
        <f t="shared" si="23"/>
        <v>ETIENNE</v>
      </c>
      <c r="BI19" s="121"/>
      <c r="BJ19" s="122"/>
      <c r="BK19" s="63"/>
      <c r="BM19" s="65">
        <f>[1]resultat!AL19</f>
        <v>19</v>
      </c>
      <c r="BN19" s="65" t="str">
        <f>[1]resultat!AM19</f>
        <v xml:space="preserve">SYLVAIN   </v>
      </c>
      <c r="BO19" s="140">
        <v>19</v>
      </c>
      <c r="BP19" s="148">
        <v>7</v>
      </c>
      <c r="BQ19" s="142">
        <v>13</v>
      </c>
      <c r="BR19" s="273">
        <f t="shared" si="24"/>
        <v>13</v>
      </c>
      <c r="BS19" s="274" t="str">
        <f t="shared" si="25"/>
        <v>107</v>
      </c>
      <c r="BT19" s="275" t="str">
        <f t="shared" si="26"/>
        <v>GONTRAN</v>
      </c>
      <c r="BU19" s="276" t="str">
        <f t="shared" si="27"/>
        <v>58</v>
      </c>
      <c r="BV19" s="277" t="str">
        <f t="shared" si="28"/>
        <v>FRANCIS</v>
      </c>
      <c r="BW19" s="273">
        <f t="shared" si="28"/>
        <v>13</v>
      </c>
      <c r="BX19" s="273">
        <f t="shared" si="28"/>
        <v>7</v>
      </c>
    </row>
    <row r="20" spans="1:76">
      <c r="A20" s="70" t="s">
        <v>187</v>
      </c>
      <c r="B20" s="20">
        <v>15</v>
      </c>
      <c r="C20" s="71" t="s">
        <v>54</v>
      </c>
      <c r="D20" s="130" t="str">
        <f t="shared" si="0"/>
        <v>59</v>
      </c>
      <c r="E20" s="72"/>
      <c r="F20" s="73" t="str">
        <f t="shared" si="1"/>
        <v>NADEGE</v>
      </c>
      <c r="G20" s="74" t="s">
        <v>54</v>
      </c>
      <c r="H20" s="130" t="str">
        <f t="shared" si="2"/>
        <v>62</v>
      </c>
      <c r="I20" s="75"/>
      <c r="J20" s="73" t="str">
        <f t="shared" si="3"/>
        <v>DIMITRI</v>
      </c>
      <c r="K20" s="142">
        <v>13</v>
      </c>
      <c r="L20" s="148">
        <v>7</v>
      </c>
      <c r="M20" s="76" t="s">
        <v>54</v>
      </c>
      <c r="N20" s="131" t="str">
        <f t="shared" si="4"/>
        <v>115</v>
      </c>
      <c r="O20" s="77"/>
      <c r="P20" s="123" t="str">
        <f t="shared" si="5"/>
        <v>LEON</v>
      </c>
      <c r="Q20" s="78" t="s">
        <v>54</v>
      </c>
      <c r="R20" s="131" t="str">
        <f t="shared" si="6"/>
        <v>17</v>
      </c>
      <c r="S20" s="79"/>
      <c r="T20" s="123" t="str">
        <f t="shared" si="7"/>
        <v xml:space="preserve">LAURENT    </v>
      </c>
      <c r="U20" s="56"/>
      <c r="V20" s="57"/>
      <c r="W20" s="80" t="s">
        <v>54</v>
      </c>
      <c r="X20" s="132" t="str">
        <f t="shared" si="8"/>
        <v>43</v>
      </c>
      <c r="Y20" s="81"/>
      <c r="Z20" s="127" t="str">
        <f t="shared" si="9"/>
        <v>ALLAIRE</v>
      </c>
      <c r="AA20" s="82" t="s">
        <v>54</v>
      </c>
      <c r="AB20" s="132" t="str">
        <f t="shared" si="10"/>
        <v>53</v>
      </c>
      <c r="AC20" s="83"/>
      <c r="AD20" s="127" t="str">
        <f t="shared" si="11"/>
        <v>AURELIEN</v>
      </c>
      <c r="AE20" s="115"/>
      <c r="AF20" s="116"/>
      <c r="AG20" s="84" t="s">
        <v>54</v>
      </c>
      <c r="AH20" s="133" t="str">
        <f t="shared" si="12"/>
        <v>89</v>
      </c>
      <c r="AI20" s="85"/>
      <c r="AJ20" s="126" t="str">
        <f t="shared" si="13"/>
        <v>BERNARD</v>
      </c>
      <c r="AK20" s="86" t="s">
        <v>54</v>
      </c>
      <c r="AL20" s="133" t="str">
        <f t="shared" si="14"/>
        <v>68</v>
      </c>
      <c r="AM20" s="87"/>
      <c r="AN20" s="126" t="str">
        <f t="shared" si="15"/>
        <v>BRICE</v>
      </c>
      <c r="AO20" s="117"/>
      <c r="AP20" s="118"/>
      <c r="AQ20" s="88" t="s">
        <v>54</v>
      </c>
      <c r="AR20" s="134" t="str">
        <f t="shared" si="16"/>
        <v>25</v>
      </c>
      <c r="AS20" s="89"/>
      <c r="AT20" s="124" t="str">
        <f t="shared" si="17"/>
        <v>AURELIEN</v>
      </c>
      <c r="AU20" s="90" t="s">
        <v>54</v>
      </c>
      <c r="AV20" s="134" t="str">
        <f t="shared" si="18"/>
        <v>92</v>
      </c>
      <c r="AW20" s="91"/>
      <c r="AX20" s="124" t="str">
        <f t="shared" si="19"/>
        <v>ROMAIN</v>
      </c>
      <c r="AY20" s="119"/>
      <c r="AZ20" s="120"/>
      <c r="BA20" s="92" t="s">
        <v>54</v>
      </c>
      <c r="BB20" s="135" t="str">
        <f t="shared" si="20"/>
        <v>44</v>
      </c>
      <c r="BC20" s="93"/>
      <c r="BD20" s="125" t="str">
        <f t="shared" si="21"/>
        <v>GUY JEAN</v>
      </c>
      <c r="BE20" s="94" t="s">
        <v>54</v>
      </c>
      <c r="BF20" s="135" t="str">
        <f t="shared" si="22"/>
        <v>67</v>
      </c>
      <c r="BG20" s="95"/>
      <c r="BH20" s="125" t="str">
        <f t="shared" si="23"/>
        <v>YVONNICK</v>
      </c>
      <c r="BI20" s="121"/>
      <c r="BJ20" s="122"/>
      <c r="BK20" s="63"/>
      <c r="BM20" s="65">
        <f>[1]resultat!AL20</f>
        <v>20</v>
      </c>
      <c r="BN20" s="65" t="str">
        <f>[1]resultat!AM20</f>
        <v>JONATHAN</v>
      </c>
      <c r="BO20" s="229">
        <v>20</v>
      </c>
      <c r="BP20" s="142">
        <v>13</v>
      </c>
      <c r="BQ20" s="148">
        <v>7</v>
      </c>
      <c r="BR20" s="273">
        <f t="shared" si="24"/>
        <v>14</v>
      </c>
      <c r="BS20" s="274" t="str">
        <f t="shared" si="25"/>
        <v>81</v>
      </c>
      <c r="BT20" s="275" t="str">
        <f t="shared" si="26"/>
        <v>THEOPHILE</v>
      </c>
      <c r="BU20" s="276" t="str">
        <f t="shared" si="27"/>
        <v>25</v>
      </c>
      <c r="BV20" s="277" t="str">
        <f t="shared" si="28"/>
        <v>AURELIEN</v>
      </c>
      <c r="BW20" s="273">
        <f t="shared" si="28"/>
        <v>13</v>
      </c>
      <c r="BX20" s="273">
        <f t="shared" si="28"/>
        <v>7</v>
      </c>
    </row>
    <row r="21" spans="1:76">
      <c r="A21" s="70" t="s">
        <v>187</v>
      </c>
      <c r="B21" s="20">
        <v>16</v>
      </c>
      <c r="C21" s="71" t="s">
        <v>54</v>
      </c>
      <c r="D21" s="130" t="str">
        <f t="shared" si="0"/>
        <v>71</v>
      </c>
      <c r="E21" s="72"/>
      <c r="F21" s="73" t="str">
        <f t="shared" si="1"/>
        <v>JIMMY</v>
      </c>
      <c r="G21" s="74" t="s">
        <v>54</v>
      </c>
      <c r="H21" s="130" t="str">
        <f t="shared" si="2"/>
        <v>60</v>
      </c>
      <c r="I21" s="75"/>
      <c r="J21" s="73" t="str">
        <f t="shared" si="3"/>
        <v>EDITH</v>
      </c>
      <c r="K21" s="142">
        <v>13</v>
      </c>
      <c r="L21" s="148">
        <v>7</v>
      </c>
      <c r="M21" s="76" t="s">
        <v>54</v>
      </c>
      <c r="N21" s="131" t="str">
        <f t="shared" si="4"/>
        <v>64</v>
      </c>
      <c r="O21" s="77"/>
      <c r="P21" s="123" t="str">
        <f t="shared" si="5"/>
        <v>QUENTIN</v>
      </c>
      <c r="Q21" s="78" t="s">
        <v>54</v>
      </c>
      <c r="R21" s="131" t="str">
        <f t="shared" si="6"/>
        <v>49</v>
      </c>
      <c r="S21" s="79"/>
      <c r="T21" s="123" t="str">
        <f t="shared" si="7"/>
        <v>OLIVIER</v>
      </c>
      <c r="U21" s="56"/>
      <c r="V21" s="57"/>
      <c r="W21" s="80" t="s">
        <v>54</v>
      </c>
      <c r="X21" s="132" t="str">
        <f t="shared" si="8"/>
        <v>63</v>
      </c>
      <c r="Y21" s="81"/>
      <c r="Z21" s="127" t="str">
        <f t="shared" si="9"/>
        <v>FIRMIN</v>
      </c>
      <c r="AA21" s="82" t="s">
        <v>54</v>
      </c>
      <c r="AB21" s="132" t="str">
        <f t="shared" si="10"/>
        <v>54</v>
      </c>
      <c r="AC21" s="83"/>
      <c r="AD21" s="127" t="str">
        <f t="shared" si="11"/>
        <v>DAMIEN</v>
      </c>
      <c r="AE21" s="115"/>
      <c r="AF21" s="116"/>
      <c r="AG21" s="84" t="s">
        <v>54</v>
      </c>
      <c r="AH21" s="133" t="str">
        <f t="shared" si="12"/>
        <v>86</v>
      </c>
      <c r="AI21" s="85"/>
      <c r="AJ21" s="126" t="str">
        <f t="shared" si="13"/>
        <v>LUCIEN</v>
      </c>
      <c r="AK21" s="86" t="s">
        <v>54</v>
      </c>
      <c r="AL21" s="133" t="str">
        <f t="shared" si="14"/>
        <v>113</v>
      </c>
      <c r="AM21" s="87"/>
      <c r="AN21" s="126" t="str">
        <f t="shared" si="15"/>
        <v>NORBERT</v>
      </c>
      <c r="AO21" s="117"/>
      <c r="AP21" s="118"/>
      <c r="AQ21" s="88" t="s">
        <v>54</v>
      </c>
      <c r="AR21" s="134" t="str">
        <f t="shared" si="16"/>
        <v>97</v>
      </c>
      <c r="AS21" s="89"/>
      <c r="AT21" s="124" t="str">
        <f t="shared" si="17"/>
        <v>MATTHIAS</v>
      </c>
      <c r="AU21" s="90" t="s">
        <v>54</v>
      </c>
      <c r="AV21" s="134" t="str">
        <f t="shared" si="18"/>
        <v>70</v>
      </c>
      <c r="AW21" s="91"/>
      <c r="AX21" s="124" t="str">
        <f t="shared" si="19"/>
        <v>TANGUY</v>
      </c>
      <c r="AY21" s="119"/>
      <c r="AZ21" s="120"/>
      <c r="BA21" s="92" t="s">
        <v>54</v>
      </c>
      <c r="BB21" s="135" t="str">
        <f t="shared" si="20"/>
        <v>70</v>
      </c>
      <c r="BC21" s="93"/>
      <c r="BD21" s="125" t="str">
        <f t="shared" si="21"/>
        <v>TANGUY</v>
      </c>
      <c r="BE21" s="94" t="s">
        <v>54</v>
      </c>
      <c r="BF21" s="135" t="str">
        <f t="shared" si="22"/>
        <v>49</v>
      </c>
      <c r="BG21" s="95"/>
      <c r="BH21" s="125" t="str">
        <f t="shared" si="23"/>
        <v>OLIVIER</v>
      </c>
      <c r="BI21" s="121"/>
      <c r="BJ21" s="122"/>
      <c r="BK21" s="63"/>
      <c r="BM21" s="65">
        <f>[1]resultat!AL21</f>
        <v>21</v>
      </c>
      <c r="BN21" s="65" t="str">
        <f>[1]resultat!AM21</f>
        <v>GEGE</v>
      </c>
      <c r="BO21" s="229">
        <v>21</v>
      </c>
      <c r="BP21" s="142">
        <v>13</v>
      </c>
      <c r="BQ21" s="148">
        <v>7</v>
      </c>
      <c r="BR21" s="273">
        <f t="shared" si="24"/>
        <v>15</v>
      </c>
      <c r="BS21" s="274" t="str">
        <f t="shared" si="25"/>
        <v>59</v>
      </c>
      <c r="BT21" s="275" t="str">
        <f t="shared" si="26"/>
        <v>NADEGE</v>
      </c>
      <c r="BU21" s="276" t="str">
        <f t="shared" si="27"/>
        <v>62</v>
      </c>
      <c r="BV21" s="277" t="str">
        <f t="shared" si="28"/>
        <v>DIMITRI</v>
      </c>
      <c r="BW21" s="273">
        <f t="shared" si="28"/>
        <v>13</v>
      </c>
      <c r="BX21" s="273">
        <f t="shared" si="28"/>
        <v>7</v>
      </c>
    </row>
    <row r="22" spans="1:76">
      <c r="A22" s="70" t="s">
        <v>187</v>
      </c>
      <c r="B22" s="20">
        <v>17</v>
      </c>
      <c r="C22" s="71" t="s">
        <v>54</v>
      </c>
      <c r="D22" s="130" t="str">
        <f t="shared" si="0"/>
        <v>16</v>
      </c>
      <c r="E22" s="72"/>
      <c r="F22" s="73" t="str">
        <f t="shared" si="1"/>
        <v>MICKAEL</v>
      </c>
      <c r="G22" s="74" t="s">
        <v>54</v>
      </c>
      <c r="H22" s="130" t="str">
        <f t="shared" si="2"/>
        <v>108</v>
      </c>
      <c r="I22" s="75"/>
      <c r="J22" s="73" t="str">
        <f t="shared" si="3"/>
        <v>ISIDORE</v>
      </c>
      <c r="K22" s="142">
        <v>13</v>
      </c>
      <c r="L22" s="148">
        <v>7</v>
      </c>
      <c r="M22" s="76" t="s">
        <v>54</v>
      </c>
      <c r="N22" s="131" t="str">
        <f t="shared" si="4"/>
        <v>6</v>
      </c>
      <c r="O22" s="77"/>
      <c r="P22" s="123" t="str">
        <f t="shared" si="5"/>
        <v>JACQUES</v>
      </c>
      <c r="Q22" s="78" t="s">
        <v>54</v>
      </c>
      <c r="R22" s="131" t="str">
        <f t="shared" si="6"/>
        <v>9</v>
      </c>
      <c r="S22" s="79"/>
      <c r="T22" s="123" t="str">
        <f t="shared" si="7"/>
        <v>SEBASTIEN</v>
      </c>
      <c r="U22" s="56"/>
      <c r="V22" s="57"/>
      <c r="W22" s="80" t="s">
        <v>54</v>
      </c>
      <c r="X22" s="132" t="str">
        <f t="shared" si="8"/>
        <v>59</v>
      </c>
      <c r="Y22" s="81"/>
      <c r="Z22" s="127" t="str">
        <f t="shared" si="9"/>
        <v>NADEGE</v>
      </c>
      <c r="AA22" s="82" t="s">
        <v>54</v>
      </c>
      <c r="AB22" s="132" t="str">
        <f t="shared" si="10"/>
        <v>77</v>
      </c>
      <c r="AC22" s="83"/>
      <c r="AD22" s="127" t="str">
        <f t="shared" si="11"/>
        <v>DANIEL</v>
      </c>
      <c r="AE22" s="115"/>
      <c r="AF22" s="116"/>
      <c r="AG22" s="84" t="s">
        <v>54</v>
      </c>
      <c r="AH22" s="133" t="str">
        <f t="shared" si="12"/>
        <v>1</v>
      </c>
      <c r="AI22" s="85"/>
      <c r="AJ22" s="126" t="str">
        <f t="shared" si="13"/>
        <v>PETER</v>
      </c>
      <c r="AK22" s="86" t="s">
        <v>54</v>
      </c>
      <c r="AL22" s="133" t="str">
        <f t="shared" si="14"/>
        <v>69</v>
      </c>
      <c r="AM22" s="87"/>
      <c r="AN22" s="126" t="str">
        <f t="shared" si="15"/>
        <v>ALBERT</v>
      </c>
      <c r="AO22" s="117"/>
      <c r="AP22" s="118"/>
      <c r="AQ22" s="88" t="s">
        <v>54</v>
      </c>
      <c r="AR22" s="134" t="str">
        <f t="shared" si="16"/>
        <v>60</v>
      </c>
      <c r="AS22" s="89"/>
      <c r="AT22" s="124" t="str">
        <f t="shared" si="17"/>
        <v>EDITH</v>
      </c>
      <c r="AU22" s="90" t="s">
        <v>54</v>
      </c>
      <c r="AV22" s="134" t="str">
        <f t="shared" si="18"/>
        <v>114</v>
      </c>
      <c r="AW22" s="91"/>
      <c r="AX22" s="124" t="str">
        <f t="shared" si="19"/>
        <v>BARNABE</v>
      </c>
      <c r="AY22" s="119"/>
      <c r="AZ22" s="120"/>
      <c r="BA22" s="92" t="s">
        <v>54</v>
      </c>
      <c r="BB22" s="135" t="str">
        <f t="shared" si="20"/>
        <v>20</v>
      </c>
      <c r="BC22" s="93"/>
      <c r="BD22" s="125" t="str">
        <f t="shared" si="21"/>
        <v>JONATHAN</v>
      </c>
      <c r="BE22" s="94" t="s">
        <v>54</v>
      </c>
      <c r="BF22" s="135" t="str">
        <f t="shared" si="22"/>
        <v>47</v>
      </c>
      <c r="BG22" s="95"/>
      <c r="BH22" s="125" t="str">
        <f t="shared" si="23"/>
        <v>HERMAN</v>
      </c>
      <c r="BI22" s="121"/>
      <c r="BJ22" s="122"/>
      <c r="BK22" s="63"/>
      <c r="BM22" s="65">
        <f>[1]resultat!AL22</f>
        <v>22</v>
      </c>
      <c r="BN22" s="65" t="str">
        <f>[1]resultat!AM22</f>
        <v xml:space="preserve">LANDRY   </v>
      </c>
      <c r="BO22" s="229">
        <v>22</v>
      </c>
      <c r="BP22" s="142">
        <v>13</v>
      </c>
      <c r="BQ22" s="148">
        <v>7</v>
      </c>
      <c r="BR22" s="273">
        <f t="shared" si="24"/>
        <v>16</v>
      </c>
      <c r="BS22" s="274" t="str">
        <f t="shared" si="25"/>
        <v>71</v>
      </c>
      <c r="BT22" s="275" t="str">
        <f t="shared" si="26"/>
        <v>JIMMY</v>
      </c>
      <c r="BU22" s="276" t="str">
        <f t="shared" si="27"/>
        <v>60</v>
      </c>
      <c r="BV22" s="277" t="str">
        <f t="shared" si="28"/>
        <v>EDITH</v>
      </c>
      <c r="BW22" s="273">
        <f t="shared" si="28"/>
        <v>13</v>
      </c>
      <c r="BX22" s="273">
        <f t="shared" si="28"/>
        <v>7</v>
      </c>
    </row>
    <row r="23" spans="1:76">
      <c r="A23" s="70" t="s">
        <v>187</v>
      </c>
      <c r="B23" s="20">
        <v>18</v>
      </c>
      <c r="C23" s="71" t="s">
        <v>54</v>
      </c>
      <c r="D23" s="130" t="str">
        <f t="shared" si="0"/>
        <v>8</v>
      </c>
      <c r="E23" s="72"/>
      <c r="F23" s="73" t="str">
        <f t="shared" si="1"/>
        <v>THIBAULT</v>
      </c>
      <c r="G23" s="74" t="s">
        <v>54</v>
      </c>
      <c r="H23" s="130" t="str">
        <f t="shared" si="2"/>
        <v>91</v>
      </c>
      <c r="I23" s="75"/>
      <c r="J23" s="73" t="str">
        <f t="shared" si="3"/>
        <v>VALERIE</v>
      </c>
      <c r="K23" s="142">
        <v>13</v>
      </c>
      <c r="L23" s="148">
        <v>7</v>
      </c>
      <c r="M23" s="76" t="s">
        <v>54</v>
      </c>
      <c r="N23" s="131" t="str">
        <f t="shared" si="4"/>
        <v>16</v>
      </c>
      <c r="O23" s="77"/>
      <c r="P23" s="123" t="str">
        <f t="shared" si="5"/>
        <v>MICKAEL</v>
      </c>
      <c r="Q23" s="78" t="s">
        <v>54</v>
      </c>
      <c r="R23" s="131" t="str">
        <f t="shared" si="6"/>
        <v>84</v>
      </c>
      <c r="S23" s="79"/>
      <c r="T23" s="123" t="str">
        <f t="shared" si="7"/>
        <v>BASILE</v>
      </c>
      <c r="U23" s="56"/>
      <c r="V23" s="57"/>
      <c r="W23" s="80" t="s">
        <v>54</v>
      </c>
      <c r="X23" s="132" t="str">
        <f t="shared" si="8"/>
        <v>57</v>
      </c>
      <c r="Y23" s="81"/>
      <c r="Z23" s="127" t="str">
        <f t="shared" si="9"/>
        <v>ARSENE</v>
      </c>
      <c r="AA23" s="82" t="s">
        <v>54</v>
      </c>
      <c r="AB23" s="132" t="str">
        <f t="shared" si="10"/>
        <v>103</v>
      </c>
      <c r="AC23" s="83"/>
      <c r="AD23" s="127" t="str">
        <f t="shared" si="11"/>
        <v>GERMAIN</v>
      </c>
      <c r="AE23" s="115"/>
      <c r="AF23" s="116"/>
      <c r="AG23" s="84" t="s">
        <v>54</v>
      </c>
      <c r="AH23" s="133" t="str">
        <f t="shared" si="12"/>
        <v>50</v>
      </c>
      <c r="AI23" s="85"/>
      <c r="AJ23" s="126" t="str">
        <f t="shared" si="13"/>
        <v>FLORENTIN</v>
      </c>
      <c r="AK23" s="86" t="s">
        <v>54</v>
      </c>
      <c r="AL23" s="133" t="str">
        <f t="shared" si="14"/>
        <v>109</v>
      </c>
      <c r="AM23" s="87"/>
      <c r="AN23" s="126" t="str">
        <f t="shared" si="15"/>
        <v>MARCELLIN</v>
      </c>
      <c r="AO23" s="117"/>
      <c r="AP23" s="118"/>
      <c r="AQ23" s="88" t="s">
        <v>54</v>
      </c>
      <c r="AR23" s="134" t="str">
        <f t="shared" si="16"/>
        <v>27</v>
      </c>
      <c r="AS23" s="89"/>
      <c r="AT23" s="124" t="str">
        <f t="shared" si="17"/>
        <v xml:space="preserve">PHILIPPE  </v>
      </c>
      <c r="AU23" s="90" t="s">
        <v>54</v>
      </c>
      <c r="AV23" s="134" t="str">
        <f t="shared" si="18"/>
        <v>77</v>
      </c>
      <c r="AW23" s="91"/>
      <c r="AX23" s="124" t="str">
        <f t="shared" si="19"/>
        <v>DANIEL</v>
      </c>
      <c r="AY23" s="119"/>
      <c r="AZ23" s="120"/>
      <c r="BA23" s="92" t="s">
        <v>54</v>
      </c>
      <c r="BB23" s="135" t="str">
        <f t="shared" si="20"/>
        <v>83</v>
      </c>
      <c r="BC23" s="93"/>
      <c r="BD23" s="125" t="str">
        <f t="shared" si="21"/>
        <v>ETIENNE</v>
      </c>
      <c r="BE23" s="94" t="s">
        <v>54</v>
      </c>
      <c r="BF23" s="135" t="str">
        <f t="shared" si="22"/>
        <v>33</v>
      </c>
      <c r="BG23" s="95"/>
      <c r="BH23" s="125" t="str">
        <f t="shared" si="23"/>
        <v xml:space="preserve">BRUNO  </v>
      </c>
      <c r="BI23" s="121"/>
      <c r="BJ23" s="122"/>
      <c r="BK23" s="63"/>
      <c r="BM23" s="65">
        <f>[1]resultat!AL23</f>
        <v>23</v>
      </c>
      <c r="BN23" s="65" t="str">
        <f>[1]resultat!AM23</f>
        <v>MARTIAL</v>
      </c>
      <c r="BO23" s="140">
        <v>23</v>
      </c>
      <c r="BP23" s="148">
        <v>7</v>
      </c>
      <c r="BQ23" s="142">
        <v>13</v>
      </c>
      <c r="BR23" s="273">
        <f t="shared" si="24"/>
        <v>17</v>
      </c>
      <c r="BS23" s="274" t="str">
        <f t="shared" si="25"/>
        <v>16</v>
      </c>
      <c r="BT23" s="275" t="str">
        <f t="shared" si="26"/>
        <v>MICKAEL</v>
      </c>
      <c r="BU23" s="276" t="str">
        <f t="shared" si="27"/>
        <v>108</v>
      </c>
      <c r="BV23" s="277" t="str">
        <f t="shared" si="28"/>
        <v>ISIDORE</v>
      </c>
      <c r="BW23" s="273">
        <f t="shared" si="28"/>
        <v>13</v>
      </c>
      <c r="BX23" s="273">
        <f t="shared" si="28"/>
        <v>7</v>
      </c>
    </row>
    <row r="24" spans="1:76">
      <c r="A24" s="70" t="s">
        <v>187</v>
      </c>
      <c r="B24" s="20">
        <v>19</v>
      </c>
      <c r="C24" s="71" t="s">
        <v>54</v>
      </c>
      <c r="D24" s="130" t="str">
        <f t="shared" si="0"/>
        <v>42</v>
      </c>
      <c r="E24" s="72"/>
      <c r="F24" s="73" t="str">
        <f t="shared" si="1"/>
        <v xml:space="preserve">FREDDY  </v>
      </c>
      <c r="G24" s="74" t="s">
        <v>54</v>
      </c>
      <c r="H24" s="130" t="str">
        <f t="shared" si="2"/>
        <v>33</v>
      </c>
      <c r="I24" s="75"/>
      <c r="J24" s="73" t="str">
        <f t="shared" si="3"/>
        <v xml:space="preserve">BRUNO  </v>
      </c>
      <c r="K24" s="142">
        <v>13</v>
      </c>
      <c r="L24" s="148">
        <v>7</v>
      </c>
      <c r="M24" s="76" t="s">
        <v>54</v>
      </c>
      <c r="N24" s="131" t="str">
        <f t="shared" si="4"/>
        <v>20</v>
      </c>
      <c r="O24" s="77"/>
      <c r="P24" s="123" t="str">
        <f t="shared" si="5"/>
        <v>JONATHAN</v>
      </c>
      <c r="Q24" s="78" t="s">
        <v>54</v>
      </c>
      <c r="R24" s="131" t="str">
        <f t="shared" si="6"/>
        <v>74</v>
      </c>
      <c r="S24" s="79"/>
      <c r="T24" s="123" t="str">
        <f t="shared" si="7"/>
        <v>GERALD</v>
      </c>
      <c r="U24" s="56"/>
      <c r="V24" s="57"/>
      <c r="W24" s="80" t="s">
        <v>54</v>
      </c>
      <c r="X24" s="132" t="str">
        <f t="shared" si="8"/>
        <v>87</v>
      </c>
      <c r="Y24" s="81"/>
      <c r="Z24" s="127" t="str">
        <f t="shared" si="9"/>
        <v>GUILLAUME</v>
      </c>
      <c r="AA24" s="82" t="s">
        <v>54</v>
      </c>
      <c r="AB24" s="132" t="str">
        <f t="shared" si="10"/>
        <v>92</v>
      </c>
      <c r="AC24" s="83"/>
      <c r="AD24" s="127" t="str">
        <f t="shared" si="11"/>
        <v>ROMAIN</v>
      </c>
      <c r="AE24" s="115"/>
      <c r="AF24" s="116"/>
      <c r="AG24" s="84" t="s">
        <v>54</v>
      </c>
      <c r="AH24" s="133" t="str">
        <f t="shared" si="12"/>
        <v>96</v>
      </c>
      <c r="AI24" s="85"/>
      <c r="AJ24" s="126" t="str">
        <f t="shared" si="13"/>
        <v>GAUTIER</v>
      </c>
      <c r="AK24" s="86" t="s">
        <v>54</v>
      </c>
      <c r="AL24" s="133" t="str">
        <f t="shared" si="14"/>
        <v>77</v>
      </c>
      <c r="AM24" s="87"/>
      <c r="AN24" s="126" t="str">
        <f t="shared" si="15"/>
        <v>DANIEL</v>
      </c>
      <c r="AO24" s="117"/>
      <c r="AP24" s="118"/>
      <c r="AQ24" s="88" t="s">
        <v>54</v>
      </c>
      <c r="AR24" s="134" t="str">
        <f t="shared" si="16"/>
        <v>21</v>
      </c>
      <c r="AS24" s="89"/>
      <c r="AT24" s="124" t="str">
        <f t="shared" si="17"/>
        <v>GEGE</v>
      </c>
      <c r="AU24" s="90" t="s">
        <v>54</v>
      </c>
      <c r="AV24" s="134" t="str">
        <f t="shared" si="18"/>
        <v>108</v>
      </c>
      <c r="AW24" s="91"/>
      <c r="AX24" s="124" t="str">
        <f t="shared" si="19"/>
        <v>ISIDORE</v>
      </c>
      <c r="AY24" s="119"/>
      <c r="AZ24" s="120"/>
      <c r="BA24" s="92" t="s">
        <v>54</v>
      </c>
      <c r="BB24" s="135" t="str">
        <f t="shared" si="20"/>
        <v>66</v>
      </c>
      <c r="BC24" s="93"/>
      <c r="BD24" s="125" t="str">
        <f t="shared" si="21"/>
        <v>FLORIAN</v>
      </c>
      <c r="BE24" s="94" t="s">
        <v>54</v>
      </c>
      <c r="BF24" s="135" t="str">
        <f t="shared" si="22"/>
        <v>55</v>
      </c>
      <c r="BG24" s="95"/>
      <c r="BH24" s="125" t="str">
        <f t="shared" si="23"/>
        <v>GREGOIRE</v>
      </c>
      <c r="BI24" s="121"/>
      <c r="BJ24" s="122"/>
      <c r="BK24" s="63"/>
      <c r="BM24" s="65">
        <f>[1]resultat!AL24</f>
        <v>24</v>
      </c>
      <c r="BN24" s="65" t="str">
        <f>[1]resultat!AM24</f>
        <v>JACQUES</v>
      </c>
      <c r="BO24" s="140">
        <v>24</v>
      </c>
      <c r="BP24" s="148">
        <v>7</v>
      </c>
      <c r="BQ24" s="142">
        <v>13</v>
      </c>
      <c r="BR24" s="273">
        <f t="shared" si="24"/>
        <v>18</v>
      </c>
      <c r="BS24" s="274" t="str">
        <f t="shared" si="25"/>
        <v>8</v>
      </c>
      <c r="BT24" s="275" t="str">
        <f t="shared" si="26"/>
        <v>THIBAULT</v>
      </c>
      <c r="BU24" s="276" t="str">
        <f t="shared" si="27"/>
        <v>91</v>
      </c>
      <c r="BV24" s="277" t="str">
        <f t="shared" si="28"/>
        <v>VALERIE</v>
      </c>
      <c r="BW24" s="273">
        <f t="shared" si="28"/>
        <v>13</v>
      </c>
      <c r="BX24" s="273">
        <f t="shared" si="28"/>
        <v>7</v>
      </c>
    </row>
    <row r="25" spans="1:76">
      <c r="A25" s="70" t="s">
        <v>187</v>
      </c>
      <c r="B25" s="20">
        <v>20</v>
      </c>
      <c r="C25" s="71" t="s">
        <v>54</v>
      </c>
      <c r="D25" s="130" t="str">
        <f t="shared" si="0"/>
        <v>1</v>
      </c>
      <c r="E25" s="72"/>
      <c r="F25" s="73" t="str">
        <f t="shared" si="1"/>
        <v>PETER</v>
      </c>
      <c r="G25" s="74" t="s">
        <v>54</v>
      </c>
      <c r="H25" s="130" t="str">
        <f t="shared" si="2"/>
        <v>72</v>
      </c>
      <c r="I25" s="75"/>
      <c r="J25" s="73" t="str">
        <f t="shared" si="3"/>
        <v>DELPHINE</v>
      </c>
      <c r="K25" s="142">
        <v>13</v>
      </c>
      <c r="L25" s="148">
        <v>7</v>
      </c>
      <c r="M25" s="76" t="s">
        <v>54</v>
      </c>
      <c r="N25" s="131" t="str">
        <f t="shared" si="4"/>
        <v>32</v>
      </c>
      <c r="O25" s="77"/>
      <c r="P25" s="123" t="str">
        <f t="shared" si="5"/>
        <v xml:space="preserve">ADELINE  </v>
      </c>
      <c r="Q25" s="78" t="s">
        <v>54</v>
      </c>
      <c r="R25" s="131" t="str">
        <f t="shared" si="6"/>
        <v>33</v>
      </c>
      <c r="S25" s="79"/>
      <c r="T25" s="123" t="str">
        <f t="shared" si="7"/>
        <v xml:space="preserve">BRUNO  </v>
      </c>
      <c r="U25" s="56"/>
      <c r="V25" s="57"/>
      <c r="W25" s="80" t="s">
        <v>54</v>
      </c>
      <c r="X25" s="132" t="str">
        <f t="shared" si="8"/>
        <v>12</v>
      </c>
      <c r="Y25" s="81"/>
      <c r="Z25" s="127" t="str">
        <f t="shared" si="9"/>
        <v>ALAIN</v>
      </c>
      <c r="AA25" s="82" t="s">
        <v>54</v>
      </c>
      <c r="AB25" s="132" t="str">
        <f t="shared" si="10"/>
        <v>111</v>
      </c>
      <c r="AC25" s="83"/>
      <c r="AD25" s="127" t="str">
        <f t="shared" si="11"/>
        <v>SOLANGE</v>
      </c>
      <c r="AE25" s="115"/>
      <c r="AF25" s="116"/>
      <c r="AG25" s="84" t="s">
        <v>54</v>
      </c>
      <c r="AH25" s="133" t="str">
        <f t="shared" si="12"/>
        <v>61</v>
      </c>
      <c r="AI25" s="85"/>
      <c r="AJ25" s="126" t="str">
        <f t="shared" si="13"/>
        <v>COME</v>
      </c>
      <c r="AK25" s="86" t="s">
        <v>54</v>
      </c>
      <c r="AL25" s="133" t="str">
        <f t="shared" si="14"/>
        <v>115</v>
      </c>
      <c r="AM25" s="87"/>
      <c r="AN25" s="126" t="str">
        <f t="shared" si="15"/>
        <v>LEON</v>
      </c>
      <c r="AO25" s="117"/>
      <c r="AP25" s="118"/>
      <c r="AQ25" s="88" t="s">
        <v>54</v>
      </c>
      <c r="AR25" s="134" t="str">
        <f t="shared" si="16"/>
        <v>82</v>
      </c>
      <c r="AS25" s="89"/>
      <c r="AT25" s="124" t="str">
        <f t="shared" si="17"/>
        <v>URBAIN</v>
      </c>
      <c r="AU25" s="90" t="s">
        <v>54</v>
      </c>
      <c r="AV25" s="134" t="str">
        <f t="shared" si="18"/>
        <v>110</v>
      </c>
      <c r="AW25" s="91"/>
      <c r="AX25" s="124" t="str">
        <f t="shared" si="19"/>
        <v>ANICET</v>
      </c>
      <c r="AY25" s="119"/>
      <c r="AZ25" s="120"/>
      <c r="BA25" s="92" t="s">
        <v>54</v>
      </c>
      <c r="BB25" s="135" t="str">
        <f t="shared" si="20"/>
        <v>23</v>
      </c>
      <c r="BC25" s="93"/>
      <c r="BD25" s="125" t="str">
        <f t="shared" si="21"/>
        <v>MARTIAL</v>
      </c>
      <c r="BE25" s="94" t="s">
        <v>54</v>
      </c>
      <c r="BF25" s="135" t="str">
        <f t="shared" si="22"/>
        <v>94</v>
      </c>
      <c r="BG25" s="95"/>
      <c r="BH25" s="125" t="str">
        <f t="shared" si="23"/>
        <v>HUGUES</v>
      </c>
      <c r="BI25" s="121"/>
      <c r="BJ25" s="122"/>
      <c r="BK25" s="63"/>
      <c r="BM25" s="65">
        <f>[1]resultat!AL25</f>
        <v>25</v>
      </c>
      <c r="BN25" s="65" t="str">
        <f>[1]resultat!AM25</f>
        <v>AURELIEN</v>
      </c>
      <c r="BO25" s="140">
        <v>25</v>
      </c>
      <c r="BP25" s="148">
        <v>7</v>
      </c>
      <c r="BQ25" s="142">
        <v>13</v>
      </c>
      <c r="BR25" s="273">
        <f t="shared" si="24"/>
        <v>19</v>
      </c>
      <c r="BS25" s="274" t="str">
        <f t="shared" si="25"/>
        <v>42</v>
      </c>
      <c r="BT25" s="275" t="str">
        <f t="shared" si="26"/>
        <v xml:space="preserve">FREDDY  </v>
      </c>
      <c r="BU25" s="276" t="str">
        <f t="shared" si="27"/>
        <v>33</v>
      </c>
      <c r="BV25" s="277" t="str">
        <f t="shared" si="28"/>
        <v xml:space="preserve">BRUNO  </v>
      </c>
      <c r="BW25" s="273">
        <f t="shared" si="28"/>
        <v>13</v>
      </c>
      <c r="BX25" s="273">
        <f t="shared" si="28"/>
        <v>7</v>
      </c>
    </row>
    <row r="26" spans="1:76">
      <c r="A26" s="70" t="s">
        <v>187</v>
      </c>
      <c r="B26" s="20">
        <v>21</v>
      </c>
      <c r="C26" s="71" t="s">
        <v>54</v>
      </c>
      <c r="D26" s="130" t="str">
        <f t="shared" si="0"/>
        <v>9</v>
      </c>
      <c r="E26" s="72"/>
      <c r="F26" s="73" t="str">
        <f t="shared" si="1"/>
        <v>SEBASTIEN</v>
      </c>
      <c r="G26" s="74" t="s">
        <v>54</v>
      </c>
      <c r="H26" s="130" t="str">
        <f t="shared" si="2"/>
        <v>88</v>
      </c>
      <c r="I26" s="75"/>
      <c r="J26" s="73" t="str">
        <f t="shared" si="3"/>
        <v>VINCENT</v>
      </c>
      <c r="K26" s="142">
        <v>13</v>
      </c>
      <c r="L26" s="148">
        <v>7</v>
      </c>
      <c r="M26" s="76" t="s">
        <v>54</v>
      </c>
      <c r="N26" s="131" t="str">
        <f t="shared" si="4"/>
        <v>100</v>
      </c>
      <c r="O26" s="77"/>
      <c r="P26" s="123" t="str">
        <f t="shared" si="5"/>
        <v>CONSTANTIN</v>
      </c>
      <c r="Q26" s="78" t="s">
        <v>54</v>
      </c>
      <c r="R26" s="131" t="str">
        <f t="shared" si="6"/>
        <v>110</v>
      </c>
      <c r="S26" s="79"/>
      <c r="T26" s="123" t="str">
        <f t="shared" si="7"/>
        <v>ANICET</v>
      </c>
      <c r="U26" s="56"/>
      <c r="V26" s="57"/>
      <c r="W26" s="80" t="s">
        <v>54</v>
      </c>
      <c r="X26" s="132" t="str">
        <f t="shared" si="8"/>
        <v>112</v>
      </c>
      <c r="Y26" s="81"/>
      <c r="Z26" s="127" t="str">
        <f t="shared" si="9"/>
        <v>AYMAR</v>
      </c>
      <c r="AA26" s="82" t="s">
        <v>54</v>
      </c>
      <c r="AB26" s="132" t="str">
        <f t="shared" si="10"/>
        <v>62</v>
      </c>
      <c r="AC26" s="83"/>
      <c r="AD26" s="127" t="str">
        <f t="shared" si="11"/>
        <v>DIMITRI</v>
      </c>
      <c r="AE26" s="115"/>
      <c r="AF26" s="116"/>
      <c r="AG26" s="84" t="s">
        <v>54</v>
      </c>
      <c r="AH26" s="133" t="str">
        <f t="shared" si="12"/>
        <v>112</v>
      </c>
      <c r="AI26" s="85"/>
      <c r="AJ26" s="126" t="str">
        <f t="shared" si="13"/>
        <v>AYMAR</v>
      </c>
      <c r="AK26" s="86" t="s">
        <v>54</v>
      </c>
      <c r="AL26" s="133" t="str">
        <f t="shared" si="14"/>
        <v>29</v>
      </c>
      <c r="AM26" s="87"/>
      <c r="AN26" s="126" t="str">
        <f t="shared" si="15"/>
        <v xml:space="preserve">YOANN   </v>
      </c>
      <c r="AO26" s="117"/>
      <c r="AP26" s="118"/>
      <c r="AQ26" s="88" t="s">
        <v>54</v>
      </c>
      <c r="AR26" s="134" t="str">
        <f t="shared" si="16"/>
        <v>61</v>
      </c>
      <c r="AS26" s="89"/>
      <c r="AT26" s="124" t="str">
        <f t="shared" si="17"/>
        <v>COME</v>
      </c>
      <c r="AU26" s="90" t="s">
        <v>54</v>
      </c>
      <c r="AV26" s="134" t="str">
        <f t="shared" si="18"/>
        <v>78</v>
      </c>
      <c r="AW26" s="91"/>
      <c r="AX26" s="124" t="str">
        <f t="shared" si="19"/>
        <v>GAEL</v>
      </c>
      <c r="AY26" s="119"/>
      <c r="AZ26" s="120"/>
      <c r="BA26" s="92" t="s">
        <v>54</v>
      </c>
      <c r="BB26" s="135" t="str">
        <f t="shared" si="20"/>
        <v>1</v>
      </c>
      <c r="BC26" s="93"/>
      <c r="BD26" s="125" t="str">
        <f t="shared" si="21"/>
        <v>PETER</v>
      </c>
      <c r="BE26" s="94" t="s">
        <v>54</v>
      </c>
      <c r="BF26" s="135" t="str">
        <f t="shared" si="22"/>
        <v>97</v>
      </c>
      <c r="BG26" s="95"/>
      <c r="BH26" s="125" t="str">
        <f t="shared" si="23"/>
        <v>MATTHIAS</v>
      </c>
      <c r="BI26" s="121"/>
      <c r="BJ26" s="122"/>
      <c r="BK26" s="63"/>
      <c r="BM26" s="65">
        <f>[1]resultat!AL26</f>
        <v>26</v>
      </c>
      <c r="BN26" s="65" t="str">
        <f>[1]resultat!AM26</f>
        <v xml:space="preserve">THIERRY  </v>
      </c>
      <c r="BO26" s="229">
        <v>26</v>
      </c>
      <c r="BP26" s="142">
        <v>13</v>
      </c>
      <c r="BQ26" s="148">
        <v>7</v>
      </c>
      <c r="BR26" s="273">
        <f t="shared" si="24"/>
        <v>20</v>
      </c>
      <c r="BS26" s="274" t="str">
        <f t="shared" si="25"/>
        <v>1</v>
      </c>
      <c r="BT26" s="275" t="str">
        <f t="shared" si="26"/>
        <v>PETER</v>
      </c>
      <c r="BU26" s="276" t="str">
        <f t="shared" si="27"/>
        <v>72</v>
      </c>
      <c r="BV26" s="277" t="str">
        <f t="shared" si="28"/>
        <v>DELPHINE</v>
      </c>
      <c r="BW26" s="273">
        <f t="shared" si="28"/>
        <v>13</v>
      </c>
      <c r="BX26" s="273">
        <f t="shared" si="28"/>
        <v>7</v>
      </c>
    </row>
    <row r="27" spans="1:76">
      <c r="A27" s="70" t="s">
        <v>187</v>
      </c>
      <c r="B27" s="20">
        <v>22</v>
      </c>
      <c r="C27" s="71" t="s">
        <v>54</v>
      </c>
      <c r="D27" s="130" t="str">
        <f t="shared" si="0"/>
        <v>20</v>
      </c>
      <c r="E27" s="72"/>
      <c r="F27" s="73" t="str">
        <f t="shared" si="1"/>
        <v>JONATHAN</v>
      </c>
      <c r="G27" s="74" t="s">
        <v>54</v>
      </c>
      <c r="H27" s="130" t="str">
        <f t="shared" si="2"/>
        <v>63</v>
      </c>
      <c r="I27" s="75"/>
      <c r="J27" s="73" t="str">
        <f t="shared" si="3"/>
        <v>FIRMIN</v>
      </c>
      <c r="K27" s="142">
        <v>13</v>
      </c>
      <c r="L27" s="148">
        <v>7</v>
      </c>
      <c r="M27" s="76" t="s">
        <v>54</v>
      </c>
      <c r="N27" s="131" t="str">
        <f t="shared" si="4"/>
        <v>5</v>
      </c>
      <c r="O27" s="77"/>
      <c r="P27" s="123" t="str">
        <f t="shared" si="5"/>
        <v>YVON</v>
      </c>
      <c r="Q27" s="78" t="s">
        <v>54</v>
      </c>
      <c r="R27" s="131" t="str">
        <f t="shared" si="6"/>
        <v>90</v>
      </c>
      <c r="S27" s="79"/>
      <c r="T27" s="123" t="str">
        <f t="shared" si="7"/>
        <v>VALENTIN</v>
      </c>
      <c r="U27" s="56"/>
      <c r="V27" s="57"/>
      <c r="W27" s="80" t="s">
        <v>54</v>
      </c>
      <c r="X27" s="132" t="str">
        <f t="shared" si="8"/>
        <v>37</v>
      </c>
      <c r="Y27" s="81"/>
      <c r="Z27" s="127" t="str">
        <f t="shared" si="9"/>
        <v>CLEMENT</v>
      </c>
      <c r="AA27" s="82" t="s">
        <v>54</v>
      </c>
      <c r="AB27" s="132" t="str">
        <f t="shared" si="10"/>
        <v>78</v>
      </c>
      <c r="AC27" s="83"/>
      <c r="AD27" s="127" t="str">
        <f t="shared" si="11"/>
        <v>GAEL</v>
      </c>
      <c r="AE27" s="115"/>
      <c r="AF27" s="116"/>
      <c r="AG27" s="84" t="s">
        <v>54</v>
      </c>
      <c r="AH27" s="133" t="str">
        <f t="shared" si="12"/>
        <v>21</v>
      </c>
      <c r="AI27" s="85"/>
      <c r="AJ27" s="126" t="str">
        <f t="shared" si="13"/>
        <v>GEGE</v>
      </c>
      <c r="AK27" s="86" t="s">
        <v>54</v>
      </c>
      <c r="AL27" s="133" t="str">
        <f t="shared" si="14"/>
        <v>41</v>
      </c>
      <c r="AM27" s="87"/>
      <c r="AN27" s="126" t="str">
        <f t="shared" si="15"/>
        <v>ETIENNE</v>
      </c>
      <c r="AO27" s="117"/>
      <c r="AP27" s="118"/>
      <c r="AQ27" s="88" t="s">
        <v>54</v>
      </c>
      <c r="AR27" s="134" t="str">
        <f t="shared" si="16"/>
        <v>117</v>
      </c>
      <c r="AS27" s="89"/>
      <c r="AT27" s="124" t="str">
        <f t="shared" si="17"/>
        <v>PROSPER</v>
      </c>
      <c r="AU27" s="90" t="s">
        <v>54</v>
      </c>
      <c r="AV27" s="134" t="str">
        <f t="shared" si="18"/>
        <v>98</v>
      </c>
      <c r="AW27" s="91"/>
      <c r="AX27" s="124" t="str">
        <f t="shared" si="19"/>
        <v>STANISLAS</v>
      </c>
      <c r="AY27" s="119"/>
      <c r="AZ27" s="120"/>
      <c r="BA27" s="92" t="s">
        <v>54</v>
      </c>
      <c r="BB27" s="135" t="str">
        <f t="shared" si="20"/>
        <v>68</v>
      </c>
      <c r="BC27" s="93"/>
      <c r="BD27" s="125" t="str">
        <f t="shared" si="21"/>
        <v>BRICE</v>
      </c>
      <c r="BE27" s="94" t="s">
        <v>54</v>
      </c>
      <c r="BF27" s="135" t="str">
        <f t="shared" si="22"/>
        <v>93</v>
      </c>
      <c r="BG27" s="95"/>
      <c r="BH27" s="125" t="str">
        <f t="shared" si="23"/>
        <v>JOSEPH</v>
      </c>
      <c r="BI27" s="121"/>
      <c r="BJ27" s="122"/>
      <c r="BK27" s="63"/>
      <c r="BM27" s="65">
        <f>[1]resultat!AL27</f>
        <v>27</v>
      </c>
      <c r="BN27" s="65" t="str">
        <f>[1]resultat!AM27</f>
        <v xml:space="preserve">PHILIPPE  </v>
      </c>
      <c r="BO27" s="229">
        <v>27</v>
      </c>
      <c r="BP27" s="142">
        <v>13</v>
      </c>
      <c r="BQ27" s="148">
        <v>7</v>
      </c>
      <c r="BR27" s="273">
        <f t="shared" si="24"/>
        <v>21</v>
      </c>
      <c r="BS27" s="274" t="str">
        <f t="shared" si="25"/>
        <v>9</v>
      </c>
      <c r="BT27" s="275" t="str">
        <f t="shared" si="26"/>
        <v>SEBASTIEN</v>
      </c>
      <c r="BU27" s="276" t="str">
        <f t="shared" si="27"/>
        <v>88</v>
      </c>
      <c r="BV27" s="277" t="str">
        <f t="shared" si="28"/>
        <v>VINCENT</v>
      </c>
      <c r="BW27" s="273">
        <f t="shared" si="28"/>
        <v>13</v>
      </c>
      <c r="BX27" s="273">
        <f t="shared" si="28"/>
        <v>7</v>
      </c>
    </row>
    <row r="28" spans="1:76">
      <c r="A28" s="70" t="s">
        <v>187</v>
      </c>
      <c r="B28" s="20">
        <v>23</v>
      </c>
      <c r="C28" s="71" t="s">
        <v>54</v>
      </c>
      <c r="D28" s="130" t="str">
        <f t="shared" si="0"/>
        <v>80</v>
      </c>
      <c r="E28" s="72"/>
      <c r="F28" s="73" t="str">
        <f t="shared" si="1"/>
        <v>LUCIE</v>
      </c>
      <c r="G28" s="74" t="s">
        <v>54</v>
      </c>
      <c r="H28" s="130" t="str">
        <f t="shared" si="2"/>
        <v>3</v>
      </c>
      <c r="I28" s="75"/>
      <c r="J28" s="73" t="str">
        <f t="shared" si="3"/>
        <v>MARCO</v>
      </c>
      <c r="K28" s="142">
        <v>13</v>
      </c>
      <c r="L28" s="148">
        <v>7</v>
      </c>
      <c r="M28" s="76" t="s">
        <v>54</v>
      </c>
      <c r="N28" s="131" t="str">
        <f t="shared" si="4"/>
        <v>13</v>
      </c>
      <c r="O28" s="77"/>
      <c r="P28" s="123" t="str">
        <f t="shared" si="5"/>
        <v>JEAN PIERRE</v>
      </c>
      <c r="Q28" s="78" t="s">
        <v>54</v>
      </c>
      <c r="R28" s="131" t="str">
        <f t="shared" si="6"/>
        <v>58</v>
      </c>
      <c r="S28" s="79"/>
      <c r="T28" s="123" t="str">
        <f t="shared" si="7"/>
        <v>FRANCIS</v>
      </c>
      <c r="U28" s="56"/>
      <c r="V28" s="57"/>
      <c r="W28" s="80" t="s">
        <v>54</v>
      </c>
      <c r="X28" s="132" t="str">
        <f t="shared" si="8"/>
        <v>21</v>
      </c>
      <c r="Y28" s="81"/>
      <c r="Z28" s="127" t="str">
        <f t="shared" si="9"/>
        <v>GEGE</v>
      </c>
      <c r="AA28" s="82" t="s">
        <v>54</v>
      </c>
      <c r="AB28" s="132" t="str">
        <f t="shared" si="10"/>
        <v>44</v>
      </c>
      <c r="AC28" s="83"/>
      <c r="AD28" s="127" t="str">
        <f t="shared" si="11"/>
        <v>GUY JEAN</v>
      </c>
      <c r="AE28" s="115"/>
      <c r="AF28" s="116"/>
      <c r="AG28" s="84" t="s">
        <v>54</v>
      </c>
      <c r="AH28" s="133" t="str">
        <f t="shared" si="12"/>
        <v>78</v>
      </c>
      <c r="AI28" s="85"/>
      <c r="AJ28" s="126" t="str">
        <f t="shared" si="13"/>
        <v>GAEL</v>
      </c>
      <c r="AK28" s="86" t="s">
        <v>54</v>
      </c>
      <c r="AL28" s="133" t="str">
        <f t="shared" si="14"/>
        <v>82</v>
      </c>
      <c r="AM28" s="87"/>
      <c r="AN28" s="126" t="str">
        <f t="shared" si="15"/>
        <v>URBAIN</v>
      </c>
      <c r="AO28" s="117"/>
      <c r="AP28" s="118"/>
      <c r="AQ28" s="88" t="s">
        <v>54</v>
      </c>
      <c r="AR28" s="134" t="str">
        <f t="shared" si="16"/>
        <v>81</v>
      </c>
      <c r="AS28" s="89"/>
      <c r="AT28" s="124" t="str">
        <f t="shared" si="17"/>
        <v>THEOPHILE</v>
      </c>
      <c r="AU28" s="90" t="s">
        <v>54</v>
      </c>
      <c r="AV28" s="134" t="str">
        <f t="shared" si="18"/>
        <v>35</v>
      </c>
      <c r="AW28" s="91"/>
      <c r="AX28" s="124" t="str">
        <f t="shared" si="19"/>
        <v>MARTIN</v>
      </c>
      <c r="AY28" s="119"/>
      <c r="AZ28" s="120"/>
      <c r="BA28" s="92" t="s">
        <v>54</v>
      </c>
      <c r="BB28" s="135" t="str">
        <f t="shared" si="20"/>
        <v>48</v>
      </c>
      <c r="BC28" s="93"/>
      <c r="BD28" s="125" t="str">
        <f t="shared" si="21"/>
        <v>LUC</v>
      </c>
      <c r="BE28" s="94" t="s">
        <v>54</v>
      </c>
      <c r="BF28" s="135" t="str">
        <f t="shared" si="22"/>
        <v>71</v>
      </c>
      <c r="BG28" s="95"/>
      <c r="BH28" s="125" t="str">
        <f t="shared" si="23"/>
        <v>JIMMY</v>
      </c>
      <c r="BI28" s="121"/>
      <c r="BJ28" s="122"/>
      <c r="BK28" s="63"/>
      <c r="BM28" s="65">
        <f>[1]resultat!AL28</f>
        <v>28</v>
      </c>
      <c r="BN28" s="65" t="str">
        <f>[1]resultat!AM28</f>
        <v xml:space="preserve">RENE  </v>
      </c>
      <c r="BO28" s="141">
        <v>28</v>
      </c>
      <c r="BP28" s="148">
        <v>7</v>
      </c>
      <c r="BQ28" s="142">
        <v>13</v>
      </c>
      <c r="BR28" s="273">
        <f t="shared" si="24"/>
        <v>22</v>
      </c>
      <c r="BS28" s="274" t="str">
        <f t="shared" si="25"/>
        <v>20</v>
      </c>
      <c r="BT28" s="275" t="str">
        <f t="shared" si="26"/>
        <v>JONATHAN</v>
      </c>
      <c r="BU28" s="276" t="str">
        <f t="shared" si="27"/>
        <v>63</v>
      </c>
      <c r="BV28" s="277" t="str">
        <f t="shared" si="28"/>
        <v>FIRMIN</v>
      </c>
      <c r="BW28" s="273">
        <f t="shared" si="28"/>
        <v>13</v>
      </c>
      <c r="BX28" s="273">
        <f t="shared" si="28"/>
        <v>7</v>
      </c>
    </row>
    <row r="29" spans="1:76">
      <c r="A29" s="70" t="s">
        <v>187</v>
      </c>
      <c r="B29" s="20">
        <v>24</v>
      </c>
      <c r="C29" s="71" t="s">
        <v>54</v>
      </c>
      <c r="D29" s="130" t="str">
        <f t="shared" si="0"/>
        <v>43</v>
      </c>
      <c r="E29" s="72"/>
      <c r="F29" s="73" t="str">
        <f t="shared" si="1"/>
        <v>ALLAIRE</v>
      </c>
      <c r="G29" s="74" t="s">
        <v>54</v>
      </c>
      <c r="H29" s="130" t="str">
        <f t="shared" si="2"/>
        <v>11</v>
      </c>
      <c r="I29" s="75"/>
      <c r="J29" s="73" t="str">
        <f t="shared" si="3"/>
        <v>JOHN</v>
      </c>
      <c r="K29" s="142">
        <v>13</v>
      </c>
      <c r="L29" s="148">
        <v>7</v>
      </c>
      <c r="M29" s="76" t="s">
        <v>54</v>
      </c>
      <c r="N29" s="131" t="str">
        <f t="shared" si="4"/>
        <v>63</v>
      </c>
      <c r="O29" s="77"/>
      <c r="P29" s="123" t="str">
        <f t="shared" si="5"/>
        <v>FIRMIN</v>
      </c>
      <c r="Q29" s="78" t="s">
        <v>54</v>
      </c>
      <c r="R29" s="131" t="str">
        <f t="shared" si="6"/>
        <v>67</v>
      </c>
      <c r="S29" s="79"/>
      <c r="T29" s="123" t="str">
        <f t="shared" si="7"/>
        <v>YVONNICK</v>
      </c>
      <c r="U29" s="56"/>
      <c r="V29" s="57"/>
      <c r="W29" s="80" t="s">
        <v>54</v>
      </c>
      <c r="X29" s="132" t="str">
        <f t="shared" si="8"/>
        <v>27</v>
      </c>
      <c r="Y29" s="81"/>
      <c r="Z29" s="127" t="str">
        <f t="shared" si="9"/>
        <v xml:space="preserve">PHILIPPE  </v>
      </c>
      <c r="AA29" s="82" t="s">
        <v>54</v>
      </c>
      <c r="AB29" s="132" t="str">
        <f t="shared" si="10"/>
        <v>42</v>
      </c>
      <c r="AC29" s="83"/>
      <c r="AD29" s="127" t="str">
        <f t="shared" si="11"/>
        <v xml:space="preserve">FREDDY  </v>
      </c>
      <c r="AE29" s="115"/>
      <c r="AF29" s="116"/>
      <c r="AG29" s="84" t="s">
        <v>54</v>
      </c>
      <c r="AH29" s="133" t="str">
        <f t="shared" si="12"/>
        <v>53</v>
      </c>
      <c r="AI29" s="85"/>
      <c r="AJ29" s="126" t="str">
        <f t="shared" si="13"/>
        <v>AURELIEN</v>
      </c>
      <c r="AK29" s="86" t="s">
        <v>54</v>
      </c>
      <c r="AL29" s="133" t="str">
        <f t="shared" si="14"/>
        <v>74</v>
      </c>
      <c r="AM29" s="87"/>
      <c r="AN29" s="126" t="str">
        <f t="shared" si="15"/>
        <v>GERALD</v>
      </c>
      <c r="AO29" s="117"/>
      <c r="AP29" s="118"/>
      <c r="AQ29" s="88" t="s">
        <v>54</v>
      </c>
      <c r="AR29" s="134" t="str">
        <f t="shared" si="16"/>
        <v>71</v>
      </c>
      <c r="AS29" s="89"/>
      <c r="AT29" s="124" t="str">
        <f t="shared" si="17"/>
        <v>JIMMY</v>
      </c>
      <c r="AU29" s="90" t="s">
        <v>54</v>
      </c>
      <c r="AV29" s="134" t="str">
        <f t="shared" si="18"/>
        <v>28</v>
      </c>
      <c r="AW29" s="91"/>
      <c r="AX29" s="124" t="str">
        <f t="shared" si="19"/>
        <v xml:space="preserve">RENE  </v>
      </c>
      <c r="AY29" s="119"/>
      <c r="AZ29" s="120"/>
      <c r="BA29" s="92" t="s">
        <v>54</v>
      </c>
      <c r="BB29" s="135" t="str">
        <f t="shared" si="20"/>
        <v>117</v>
      </c>
      <c r="BC29" s="93"/>
      <c r="BD29" s="125" t="str">
        <f t="shared" si="21"/>
        <v>PROSPER</v>
      </c>
      <c r="BE29" s="94" t="s">
        <v>54</v>
      </c>
      <c r="BF29" s="135" t="str">
        <f t="shared" si="22"/>
        <v>28</v>
      </c>
      <c r="BG29" s="95"/>
      <c r="BH29" s="125" t="str">
        <f t="shared" si="23"/>
        <v xml:space="preserve">RENE  </v>
      </c>
      <c r="BI29" s="121"/>
      <c r="BJ29" s="122"/>
      <c r="BK29" s="63"/>
      <c r="BM29" s="65">
        <f>[1]resultat!AL29</f>
        <v>29</v>
      </c>
      <c r="BN29" s="65" t="str">
        <f>[1]resultat!AM29</f>
        <v xml:space="preserve">YOANN   </v>
      </c>
      <c r="BO29" s="232">
        <v>29</v>
      </c>
      <c r="BP29" s="142">
        <v>13</v>
      </c>
      <c r="BQ29" s="148">
        <v>7</v>
      </c>
      <c r="BR29" s="273">
        <f t="shared" si="24"/>
        <v>23</v>
      </c>
      <c r="BS29" s="274" t="str">
        <f t="shared" si="25"/>
        <v>80</v>
      </c>
      <c r="BT29" s="275" t="str">
        <f t="shared" si="26"/>
        <v>LUCIE</v>
      </c>
      <c r="BU29" s="276" t="str">
        <f t="shared" si="27"/>
        <v>3</v>
      </c>
      <c r="BV29" s="277" t="str">
        <f t="shared" si="28"/>
        <v>MARCO</v>
      </c>
      <c r="BW29" s="273">
        <f t="shared" si="28"/>
        <v>13</v>
      </c>
      <c r="BX29" s="273">
        <f t="shared" si="28"/>
        <v>7</v>
      </c>
    </row>
    <row r="30" spans="1:76">
      <c r="A30" s="70" t="s">
        <v>187</v>
      </c>
      <c r="B30" s="20">
        <v>25</v>
      </c>
      <c r="C30" s="71" t="s">
        <v>54</v>
      </c>
      <c r="D30" s="130" t="str">
        <f t="shared" si="0"/>
        <v>96</v>
      </c>
      <c r="E30" s="72"/>
      <c r="F30" s="73" t="str">
        <f t="shared" si="1"/>
        <v>GAUTIER</v>
      </c>
      <c r="G30" s="74" t="s">
        <v>54</v>
      </c>
      <c r="H30" s="130" t="str">
        <f t="shared" si="2"/>
        <v>46</v>
      </c>
      <c r="I30" s="75"/>
      <c r="J30" s="73" t="str">
        <f t="shared" si="3"/>
        <v xml:space="preserve">SERGE  </v>
      </c>
      <c r="K30" s="142">
        <v>13</v>
      </c>
      <c r="L30" s="148">
        <v>7</v>
      </c>
      <c r="M30" s="76" t="s">
        <v>54</v>
      </c>
      <c r="N30" s="131" t="str">
        <f t="shared" si="4"/>
        <v>1</v>
      </c>
      <c r="O30" s="77"/>
      <c r="P30" s="123" t="str">
        <f t="shared" si="5"/>
        <v>PETER</v>
      </c>
      <c r="Q30" s="78" t="s">
        <v>54</v>
      </c>
      <c r="R30" s="131" t="str">
        <f t="shared" si="6"/>
        <v>30</v>
      </c>
      <c r="S30" s="79"/>
      <c r="T30" s="123" t="str">
        <f t="shared" si="7"/>
        <v xml:space="preserve">PATRICK   </v>
      </c>
      <c r="U30" s="56"/>
      <c r="V30" s="57"/>
      <c r="W30" s="80" t="s">
        <v>54</v>
      </c>
      <c r="X30" s="132" t="str">
        <f t="shared" si="8"/>
        <v>97</v>
      </c>
      <c r="Y30" s="81"/>
      <c r="Z30" s="127" t="str">
        <f t="shared" si="9"/>
        <v>MATTHIAS</v>
      </c>
      <c r="AA30" s="82" t="s">
        <v>54</v>
      </c>
      <c r="AB30" s="132" t="str">
        <f t="shared" si="10"/>
        <v>25</v>
      </c>
      <c r="AC30" s="83"/>
      <c r="AD30" s="127" t="str">
        <f t="shared" si="11"/>
        <v>AURELIEN</v>
      </c>
      <c r="AE30" s="115"/>
      <c r="AF30" s="116"/>
      <c r="AG30" s="84" t="s">
        <v>54</v>
      </c>
      <c r="AH30" s="133" t="str">
        <f t="shared" si="12"/>
        <v>66</v>
      </c>
      <c r="AI30" s="85"/>
      <c r="AJ30" s="126" t="str">
        <f t="shared" si="13"/>
        <v>FLORIAN</v>
      </c>
      <c r="AK30" s="86" t="s">
        <v>54</v>
      </c>
      <c r="AL30" s="133" t="str">
        <f t="shared" si="14"/>
        <v>81</v>
      </c>
      <c r="AM30" s="87"/>
      <c r="AN30" s="126" t="str">
        <f t="shared" si="15"/>
        <v>THEOPHILE</v>
      </c>
      <c r="AO30" s="117"/>
      <c r="AP30" s="118"/>
      <c r="AQ30" s="88" t="s">
        <v>54</v>
      </c>
      <c r="AR30" s="134" t="str">
        <f t="shared" si="16"/>
        <v>49</v>
      </c>
      <c r="AS30" s="89"/>
      <c r="AT30" s="124" t="str">
        <f t="shared" si="17"/>
        <v>OLIVIER</v>
      </c>
      <c r="AU30" s="90" t="s">
        <v>54</v>
      </c>
      <c r="AV30" s="134" t="str">
        <f t="shared" si="18"/>
        <v>16</v>
      </c>
      <c r="AW30" s="91"/>
      <c r="AX30" s="124" t="str">
        <f t="shared" si="19"/>
        <v>MICKAEL</v>
      </c>
      <c r="AY30" s="119"/>
      <c r="AZ30" s="120"/>
      <c r="BA30" s="92" t="s">
        <v>54</v>
      </c>
      <c r="BB30" s="135" t="str">
        <f t="shared" si="20"/>
        <v>54</v>
      </c>
      <c r="BC30" s="93"/>
      <c r="BD30" s="125" t="str">
        <f t="shared" si="21"/>
        <v>DAMIEN</v>
      </c>
      <c r="BE30" s="94" t="s">
        <v>54</v>
      </c>
      <c r="BF30" s="135" t="str">
        <f t="shared" si="22"/>
        <v>42</v>
      </c>
      <c r="BG30" s="95"/>
      <c r="BH30" s="125" t="str">
        <f t="shared" si="23"/>
        <v xml:space="preserve">FREDDY  </v>
      </c>
      <c r="BI30" s="121"/>
      <c r="BJ30" s="122"/>
      <c r="BK30" s="63"/>
      <c r="BM30" s="65">
        <f>[1]resultat!AL30</f>
        <v>30</v>
      </c>
      <c r="BN30" s="65" t="str">
        <f>[1]resultat!AM30</f>
        <v xml:space="preserve">PATRICK   </v>
      </c>
      <c r="BO30" s="232">
        <v>30</v>
      </c>
      <c r="BP30" s="142">
        <v>13</v>
      </c>
      <c r="BQ30" s="148">
        <v>7</v>
      </c>
      <c r="BR30" s="273">
        <f t="shared" si="24"/>
        <v>24</v>
      </c>
      <c r="BS30" s="274" t="str">
        <f t="shared" si="25"/>
        <v>43</v>
      </c>
      <c r="BT30" s="275" t="str">
        <f t="shared" si="26"/>
        <v>ALLAIRE</v>
      </c>
      <c r="BU30" s="276" t="str">
        <f t="shared" si="27"/>
        <v>11</v>
      </c>
      <c r="BV30" s="277" t="str">
        <f t="shared" si="28"/>
        <v>JOHN</v>
      </c>
      <c r="BW30" s="273">
        <f t="shared" si="28"/>
        <v>13</v>
      </c>
      <c r="BX30" s="273">
        <f t="shared" si="28"/>
        <v>7</v>
      </c>
    </row>
    <row r="31" spans="1:76">
      <c r="A31" s="70" t="s">
        <v>187</v>
      </c>
      <c r="B31" s="20">
        <v>26</v>
      </c>
      <c r="C31" s="71" t="s">
        <v>54</v>
      </c>
      <c r="D31" s="130" t="str">
        <f t="shared" si="0"/>
        <v>17</v>
      </c>
      <c r="E31" s="72"/>
      <c r="F31" s="73" t="str">
        <f t="shared" si="1"/>
        <v xml:space="preserve">LAURENT    </v>
      </c>
      <c r="G31" s="74" t="s">
        <v>54</v>
      </c>
      <c r="H31" s="130" t="str">
        <f t="shared" si="2"/>
        <v>50</v>
      </c>
      <c r="I31" s="75"/>
      <c r="J31" s="73" t="str">
        <f t="shared" si="3"/>
        <v>FLORENTIN</v>
      </c>
      <c r="K31" s="142">
        <v>13</v>
      </c>
      <c r="L31" s="148">
        <v>7</v>
      </c>
      <c r="M31" s="76" t="s">
        <v>54</v>
      </c>
      <c r="N31" s="131" t="str">
        <f t="shared" si="4"/>
        <v>77</v>
      </c>
      <c r="O31" s="77"/>
      <c r="P31" s="123" t="str">
        <f t="shared" si="5"/>
        <v>DANIEL</v>
      </c>
      <c r="Q31" s="78" t="s">
        <v>54</v>
      </c>
      <c r="R31" s="131" t="str">
        <f t="shared" si="6"/>
        <v>12</v>
      </c>
      <c r="S31" s="79"/>
      <c r="T31" s="123" t="str">
        <f t="shared" si="7"/>
        <v>ALAIN</v>
      </c>
      <c r="U31" s="56"/>
      <c r="V31" s="57"/>
      <c r="W31" s="80" t="s">
        <v>54</v>
      </c>
      <c r="X31" s="132" t="str">
        <f t="shared" si="8"/>
        <v>73</v>
      </c>
      <c r="Y31" s="81"/>
      <c r="Z31" s="127" t="str">
        <f t="shared" si="9"/>
        <v>EDMOND</v>
      </c>
      <c r="AA31" s="82" t="s">
        <v>54</v>
      </c>
      <c r="AB31" s="132" t="str">
        <f t="shared" si="10"/>
        <v>26</v>
      </c>
      <c r="AC31" s="83"/>
      <c r="AD31" s="127" t="str">
        <f t="shared" si="11"/>
        <v xml:space="preserve">THIERRY  </v>
      </c>
      <c r="AE31" s="115"/>
      <c r="AF31" s="116"/>
      <c r="AG31" s="84" t="s">
        <v>54</v>
      </c>
      <c r="AH31" s="133" t="str">
        <f t="shared" si="12"/>
        <v>14</v>
      </c>
      <c r="AI31" s="85"/>
      <c r="AJ31" s="126" t="str">
        <f t="shared" si="13"/>
        <v>CHRISTOPHE</v>
      </c>
      <c r="AK31" s="86" t="s">
        <v>54</v>
      </c>
      <c r="AL31" s="133" t="str">
        <f t="shared" si="14"/>
        <v>45</v>
      </c>
      <c r="AM31" s="87"/>
      <c r="AN31" s="126" t="str">
        <f t="shared" si="15"/>
        <v>RENAUD</v>
      </c>
      <c r="AO31" s="117"/>
      <c r="AP31" s="118"/>
      <c r="AQ31" s="88" t="s">
        <v>54</v>
      </c>
      <c r="AR31" s="134" t="str">
        <f t="shared" si="16"/>
        <v>45</v>
      </c>
      <c r="AS31" s="89"/>
      <c r="AT31" s="124" t="str">
        <f t="shared" si="17"/>
        <v>RENAUD</v>
      </c>
      <c r="AU31" s="90" t="s">
        <v>54</v>
      </c>
      <c r="AV31" s="134" t="str">
        <f t="shared" si="18"/>
        <v>3</v>
      </c>
      <c r="AW31" s="91"/>
      <c r="AX31" s="124" t="str">
        <f t="shared" si="19"/>
        <v>MARCO</v>
      </c>
      <c r="AY31" s="119"/>
      <c r="AZ31" s="120"/>
      <c r="BA31" s="92" t="s">
        <v>54</v>
      </c>
      <c r="BB31" s="135" t="str">
        <f t="shared" si="20"/>
        <v>51</v>
      </c>
      <c r="BC31" s="93"/>
      <c r="BD31" s="125" t="str">
        <f t="shared" si="21"/>
        <v>BEAUDOUIN</v>
      </c>
      <c r="BE31" s="94" t="s">
        <v>54</v>
      </c>
      <c r="BF31" s="135" t="str">
        <f t="shared" si="22"/>
        <v>64</v>
      </c>
      <c r="BG31" s="95"/>
      <c r="BH31" s="125" t="str">
        <f t="shared" si="23"/>
        <v>QUENTIN</v>
      </c>
      <c r="BI31" s="121"/>
      <c r="BJ31" s="122"/>
      <c r="BK31" s="63"/>
      <c r="BM31" s="65">
        <f>[1]resultat!AL31</f>
        <v>31</v>
      </c>
      <c r="BN31" s="65" t="str">
        <f>[1]resultat!AM31</f>
        <v>EDOUARD</v>
      </c>
      <c r="BO31" s="141">
        <v>31</v>
      </c>
      <c r="BP31" s="148">
        <v>7</v>
      </c>
      <c r="BQ31" s="142">
        <v>13</v>
      </c>
      <c r="BR31" s="273">
        <f t="shared" si="24"/>
        <v>25</v>
      </c>
      <c r="BS31" s="274" t="str">
        <f t="shared" si="25"/>
        <v>96</v>
      </c>
      <c r="BT31" s="275" t="str">
        <f t="shared" si="26"/>
        <v>GAUTIER</v>
      </c>
      <c r="BU31" s="276" t="str">
        <f t="shared" si="27"/>
        <v>46</v>
      </c>
      <c r="BV31" s="277" t="str">
        <f t="shared" si="28"/>
        <v xml:space="preserve">SERGE  </v>
      </c>
      <c r="BW31" s="273">
        <f t="shared" si="28"/>
        <v>13</v>
      </c>
      <c r="BX31" s="273">
        <f t="shared" si="28"/>
        <v>7</v>
      </c>
    </row>
    <row r="32" spans="1:76">
      <c r="A32" s="70" t="s">
        <v>187</v>
      </c>
      <c r="B32" s="20">
        <v>27</v>
      </c>
      <c r="C32" s="71" t="s">
        <v>54</v>
      </c>
      <c r="D32" s="130" t="str">
        <f t="shared" si="0"/>
        <v>15</v>
      </c>
      <c r="E32" s="72"/>
      <c r="F32" s="73" t="str">
        <f t="shared" si="1"/>
        <v>JEAN PAUL</v>
      </c>
      <c r="G32" s="74" t="s">
        <v>54</v>
      </c>
      <c r="H32" s="130" t="str">
        <f t="shared" si="2"/>
        <v>94</v>
      </c>
      <c r="I32" s="75"/>
      <c r="J32" s="73" t="str">
        <f t="shared" si="3"/>
        <v>HUGUES</v>
      </c>
      <c r="K32" s="142">
        <v>13</v>
      </c>
      <c r="L32" s="148">
        <v>7</v>
      </c>
      <c r="M32" s="76" t="s">
        <v>54</v>
      </c>
      <c r="N32" s="131" t="str">
        <f t="shared" si="4"/>
        <v>24</v>
      </c>
      <c r="O32" s="77"/>
      <c r="P32" s="123" t="str">
        <f t="shared" si="5"/>
        <v>JACQUES</v>
      </c>
      <c r="Q32" s="78" t="s">
        <v>54</v>
      </c>
      <c r="R32" s="131" t="str">
        <f t="shared" si="6"/>
        <v>83</v>
      </c>
      <c r="S32" s="79"/>
      <c r="T32" s="123" t="str">
        <f t="shared" si="7"/>
        <v>ETIENNE</v>
      </c>
      <c r="U32" s="56"/>
      <c r="V32" s="57"/>
      <c r="W32" s="80" t="s">
        <v>54</v>
      </c>
      <c r="X32" s="132" t="str">
        <f t="shared" si="8"/>
        <v>102</v>
      </c>
      <c r="Y32" s="81"/>
      <c r="Z32" s="127" t="str">
        <f t="shared" si="9"/>
        <v>DONATIEN</v>
      </c>
      <c r="AA32" s="82" t="s">
        <v>54</v>
      </c>
      <c r="AB32" s="132" t="str">
        <f t="shared" si="10"/>
        <v>118</v>
      </c>
      <c r="AC32" s="83"/>
      <c r="AD32" s="127" t="str">
        <f t="shared" si="11"/>
        <v>FERNAND</v>
      </c>
      <c r="AE32" s="115"/>
      <c r="AF32" s="116"/>
      <c r="AG32" s="84" t="s">
        <v>54</v>
      </c>
      <c r="AH32" s="133" t="str">
        <f t="shared" si="12"/>
        <v>39</v>
      </c>
      <c r="AI32" s="85"/>
      <c r="AJ32" s="126" t="str">
        <f t="shared" si="13"/>
        <v xml:space="preserve">NICO  </v>
      </c>
      <c r="AK32" s="86" t="s">
        <v>54</v>
      </c>
      <c r="AL32" s="133" t="str">
        <f t="shared" si="14"/>
        <v>13</v>
      </c>
      <c r="AM32" s="87"/>
      <c r="AN32" s="126" t="str">
        <f t="shared" si="15"/>
        <v>JEAN PIERRE</v>
      </c>
      <c r="AO32" s="117"/>
      <c r="AP32" s="118"/>
      <c r="AQ32" s="88" t="s">
        <v>54</v>
      </c>
      <c r="AR32" s="134" t="str">
        <f t="shared" si="16"/>
        <v>37</v>
      </c>
      <c r="AS32" s="89"/>
      <c r="AT32" s="124" t="str">
        <f t="shared" si="17"/>
        <v>CLEMENT</v>
      </c>
      <c r="AU32" s="90" t="s">
        <v>54</v>
      </c>
      <c r="AV32" s="134" t="str">
        <f t="shared" si="18"/>
        <v>112</v>
      </c>
      <c r="AW32" s="91"/>
      <c r="AX32" s="124" t="str">
        <f t="shared" si="19"/>
        <v>AYMAR</v>
      </c>
      <c r="AY32" s="119"/>
      <c r="AZ32" s="120"/>
      <c r="BA32" s="92" t="s">
        <v>54</v>
      </c>
      <c r="BB32" s="135" t="str">
        <f t="shared" si="20"/>
        <v>92</v>
      </c>
      <c r="BC32" s="93"/>
      <c r="BD32" s="125" t="str">
        <f t="shared" si="21"/>
        <v>ROMAIN</v>
      </c>
      <c r="BE32" s="94" t="s">
        <v>54</v>
      </c>
      <c r="BF32" s="135" t="str">
        <f t="shared" si="22"/>
        <v>103</v>
      </c>
      <c r="BG32" s="95"/>
      <c r="BH32" s="125" t="str">
        <f t="shared" si="23"/>
        <v>GERMAIN</v>
      </c>
      <c r="BI32" s="121"/>
      <c r="BJ32" s="122"/>
      <c r="BK32" s="63"/>
      <c r="BM32" s="65">
        <f>[1]resultat!AL32</f>
        <v>32</v>
      </c>
      <c r="BN32" s="65" t="str">
        <f>[1]resultat!AM32</f>
        <v xml:space="preserve">ADELINE  </v>
      </c>
      <c r="BO32" s="232">
        <v>32</v>
      </c>
      <c r="BP32" s="142">
        <v>13</v>
      </c>
      <c r="BQ32" s="148">
        <v>7</v>
      </c>
      <c r="BR32" s="273">
        <f t="shared" si="24"/>
        <v>26</v>
      </c>
      <c r="BS32" s="274" t="str">
        <f t="shared" si="25"/>
        <v>17</v>
      </c>
      <c r="BT32" s="275" t="str">
        <f t="shared" si="26"/>
        <v xml:space="preserve">LAURENT    </v>
      </c>
      <c r="BU32" s="276" t="str">
        <f t="shared" si="27"/>
        <v>50</v>
      </c>
      <c r="BV32" s="277" t="str">
        <f t="shared" si="28"/>
        <v>FLORENTIN</v>
      </c>
      <c r="BW32" s="273">
        <f t="shared" si="28"/>
        <v>13</v>
      </c>
      <c r="BX32" s="273">
        <f t="shared" si="28"/>
        <v>7</v>
      </c>
    </row>
    <row r="33" spans="1:76" ht="19.5" customHeight="1">
      <c r="A33" s="70" t="s">
        <v>187</v>
      </c>
      <c r="B33" s="20">
        <v>28</v>
      </c>
      <c r="C33" s="71" t="s">
        <v>54</v>
      </c>
      <c r="D33" s="130" t="str">
        <f t="shared" si="0"/>
        <v>21</v>
      </c>
      <c r="E33" s="72"/>
      <c r="F33" s="73" t="str">
        <f t="shared" si="1"/>
        <v>GEGE</v>
      </c>
      <c r="G33" s="74" t="s">
        <v>54</v>
      </c>
      <c r="H33" s="130" t="str">
        <f t="shared" si="2"/>
        <v>93</v>
      </c>
      <c r="I33" s="75"/>
      <c r="J33" s="73" t="str">
        <f t="shared" si="3"/>
        <v>JOSEPH</v>
      </c>
      <c r="K33" s="142">
        <v>13</v>
      </c>
      <c r="L33" s="148">
        <v>7</v>
      </c>
      <c r="M33" s="76" t="s">
        <v>54</v>
      </c>
      <c r="N33" s="131" t="str">
        <f t="shared" si="4"/>
        <v>21</v>
      </c>
      <c r="O33" s="77"/>
      <c r="P33" s="123" t="str">
        <f t="shared" si="5"/>
        <v>GEGE</v>
      </c>
      <c r="Q33" s="78" t="s">
        <v>54</v>
      </c>
      <c r="R33" s="131" t="str">
        <f t="shared" si="6"/>
        <v>43</v>
      </c>
      <c r="S33" s="79"/>
      <c r="T33" s="123" t="str">
        <f t="shared" si="7"/>
        <v>ALLAIRE</v>
      </c>
      <c r="U33" s="56"/>
      <c r="V33" s="57"/>
      <c r="W33" s="80" t="s">
        <v>54</v>
      </c>
      <c r="X33" s="132" t="str">
        <f t="shared" si="8"/>
        <v>69</v>
      </c>
      <c r="Y33" s="81"/>
      <c r="Z33" s="127" t="str">
        <f t="shared" si="9"/>
        <v>ALBERT</v>
      </c>
      <c r="AA33" s="82" t="s">
        <v>54</v>
      </c>
      <c r="AB33" s="132" t="str">
        <f t="shared" si="10"/>
        <v>106</v>
      </c>
      <c r="AC33" s="83"/>
      <c r="AD33" s="127" t="str">
        <f t="shared" si="11"/>
        <v>LOUISE</v>
      </c>
      <c r="AE33" s="115"/>
      <c r="AF33" s="116"/>
      <c r="AG33" s="84" t="s">
        <v>54</v>
      </c>
      <c r="AH33" s="133" t="str">
        <f t="shared" si="12"/>
        <v>17</v>
      </c>
      <c r="AI33" s="85"/>
      <c r="AJ33" s="126" t="str">
        <f t="shared" si="13"/>
        <v xml:space="preserve">LAURENT    </v>
      </c>
      <c r="AK33" s="86" t="s">
        <v>54</v>
      </c>
      <c r="AL33" s="133" t="str">
        <f t="shared" si="14"/>
        <v>90</v>
      </c>
      <c r="AM33" s="87"/>
      <c r="AN33" s="126" t="str">
        <f t="shared" si="15"/>
        <v>VALENTIN</v>
      </c>
      <c r="AO33" s="117"/>
      <c r="AP33" s="118"/>
      <c r="AQ33" s="88" t="s">
        <v>54</v>
      </c>
      <c r="AR33" s="134" t="str">
        <f t="shared" si="16"/>
        <v>94</v>
      </c>
      <c r="AS33" s="89"/>
      <c r="AT33" s="124" t="str">
        <f t="shared" si="17"/>
        <v>HUGUES</v>
      </c>
      <c r="AU33" s="90" t="s">
        <v>54</v>
      </c>
      <c r="AV33" s="134" t="str">
        <f t="shared" si="18"/>
        <v>111</v>
      </c>
      <c r="AW33" s="91"/>
      <c r="AX33" s="124" t="str">
        <f t="shared" si="19"/>
        <v>SOLANGE</v>
      </c>
      <c r="AY33" s="119"/>
      <c r="AZ33" s="120"/>
      <c r="BA33" s="92" t="s">
        <v>54</v>
      </c>
      <c r="BB33" s="135" t="str">
        <f t="shared" si="20"/>
        <v>115</v>
      </c>
      <c r="BC33" s="93"/>
      <c r="BD33" s="125" t="str">
        <f t="shared" si="21"/>
        <v>LEON</v>
      </c>
      <c r="BE33" s="94" t="s">
        <v>54</v>
      </c>
      <c r="BF33" s="135" t="str">
        <f t="shared" si="22"/>
        <v>95</v>
      </c>
      <c r="BG33" s="95"/>
      <c r="BH33" s="125" t="str">
        <f t="shared" si="23"/>
        <v>RICHARD</v>
      </c>
      <c r="BI33" s="121"/>
      <c r="BJ33" s="122"/>
      <c r="BK33" s="63"/>
      <c r="BM33" s="65">
        <f>[1]resultat!AL33</f>
        <v>33</v>
      </c>
      <c r="BN33" s="65" t="str">
        <f>[1]resultat!AM33</f>
        <v xml:space="preserve">BRUNO  </v>
      </c>
      <c r="BO33" s="141">
        <v>33</v>
      </c>
      <c r="BP33" s="148">
        <v>7</v>
      </c>
      <c r="BQ33" s="142">
        <v>13</v>
      </c>
      <c r="BR33" s="273">
        <f t="shared" si="24"/>
        <v>27</v>
      </c>
      <c r="BS33" s="274" t="str">
        <f t="shared" si="25"/>
        <v>15</v>
      </c>
      <c r="BT33" s="275" t="str">
        <f t="shared" si="26"/>
        <v>JEAN PAUL</v>
      </c>
      <c r="BU33" s="276" t="str">
        <f t="shared" si="27"/>
        <v>94</v>
      </c>
      <c r="BV33" s="277" t="str">
        <f t="shared" si="28"/>
        <v>HUGUES</v>
      </c>
      <c r="BW33" s="273">
        <f t="shared" si="28"/>
        <v>13</v>
      </c>
      <c r="BX33" s="273">
        <f t="shared" si="28"/>
        <v>7</v>
      </c>
    </row>
    <row r="34" spans="1:76" ht="19.5" customHeight="1">
      <c r="A34" s="70" t="s">
        <v>187</v>
      </c>
      <c r="B34" s="20">
        <v>29</v>
      </c>
      <c r="C34" s="71" t="s">
        <v>54</v>
      </c>
      <c r="D34" s="130" t="str">
        <f t="shared" si="0"/>
        <v>26</v>
      </c>
      <c r="E34" s="72"/>
      <c r="F34" s="73" t="str">
        <f t="shared" si="1"/>
        <v xml:space="preserve">THIERRY  </v>
      </c>
      <c r="G34" s="74" t="s">
        <v>54</v>
      </c>
      <c r="H34" s="130" t="str">
        <f t="shared" si="2"/>
        <v>64</v>
      </c>
      <c r="I34" s="75"/>
      <c r="J34" s="73" t="str">
        <f t="shared" si="3"/>
        <v>QUENTIN</v>
      </c>
      <c r="K34" s="142">
        <v>13</v>
      </c>
      <c r="L34" s="148">
        <v>7</v>
      </c>
      <c r="M34" s="76" t="s">
        <v>54</v>
      </c>
      <c r="N34" s="131" t="str">
        <f t="shared" si="4"/>
        <v>29</v>
      </c>
      <c r="O34" s="77"/>
      <c r="P34" s="123" t="str">
        <f t="shared" si="5"/>
        <v xml:space="preserve">YOANN   </v>
      </c>
      <c r="Q34" s="78" t="s">
        <v>54</v>
      </c>
      <c r="R34" s="131" t="str">
        <f t="shared" si="6"/>
        <v>54</v>
      </c>
      <c r="S34" s="79"/>
      <c r="T34" s="123" t="str">
        <f t="shared" si="7"/>
        <v>DAMIEN</v>
      </c>
      <c r="U34" s="56"/>
      <c r="V34" s="57"/>
      <c r="W34" s="80" t="s">
        <v>54</v>
      </c>
      <c r="X34" s="132" t="str">
        <f t="shared" si="8"/>
        <v>30</v>
      </c>
      <c r="Y34" s="81"/>
      <c r="Z34" s="127" t="str">
        <f t="shared" si="9"/>
        <v xml:space="preserve">PATRICK   </v>
      </c>
      <c r="AA34" s="82" t="s">
        <v>54</v>
      </c>
      <c r="AB34" s="132" t="str">
        <f t="shared" si="10"/>
        <v>32</v>
      </c>
      <c r="AC34" s="83"/>
      <c r="AD34" s="127" t="str">
        <f t="shared" si="11"/>
        <v xml:space="preserve">ADELINE  </v>
      </c>
      <c r="AE34" s="115"/>
      <c r="AF34" s="116"/>
      <c r="AG34" s="84" t="s">
        <v>54</v>
      </c>
      <c r="AH34" s="133" t="str">
        <f t="shared" si="12"/>
        <v>79</v>
      </c>
      <c r="AI34" s="85"/>
      <c r="AJ34" s="126" t="str">
        <f t="shared" si="13"/>
        <v>GATIEN</v>
      </c>
      <c r="AK34" s="86" t="s">
        <v>54</v>
      </c>
      <c r="AL34" s="133" t="str">
        <f t="shared" si="14"/>
        <v>94</v>
      </c>
      <c r="AM34" s="87"/>
      <c r="AN34" s="126" t="str">
        <f t="shared" si="15"/>
        <v>HUGUES</v>
      </c>
      <c r="AO34" s="117"/>
      <c r="AP34" s="118"/>
      <c r="AQ34" s="88" t="s">
        <v>54</v>
      </c>
      <c r="AR34" s="134" t="str">
        <f t="shared" si="16"/>
        <v>24</v>
      </c>
      <c r="AS34" s="89"/>
      <c r="AT34" s="124" t="str">
        <f t="shared" si="17"/>
        <v>JACQUES</v>
      </c>
      <c r="AU34" s="90" t="s">
        <v>54</v>
      </c>
      <c r="AV34" s="134" t="str">
        <f t="shared" si="18"/>
        <v>19</v>
      </c>
      <c r="AW34" s="91"/>
      <c r="AX34" s="124" t="str">
        <f t="shared" si="19"/>
        <v xml:space="preserve">SYLVAIN   </v>
      </c>
      <c r="AY34" s="119"/>
      <c r="AZ34" s="120"/>
      <c r="BA34" s="92" t="s">
        <v>54</v>
      </c>
      <c r="BB34" s="135" t="str">
        <f t="shared" si="20"/>
        <v>39</v>
      </c>
      <c r="BC34" s="93"/>
      <c r="BD34" s="125" t="str">
        <f t="shared" si="21"/>
        <v xml:space="preserve">NICO  </v>
      </c>
      <c r="BE34" s="94" t="s">
        <v>54</v>
      </c>
      <c r="BF34" s="135" t="str">
        <f t="shared" si="22"/>
        <v>45</v>
      </c>
      <c r="BG34" s="95"/>
      <c r="BH34" s="125" t="str">
        <f t="shared" si="23"/>
        <v>RENAUD</v>
      </c>
      <c r="BI34" s="121"/>
      <c r="BJ34" s="122"/>
      <c r="BK34" s="63"/>
      <c r="BM34" s="65">
        <f>[1]resultat!AL34</f>
        <v>34</v>
      </c>
      <c r="BN34" s="65" t="str">
        <f>[1]resultat!AM34</f>
        <v xml:space="preserve">JOE  </v>
      </c>
      <c r="BO34" s="232">
        <v>34</v>
      </c>
      <c r="BP34" s="142">
        <v>13</v>
      </c>
      <c r="BQ34" s="148">
        <v>7</v>
      </c>
      <c r="BR34" s="273">
        <f t="shared" si="24"/>
        <v>28</v>
      </c>
      <c r="BS34" s="274" t="str">
        <f t="shared" si="25"/>
        <v>21</v>
      </c>
      <c r="BT34" s="275" t="str">
        <f t="shared" si="26"/>
        <v>GEGE</v>
      </c>
      <c r="BU34" s="276" t="str">
        <f t="shared" si="27"/>
        <v>93</v>
      </c>
      <c r="BV34" s="277" t="str">
        <f t="shared" si="28"/>
        <v>JOSEPH</v>
      </c>
      <c r="BW34" s="273">
        <f t="shared" si="28"/>
        <v>13</v>
      </c>
      <c r="BX34" s="273">
        <f t="shared" si="28"/>
        <v>7</v>
      </c>
    </row>
    <row r="35" spans="1:76" ht="19.5" customHeight="1">
      <c r="A35" s="70" t="s">
        <v>187</v>
      </c>
      <c r="B35" s="20">
        <v>30</v>
      </c>
      <c r="C35" s="71" t="s">
        <v>54</v>
      </c>
      <c r="D35" s="130" t="str">
        <f t="shared" si="0"/>
        <v>30</v>
      </c>
      <c r="E35" s="72"/>
      <c r="F35" s="73" t="str">
        <f t="shared" si="1"/>
        <v xml:space="preserve">PATRICK   </v>
      </c>
      <c r="G35" s="74" t="s">
        <v>54</v>
      </c>
      <c r="H35" s="130" t="str">
        <f t="shared" si="2"/>
        <v>87</v>
      </c>
      <c r="I35" s="75"/>
      <c r="J35" s="73" t="str">
        <f t="shared" si="3"/>
        <v>GUILLAUME</v>
      </c>
      <c r="K35" s="142">
        <v>13</v>
      </c>
      <c r="L35" s="148">
        <v>7</v>
      </c>
      <c r="M35" s="76" t="s">
        <v>54</v>
      </c>
      <c r="N35" s="131" t="str">
        <f t="shared" si="4"/>
        <v>82</v>
      </c>
      <c r="O35" s="77"/>
      <c r="P35" s="123" t="str">
        <f t="shared" si="5"/>
        <v>URBAIN</v>
      </c>
      <c r="Q35" s="78" t="s">
        <v>54</v>
      </c>
      <c r="R35" s="131" t="str">
        <f t="shared" si="6"/>
        <v>93</v>
      </c>
      <c r="S35" s="79"/>
      <c r="T35" s="123" t="str">
        <f t="shared" si="7"/>
        <v>JOSEPH</v>
      </c>
      <c r="U35" s="56"/>
      <c r="V35" s="57"/>
      <c r="W35" s="80" t="s">
        <v>54</v>
      </c>
      <c r="X35" s="132" t="str">
        <f t="shared" si="8"/>
        <v>74</v>
      </c>
      <c r="Y35" s="81"/>
      <c r="Z35" s="127" t="str">
        <f t="shared" si="9"/>
        <v>GERALD</v>
      </c>
      <c r="AA35" s="82" t="s">
        <v>54</v>
      </c>
      <c r="AB35" s="132" t="str">
        <f t="shared" si="10"/>
        <v>2</v>
      </c>
      <c r="AC35" s="83"/>
      <c r="AD35" s="127" t="str">
        <f t="shared" si="11"/>
        <v>FRANCIS</v>
      </c>
      <c r="AE35" s="115"/>
      <c r="AF35" s="116"/>
      <c r="AG35" s="84" t="s">
        <v>54</v>
      </c>
      <c r="AH35" s="133" t="str">
        <f t="shared" si="12"/>
        <v>11</v>
      </c>
      <c r="AI35" s="85"/>
      <c r="AJ35" s="126" t="str">
        <f t="shared" si="13"/>
        <v>JOHN</v>
      </c>
      <c r="AK35" s="86" t="s">
        <v>54</v>
      </c>
      <c r="AL35" s="133" t="str">
        <f t="shared" si="14"/>
        <v>3</v>
      </c>
      <c r="AM35" s="87"/>
      <c r="AN35" s="126" t="str">
        <f t="shared" si="15"/>
        <v>MARCO</v>
      </c>
      <c r="AO35" s="117"/>
      <c r="AP35" s="118"/>
      <c r="AQ35" s="88" t="s">
        <v>54</v>
      </c>
      <c r="AR35" s="134" t="str">
        <f t="shared" si="16"/>
        <v>116</v>
      </c>
      <c r="AS35" s="89"/>
      <c r="AT35" s="124" t="str">
        <f t="shared" si="17"/>
        <v>ALBAN</v>
      </c>
      <c r="AU35" s="90" t="s">
        <v>54</v>
      </c>
      <c r="AV35" s="134" t="str">
        <f t="shared" si="18"/>
        <v>17</v>
      </c>
      <c r="AW35" s="91"/>
      <c r="AX35" s="124" t="str">
        <f t="shared" si="19"/>
        <v xml:space="preserve">LAURENT    </v>
      </c>
      <c r="AY35" s="119"/>
      <c r="AZ35" s="120"/>
      <c r="BA35" s="92" t="s">
        <v>54</v>
      </c>
      <c r="BB35" s="135" t="str">
        <f t="shared" si="20"/>
        <v>110</v>
      </c>
      <c r="BC35" s="93"/>
      <c r="BD35" s="125" t="str">
        <f t="shared" si="21"/>
        <v>ANICET</v>
      </c>
      <c r="BE35" s="94" t="s">
        <v>54</v>
      </c>
      <c r="BF35" s="135" t="str">
        <f t="shared" si="22"/>
        <v>61</v>
      </c>
      <c r="BG35" s="95"/>
      <c r="BH35" s="125" t="str">
        <f t="shared" si="23"/>
        <v>COME</v>
      </c>
      <c r="BI35" s="121"/>
      <c r="BJ35" s="122"/>
      <c r="BK35" s="63"/>
      <c r="BM35" s="65">
        <f>[1]resultat!AL35</f>
        <v>35</v>
      </c>
      <c r="BN35" s="65" t="str">
        <f>[1]resultat!AM35</f>
        <v>MARTIN</v>
      </c>
      <c r="BO35" s="232">
        <v>35</v>
      </c>
      <c r="BP35" s="142">
        <v>13</v>
      </c>
      <c r="BQ35" s="148">
        <v>7</v>
      </c>
      <c r="BR35" s="273">
        <f t="shared" si="24"/>
        <v>29</v>
      </c>
      <c r="BS35" s="274" t="str">
        <f t="shared" si="25"/>
        <v>26</v>
      </c>
      <c r="BT35" s="275" t="str">
        <f t="shared" si="26"/>
        <v xml:space="preserve">THIERRY  </v>
      </c>
      <c r="BU35" s="276" t="str">
        <f t="shared" si="27"/>
        <v>64</v>
      </c>
      <c r="BV35" s="277" t="str">
        <f t="shared" si="28"/>
        <v>QUENTIN</v>
      </c>
      <c r="BW35" s="273">
        <f t="shared" si="28"/>
        <v>13</v>
      </c>
      <c r="BX35" s="273">
        <f t="shared" si="28"/>
        <v>7</v>
      </c>
    </row>
    <row r="36" spans="1:76" ht="19.5" customHeight="1">
      <c r="A36" s="70" t="s">
        <v>187</v>
      </c>
      <c r="B36" s="20">
        <v>31</v>
      </c>
      <c r="C36" s="71" t="s">
        <v>54</v>
      </c>
      <c r="D36" s="130" t="str">
        <f t="shared" si="0"/>
        <v>37</v>
      </c>
      <c r="E36" s="72"/>
      <c r="F36" s="73" t="str">
        <f t="shared" si="1"/>
        <v>CLEMENT</v>
      </c>
      <c r="G36" s="74" t="s">
        <v>54</v>
      </c>
      <c r="H36" s="130" t="str">
        <f t="shared" si="2"/>
        <v>69</v>
      </c>
      <c r="I36" s="75"/>
      <c r="J36" s="73" t="str">
        <f t="shared" si="3"/>
        <v>ALBERT</v>
      </c>
      <c r="K36" s="142">
        <v>13</v>
      </c>
      <c r="L36" s="148">
        <v>7</v>
      </c>
      <c r="M36" s="76" t="s">
        <v>54</v>
      </c>
      <c r="N36" s="131" t="str">
        <f t="shared" si="4"/>
        <v>51</v>
      </c>
      <c r="O36" s="77"/>
      <c r="P36" s="123" t="str">
        <f t="shared" si="5"/>
        <v>BEAUDOUIN</v>
      </c>
      <c r="Q36" s="78" t="s">
        <v>54</v>
      </c>
      <c r="R36" s="131" t="str">
        <f t="shared" si="6"/>
        <v>68</v>
      </c>
      <c r="S36" s="79"/>
      <c r="T36" s="123" t="str">
        <f t="shared" si="7"/>
        <v>BRICE</v>
      </c>
      <c r="U36" s="56"/>
      <c r="V36" s="57"/>
      <c r="W36" s="80" t="s">
        <v>54</v>
      </c>
      <c r="X36" s="132" t="str">
        <f t="shared" si="8"/>
        <v>70</v>
      </c>
      <c r="Y36" s="81"/>
      <c r="Z36" s="127" t="str">
        <f t="shared" si="9"/>
        <v>TANGUY</v>
      </c>
      <c r="AA36" s="82" t="s">
        <v>54</v>
      </c>
      <c r="AB36" s="132" t="str">
        <f t="shared" si="10"/>
        <v>31</v>
      </c>
      <c r="AC36" s="83"/>
      <c r="AD36" s="127" t="str">
        <f t="shared" si="11"/>
        <v>EDOUARD</v>
      </c>
      <c r="AE36" s="115"/>
      <c r="AF36" s="116"/>
      <c r="AG36" s="84" t="s">
        <v>54</v>
      </c>
      <c r="AH36" s="133" t="str">
        <f t="shared" si="12"/>
        <v>63</v>
      </c>
      <c r="AI36" s="85"/>
      <c r="AJ36" s="126" t="str">
        <f t="shared" si="13"/>
        <v>FIRMIN</v>
      </c>
      <c r="AK36" s="86" t="s">
        <v>54</v>
      </c>
      <c r="AL36" s="133" t="str">
        <f t="shared" si="14"/>
        <v>40</v>
      </c>
      <c r="AM36" s="87"/>
      <c r="AN36" s="126" t="str">
        <f t="shared" si="15"/>
        <v>VINCENT</v>
      </c>
      <c r="AO36" s="117"/>
      <c r="AP36" s="118"/>
      <c r="AQ36" s="88" t="s">
        <v>54</v>
      </c>
      <c r="AR36" s="134" t="str">
        <f t="shared" si="16"/>
        <v>88</v>
      </c>
      <c r="AS36" s="89"/>
      <c r="AT36" s="124" t="str">
        <f t="shared" si="17"/>
        <v>VINCENT</v>
      </c>
      <c r="AU36" s="90" t="s">
        <v>54</v>
      </c>
      <c r="AV36" s="134" t="str">
        <f t="shared" si="18"/>
        <v>2</v>
      </c>
      <c r="AW36" s="91"/>
      <c r="AX36" s="124" t="str">
        <f t="shared" si="19"/>
        <v>FRANCIS</v>
      </c>
      <c r="AY36" s="119"/>
      <c r="AZ36" s="120"/>
      <c r="BA36" s="92" t="s">
        <v>54</v>
      </c>
      <c r="BB36" s="135" t="str">
        <f t="shared" si="20"/>
        <v>77</v>
      </c>
      <c r="BC36" s="93"/>
      <c r="BD36" s="125" t="str">
        <f t="shared" si="21"/>
        <v>DANIEL</v>
      </c>
      <c r="BE36" s="94" t="s">
        <v>54</v>
      </c>
      <c r="BF36" s="135" t="str">
        <f t="shared" si="22"/>
        <v>18</v>
      </c>
      <c r="BG36" s="95"/>
      <c r="BH36" s="125" t="str">
        <f t="shared" si="23"/>
        <v xml:space="preserve">CHARLES  </v>
      </c>
      <c r="BI36" s="121"/>
      <c r="BJ36" s="122"/>
      <c r="BK36" s="63"/>
      <c r="BM36" s="65">
        <f>[1]resultat!AL36</f>
        <v>36</v>
      </c>
      <c r="BN36" s="65" t="str">
        <f>[1]resultat!AM36</f>
        <v xml:space="preserve">ALCIDE  </v>
      </c>
      <c r="BO36" s="141">
        <v>36</v>
      </c>
      <c r="BP36" s="148">
        <v>7</v>
      </c>
      <c r="BQ36" s="142">
        <v>13</v>
      </c>
      <c r="BR36" s="273">
        <f t="shared" si="24"/>
        <v>30</v>
      </c>
      <c r="BS36" s="274" t="str">
        <f t="shared" si="25"/>
        <v>30</v>
      </c>
      <c r="BT36" s="275" t="str">
        <f t="shared" si="26"/>
        <v xml:space="preserve">PATRICK   </v>
      </c>
      <c r="BU36" s="276" t="str">
        <f t="shared" si="27"/>
        <v>87</v>
      </c>
      <c r="BV36" s="277" t="str">
        <f t="shared" si="28"/>
        <v>GUILLAUME</v>
      </c>
      <c r="BW36" s="273">
        <f t="shared" si="28"/>
        <v>13</v>
      </c>
      <c r="BX36" s="273">
        <f t="shared" si="28"/>
        <v>7</v>
      </c>
    </row>
    <row r="37" spans="1:76" ht="19.5" customHeight="1">
      <c r="A37" s="70" t="s">
        <v>187</v>
      </c>
      <c r="B37" s="20">
        <v>32</v>
      </c>
      <c r="C37" s="71" t="s">
        <v>54</v>
      </c>
      <c r="D37" s="130" t="str">
        <f t="shared" si="0"/>
        <v>45</v>
      </c>
      <c r="E37" s="72"/>
      <c r="F37" s="73" t="str">
        <f t="shared" si="1"/>
        <v>RENAUD</v>
      </c>
      <c r="G37" s="74" t="s">
        <v>54</v>
      </c>
      <c r="H37" s="130" t="str">
        <f t="shared" si="2"/>
        <v>82</v>
      </c>
      <c r="I37" s="75"/>
      <c r="J37" s="73" t="str">
        <f t="shared" si="3"/>
        <v>URBAIN</v>
      </c>
      <c r="K37" s="142">
        <v>13</v>
      </c>
      <c r="L37" s="148">
        <v>7</v>
      </c>
      <c r="M37" s="76" t="s">
        <v>54</v>
      </c>
      <c r="N37" s="131" t="str">
        <f t="shared" si="4"/>
        <v>86</v>
      </c>
      <c r="O37" s="77"/>
      <c r="P37" s="123" t="str">
        <f t="shared" si="5"/>
        <v>LUCIEN</v>
      </c>
      <c r="Q37" s="78" t="s">
        <v>54</v>
      </c>
      <c r="R37" s="131" t="str">
        <f t="shared" si="6"/>
        <v>27</v>
      </c>
      <c r="S37" s="79"/>
      <c r="T37" s="123" t="str">
        <f t="shared" si="7"/>
        <v xml:space="preserve">PHILIPPE  </v>
      </c>
      <c r="U37" s="56"/>
      <c r="V37" s="57"/>
      <c r="W37" s="80" t="s">
        <v>54</v>
      </c>
      <c r="X37" s="132" t="str">
        <f t="shared" si="8"/>
        <v>107</v>
      </c>
      <c r="Y37" s="81"/>
      <c r="Z37" s="127" t="str">
        <f t="shared" si="9"/>
        <v>GONTRAN</v>
      </c>
      <c r="AA37" s="82" t="s">
        <v>54</v>
      </c>
      <c r="AB37" s="132" t="str">
        <f t="shared" si="10"/>
        <v>105</v>
      </c>
      <c r="AC37" s="83"/>
      <c r="AD37" s="127" t="str">
        <f t="shared" si="11"/>
        <v>CYRILL</v>
      </c>
      <c r="AE37" s="115"/>
      <c r="AF37" s="116"/>
      <c r="AG37" s="84" t="s">
        <v>54</v>
      </c>
      <c r="AH37" s="133" t="str">
        <f t="shared" si="12"/>
        <v>93</v>
      </c>
      <c r="AI37" s="85"/>
      <c r="AJ37" s="126" t="str">
        <f t="shared" si="13"/>
        <v>JOSEPH</v>
      </c>
      <c r="AK37" s="86" t="s">
        <v>54</v>
      </c>
      <c r="AL37" s="133" t="str">
        <f t="shared" si="14"/>
        <v>56</v>
      </c>
      <c r="AM37" s="87"/>
      <c r="AN37" s="126" t="str">
        <f t="shared" si="15"/>
        <v xml:space="preserve">RENE  </v>
      </c>
      <c r="AO37" s="117"/>
      <c r="AP37" s="118"/>
      <c r="AQ37" s="88" t="s">
        <v>54</v>
      </c>
      <c r="AR37" s="134" t="str">
        <f t="shared" si="16"/>
        <v>109</v>
      </c>
      <c r="AS37" s="89"/>
      <c r="AT37" s="124" t="str">
        <f t="shared" si="17"/>
        <v>MARCELLIN</v>
      </c>
      <c r="AU37" s="90" t="s">
        <v>54</v>
      </c>
      <c r="AV37" s="134" t="str">
        <f t="shared" si="18"/>
        <v>85</v>
      </c>
      <c r="AW37" s="91"/>
      <c r="AX37" s="124" t="str">
        <f t="shared" si="19"/>
        <v>RAYMOND</v>
      </c>
      <c r="AY37" s="119"/>
      <c r="AZ37" s="120"/>
      <c r="BA37" s="92" t="s">
        <v>54</v>
      </c>
      <c r="BB37" s="135" t="str">
        <f t="shared" si="20"/>
        <v>3</v>
      </c>
      <c r="BC37" s="93"/>
      <c r="BD37" s="125" t="str">
        <f t="shared" si="21"/>
        <v>MARCO</v>
      </c>
      <c r="BE37" s="94" t="s">
        <v>54</v>
      </c>
      <c r="BF37" s="135" t="str">
        <f t="shared" si="22"/>
        <v>38</v>
      </c>
      <c r="BG37" s="95"/>
      <c r="BH37" s="125" t="str">
        <f t="shared" si="23"/>
        <v xml:space="preserve">ROMAIN  </v>
      </c>
      <c r="BI37" s="121"/>
      <c r="BJ37" s="122"/>
      <c r="BK37" s="63"/>
      <c r="BM37" s="65">
        <f>[1]resultat!AL37</f>
        <v>37</v>
      </c>
      <c r="BN37" s="65" t="str">
        <f>[1]resultat!AM37</f>
        <v>CLEMENT</v>
      </c>
      <c r="BO37" s="232">
        <v>37</v>
      </c>
      <c r="BP37" s="142">
        <v>13</v>
      </c>
      <c r="BQ37" s="148">
        <v>7</v>
      </c>
      <c r="BR37" s="273">
        <f t="shared" si="24"/>
        <v>31</v>
      </c>
      <c r="BS37" s="274" t="str">
        <f t="shared" si="25"/>
        <v>37</v>
      </c>
      <c r="BT37" s="275" t="str">
        <f t="shared" si="26"/>
        <v>CLEMENT</v>
      </c>
      <c r="BU37" s="276" t="str">
        <f t="shared" si="27"/>
        <v>69</v>
      </c>
      <c r="BV37" s="277" t="str">
        <f t="shared" si="28"/>
        <v>ALBERT</v>
      </c>
      <c r="BW37" s="273">
        <f t="shared" si="28"/>
        <v>13</v>
      </c>
      <c r="BX37" s="273">
        <f t="shared" si="28"/>
        <v>7</v>
      </c>
    </row>
    <row r="38" spans="1:76" ht="19.5" customHeight="1">
      <c r="A38" s="70" t="s">
        <v>187</v>
      </c>
      <c r="B38" s="20">
        <v>33</v>
      </c>
      <c r="C38" s="71" t="s">
        <v>54</v>
      </c>
      <c r="D38" s="130" t="str">
        <f t="shared" si="0"/>
        <v>76</v>
      </c>
      <c r="E38" s="72"/>
      <c r="F38" s="73" t="str">
        <f t="shared" si="1"/>
        <v>AMBROISE</v>
      </c>
      <c r="G38" s="74" t="s">
        <v>54</v>
      </c>
      <c r="H38" s="130" t="str">
        <f t="shared" si="2"/>
        <v>12</v>
      </c>
      <c r="I38" s="75"/>
      <c r="J38" s="73" t="str">
        <f t="shared" si="3"/>
        <v>ALAIN</v>
      </c>
      <c r="K38" s="142">
        <v>13</v>
      </c>
      <c r="L38" s="148">
        <v>7</v>
      </c>
      <c r="M38" s="76" t="s">
        <v>54</v>
      </c>
      <c r="N38" s="131" t="str">
        <f t="shared" si="4"/>
        <v>103</v>
      </c>
      <c r="O38" s="77"/>
      <c r="P38" s="123" t="str">
        <f t="shared" si="5"/>
        <v>GERMAIN</v>
      </c>
      <c r="Q38" s="78" t="s">
        <v>54</v>
      </c>
      <c r="R38" s="131" t="str">
        <f t="shared" si="6"/>
        <v>96</v>
      </c>
      <c r="S38" s="79"/>
      <c r="T38" s="123" t="str">
        <f t="shared" si="7"/>
        <v>GAUTIER</v>
      </c>
      <c r="U38" s="56"/>
      <c r="V38" s="57"/>
      <c r="W38" s="80" t="s">
        <v>54</v>
      </c>
      <c r="X38" s="132" t="str">
        <f t="shared" si="8"/>
        <v>17</v>
      </c>
      <c r="Y38" s="81"/>
      <c r="Z38" s="127" t="str">
        <f t="shared" si="9"/>
        <v xml:space="preserve">LAURENT    </v>
      </c>
      <c r="AA38" s="82" t="s">
        <v>54</v>
      </c>
      <c r="AB38" s="132" t="str">
        <f t="shared" si="10"/>
        <v>39</v>
      </c>
      <c r="AC38" s="83"/>
      <c r="AD38" s="127" t="str">
        <f t="shared" si="11"/>
        <v xml:space="preserve">NICO  </v>
      </c>
      <c r="AE38" s="115"/>
      <c r="AF38" s="116"/>
      <c r="AG38" s="84" t="s">
        <v>54</v>
      </c>
      <c r="AH38" s="133" t="str">
        <f t="shared" si="12"/>
        <v>34</v>
      </c>
      <c r="AI38" s="85"/>
      <c r="AJ38" s="126" t="str">
        <f t="shared" si="13"/>
        <v xml:space="preserve">JOE  </v>
      </c>
      <c r="AK38" s="86" t="s">
        <v>54</v>
      </c>
      <c r="AL38" s="133" t="str">
        <f t="shared" si="14"/>
        <v>72</v>
      </c>
      <c r="AM38" s="87"/>
      <c r="AN38" s="126" t="str">
        <f t="shared" si="15"/>
        <v>DELPHINE</v>
      </c>
      <c r="AO38" s="117"/>
      <c r="AP38" s="118"/>
      <c r="AQ38" s="88" t="s">
        <v>54</v>
      </c>
      <c r="AR38" s="134" t="str">
        <f t="shared" si="16"/>
        <v>7</v>
      </c>
      <c r="AS38" s="89"/>
      <c r="AT38" s="124" t="str">
        <f t="shared" si="17"/>
        <v>PIERRE</v>
      </c>
      <c r="AU38" s="90" t="s">
        <v>54</v>
      </c>
      <c r="AV38" s="134" t="str">
        <f t="shared" si="18"/>
        <v>63</v>
      </c>
      <c r="AW38" s="91"/>
      <c r="AX38" s="124" t="str">
        <f t="shared" si="19"/>
        <v>FIRMIN</v>
      </c>
      <c r="AY38" s="119"/>
      <c r="AZ38" s="120"/>
      <c r="BA38" s="92" t="s">
        <v>54</v>
      </c>
      <c r="BB38" s="135" t="str">
        <f t="shared" si="20"/>
        <v>9</v>
      </c>
      <c r="BC38" s="93"/>
      <c r="BD38" s="125" t="str">
        <f t="shared" si="21"/>
        <v>SEBASTIEN</v>
      </c>
      <c r="BE38" s="94" t="s">
        <v>54</v>
      </c>
      <c r="BF38" s="135" t="str">
        <f t="shared" si="22"/>
        <v>76</v>
      </c>
      <c r="BG38" s="95"/>
      <c r="BH38" s="125" t="str">
        <f t="shared" si="23"/>
        <v>AMBROISE</v>
      </c>
      <c r="BI38" s="121"/>
      <c r="BJ38" s="122"/>
      <c r="BK38" s="63"/>
      <c r="BM38" s="65">
        <f>[1]resultat!AL38</f>
        <v>38</v>
      </c>
      <c r="BN38" s="65" t="str">
        <f>[1]resultat!AM38</f>
        <v xml:space="preserve">ROMAIN  </v>
      </c>
      <c r="BO38" s="232">
        <v>38</v>
      </c>
      <c r="BP38" s="142">
        <v>13</v>
      </c>
      <c r="BQ38" s="148">
        <v>7</v>
      </c>
      <c r="BR38" s="273">
        <f t="shared" si="24"/>
        <v>32</v>
      </c>
      <c r="BS38" s="274" t="str">
        <f t="shared" si="25"/>
        <v>45</v>
      </c>
      <c r="BT38" s="275" t="str">
        <f t="shared" si="26"/>
        <v>RENAUD</v>
      </c>
      <c r="BU38" s="276" t="str">
        <f t="shared" si="27"/>
        <v>82</v>
      </c>
      <c r="BV38" s="277" t="str">
        <f t="shared" si="28"/>
        <v>URBAIN</v>
      </c>
      <c r="BW38" s="273">
        <f t="shared" si="28"/>
        <v>13</v>
      </c>
      <c r="BX38" s="273">
        <f t="shared" si="28"/>
        <v>7</v>
      </c>
    </row>
    <row r="39" spans="1:76" s="96" customFormat="1" ht="19.5" customHeight="1">
      <c r="A39" s="70" t="s">
        <v>187</v>
      </c>
      <c r="B39" s="20">
        <v>34</v>
      </c>
      <c r="C39" s="71" t="s">
        <v>54</v>
      </c>
      <c r="D39" s="130" t="str">
        <f t="shared" si="0"/>
        <v>61</v>
      </c>
      <c r="E39" s="72"/>
      <c r="F39" s="73" t="str">
        <f t="shared" si="1"/>
        <v>COME</v>
      </c>
      <c r="G39" s="74" t="s">
        <v>54</v>
      </c>
      <c r="H39" s="130" t="str">
        <f t="shared" si="2"/>
        <v>83</v>
      </c>
      <c r="I39" s="75"/>
      <c r="J39" s="73" t="str">
        <f t="shared" si="3"/>
        <v>ETIENNE</v>
      </c>
      <c r="K39" s="142">
        <v>13</v>
      </c>
      <c r="L39" s="148">
        <v>7</v>
      </c>
      <c r="M39" s="76" t="s">
        <v>54</v>
      </c>
      <c r="N39" s="131" t="str">
        <f t="shared" si="4"/>
        <v>102</v>
      </c>
      <c r="O39" s="77"/>
      <c r="P39" s="123" t="str">
        <f t="shared" si="5"/>
        <v>DONATIEN</v>
      </c>
      <c r="Q39" s="78" t="s">
        <v>54</v>
      </c>
      <c r="R39" s="131" t="str">
        <f t="shared" si="6"/>
        <v>92</v>
      </c>
      <c r="S39" s="79"/>
      <c r="T39" s="123" t="str">
        <f t="shared" si="7"/>
        <v>ROMAIN</v>
      </c>
      <c r="U39" s="56"/>
      <c r="V39" s="57"/>
      <c r="W39" s="80" t="s">
        <v>54</v>
      </c>
      <c r="X39" s="132" t="str">
        <f t="shared" si="8"/>
        <v>4</v>
      </c>
      <c r="Y39" s="81"/>
      <c r="Z39" s="127" t="str">
        <f t="shared" si="9"/>
        <v>DENISE</v>
      </c>
      <c r="AA39" s="82" t="s">
        <v>54</v>
      </c>
      <c r="AB39" s="132" t="str">
        <f t="shared" si="10"/>
        <v>101</v>
      </c>
      <c r="AC39" s="83"/>
      <c r="AD39" s="127" t="str">
        <f t="shared" si="11"/>
        <v>HONORE</v>
      </c>
      <c r="AE39" s="115"/>
      <c r="AF39" s="116"/>
      <c r="AG39" s="84" t="s">
        <v>54</v>
      </c>
      <c r="AH39" s="133" t="str">
        <f t="shared" si="12"/>
        <v>116</v>
      </c>
      <c r="AI39" s="85"/>
      <c r="AJ39" s="126" t="str">
        <f t="shared" si="13"/>
        <v>ALBAN</v>
      </c>
      <c r="AK39" s="86" t="s">
        <v>54</v>
      </c>
      <c r="AL39" s="133" t="str">
        <f t="shared" si="14"/>
        <v>6</v>
      </c>
      <c r="AM39" s="87"/>
      <c r="AN39" s="126" t="str">
        <f t="shared" si="15"/>
        <v>JACQUES</v>
      </c>
      <c r="AO39" s="117"/>
      <c r="AP39" s="118"/>
      <c r="AQ39" s="88" t="s">
        <v>54</v>
      </c>
      <c r="AR39" s="134" t="str">
        <f t="shared" si="16"/>
        <v>53</v>
      </c>
      <c r="AS39" s="89"/>
      <c r="AT39" s="124" t="str">
        <f t="shared" si="17"/>
        <v>AURELIEN</v>
      </c>
      <c r="AU39" s="90" t="s">
        <v>54</v>
      </c>
      <c r="AV39" s="134" t="str">
        <f t="shared" si="18"/>
        <v>104</v>
      </c>
      <c r="AW39" s="91"/>
      <c r="AX39" s="124" t="str">
        <f t="shared" si="19"/>
        <v>RODRIGUE</v>
      </c>
      <c r="AY39" s="119"/>
      <c r="AZ39" s="120"/>
      <c r="BA39" s="92" t="s">
        <v>54</v>
      </c>
      <c r="BB39" s="135" t="str">
        <f t="shared" si="20"/>
        <v>21</v>
      </c>
      <c r="BC39" s="93"/>
      <c r="BD39" s="125" t="str">
        <f t="shared" si="21"/>
        <v>GEGE</v>
      </c>
      <c r="BE39" s="94" t="s">
        <v>54</v>
      </c>
      <c r="BF39" s="135" t="str">
        <f t="shared" si="22"/>
        <v>46</v>
      </c>
      <c r="BG39" s="95"/>
      <c r="BH39" s="125" t="str">
        <f t="shared" si="23"/>
        <v xml:space="preserve">SERGE  </v>
      </c>
      <c r="BI39" s="121"/>
      <c r="BJ39" s="122"/>
      <c r="BK39" s="63"/>
      <c r="BM39" s="65">
        <f>[1]resultat!AL39</f>
        <v>39</v>
      </c>
      <c r="BN39" s="65" t="str">
        <f>[1]resultat!AM39</f>
        <v xml:space="preserve">NICO  </v>
      </c>
      <c r="BO39" s="141">
        <v>39</v>
      </c>
      <c r="BP39" s="148">
        <v>7</v>
      </c>
      <c r="BQ39" s="142">
        <v>13</v>
      </c>
      <c r="BR39" s="273">
        <f t="shared" si="24"/>
        <v>33</v>
      </c>
      <c r="BS39" s="274" t="str">
        <f t="shared" si="25"/>
        <v>76</v>
      </c>
      <c r="BT39" s="275" t="str">
        <f t="shared" si="26"/>
        <v>AMBROISE</v>
      </c>
      <c r="BU39" s="276" t="str">
        <f t="shared" si="27"/>
        <v>12</v>
      </c>
      <c r="BV39" s="277" t="str">
        <f t="shared" si="28"/>
        <v>ALAIN</v>
      </c>
      <c r="BW39" s="273">
        <f t="shared" si="28"/>
        <v>13</v>
      </c>
      <c r="BX39" s="273">
        <f t="shared" si="28"/>
        <v>7</v>
      </c>
    </row>
    <row r="40" spans="1:76" s="97" customFormat="1">
      <c r="A40" s="70" t="s">
        <v>187</v>
      </c>
      <c r="B40" s="53">
        <v>35</v>
      </c>
      <c r="C40" s="71" t="s">
        <v>54</v>
      </c>
      <c r="D40" s="130" t="str">
        <f t="shared" si="0"/>
        <v>114</v>
      </c>
      <c r="E40" s="72"/>
      <c r="F40" s="73" t="str">
        <f t="shared" si="1"/>
        <v>BARNABE</v>
      </c>
      <c r="G40" s="74" t="s">
        <v>54</v>
      </c>
      <c r="H40" s="130" t="str">
        <f t="shared" si="2"/>
        <v>44</v>
      </c>
      <c r="I40" s="75"/>
      <c r="J40" s="73" t="str">
        <f t="shared" si="3"/>
        <v>GUY JEAN</v>
      </c>
      <c r="K40" s="142">
        <v>13</v>
      </c>
      <c r="L40" s="148">
        <v>7</v>
      </c>
      <c r="M40" s="76" t="s">
        <v>54</v>
      </c>
      <c r="N40" s="131" t="str">
        <f t="shared" si="4"/>
        <v>89</v>
      </c>
      <c r="O40" s="77"/>
      <c r="P40" s="123" t="str">
        <f t="shared" si="5"/>
        <v>BERNARD</v>
      </c>
      <c r="Q40" s="78" t="s">
        <v>54</v>
      </c>
      <c r="R40" s="131" t="str">
        <f t="shared" si="6"/>
        <v>101</v>
      </c>
      <c r="S40" s="79"/>
      <c r="T40" s="123" t="str">
        <f t="shared" si="7"/>
        <v>HONORE</v>
      </c>
      <c r="U40" s="56"/>
      <c r="V40" s="57"/>
      <c r="W40" s="80" t="s">
        <v>54</v>
      </c>
      <c r="X40" s="132" t="str">
        <f t="shared" si="8"/>
        <v>13</v>
      </c>
      <c r="Y40" s="81"/>
      <c r="Z40" s="127" t="str">
        <f t="shared" si="9"/>
        <v>JEAN PIERRE</v>
      </c>
      <c r="AA40" s="82" t="s">
        <v>54</v>
      </c>
      <c r="AB40" s="132" t="str">
        <f t="shared" si="10"/>
        <v>110</v>
      </c>
      <c r="AC40" s="83"/>
      <c r="AD40" s="127" t="str">
        <f t="shared" si="11"/>
        <v>ANICET</v>
      </c>
      <c r="AE40" s="115"/>
      <c r="AF40" s="116"/>
      <c r="AG40" s="84" t="s">
        <v>54</v>
      </c>
      <c r="AH40" s="133" t="str">
        <f t="shared" si="12"/>
        <v>55</v>
      </c>
      <c r="AI40" s="85"/>
      <c r="AJ40" s="126" t="str">
        <f t="shared" si="13"/>
        <v>GREGOIRE</v>
      </c>
      <c r="AK40" s="86" t="s">
        <v>54</v>
      </c>
      <c r="AL40" s="133" t="str">
        <f t="shared" si="14"/>
        <v>33</v>
      </c>
      <c r="AM40" s="87"/>
      <c r="AN40" s="126" t="str">
        <f t="shared" si="15"/>
        <v xml:space="preserve">BRUNO  </v>
      </c>
      <c r="AO40" s="117"/>
      <c r="AP40" s="118"/>
      <c r="AQ40" s="88" t="s">
        <v>54</v>
      </c>
      <c r="AR40" s="134" t="str">
        <f t="shared" si="16"/>
        <v>39</v>
      </c>
      <c r="AS40" s="89"/>
      <c r="AT40" s="124" t="str">
        <f t="shared" si="17"/>
        <v xml:space="preserve">NICO  </v>
      </c>
      <c r="AU40" s="90" t="s">
        <v>54</v>
      </c>
      <c r="AV40" s="134" t="str">
        <f t="shared" si="18"/>
        <v>36</v>
      </c>
      <c r="AW40" s="91"/>
      <c r="AX40" s="124" t="str">
        <f t="shared" si="19"/>
        <v xml:space="preserve">ALCIDE  </v>
      </c>
      <c r="AY40" s="119"/>
      <c r="AZ40" s="120"/>
      <c r="BA40" s="92" t="s">
        <v>54</v>
      </c>
      <c r="BB40" s="135" t="str">
        <f t="shared" si="20"/>
        <v>74</v>
      </c>
      <c r="BC40" s="93"/>
      <c r="BD40" s="125" t="str">
        <f t="shared" si="21"/>
        <v>GERALD</v>
      </c>
      <c r="BE40" s="94" t="s">
        <v>54</v>
      </c>
      <c r="BF40" s="135" t="str">
        <f t="shared" si="22"/>
        <v>90</v>
      </c>
      <c r="BG40" s="95"/>
      <c r="BH40" s="125" t="str">
        <f t="shared" si="23"/>
        <v>VALENTIN</v>
      </c>
      <c r="BI40" s="121"/>
      <c r="BJ40" s="122"/>
      <c r="BK40" s="63"/>
      <c r="BM40" s="65">
        <f>[1]resultat!AL40</f>
        <v>40</v>
      </c>
      <c r="BN40" s="65" t="str">
        <f>[1]resultat!AM40</f>
        <v>VINCENT</v>
      </c>
      <c r="BO40" s="232">
        <v>40</v>
      </c>
      <c r="BP40" s="142">
        <v>13</v>
      </c>
      <c r="BQ40" s="148">
        <v>7</v>
      </c>
      <c r="BR40" s="273">
        <f t="shared" si="24"/>
        <v>34</v>
      </c>
      <c r="BS40" s="274" t="str">
        <f t="shared" si="25"/>
        <v>61</v>
      </c>
      <c r="BT40" s="275" t="str">
        <f t="shared" si="26"/>
        <v>COME</v>
      </c>
      <c r="BU40" s="276" t="str">
        <f t="shared" si="27"/>
        <v>83</v>
      </c>
      <c r="BV40" s="277" t="str">
        <f t="shared" ref="BV40:BX70" si="29">J39</f>
        <v>ETIENNE</v>
      </c>
      <c r="BW40" s="273">
        <f t="shared" si="29"/>
        <v>13</v>
      </c>
      <c r="BX40" s="273">
        <f t="shared" si="29"/>
        <v>7</v>
      </c>
    </row>
    <row r="41" spans="1:76" ht="16.5" customHeight="1">
      <c r="A41" s="70" t="s">
        <v>187</v>
      </c>
      <c r="B41" s="20">
        <v>36</v>
      </c>
      <c r="C41" s="71" t="s">
        <v>54</v>
      </c>
      <c r="D41" s="130" t="str">
        <f t="shared" si="0"/>
        <v>109</v>
      </c>
      <c r="E41" s="72"/>
      <c r="F41" s="73" t="str">
        <f t="shared" si="1"/>
        <v>MARCELLIN</v>
      </c>
      <c r="G41" s="74" t="s">
        <v>54</v>
      </c>
      <c r="H41" s="130" t="str">
        <f t="shared" si="2"/>
        <v>18</v>
      </c>
      <c r="I41" s="75"/>
      <c r="J41" s="73" t="str">
        <f t="shared" si="3"/>
        <v xml:space="preserve">CHARLES  </v>
      </c>
      <c r="K41" s="142">
        <v>13</v>
      </c>
      <c r="L41" s="148">
        <v>7</v>
      </c>
      <c r="M41" s="76" t="s">
        <v>54</v>
      </c>
      <c r="N41" s="131" t="str">
        <f t="shared" si="4"/>
        <v>37</v>
      </c>
      <c r="O41" s="77"/>
      <c r="P41" s="123" t="str">
        <f t="shared" si="5"/>
        <v>CLEMENT</v>
      </c>
      <c r="Q41" s="78" t="s">
        <v>54</v>
      </c>
      <c r="R41" s="131" t="str">
        <f t="shared" si="6"/>
        <v>34</v>
      </c>
      <c r="S41" s="79"/>
      <c r="T41" s="123" t="str">
        <f t="shared" si="7"/>
        <v xml:space="preserve">JOE  </v>
      </c>
      <c r="U41" s="56"/>
      <c r="V41" s="57"/>
      <c r="W41" s="80" t="s">
        <v>54</v>
      </c>
      <c r="X41" s="132" t="str">
        <f t="shared" si="8"/>
        <v>75</v>
      </c>
      <c r="Y41" s="81"/>
      <c r="Z41" s="127" t="str">
        <f t="shared" si="9"/>
        <v>NICOLAS</v>
      </c>
      <c r="AA41" s="82" t="s">
        <v>54</v>
      </c>
      <c r="AB41" s="132" t="str">
        <f t="shared" si="10"/>
        <v>99</v>
      </c>
      <c r="AC41" s="83"/>
      <c r="AD41" s="127" t="str">
        <f t="shared" si="11"/>
        <v>ROLANDE</v>
      </c>
      <c r="AE41" s="115"/>
      <c r="AF41" s="116"/>
      <c r="AG41" s="84" t="s">
        <v>54</v>
      </c>
      <c r="AH41" s="133" t="str">
        <f t="shared" si="12"/>
        <v>97</v>
      </c>
      <c r="AI41" s="85"/>
      <c r="AJ41" s="126" t="str">
        <f t="shared" si="13"/>
        <v>MATTHIAS</v>
      </c>
      <c r="AK41" s="86" t="s">
        <v>54</v>
      </c>
      <c r="AL41" s="133" t="str">
        <f t="shared" si="14"/>
        <v>114</v>
      </c>
      <c r="AM41" s="87"/>
      <c r="AN41" s="126" t="str">
        <f t="shared" si="15"/>
        <v>BARNABE</v>
      </c>
      <c r="AO41" s="117"/>
      <c r="AP41" s="118"/>
      <c r="AQ41" s="88" t="s">
        <v>54</v>
      </c>
      <c r="AR41" s="134" t="str">
        <f t="shared" si="16"/>
        <v>29</v>
      </c>
      <c r="AS41" s="89"/>
      <c r="AT41" s="124" t="str">
        <f t="shared" si="17"/>
        <v xml:space="preserve">YOANN   </v>
      </c>
      <c r="AU41" s="90" t="s">
        <v>54</v>
      </c>
      <c r="AV41" s="134" t="str">
        <f t="shared" si="18"/>
        <v>18</v>
      </c>
      <c r="AW41" s="91"/>
      <c r="AX41" s="124" t="str">
        <f t="shared" si="19"/>
        <v xml:space="preserve">CHARLES  </v>
      </c>
      <c r="AY41" s="119"/>
      <c r="AZ41" s="120"/>
      <c r="BA41" s="92" t="s">
        <v>54</v>
      </c>
      <c r="BB41" s="135" t="str">
        <f t="shared" si="20"/>
        <v>89</v>
      </c>
      <c r="BC41" s="93"/>
      <c r="BD41" s="125" t="str">
        <f t="shared" si="21"/>
        <v>BERNARD</v>
      </c>
      <c r="BE41" s="94" t="s">
        <v>54</v>
      </c>
      <c r="BF41" s="135" t="str">
        <f t="shared" si="22"/>
        <v>80</v>
      </c>
      <c r="BG41" s="95"/>
      <c r="BH41" s="125" t="str">
        <f t="shared" si="23"/>
        <v>LUCIE</v>
      </c>
      <c r="BI41" s="121"/>
      <c r="BJ41" s="122"/>
      <c r="BK41" s="63"/>
      <c r="BM41" s="65">
        <f>[1]resultat!AL41</f>
        <v>41</v>
      </c>
      <c r="BN41" s="65" t="str">
        <f>[1]resultat!AM41</f>
        <v>ETIENNE</v>
      </c>
      <c r="BO41" s="232">
        <v>41</v>
      </c>
      <c r="BP41" s="142">
        <v>13</v>
      </c>
      <c r="BQ41" s="148">
        <v>7</v>
      </c>
      <c r="BR41" s="273">
        <f t="shared" si="24"/>
        <v>35</v>
      </c>
      <c r="BS41" s="274" t="str">
        <f t="shared" si="25"/>
        <v>114</v>
      </c>
      <c r="BT41" s="275" t="str">
        <f t="shared" si="26"/>
        <v>BARNABE</v>
      </c>
      <c r="BU41" s="276" t="str">
        <f t="shared" si="27"/>
        <v>44</v>
      </c>
      <c r="BV41" s="277" t="str">
        <f t="shared" si="29"/>
        <v>GUY JEAN</v>
      </c>
      <c r="BW41" s="273">
        <f t="shared" si="29"/>
        <v>13</v>
      </c>
      <c r="BX41" s="273">
        <f t="shared" si="29"/>
        <v>7</v>
      </c>
    </row>
    <row r="42" spans="1:76">
      <c r="A42" s="70" t="s">
        <v>187</v>
      </c>
      <c r="B42" s="20">
        <v>37</v>
      </c>
      <c r="C42" s="71" t="s">
        <v>54</v>
      </c>
      <c r="D42" s="130" t="str">
        <f t="shared" si="0"/>
        <v>110</v>
      </c>
      <c r="E42" s="72"/>
      <c r="F42" s="73" t="str">
        <f t="shared" si="1"/>
        <v>ANICET</v>
      </c>
      <c r="G42" s="74" t="s">
        <v>54</v>
      </c>
      <c r="H42" s="130" t="str">
        <f t="shared" si="2"/>
        <v>49</v>
      </c>
      <c r="I42" s="75"/>
      <c r="J42" s="73" t="str">
        <f t="shared" si="3"/>
        <v>OLIVIER</v>
      </c>
      <c r="K42" s="142">
        <v>13</v>
      </c>
      <c r="L42" s="148">
        <v>7</v>
      </c>
      <c r="M42" s="76" t="s">
        <v>54</v>
      </c>
      <c r="N42" s="131" t="str">
        <f t="shared" si="4"/>
        <v>10</v>
      </c>
      <c r="O42" s="77"/>
      <c r="P42" s="123" t="str">
        <f t="shared" si="5"/>
        <v>PETER</v>
      </c>
      <c r="Q42" s="78" t="s">
        <v>54</v>
      </c>
      <c r="R42" s="131" t="str">
        <f t="shared" si="6"/>
        <v>44</v>
      </c>
      <c r="S42" s="79"/>
      <c r="T42" s="123" t="str">
        <f t="shared" si="7"/>
        <v>GUY JEAN</v>
      </c>
      <c r="U42" s="56"/>
      <c r="V42" s="57"/>
      <c r="W42" s="80" t="s">
        <v>54</v>
      </c>
      <c r="X42" s="132" t="str">
        <f t="shared" si="8"/>
        <v>86</v>
      </c>
      <c r="Y42" s="81"/>
      <c r="Z42" s="127" t="str">
        <f t="shared" si="9"/>
        <v>LUCIEN</v>
      </c>
      <c r="AA42" s="82" t="s">
        <v>54</v>
      </c>
      <c r="AB42" s="132" t="str">
        <f t="shared" si="10"/>
        <v>93</v>
      </c>
      <c r="AC42" s="83"/>
      <c r="AD42" s="127" t="str">
        <f t="shared" si="11"/>
        <v>JOSEPH</v>
      </c>
      <c r="AE42" s="115"/>
      <c r="AF42" s="116"/>
      <c r="AG42" s="84" t="s">
        <v>54</v>
      </c>
      <c r="AH42" s="133" t="str">
        <f t="shared" si="12"/>
        <v>19</v>
      </c>
      <c r="AI42" s="85"/>
      <c r="AJ42" s="126" t="str">
        <f t="shared" si="13"/>
        <v xml:space="preserve">SYLVAIN   </v>
      </c>
      <c r="AK42" s="86" t="s">
        <v>54</v>
      </c>
      <c r="AL42" s="133" t="str">
        <f t="shared" si="14"/>
        <v>16</v>
      </c>
      <c r="AM42" s="87"/>
      <c r="AN42" s="126" t="str">
        <f t="shared" si="15"/>
        <v>MICKAEL</v>
      </c>
      <c r="AO42" s="117"/>
      <c r="AP42" s="118"/>
      <c r="AQ42" s="88" t="s">
        <v>54</v>
      </c>
      <c r="AR42" s="134" t="str">
        <f t="shared" si="16"/>
        <v>41</v>
      </c>
      <c r="AS42" s="89"/>
      <c r="AT42" s="124" t="str">
        <f t="shared" si="17"/>
        <v>ETIENNE</v>
      </c>
      <c r="AU42" s="90" t="s">
        <v>54</v>
      </c>
      <c r="AV42" s="134" t="str">
        <f t="shared" si="18"/>
        <v>15</v>
      </c>
      <c r="AW42" s="91"/>
      <c r="AX42" s="124" t="str">
        <f t="shared" si="19"/>
        <v>JEAN PAUL</v>
      </c>
      <c r="AY42" s="119"/>
      <c r="AZ42" s="120"/>
      <c r="BA42" s="92" t="s">
        <v>54</v>
      </c>
      <c r="BB42" s="135" t="str">
        <f t="shared" si="20"/>
        <v>78</v>
      </c>
      <c r="BC42" s="93"/>
      <c r="BD42" s="125" t="str">
        <f t="shared" si="21"/>
        <v>GAEL</v>
      </c>
      <c r="BE42" s="94" t="s">
        <v>54</v>
      </c>
      <c r="BF42" s="135" t="str">
        <f t="shared" si="22"/>
        <v>7</v>
      </c>
      <c r="BG42" s="95"/>
      <c r="BH42" s="125" t="str">
        <f t="shared" si="23"/>
        <v>PIERRE</v>
      </c>
      <c r="BI42" s="121"/>
      <c r="BJ42" s="122"/>
      <c r="BK42" s="63"/>
      <c r="BM42" s="65">
        <f>[1]resultat!AL42</f>
        <v>42</v>
      </c>
      <c r="BN42" s="65" t="str">
        <f>[1]resultat!AM42</f>
        <v xml:space="preserve">FREDDY  </v>
      </c>
      <c r="BO42" s="232">
        <v>42</v>
      </c>
      <c r="BP42" s="142">
        <v>13</v>
      </c>
      <c r="BQ42" s="148">
        <v>7</v>
      </c>
      <c r="BR42" s="273">
        <f t="shared" si="24"/>
        <v>36</v>
      </c>
      <c r="BS42" s="274" t="str">
        <f t="shared" si="25"/>
        <v>109</v>
      </c>
      <c r="BT42" s="275" t="str">
        <f t="shared" si="26"/>
        <v>MARCELLIN</v>
      </c>
      <c r="BU42" s="276" t="str">
        <f t="shared" si="27"/>
        <v>18</v>
      </c>
      <c r="BV42" s="277" t="str">
        <f t="shared" si="29"/>
        <v xml:space="preserve">CHARLES  </v>
      </c>
      <c r="BW42" s="273">
        <f t="shared" si="29"/>
        <v>13</v>
      </c>
      <c r="BX42" s="273">
        <f t="shared" si="29"/>
        <v>7</v>
      </c>
    </row>
    <row r="43" spans="1:76">
      <c r="A43" s="70" t="s">
        <v>187</v>
      </c>
      <c r="B43" s="20">
        <v>38</v>
      </c>
      <c r="C43" s="71" t="s">
        <v>54</v>
      </c>
      <c r="D43" s="130" t="str">
        <f t="shared" si="0"/>
        <v>104</v>
      </c>
      <c r="E43" s="72"/>
      <c r="F43" s="73" t="str">
        <f t="shared" si="1"/>
        <v>RODRIGUE</v>
      </c>
      <c r="G43" s="74" t="s">
        <v>54</v>
      </c>
      <c r="H43" s="130" t="str">
        <f t="shared" si="2"/>
        <v>54</v>
      </c>
      <c r="I43" s="75"/>
      <c r="J43" s="73" t="str">
        <f t="shared" si="3"/>
        <v>DAMIEN</v>
      </c>
      <c r="K43" s="142">
        <v>13</v>
      </c>
      <c r="L43" s="148">
        <v>7</v>
      </c>
      <c r="M43" s="76" t="s">
        <v>54</v>
      </c>
      <c r="N43" s="131" t="str">
        <f t="shared" si="4"/>
        <v>117</v>
      </c>
      <c r="O43" s="77"/>
      <c r="P43" s="123" t="str">
        <f t="shared" si="5"/>
        <v>PROSPER</v>
      </c>
      <c r="Q43" s="78" t="s">
        <v>54</v>
      </c>
      <c r="R43" s="131" t="str">
        <f t="shared" si="6"/>
        <v>65</v>
      </c>
      <c r="S43" s="79"/>
      <c r="T43" s="123" t="str">
        <f t="shared" si="7"/>
        <v>GEOFFROY</v>
      </c>
      <c r="U43" s="56"/>
      <c r="V43" s="57"/>
      <c r="W43" s="80" t="s">
        <v>54</v>
      </c>
      <c r="X43" s="132" t="str">
        <f t="shared" si="8"/>
        <v>5</v>
      </c>
      <c r="Y43" s="81"/>
      <c r="Z43" s="127" t="str">
        <f t="shared" si="9"/>
        <v>YVON</v>
      </c>
      <c r="AA43" s="82" t="s">
        <v>54</v>
      </c>
      <c r="AB43" s="132" t="str">
        <f t="shared" si="10"/>
        <v>20</v>
      </c>
      <c r="AC43" s="83"/>
      <c r="AD43" s="127" t="str">
        <f t="shared" si="11"/>
        <v>JONATHAN</v>
      </c>
      <c r="AE43" s="115"/>
      <c r="AF43" s="116"/>
      <c r="AG43" s="84" t="s">
        <v>54</v>
      </c>
      <c r="AH43" s="133" t="str">
        <f t="shared" si="12"/>
        <v>80</v>
      </c>
      <c r="AI43" s="85"/>
      <c r="AJ43" s="126" t="str">
        <f t="shared" si="13"/>
        <v>LUCIE</v>
      </c>
      <c r="AK43" s="86" t="s">
        <v>54</v>
      </c>
      <c r="AL43" s="133" t="str">
        <f t="shared" si="14"/>
        <v>57</v>
      </c>
      <c r="AM43" s="87"/>
      <c r="AN43" s="126" t="str">
        <f t="shared" si="15"/>
        <v>ARSENE</v>
      </c>
      <c r="AO43" s="117"/>
      <c r="AP43" s="118"/>
      <c r="AQ43" s="88" t="s">
        <v>54</v>
      </c>
      <c r="AR43" s="134" t="str">
        <f t="shared" si="16"/>
        <v>22</v>
      </c>
      <c r="AS43" s="89"/>
      <c r="AT43" s="124" t="str">
        <f t="shared" si="17"/>
        <v xml:space="preserve">LANDRY   </v>
      </c>
      <c r="AU43" s="90" t="s">
        <v>54</v>
      </c>
      <c r="AV43" s="134" t="str">
        <f t="shared" si="18"/>
        <v>106</v>
      </c>
      <c r="AW43" s="91"/>
      <c r="AX43" s="124" t="str">
        <f t="shared" si="19"/>
        <v>LOUISE</v>
      </c>
      <c r="AY43" s="119"/>
      <c r="AZ43" s="120"/>
      <c r="BA43" s="92" t="s">
        <v>54</v>
      </c>
      <c r="BB43" s="135" t="str">
        <f t="shared" si="20"/>
        <v>102</v>
      </c>
      <c r="BC43" s="93"/>
      <c r="BD43" s="125" t="str">
        <f t="shared" si="21"/>
        <v>DONATIEN</v>
      </c>
      <c r="BE43" s="94" t="s">
        <v>54</v>
      </c>
      <c r="BF43" s="135" t="str">
        <f t="shared" si="22"/>
        <v>14</v>
      </c>
      <c r="BG43" s="95"/>
      <c r="BH43" s="125" t="str">
        <f t="shared" si="23"/>
        <v>CHRISTOPHE</v>
      </c>
      <c r="BI43" s="121"/>
      <c r="BJ43" s="122"/>
      <c r="BK43" s="63"/>
      <c r="BM43" s="65">
        <f>[1]resultat!AL43</f>
        <v>43</v>
      </c>
      <c r="BN43" s="65" t="str">
        <f>[1]resultat!AM43</f>
        <v>ALLAIRE</v>
      </c>
      <c r="BO43" s="232">
        <v>43</v>
      </c>
      <c r="BP43" s="142">
        <v>13</v>
      </c>
      <c r="BQ43" s="148">
        <v>7</v>
      </c>
      <c r="BR43" s="273">
        <f t="shared" si="24"/>
        <v>37</v>
      </c>
      <c r="BS43" s="274" t="str">
        <f t="shared" si="25"/>
        <v>110</v>
      </c>
      <c r="BT43" s="275" t="str">
        <f t="shared" si="26"/>
        <v>ANICET</v>
      </c>
      <c r="BU43" s="276" t="str">
        <f t="shared" si="27"/>
        <v>49</v>
      </c>
      <c r="BV43" s="277" t="str">
        <f t="shared" si="29"/>
        <v>OLIVIER</v>
      </c>
      <c r="BW43" s="273">
        <f t="shared" si="29"/>
        <v>13</v>
      </c>
      <c r="BX43" s="273">
        <f t="shared" si="29"/>
        <v>7</v>
      </c>
    </row>
    <row r="44" spans="1:76">
      <c r="A44" s="70" t="s">
        <v>187</v>
      </c>
      <c r="B44" s="20">
        <v>39</v>
      </c>
      <c r="C44" s="71" t="s">
        <v>54</v>
      </c>
      <c r="D44" s="130" t="str">
        <f t="shared" si="0"/>
        <v>85</v>
      </c>
      <c r="E44" s="72"/>
      <c r="F44" s="73" t="str">
        <f t="shared" si="1"/>
        <v>RAYMOND</v>
      </c>
      <c r="G44" s="74" t="s">
        <v>54</v>
      </c>
      <c r="H44" s="130" t="str">
        <f t="shared" si="2"/>
        <v>79</v>
      </c>
      <c r="I44" s="75"/>
      <c r="J44" s="73" t="str">
        <f t="shared" si="3"/>
        <v>GATIEN</v>
      </c>
      <c r="K44" s="142">
        <v>13</v>
      </c>
      <c r="L44" s="148">
        <v>7</v>
      </c>
      <c r="M44" s="76" t="s">
        <v>54</v>
      </c>
      <c r="N44" s="131" t="str">
        <f t="shared" si="4"/>
        <v>53</v>
      </c>
      <c r="O44" s="77"/>
      <c r="P44" s="123" t="str">
        <f t="shared" si="5"/>
        <v>AURELIEN</v>
      </c>
      <c r="Q44" s="78" t="s">
        <v>54</v>
      </c>
      <c r="R44" s="131" t="str">
        <f t="shared" si="6"/>
        <v>108</v>
      </c>
      <c r="S44" s="79"/>
      <c r="T44" s="123" t="str">
        <f t="shared" si="7"/>
        <v>ISIDORE</v>
      </c>
      <c r="U44" s="56"/>
      <c r="V44" s="57"/>
      <c r="W44" s="80" t="s">
        <v>54</v>
      </c>
      <c r="X44" s="132" t="str">
        <f t="shared" si="8"/>
        <v>50</v>
      </c>
      <c r="Y44" s="81"/>
      <c r="Z44" s="127" t="str">
        <f t="shared" si="9"/>
        <v>FLORENTIN</v>
      </c>
      <c r="AA44" s="82" t="s">
        <v>54</v>
      </c>
      <c r="AB44" s="132" t="str">
        <f t="shared" si="10"/>
        <v>14</v>
      </c>
      <c r="AC44" s="83"/>
      <c r="AD44" s="127" t="str">
        <f t="shared" si="11"/>
        <v>CHRISTOPHE</v>
      </c>
      <c r="AE44" s="115"/>
      <c r="AF44" s="116"/>
      <c r="AG44" s="84" t="s">
        <v>54</v>
      </c>
      <c r="AH44" s="133" t="str">
        <f t="shared" si="12"/>
        <v>104</v>
      </c>
      <c r="AI44" s="85"/>
      <c r="AJ44" s="126" t="str">
        <f t="shared" si="13"/>
        <v>RODRIGUE</v>
      </c>
      <c r="AK44" s="86" t="s">
        <v>54</v>
      </c>
      <c r="AL44" s="133" t="str">
        <f t="shared" si="14"/>
        <v>2</v>
      </c>
      <c r="AM44" s="87"/>
      <c r="AN44" s="126" t="str">
        <f t="shared" si="15"/>
        <v>FRANCIS</v>
      </c>
      <c r="AO44" s="117"/>
      <c r="AP44" s="118"/>
      <c r="AQ44" s="88" t="s">
        <v>54</v>
      </c>
      <c r="AR44" s="134" t="str">
        <f t="shared" si="16"/>
        <v>89</v>
      </c>
      <c r="AS44" s="89"/>
      <c r="AT44" s="124" t="str">
        <f t="shared" si="17"/>
        <v>BERNARD</v>
      </c>
      <c r="AU44" s="90" t="s">
        <v>54</v>
      </c>
      <c r="AV44" s="134" t="str">
        <f t="shared" si="18"/>
        <v>20</v>
      </c>
      <c r="AW44" s="91"/>
      <c r="AX44" s="124" t="str">
        <f t="shared" si="19"/>
        <v>JONATHAN</v>
      </c>
      <c r="AY44" s="119"/>
      <c r="AZ44" s="120"/>
      <c r="BA44" s="92" t="s">
        <v>54</v>
      </c>
      <c r="BB44" s="135" t="str">
        <f t="shared" si="20"/>
        <v>58</v>
      </c>
      <c r="BC44" s="93"/>
      <c r="BD44" s="125" t="str">
        <f t="shared" si="21"/>
        <v>FRANCIS</v>
      </c>
      <c r="BE44" s="94" t="s">
        <v>54</v>
      </c>
      <c r="BF44" s="135" t="str">
        <f t="shared" si="22"/>
        <v>24</v>
      </c>
      <c r="BG44" s="95"/>
      <c r="BH44" s="125" t="str">
        <f t="shared" si="23"/>
        <v>JACQUES</v>
      </c>
      <c r="BI44" s="121"/>
      <c r="BJ44" s="122"/>
      <c r="BK44" s="63"/>
      <c r="BM44" s="65">
        <f>[1]resultat!AL44</f>
        <v>44</v>
      </c>
      <c r="BN44" s="65" t="str">
        <f>[1]resultat!AM44</f>
        <v>GUY JEAN</v>
      </c>
      <c r="BO44" s="141">
        <v>44</v>
      </c>
      <c r="BP44" s="148">
        <v>7</v>
      </c>
      <c r="BQ44" s="142">
        <v>13</v>
      </c>
      <c r="BR44" s="273">
        <f t="shared" si="24"/>
        <v>38</v>
      </c>
      <c r="BS44" s="274" t="str">
        <f t="shared" si="25"/>
        <v>104</v>
      </c>
      <c r="BT44" s="275" t="str">
        <f t="shared" si="26"/>
        <v>RODRIGUE</v>
      </c>
      <c r="BU44" s="276" t="str">
        <f t="shared" si="27"/>
        <v>54</v>
      </c>
      <c r="BV44" s="277" t="str">
        <f t="shared" si="29"/>
        <v>DAMIEN</v>
      </c>
      <c r="BW44" s="273">
        <f t="shared" si="29"/>
        <v>13</v>
      </c>
      <c r="BX44" s="273">
        <f t="shared" si="29"/>
        <v>7</v>
      </c>
    </row>
    <row r="45" spans="1:76">
      <c r="A45" s="70" t="s">
        <v>187</v>
      </c>
      <c r="B45" s="20">
        <v>40</v>
      </c>
      <c r="C45" s="71" t="s">
        <v>54</v>
      </c>
      <c r="D45" s="130" t="str">
        <f t="shared" si="0"/>
        <v>40</v>
      </c>
      <c r="E45" s="72"/>
      <c r="F45" s="73" t="str">
        <f t="shared" si="1"/>
        <v>VINCENT</v>
      </c>
      <c r="G45" s="74" t="s">
        <v>54</v>
      </c>
      <c r="H45" s="130" t="str">
        <f t="shared" si="2"/>
        <v>66</v>
      </c>
      <c r="I45" s="75"/>
      <c r="J45" s="73" t="str">
        <f t="shared" si="3"/>
        <v>FLORIAN</v>
      </c>
      <c r="K45" s="142">
        <v>13</v>
      </c>
      <c r="L45" s="148">
        <v>7</v>
      </c>
      <c r="M45" s="76" t="s">
        <v>54</v>
      </c>
      <c r="N45" s="131" t="str">
        <f t="shared" si="4"/>
        <v>18</v>
      </c>
      <c r="O45" s="77"/>
      <c r="P45" s="123" t="str">
        <f t="shared" si="5"/>
        <v xml:space="preserve">CHARLES  </v>
      </c>
      <c r="Q45" s="78" t="s">
        <v>54</v>
      </c>
      <c r="R45" s="131" t="str">
        <f t="shared" si="6"/>
        <v>76</v>
      </c>
      <c r="S45" s="79"/>
      <c r="T45" s="123" t="str">
        <f t="shared" si="7"/>
        <v>AMBROISE</v>
      </c>
      <c r="U45" s="56"/>
      <c r="V45" s="57"/>
      <c r="W45" s="80" t="s">
        <v>54</v>
      </c>
      <c r="X45" s="132" t="str">
        <f t="shared" si="8"/>
        <v>90</v>
      </c>
      <c r="Y45" s="81"/>
      <c r="Z45" s="127" t="str">
        <f t="shared" si="9"/>
        <v>VALENTIN</v>
      </c>
      <c r="AA45" s="82" t="s">
        <v>54</v>
      </c>
      <c r="AB45" s="132" t="str">
        <f t="shared" si="10"/>
        <v>7</v>
      </c>
      <c r="AC45" s="83"/>
      <c r="AD45" s="127" t="str">
        <f t="shared" si="11"/>
        <v>PIERRE</v>
      </c>
      <c r="AE45" s="115"/>
      <c r="AF45" s="116"/>
      <c r="AG45" s="84" t="s">
        <v>54</v>
      </c>
      <c r="AH45" s="133" t="str">
        <f t="shared" si="12"/>
        <v>43</v>
      </c>
      <c r="AI45" s="85"/>
      <c r="AJ45" s="126" t="str">
        <f t="shared" si="13"/>
        <v>ALLAIRE</v>
      </c>
      <c r="AK45" s="86" t="s">
        <v>54</v>
      </c>
      <c r="AL45" s="133" t="str">
        <f t="shared" si="14"/>
        <v>24</v>
      </c>
      <c r="AM45" s="87"/>
      <c r="AN45" s="126" t="str">
        <f t="shared" si="15"/>
        <v>JACQUES</v>
      </c>
      <c r="AO45" s="117"/>
      <c r="AP45" s="118"/>
      <c r="AQ45" s="88" t="s">
        <v>54</v>
      </c>
      <c r="AR45" s="134" t="str">
        <f t="shared" si="16"/>
        <v>40</v>
      </c>
      <c r="AS45" s="89"/>
      <c r="AT45" s="124" t="str">
        <f t="shared" si="17"/>
        <v>VINCENT</v>
      </c>
      <c r="AU45" s="90" t="s">
        <v>54</v>
      </c>
      <c r="AV45" s="134" t="str">
        <f t="shared" si="18"/>
        <v>42</v>
      </c>
      <c r="AW45" s="91"/>
      <c r="AX45" s="124" t="str">
        <f t="shared" si="19"/>
        <v xml:space="preserve">FREDDY  </v>
      </c>
      <c r="AY45" s="119"/>
      <c r="AZ45" s="120"/>
      <c r="BA45" s="92" t="s">
        <v>54</v>
      </c>
      <c r="BB45" s="135" t="str">
        <f t="shared" si="20"/>
        <v>2</v>
      </c>
      <c r="BC45" s="93"/>
      <c r="BD45" s="125" t="str">
        <f t="shared" si="21"/>
        <v>FRANCIS</v>
      </c>
      <c r="BE45" s="94" t="s">
        <v>54</v>
      </c>
      <c r="BF45" s="135" t="str">
        <f t="shared" si="22"/>
        <v>60</v>
      </c>
      <c r="BG45" s="95"/>
      <c r="BH45" s="125" t="str">
        <f t="shared" si="23"/>
        <v>EDITH</v>
      </c>
      <c r="BI45" s="121"/>
      <c r="BJ45" s="122"/>
      <c r="BK45" s="63"/>
      <c r="BM45" s="65">
        <f>[1]resultat!AL45</f>
        <v>45</v>
      </c>
      <c r="BN45" s="65" t="str">
        <f>[1]resultat!AM45</f>
        <v>RENAUD</v>
      </c>
      <c r="BO45" s="232">
        <v>45</v>
      </c>
      <c r="BP45" s="142">
        <v>13</v>
      </c>
      <c r="BQ45" s="148">
        <v>7</v>
      </c>
      <c r="BR45" s="273">
        <f t="shared" si="24"/>
        <v>39</v>
      </c>
      <c r="BS45" s="274" t="str">
        <f t="shared" si="25"/>
        <v>85</v>
      </c>
      <c r="BT45" s="275" t="str">
        <f t="shared" si="26"/>
        <v>RAYMOND</v>
      </c>
      <c r="BU45" s="276" t="str">
        <f t="shared" si="27"/>
        <v>79</v>
      </c>
      <c r="BV45" s="277" t="str">
        <f t="shared" si="29"/>
        <v>GATIEN</v>
      </c>
      <c r="BW45" s="273">
        <f t="shared" si="29"/>
        <v>13</v>
      </c>
      <c r="BX45" s="273">
        <f t="shared" si="29"/>
        <v>7</v>
      </c>
    </row>
    <row r="46" spans="1:76">
      <c r="A46" s="70" t="s">
        <v>187</v>
      </c>
      <c r="B46" s="20">
        <v>41</v>
      </c>
      <c r="C46" s="71" t="s">
        <v>54</v>
      </c>
      <c r="D46" s="130" t="str">
        <f t="shared" si="0"/>
        <v>86</v>
      </c>
      <c r="E46" s="72"/>
      <c r="F46" s="73" t="str">
        <f t="shared" si="1"/>
        <v>LUCIEN</v>
      </c>
      <c r="G46" s="74" t="s">
        <v>54</v>
      </c>
      <c r="H46" s="130" t="str">
        <f t="shared" si="2"/>
        <v>48</v>
      </c>
      <c r="I46" s="75"/>
      <c r="J46" s="73" t="str">
        <f t="shared" si="3"/>
        <v>LUC</v>
      </c>
      <c r="K46" s="142">
        <v>13</v>
      </c>
      <c r="L46" s="148">
        <v>7</v>
      </c>
      <c r="M46" s="76" t="s">
        <v>54</v>
      </c>
      <c r="N46" s="131" t="str">
        <f t="shared" si="4"/>
        <v>31</v>
      </c>
      <c r="O46" s="77"/>
      <c r="P46" s="123" t="str">
        <f t="shared" si="5"/>
        <v>EDOUARD</v>
      </c>
      <c r="Q46" s="78" t="s">
        <v>54</v>
      </c>
      <c r="R46" s="131" t="str">
        <f t="shared" si="6"/>
        <v>107</v>
      </c>
      <c r="S46" s="79"/>
      <c r="T46" s="123" t="str">
        <f t="shared" si="7"/>
        <v>GONTRAN</v>
      </c>
      <c r="U46" s="56"/>
      <c r="V46" s="57"/>
      <c r="W46" s="80" t="s">
        <v>54</v>
      </c>
      <c r="X46" s="132" t="str">
        <f t="shared" si="8"/>
        <v>64</v>
      </c>
      <c r="Y46" s="81"/>
      <c r="Z46" s="127" t="str">
        <f t="shared" si="9"/>
        <v>QUENTIN</v>
      </c>
      <c r="AA46" s="82" t="s">
        <v>54</v>
      </c>
      <c r="AB46" s="132" t="str">
        <f t="shared" si="10"/>
        <v>11</v>
      </c>
      <c r="AC46" s="83"/>
      <c r="AD46" s="127" t="str">
        <f t="shared" si="11"/>
        <v>JOHN</v>
      </c>
      <c r="AE46" s="115"/>
      <c r="AF46" s="116"/>
      <c r="AG46" s="84" t="s">
        <v>54</v>
      </c>
      <c r="AH46" s="133" t="str">
        <f t="shared" si="12"/>
        <v>23</v>
      </c>
      <c r="AI46" s="85"/>
      <c r="AJ46" s="126" t="str">
        <f t="shared" si="13"/>
        <v>MARTIAL</v>
      </c>
      <c r="AK46" s="86" t="s">
        <v>54</v>
      </c>
      <c r="AL46" s="133" t="str">
        <f t="shared" si="14"/>
        <v>10</v>
      </c>
      <c r="AM46" s="87"/>
      <c r="AN46" s="126" t="str">
        <f t="shared" si="15"/>
        <v>PETER</v>
      </c>
      <c r="AO46" s="117"/>
      <c r="AP46" s="118"/>
      <c r="AQ46" s="88" t="s">
        <v>54</v>
      </c>
      <c r="AR46" s="134" t="str">
        <f t="shared" si="16"/>
        <v>95</v>
      </c>
      <c r="AS46" s="89"/>
      <c r="AT46" s="124" t="str">
        <f t="shared" si="17"/>
        <v>RICHARD</v>
      </c>
      <c r="AU46" s="90" t="s">
        <v>54</v>
      </c>
      <c r="AV46" s="134" t="str">
        <f t="shared" si="18"/>
        <v>48</v>
      </c>
      <c r="AW46" s="91"/>
      <c r="AX46" s="124" t="str">
        <f t="shared" si="19"/>
        <v>LUC</v>
      </c>
      <c r="AY46" s="119"/>
      <c r="AZ46" s="120"/>
      <c r="BA46" s="92" t="s">
        <v>54</v>
      </c>
      <c r="BB46" s="135" t="str">
        <f t="shared" si="20"/>
        <v>16</v>
      </c>
      <c r="BC46" s="93"/>
      <c r="BD46" s="125" t="str">
        <f t="shared" si="21"/>
        <v>MICKAEL</v>
      </c>
      <c r="BE46" s="94" t="s">
        <v>54</v>
      </c>
      <c r="BF46" s="135" t="str">
        <f t="shared" si="22"/>
        <v>107</v>
      </c>
      <c r="BG46" s="95"/>
      <c r="BH46" s="125" t="str">
        <f t="shared" si="23"/>
        <v>GONTRAN</v>
      </c>
      <c r="BI46" s="121"/>
      <c r="BJ46" s="122"/>
      <c r="BK46" s="63"/>
      <c r="BM46" s="65">
        <f>[1]resultat!AL46</f>
        <v>46</v>
      </c>
      <c r="BN46" s="65" t="str">
        <f>[1]resultat!AM46</f>
        <v xml:space="preserve">SERGE  </v>
      </c>
      <c r="BO46" s="141">
        <v>46</v>
      </c>
      <c r="BP46" s="148">
        <v>7</v>
      </c>
      <c r="BQ46" s="142">
        <v>13</v>
      </c>
      <c r="BR46" s="273">
        <f t="shared" si="24"/>
        <v>40</v>
      </c>
      <c r="BS46" s="274" t="str">
        <f t="shared" si="25"/>
        <v>40</v>
      </c>
      <c r="BT46" s="275" t="str">
        <f t="shared" si="26"/>
        <v>VINCENT</v>
      </c>
      <c r="BU46" s="276" t="str">
        <f t="shared" si="27"/>
        <v>66</v>
      </c>
      <c r="BV46" s="277" t="str">
        <f t="shared" si="29"/>
        <v>FLORIAN</v>
      </c>
      <c r="BW46" s="273">
        <f t="shared" si="29"/>
        <v>13</v>
      </c>
      <c r="BX46" s="273">
        <f t="shared" si="29"/>
        <v>7</v>
      </c>
    </row>
    <row r="47" spans="1:76">
      <c r="A47" s="70" t="s">
        <v>187</v>
      </c>
      <c r="B47" s="20">
        <v>42</v>
      </c>
      <c r="C47" s="71" t="s">
        <v>54</v>
      </c>
      <c r="D47" s="130" t="str">
        <f t="shared" si="0"/>
        <v>14</v>
      </c>
      <c r="E47" s="72"/>
      <c r="F47" s="73" t="str">
        <f t="shared" si="1"/>
        <v>CHRISTOPHE</v>
      </c>
      <c r="G47" s="74" t="s">
        <v>54</v>
      </c>
      <c r="H47" s="130" t="str">
        <f t="shared" si="2"/>
        <v>28</v>
      </c>
      <c r="I47" s="75"/>
      <c r="J47" s="73" t="str">
        <f t="shared" si="3"/>
        <v xml:space="preserve">RENE  </v>
      </c>
      <c r="K47" s="142">
        <v>13</v>
      </c>
      <c r="L47" s="148">
        <v>7</v>
      </c>
      <c r="M47" s="76" t="s">
        <v>54</v>
      </c>
      <c r="N47" s="131" t="str">
        <f t="shared" si="4"/>
        <v>79</v>
      </c>
      <c r="O47" s="77"/>
      <c r="P47" s="123" t="str">
        <f t="shared" si="5"/>
        <v>GATIEN</v>
      </c>
      <c r="Q47" s="78" t="s">
        <v>54</v>
      </c>
      <c r="R47" s="131" t="str">
        <f t="shared" si="6"/>
        <v>87</v>
      </c>
      <c r="S47" s="79"/>
      <c r="T47" s="123" t="str">
        <f t="shared" si="7"/>
        <v>GUILLAUME</v>
      </c>
      <c r="U47" s="56"/>
      <c r="V47" s="57"/>
      <c r="W47" s="80" t="s">
        <v>54</v>
      </c>
      <c r="X47" s="132" t="str">
        <f t="shared" si="8"/>
        <v>79</v>
      </c>
      <c r="Y47" s="81"/>
      <c r="Z47" s="127" t="str">
        <f t="shared" si="9"/>
        <v>GATIEN</v>
      </c>
      <c r="AA47" s="82" t="s">
        <v>54</v>
      </c>
      <c r="AB47" s="132" t="str">
        <f t="shared" si="10"/>
        <v>47</v>
      </c>
      <c r="AC47" s="83"/>
      <c r="AD47" s="127" t="str">
        <f t="shared" si="11"/>
        <v>HERMAN</v>
      </c>
      <c r="AE47" s="115"/>
      <c r="AF47" s="116"/>
      <c r="AG47" s="84" t="s">
        <v>54</v>
      </c>
      <c r="AH47" s="133" t="str">
        <f t="shared" si="12"/>
        <v>60</v>
      </c>
      <c r="AI47" s="85"/>
      <c r="AJ47" s="126" t="str">
        <f t="shared" si="13"/>
        <v>EDITH</v>
      </c>
      <c r="AK47" s="86" t="s">
        <v>54</v>
      </c>
      <c r="AL47" s="133" t="str">
        <f t="shared" si="14"/>
        <v>91</v>
      </c>
      <c r="AM47" s="87"/>
      <c r="AN47" s="126" t="str">
        <f t="shared" si="15"/>
        <v>VALERIE</v>
      </c>
      <c r="AO47" s="117"/>
      <c r="AP47" s="118"/>
      <c r="AQ47" s="88" t="s">
        <v>54</v>
      </c>
      <c r="AR47" s="134" t="str">
        <f t="shared" si="16"/>
        <v>43</v>
      </c>
      <c r="AS47" s="89"/>
      <c r="AT47" s="124" t="str">
        <f t="shared" si="17"/>
        <v>ALLAIRE</v>
      </c>
      <c r="AU47" s="90" t="s">
        <v>54</v>
      </c>
      <c r="AV47" s="134" t="str">
        <f t="shared" si="18"/>
        <v>38</v>
      </c>
      <c r="AW47" s="91"/>
      <c r="AX47" s="124" t="str">
        <f t="shared" si="19"/>
        <v xml:space="preserve">ROMAIN  </v>
      </c>
      <c r="AY47" s="119"/>
      <c r="AZ47" s="120"/>
      <c r="BA47" s="92" t="s">
        <v>54</v>
      </c>
      <c r="BB47" s="135" t="str">
        <f t="shared" si="20"/>
        <v>15</v>
      </c>
      <c r="BC47" s="93"/>
      <c r="BD47" s="125" t="str">
        <f t="shared" si="21"/>
        <v>JEAN PAUL</v>
      </c>
      <c r="BE47" s="94" t="s">
        <v>54</v>
      </c>
      <c r="BF47" s="135" t="str">
        <f t="shared" si="22"/>
        <v>73</v>
      </c>
      <c r="BG47" s="95"/>
      <c r="BH47" s="125" t="str">
        <f t="shared" si="23"/>
        <v>EDMOND</v>
      </c>
      <c r="BI47" s="121"/>
      <c r="BJ47" s="122"/>
      <c r="BK47" s="63"/>
      <c r="BM47" s="65">
        <f>[1]resultat!AL47</f>
        <v>47</v>
      </c>
      <c r="BN47" s="65" t="str">
        <f>[1]resultat!AM47</f>
        <v>HERMAN</v>
      </c>
      <c r="BO47" s="232">
        <v>47</v>
      </c>
      <c r="BP47" s="142">
        <v>13</v>
      </c>
      <c r="BQ47" s="148">
        <v>7</v>
      </c>
      <c r="BR47" s="273">
        <f t="shared" si="24"/>
        <v>41</v>
      </c>
      <c r="BS47" s="274" t="str">
        <f t="shared" si="25"/>
        <v>86</v>
      </c>
      <c r="BT47" s="275" t="str">
        <f t="shared" si="26"/>
        <v>LUCIEN</v>
      </c>
      <c r="BU47" s="276" t="str">
        <f t="shared" si="27"/>
        <v>48</v>
      </c>
      <c r="BV47" s="277" t="str">
        <f t="shared" si="29"/>
        <v>LUC</v>
      </c>
      <c r="BW47" s="273">
        <f t="shared" si="29"/>
        <v>13</v>
      </c>
      <c r="BX47" s="273">
        <f t="shared" si="29"/>
        <v>7</v>
      </c>
    </row>
    <row r="48" spans="1:76">
      <c r="A48" s="70" t="s">
        <v>187</v>
      </c>
      <c r="B48" s="20">
        <v>43</v>
      </c>
      <c r="C48" s="71" t="s">
        <v>54</v>
      </c>
      <c r="D48" s="130" t="str">
        <f t="shared" si="0"/>
        <v>115</v>
      </c>
      <c r="E48" s="72"/>
      <c r="F48" s="73" t="str">
        <f t="shared" si="1"/>
        <v>LEON</v>
      </c>
      <c r="G48" s="74" t="s">
        <v>54</v>
      </c>
      <c r="H48" s="130" t="str">
        <f t="shared" si="2"/>
        <v>116</v>
      </c>
      <c r="I48" s="75"/>
      <c r="J48" s="73" t="str">
        <f t="shared" si="3"/>
        <v>ALBAN</v>
      </c>
      <c r="K48" s="142">
        <v>13</v>
      </c>
      <c r="L48" s="148">
        <v>7</v>
      </c>
      <c r="M48" s="76" t="s">
        <v>54</v>
      </c>
      <c r="N48" s="131" t="str">
        <f t="shared" si="4"/>
        <v>78</v>
      </c>
      <c r="O48" s="77"/>
      <c r="P48" s="123" t="str">
        <f t="shared" si="5"/>
        <v>GAEL</v>
      </c>
      <c r="Q48" s="78" t="s">
        <v>54</v>
      </c>
      <c r="R48" s="131" t="str">
        <f t="shared" si="6"/>
        <v>45</v>
      </c>
      <c r="S48" s="79"/>
      <c r="T48" s="123" t="str">
        <f t="shared" si="7"/>
        <v>RENAUD</v>
      </c>
      <c r="U48" s="56"/>
      <c r="V48" s="57"/>
      <c r="W48" s="80" t="s">
        <v>54</v>
      </c>
      <c r="X48" s="132" t="str">
        <f t="shared" si="8"/>
        <v>40</v>
      </c>
      <c r="Y48" s="81"/>
      <c r="Z48" s="127" t="str">
        <f t="shared" si="9"/>
        <v>VINCENT</v>
      </c>
      <c r="AA48" s="82" t="s">
        <v>54</v>
      </c>
      <c r="AB48" s="132" t="str">
        <f t="shared" si="10"/>
        <v>45</v>
      </c>
      <c r="AC48" s="83"/>
      <c r="AD48" s="127" t="str">
        <f t="shared" si="11"/>
        <v>RENAUD</v>
      </c>
      <c r="AE48" s="115"/>
      <c r="AF48" s="116"/>
      <c r="AG48" s="84" t="s">
        <v>54</v>
      </c>
      <c r="AH48" s="133" t="str">
        <f t="shared" si="12"/>
        <v>27</v>
      </c>
      <c r="AI48" s="85"/>
      <c r="AJ48" s="126" t="str">
        <f t="shared" si="13"/>
        <v xml:space="preserve">PHILIPPE  </v>
      </c>
      <c r="AK48" s="86" t="s">
        <v>54</v>
      </c>
      <c r="AL48" s="133" t="str">
        <f t="shared" si="14"/>
        <v>70</v>
      </c>
      <c r="AM48" s="87"/>
      <c r="AN48" s="126" t="str">
        <f t="shared" si="15"/>
        <v>TANGUY</v>
      </c>
      <c r="AO48" s="117"/>
      <c r="AP48" s="118"/>
      <c r="AQ48" s="88" t="s">
        <v>54</v>
      </c>
      <c r="AR48" s="134" t="str">
        <f t="shared" si="16"/>
        <v>51</v>
      </c>
      <c r="AS48" s="89"/>
      <c r="AT48" s="124" t="str">
        <f t="shared" si="17"/>
        <v>BEAUDOUIN</v>
      </c>
      <c r="AU48" s="90" t="s">
        <v>54</v>
      </c>
      <c r="AV48" s="134" t="str">
        <f t="shared" si="18"/>
        <v>4</v>
      </c>
      <c r="AW48" s="91"/>
      <c r="AX48" s="124" t="str">
        <f t="shared" si="19"/>
        <v>DENISE</v>
      </c>
      <c r="AY48" s="119"/>
      <c r="AZ48" s="120"/>
      <c r="BA48" s="92" t="s">
        <v>54</v>
      </c>
      <c r="BB48" s="135" t="str">
        <f t="shared" si="20"/>
        <v>17</v>
      </c>
      <c r="BC48" s="93"/>
      <c r="BD48" s="125" t="str">
        <f t="shared" si="21"/>
        <v xml:space="preserve">LAURENT    </v>
      </c>
      <c r="BE48" s="94" t="s">
        <v>54</v>
      </c>
      <c r="BF48" s="135" t="str">
        <f t="shared" si="22"/>
        <v>98</v>
      </c>
      <c r="BG48" s="95"/>
      <c r="BH48" s="125" t="str">
        <f t="shared" si="23"/>
        <v>STANISLAS</v>
      </c>
      <c r="BI48" s="121"/>
      <c r="BJ48" s="122"/>
      <c r="BK48" s="63"/>
      <c r="BM48" s="65">
        <f>[1]resultat!AL48</f>
        <v>48</v>
      </c>
      <c r="BN48" s="65" t="str">
        <f>[1]resultat!AM48</f>
        <v>LUC</v>
      </c>
      <c r="BO48" s="141">
        <v>48</v>
      </c>
      <c r="BP48" s="148">
        <v>7</v>
      </c>
      <c r="BQ48" s="142">
        <v>13</v>
      </c>
      <c r="BR48" s="273">
        <f t="shared" si="24"/>
        <v>42</v>
      </c>
      <c r="BS48" s="274" t="str">
        <f t="shared" si="25"/>
        <v>14</v>
      </c>
      <c r="BT48" s="275" t="str">
        <f t="shared" si="26"/>
        <v>CHRISTOPHE</v>
      </c>
      <c r="BU48" s="276" t="str">
        <f t="shared" si="27"/>
        <v>28</v>
      </c>
      <c r="BV48" s="277" t="str">
        <f t="shared" si="29"/>
        <v xml:space="preserve">RENE  </v>
      </c>
      <c r="BW48" s="273">
        <f t="shared" si="29"/>
        <v>13</v>
      </c>
      <c r="BX48" s="273">
        <f t="shared" si="29"/>
        <v>7</v>
      </c>
    </row>
    <row r="49" spans="1:76">
      <c r="A49" s="70" t="s">
        <v>187</v>
      </c>
      <c r="B49" s="20">
        <v>44</v>
      </c>
      <c r="C49" s="71" t="s">
        <v>54</v>
      </c>
      <c r="D49" s="130" t="str">
        <f t="shared" si="0"/>
        <v>27</v>
      </c>
      <c r="E49" s="72"/>
      <c r="F49" s="73" t="str">
        <f t="shared" si="1"/>
        <v xml:space="preserve">PHILIPPE  </v>
      </c>
      <c r="G49" s="74" t="s">
        <v>54</v>
      </c>
      <c r="H49" s="130" t="str">
        <f t="shared" si="2"/>
        <v>19</v>
      </c>
      <c r="I49" s="75"/>
      <c r="J49" s="73" t="str">
        <f t="shared" si="3"/>
        <v xml:space="preserve">SYLVAIN   </v>
      </c>
      <c r="K49" s="142">
        <v>13</v>
      </c>
      <c r="L49" s="148">
        <v>7</v>
      </c>
      <c r="M49" s="76" t="s">
        <v>54</v>
      </c>
      <c r="N49" s="131" t="str">
        <f t="shared" si="4"/>
        <v>59</v>
      </c>
      <c r="O49" s="77"/>
      <c r="P49" s="123" t="str">
        <f t="shared" si="5"/>
        <v>NADEGE</v>
      </c>
      <c r="Q49" s="78" t="s">
        <v>54</v>
      </c>
      <c r="R49" s="131" t="str">
        <f t="shared" si="6"/>
        <v>47</v>
      </c>
      <c r="S49" s="79"/>
      <c r="T49" s="123" t="str">
        <f t="shared" si="7"/>
        <v>HERMAN</v>
      </c>
      <c r="U49" s="56"/>
      <c r="V49" s="57"/>
      <c r="W49" s="80" t="s">
        <v>54</v>
      </c>
      <c r="X49" s="132" t="str">
        <f t="shared" si="8"/>
        <v>66</v>
      </c>
      <c r="Y49" s="81"/>
      <c r="Z49" s="127" t="str">
        <f t="shared" si="9"/>
        <v>FLORIAN</v>
      </c>
      <c r="AA49" s="82" t="s">
        <v>54</v>
      </c>
      <c r="AB49" s="132" t="str">
        <f t="shared" si="10"/>
        <v>96</v>
      </c>
      <c r="AC49" s="83"/>
      <c r="AD49" s="127" t="str">
        <f t="shared" si="11"/>
        <v>GAUTIER</v>
      </c>
      <c r="AE49" s="115"/>
      <c r="AF49" s="116"/>
      <c r="AG49" s="84" t="s">
        <v>54</v>
      </c>
      <c r="AH49" s="133" t="str">
        <f t="shared" si="12"/>
        <v>52</v>
      </c>
      <c r="AI49" s="85"/>
      <c r="AJ49" s="126" t="str">
        <f t="shared" si="13"/>
        <v>ABEL</v>
      </c>
      <c r="AK49" s="86" t="s">
        <v>54</v>
      </c>
      <c r="AL49" s="133" t="str">
        <f t="shared" si="14"/>
        <v>92</v>
      </c>
      <c r="AM49" s="87"/>
      <c r="AN49" s="126" t="str">
        <f t="shared" si="15"/>
        <v>ROMAIN</v>
      </c>
      <c r="AO49" s="117"/>
      <c r="AP49" s="118"/>
      <c r="AQ49" s="88" t="s">
        <v>54</v>
      </c>
      <c r="AR49" s="134" t="str">
        <f t="shared" si="16"/>
        <v>90</v>
      </c>
      <c r="AS49" s="89"/>
      <c r="AT49" s="124" t="str">
        <f t="shared" si="17"/>
        <v>VALENTIN</v>
      </c>
      <c r="AU49" s="90" t="s">
        <v>54</v>
      </c>
      <c r="AV49" s="134" t="str">
        <f t="shared" si="18"/>
        <v>84</v>
      </c>
      <c r="AW49" s="91"/>
      <c r="AX49" s="124" t="str">
        <f t="shared" si="19"/>
        <v>BASILE</v>
      </c>
      <c r="AY49" s="119"/>
      <c r="AZ49" s="120"/>
      <c r="BA49" s="92" t="s">
        <v>54</v>
      </c>
      <c r="BB49" s="135" t="str">
        <f t="shared" si="20"/>
        <v>34</v>
      </c>
      <c r="BC49" s="93"/>
      <c r="BD49" s="125" t="str">
        <f t="shared" si="21"/>
        <v xml:space="preserve">JOE  </v>
      </c>
      <c r="BE49" s="94" t="s">
        <v>54</v>
      </c>
      <c r="BF49" s="135" t="str">
        <f t="shared" si="22"/>
        <v>30</v>
      </c>
      <c r="BG49" s="95"/>
      <c r="BH49" s="125" t="str">
        <f t="shared" si="23"/>
        <v xml:space="preserve">PATRICK   </v>
      </c>
      <c r="BI49" s="121"/>
      <c r="BJ49" s="122"/>
      <c r="BK49" s="63"/>
      <c r="BM49" s="65">
        <f>[1]resultat!AL49</f>
        <v>49</v>
      </c>
      <c r="BN49" s="65" t="str">
        <f>[1]resultat!AM49</f>
        <v>OLIVIER</v>
      </c>
      <c r="BO49" s="141">
        <v>49</v>
      </c>
      <c r="BP49" s="148">
        <v>7</v>
      </c>
      <c r="BQ49" s="142">
        <v>13</v>
      </c>
      <c r="BR49" s="273">
        <f t="shared" si="24"/>
        <v>43</v>
      </c>
      <c r="BS49" s="274" t="str">
        <f t="shared" si="25"/>
        <v>115</v>
      </c>
      <c r="BT49" s="275" t="str">
        <f t="shared" si="26"/>
        <v>LEON</v>
      </c>
      <c r="BU49" s="276" t="str">
        <f t="shared" si="27"/>
        <v>116</v>
      </c>
      <c r="BV49" s="277" t="str">
        <f t="shared" si="29"/>
        <v>ALBAN</v>
      </c>
      <c r="BW49" s="273">
        <f t="shared" si="29"/>
        <v>13</v>
      </c>
      <c r="BX49" s="273">
        <f t="shared" si="29"/>
        <v>7</v>
      </c>
    </row>
    <row r="50" spans="1:76">
      <c r="A50" s="70" t="s">
        <v>187</v>
      </c>
      <c r="B50" s="20">
        <v>45</v>
      </c>
      <c r="C50" s="71" t="s">
        <v>54</v>
      </c>
      <c r="D50" s="130" t="str">
        <f t="shared" si="0"/>
        <v>100</v>
      </c>
      <c r="E50" s="72"/>
      <c r="F50" s="73" t="str">
        <f t="shared" si="1"/>
        <v>CONSTANTIN</v>
      </c>
      <c r="G50" s="74" t="s">
        <v>54</v>
      </c>
      <c r="H50" s="130" t="str">
        <f t="shared" si="2"/>
        <v>102</v>
      </c>
      <c r="I50" s="75"/>
      <c r="J50" s="73" t="str">
        <f t="shared" si="3"/>
        <v>DONATIEN</v>
      </c>
      <c r="K50" s="142">
        <v>13</v>
      </c>
      <c r="L50" s="148">
        <v>7</v>
      </c>
      <c r="M50" s="76" t="s">
        <v>54</v>
      </c>
      <c r="N50" s="131" t="str">
        <f t="shared" si="4"/>
        <v>62</v>
      </c>
      <c r="O50" s="77"/>
      <c r="P50" s="123" t="str">
        <f t="shared" si="5"/>
        <v>DIMITRI</v>
      </c>
      <c r="Q50" s="78" t="s">
        <v>54</v>
      </c>
      <c r="R50" s="131" t="str">
        <f t="shared" si="6"/>
        <v>99</v>
      </c>
      <c r="S50" s="79"/>
      <c r="T50" s="123" t="str">
        <f t="shared" si="7"/>
        <v>ROLANDE</v>
      </c>
      <c r="U50" s="56"/>
      <c r="V50" s="57"/>
      <c r="W50" s="80" t="s">
        <v>54</v>
      </c>
      <c r="X50" s="132" t="str">
        <f t="shared" si="8"/>
        <v>94</v>
      </c>
      <c r="Y50" s="81"/>
      <c r="Z50" s="127" t="str">
        <f t="shared" si="9"/>
        <v>HUGUES</v>
      </c>
      <c r="AA50" s="82" t="s">
        <v>54</v>
      </c>
      <c r="AB50" s="132" t="str">
        <f t="shared" si="10"/>
        <v>114</v>
      </c>
      <c r="AC50" s="83"/>
      <c r="AD50" s="127" t="str">
        <f t="shared" si="11"/>
        <v>BARNABE</v>
      </c>
      <c r="AE50" s="115"/>
      <c r="AF50" s="116"/>
      <c r="AG50" s="84" t="s">
        <v>54</v>
      </c>
      <c r="AH50" s="133" t="str">
        <f t="shared" si="12"/>
        <v>59</v>
      </c>
      <c r="AI50" s="85"/>
      <c r="AJ50" s="126" t="str">
        <f t="shared" si="13"/>
        <v>NADEGE</v>
      </c>
      <c r="AK50" s="86" t="s">
        <v>54</v>
      </c>
      <c r="AL50" s="133" t="str">
        <f t="shared" si="14"/>
        <v>99</v>
      </c>
      <c r="AM50" s="87"/>
      <c r="AN50" s="126" t="str">
        <f t="shared" si="15"/>
        <v>ROLANDE</v>
      </c>
      <c r="AO50" s="117"/>
      <c r="AP50" s="118"/>
      <c r="AQ50" s="88" t="s">
        <v>54</v>
      </c>
      <c r="AR50" s="134" t="str">
        <f t="shared" si="16"/>
        <v>1</v>
      </c>
      <c r="AS50" s="89"/>
      <c r="AT50" s="124" t="str">
        <f t="shared" si="17"/>
        <v>PETER</v>
      </c>
      <c r="AU50" s="90" t="s">
        <v>54</v>
      </c>
      <c r="AV50" s="134" t="str">
        <f t="shared" si="18"/>
        <v>23</v>
      </c>
      <c r="AW50" s="91"/>
      <c r="AX50" s="124" t="str">
        <f t="shared" si="19"/>
        <v>MARTIAL</v>
      </c>
      <c r="AY50" s="119"/>
      <c r="AZ50" s="120"/>
      <c r="BA50" s="92" t="s">
        <v>54</v>
      </c>
      <c r="BB50" s="135" t="str">
        <f t="shared" si="20"/>
        <v>40</v>
      </c>
      <c r="BC50" s="93"/>
      <c r="BD50" s="125" t="str">
        <f t="shared" si="21"/>
        <v>VINCENT</v>
      </c>
      <c r="BE50" s="94" t="s">
        <v>54</v>
      </c>
      <c r="BF50" s="135" t="str">
        <f t="shared" si="22"/>
        <v>84</v>
      </c>
      <c r="BG50" s="95"/>
      <c r="BH50" s="125" t="str">
        <f t="shared" si="23"/>
        <v>BASILE</v>
      </c>
      <c r="BI50" s="121"/>
      <c r="BJ50" s="122"/>
      <c r="BK50" s="63"/>
      <c r="BM50" s="65">
        <f>[1]resultat!AL50</f>
        <v>50</v>
      </c>
      <c r="BN50" s="65" t="str">
        <f>[1]resultat!AM50</f>
        <v>FLORENTIN</v>
      </c>
      <c r="BO50" s="141">
        <v>50</v>
      </c>
      <c r="BP50" s="148">
        <v>7</v>
      </c>
      <c r="BQ50" s="142">
        <v>13</v>
      </c>
      <c r="BR50" s="273">
        <f t="shared" si="24"/>
        <v>44</v>
      </c>
      <c r="BS50" s="274" t="str">
        <f t="shared" si="25"/>
        <v>27</v>
      </c>
      <c r="BT50" s="275" t="str">
        <f t="shared" si="26"/>
        <v xml:space="preserve">PHILIPPE  </v>
      </c>
      <c r="BU50" s="276" t="str">
        <f t="shared" si="27"/>
        <v>19</v>
      </c>
      <c r="BV50" s="277" t="str">
        <f t="shared" si="29"/>
        <v xml:space="preserve">SYLVAIN   </v>
      </c>
      <c r="BW50" s="273">
        <f t="shared" si="29"/>
        <v>13</v>
      </c>
      <c r="BX50" s="273">
        <f t="shared" si="29"/>
        <v>7</v>
      </c>
    </row>
    <row r="51" spans="1:76">
      <c r="A51" s="70" t="s">
        <v>187</v>
      </c>
      <c r="B51" s="20">
        <v>46</v>
      </c>
      <c r="C51" s="71" t="s">
        <v>54</v>
      </c>
      <c r="D51" s="130" t="str">
        <f t="shared" si="0"/>
        <v>34</v>
      </c>
      <c r="E51" s="72"/>
      <c r="F51" s="73" t="str">
        <f t="shared" si="1"/>
        <v xml:space="preserve">JOE  </v>
      </c>
      <c r="G51" s="74" t="s">
        <v>54</v>
      </c>
      <c r="H51" s="130" t="str">
        <f t="shared" si="2"/>
        <v>118</v>
      </c>
      <c r="I51" s="75"/>
      <c r="J51" s="73" t="str">
        <f t="shared" si="3"/>
        <v>FERNAND</v>
      </c>
      <c r="K51" s="142">
        <v>13</v>
      </c>
      <c r="L51" s="148">
        <v>7</v>
      </c>
      <c r="M51" s="76" t="s">
        <v>54</v>
      </c>
      <c r="N51" s="131" t="str">
        <f t="shared" si="4"/>
        <v>52</v>
      </c>
      <c r="O51" s="77"/>
      <c r="P51" s="123" t="str">
        <f t="shared" si="5"/>
        <v>ABEL</v>
      </c>
      <c r="Q51" s="78" t="s">
        <v>54</v>
      </c>
      <c r="R51" s="131" t="str">
        <f t="shared" si="6"/>
        <v>38</v>
      </c>
      <c r="S51" s="79"/>
      <c r="T51" s="123" t="str">
        <f t="shared" si="7"/>
        <v xml:space="preserve">ROMAIN  </v>
      </c>
      <c r="U51" s="56"/>
      <c r="V51" s="57"/>
      <c r="W51" s="80" t="s">
        <v>54</v>
      </c>
      <c r="X51" s="132" t="str">
        <f t="shared" si="8"/>
        <v>15</v>
      </c>
      <c r="Y51" s="81"/>
      <c r="Z51" s="127" t="str">
        <f t="shared" si="9"/>
        <v>JEAN PAUL</v>
      </c>
      <c r="AA51" s="82" t="s">
        <v>54</v>
      </c>
      <c r="AB51" s="132" t="str">
        <f t="shared" si="10"/>
        <v>76</v>
      </c>
      <c r="AC51" s="83"/>
      <c r="AD51" s="127" t="str">
        <f t="shared" si="11"/>
        <v>AMBROISE</v>
      </c>
      <c r="AE51" s="115"/>
      <c r="AF51" s="116"/>
      <c r="AG51" s="84" t="s">
        <v>54</v>
      </c>
      <c r="AH51" s="133" t="str">
        <f t="shared" si="12"/>
        <v>37</v>
      </c>
      <c r="AI51" s="85"/>
      <c r="AJ51" s="126" t="str">
        <f t="shared" si="13"/>
        <v>CLEMENT</v>
      </c>
      <c r="AK51" s="86" t="s">
        <v>54</v>
      </c>
      <c r="AL51" s="133" t="str">
        <f t="shared" si="14"/>
        <v>38</v>
      </c>
      <c r="AM51" s="87"/>
      <c r="AN51" s="126" t="str">
        <f t="shared" si="15"/>
        <v xml:space="preserve">ROMAIN  </v>
      </c>
      <c r="AO51" s="117"/>
      <c r="AP51" s="118"/>
      <c r="AQ51" s="88" t="s">
        <v>54</v>
      </c>
      <c r="AR51" s="134" t="str">
        <f t="shared" si="16"/>
        <v>65</v>
      </c>
      <c r="AS51" s="89"/>
      <c r="AT51" s="124" t="str">
        <f t="shared" si="17"/>
        <v>GEOFFROY</v>
      </c>
      <c r="AU51" s="90" t="s">
        <v>54</v>
      </c>
      <c r="AV51" s="134" t="str">
        <f t="shared" si="18"/>
        <v>76</v>
      </c>
      <c r="AW51" s="91"/>
      <c r="AX51" s="124" t="str">
        <f t="shared" si="19"/>
        <v>AMBROISE</v>
      </c>
      <c r="AY51" s="119"/>
      <c r="AZ51" s="120"/>
      <c r="BA51" s="92" t="s">
        <v>54</v>
      </c>
      <c r="BB51" s="135" t="str">
        <f t="shared" si="20"/>
        <v>118</v>
      </c>
      <c r="BC51" s="93"/>
      <c r="BD51" s="125" t="str">
        <f t="shared" si="21"/>
        <v>FERNAND</v>
      </c>
      <c r="BE51" s="94" t="s">
        <v>54</v>
      </c>
      <c r="BF51" s="135" t="str">
        <f t="shared" si="22"/>
        <v>13</v>
      </c>
      <c r="BG51" s="95"/>
      <c r="BH51" s="125" t="str">
        <f t="shared" si="23"/>
        <v>JEAN PIERRE</v>
      </c>
      <c r="BI51" s="121"/>
      <c r="BJ51" s="122"/>
      <c r="BK51" s="63"/>
      <c r="BM51" s="65">
        <f>[1]resultat!AL51</f>
        <v>51</v>
      </c>
      <c r="BN51" s="65" t="str">
        <f>[1]resultat!AM51</f>
        <v>BEAUDOUIN</v>
      </c>
      <c r="BO51" s="141">
        <v>51</v>
      </c>
      <c r="BP51" s="148">
        <v>7</v>
      </c>
      <c r="BQ51" s="142">
        <v>13</v>
      </c>
      <c r="BR51" s="273">
        <f t="shared" si="24"/>
        <v>45</v>
      </c>
      <c r="BS51" s="274" t="str">
        <f t="shared" si="25"/>
        <v>100</v>
      </c>
      <c r="BT51" s="275" t="str">
        <f t="shared" si="26"/>
        <v>CONSTANTIN</v>
      </c>
      <c r="BU51" s="276" t="str">
        <f t="shared" si="27"/>
        <v>102</v>
      </c>
      <c r="BV51" s="277" t="str">
        <f t="shared" si="29"/>
        <v>DONATIEN</v>
      </c>
      <c r="BW51" s="273">
        <f t="shared" si="29"/>
        <v>13</v>
      </c>
      <c r="BX51" s="273">
        <f t="shared" si="29"/>
        <v>7</v>
      </c>
    </row>
    <row r="52" spans="1:76">
      <c r="A52" s="70" t="s">
        <v>187</v>
      </c>
      <c r="B52" s="20">
        <v>47</v>
      </c>
      <c r="C52" s="71" t="s">
        <v>54</v>
      </c>
      <c r="D52" s="130" t="str">
        <f t="shared" si="0"/>
        <v>98</v>
      </c>
      <c r="E52" s="72"/>
      <c r="F52" s="73" t="str">
        <f t="shared" si="1"/>
        <v>STANISLAS</v>
      </c>
      <c r="G52" s="74" t="s">
        <v>54</v>
      </c>
      <c r="H52" s="130" t="str">
        <f t="shared" si="2"/>
        <v>4</v>
      </c>
      <c r="I52" s="75"/>
      <c r="J52" s="73" t="str">
        <f t="shared" si="3"/>
        <v>DENISE</v>
      </c>
      <c r="K52" s="142">
        <v>13</v>
      </c>
      <c r="L52" s="148">
        <v>7</v>
      </c>
      <c r="M52" s="76" t="s">
        <v>54</v>
      </c>
      <c r="N52" s="131" t="str">
        <f t="shared" si="4"/>
        <v>41</v>
      </c>
      <c r="O52" s="77"/>
      <c r="P52" s="123" t="str">
        <f t="shared" si="5"/>
        <v>ETIENNE</v>
      </c>
      <c r="Q52" s="78" t="s">
        <v>54</v>
      </c>
      <c r="R52" s="131" t="str">
        <f t="shared" si="6"/>
        <v>106</v>
      </c>
      <c r="S52" s="79"/>
      <c r="T52" s="123" t="str">
        <f t="shared" si="7"/>
        <v>LOUISE</v>
      </c>
      <c r="U52" s="56"/>
      <c r="V52" s="57"/>
      <c r="W52" s="80" t="s">
        <v>54</v>
      </c>
      <c r="X52" s="132" t="str">
        <f t="shared" si="8"/>
        <v>19</v>
      </c>
      <c r="Y52" s="81"/>
      <c r="Z52" s="127" t="str">
        <f t="shared" si="9"/>
        <v xml:space="preserve">SYLVAIN   </v>
      </c>
      <c r="AA52" s="82" t="s">
        <v>54</v>
      </c>
      <c r="AB52" s="132" t="str">
        <f t="shared" si="10"/>
        <v>60</v>
      </c>
      <c r="AC52" s="83"/>
      <c r="AD52" s="127" t="str">
        <f t="shared" si="11"/>
        <v>EDITH</v>
      </c>
      <c r="AE52" s="115"/>
      <c r="AF52" s="116"/>
      <c r="AG52" s="84" t="s">
        <v>54</v>
      </c>
      <c r="AH52" s="133" t="str">
        <f t="shared" si="12"/>
        <v>48</v>
      </c>
      <c r="AI52" s="85"/>
      <c r="AJ52" s="126" t="str">
        <f t="shared" si="13"/>
        <v>LUC</v>
      </c>
      <c r="AK52" s="86" t="s">
        <v>54</v>
      </c>
      <c r="AL52" s="133" t="str">
        <f t="shared" si="14"/>
        <v>20</v>
      </c>
      <c r="AM52" s="87"/>
      <c r="AN52" s="126" t="str">
        <f t="shared" si="15"/>
        <v>JONATHAN</v>
      </c>
      <c r="AO52" s="117"/>
      <c r="AP52" s="118"/>
      <c r="AQ52" s="88" t="s">
        <v>54</v>
      </c>
      <c r="AR52" s="134" t="str">
        <f t="shared" si="16"/>
        <v>33</v>
      </c>
      <c r="AS52" s="89"/>
      <c r="AT52" s="124" t="str">
        <f t="shared" si="17"/>
        <v xml:space="preserve">BRUNO  </v>
      </c>
      <c r="AU52" s="90" t="s">
        <v>54</v>
      </c>
      <c r="AV52" s="134" t="str">
        <f t="shared" si="18"/>
        <v>46</v>
      </c>
      <c r="AW52" s="91"/>
      <c r="AX52" s="124" t="str">
        <f t="shared" si="19"/>
        <v xml:space="preserve">SERGE  </v>
      </c>
      <c r="AY52" s="119"/>
      <c r="AZ52" s="120"/>
      <c r="BA52" s="92" t="s">
        <v>54</v>
      </c>
      <c r="BB52" s="135" t="str">
        <f t="shared" si="20"/>
        <v>12</v>
      </c>
      <c r="BC52" s="93"/>
      <c r="BD52" s="125" t="str">
        <f t="shared" si="21"/>
        <v>ALAIN</v>
      </c>
      <c r="BE52" s="94" t="s">
        <v>54</v>
      </c>
      <c r="BF52" s="135" t="str">
        <f t="shared" si="22"/>
        <v>5</v>
      </c>
      <c r="BG52" s="95"/>
      <c r="BH52" s="125" t="str">
        <f t="shared" si="23"/>
        <v>YVON</v>
      </c>
      <c r="BI52" s="121"/>
      <c r="BJ52" s="122"/>
      <c r="BK52" s="63"/>
      <c r="BM52" s="65">
        <f>[1]resultat!AL52</f>
        <v>52</v>
      </c>
      <c r="BN52" s="65" t="str">
        <f>[1]resultat!AM52</f>
        <v>ABEL</v>
      </c>
      <c r="BO52" s="141">
        <v>52</v>
      </c>
      <c r="BP52" s="148">
        <v>7</v>
      </c>
      <c r="BQ52" s="142">
        <v>13</v>
      </c>
      <c r="BR52" s="273">
        <f t="shared" si="24"/>
        <v>46</v>
      </c>
      <c r="BS52" s="274" t="str">
        <f t="shared" si="25"/>
        <v>34</v>
      </c>
      <c r="BT52" s="275" t="str">
        <f t="shared" si="26"/>
        <v xml:space="preserve">JOE  </v>
      </c>
      <c r="BU52" s="276" t="str">
        <f t="shared" si="27"/>
        <v>118</v>
      </c>
      <c r="BV52" s="277" t="str">
        <f t="shared" si="29"/>
        <v>FERNAND</v>
      </c>
      <c r="BW52" s="273">
        <f t="shared" si="29"/>
        <v>13</v>
      </c>
      <c r="BX52" s="273">
        <f t="shared" si="29"/>
        <v>7</v>
      </c>
    </row>
    <row r="53" spans="1:76">
      <c r="A53" s="70" t="s">
        <v>187</v>
      </c>
      <c r="B53" s="20">
        <v>48</v>
      </c>
      <c r="C53" s="71" t="s">
        <v>54</v>
      </c>
      <c r="D53" s="130" t="str">
        <f t="shared" si="0"/>
        <v>67</v>
      </c>
      <c r="E53" s="72"/>
      <c r="F53" s="73" t="str">
        <f t="shared" si="1"/>
        <v>YVONNICK</v>
      </c>
      <c r="G53" s="74" t="s">
        <v>54</v>
      </c>
      <c r="H53" s="130" t="str">
        <f t="shared" si="2"/>
        <v>77</v>
      </c>
      <c r="I53" s="75"/>
      <c r="J53" s="73" t="str">
        <f t="shared" si="3"/>
        <v>DANIEL</v>
      </c>
      <c r="K53" s="142">
        <v>13</v>
      </c>
      <c r="L53" s="148">
        <v>7</v>
      </c>
      <c r="M53" s="76" t="s">
        <v>54</v>
      </c>
      <c r="N53" s="131" t="str">
        <f t="shared" si="4"/>
        <v>61</v>
      </c>
      <c r="O53" s="77"/>
      <c r="P53" s="123" t="str">
        <f t="shared" si="5"/>
        <v>COME</v>
      </c>
      <c r="Q53" s="78" t="s">
        <v>54</v>
      </c>
      <c r="R53" s="131" t="str">
        <f t="shared" si="6"/>
        <v>88</v>
      </c>
      <c r="S53" s="79"/>
      <c r="T53" s="123" t="str">
        <f t="shared" si="7"/>
        <v>VINCENT</v>
      </c>
      <c r="U53" s="56"/>
      <c r="V53" s="57"/>
      <c r="W53" s="80" t="s">
        <v>54</v>
      </c>
      <c r="X53" s="132" t="str">
        <f t="shared" si="8"/>
        <v>71</v>
      </c>
      <c r="Y53" s="81"/>
      <c r="Z53" s="127" t="str">
        <f t="shared" si="9"/>
        <v>JIMMY</v>
      </c>
      <c r="AA53" s="82" t="s">
        <v>54</v>
      </c>
      <c r="AB53" s="132" t="str">
        <f t="shared" si="10"/>
        <v>65</v>
      </c>
      <c r="AC53" s="83"/>
      <c r="AD53" s="127" t="str">
        <f t="shared" si="11"/>
        <v>GEOFFROY</v>
      </c>
      <c r="AE53" s="115"/>
      <c r="AF53" s="116"/>
      <c r="AG53" s="84" t="s">
        <v>54</v>
      </c>
      <c r="AH53" s="133" t="str">
        <f t="shared" si="12"/>
        <v>35</v>
      </c>
      <c r="AI53" s="85"/>
      <c r="AJ53" s="126" t="str">
        <f t="shared" si="13"/>
        <v>MARTIN</v>
      </c>
      <c r="AK53" s="86" t="s">
        <v>54</v>
      </c>
      <c r="AL53" s="133" t="str">
        <f t="shared" si="14"/>
        <v>47</v>
      </c>
      <c r="AM53" s="87"/>
      <c r="AN53" s="126" t="str">
        <f t="shared" si="15"/>
        <v>HERMAN</v>
      </c>
      <c r="AO53" s="117"/>
      <c r="AP53" s="118"/>
      <c r="AQ53" s="88" t="s">
        <v>54</v>
      </c>
      <c r="AR53" s="134" t="str">
        <f t="shared" si="16"/>
        <v>62</v>
      </c>
      <c r="AS53" s="89"/>
      <c r="AT53" s="124" t="str">
        <f t="shared" si="17"/>
        <v>DIMITRI</v>
      </c>
      <c r="AU53" s="90" t="s">
        <v>54</v>
      </c>
      <c r="AV53" s="134" t="str">
        <f t="shared" si="18"/>
        <v>79</v>
      </c>
      <c r="AW53" s="91"/>
      <c r="AX53" s="124" t="str">
        <f t="shared" si="19"/>
        <v>GATIEN</v>
      </c>
      <c r="AY53" s="119"/>
      <c r="AZ53" s="120"/>
      <c r="BA53" s="92" t="s">
        <v>54</v>
      </c>
      <c r="BB53" s="135" t="str">
        <f t="shared" si="20"/>
        <v>116</v>
      </c>
      <c r="BC53" s="93"/>
      <c r="BD53" s="125" t="str">
        <f t="shared" si="21"/>
        <v>ALBAN</v>
      </c>
      <c r="BE53" s="94" t="s">
        <v>54</v>
      </c>
      <c r="BF53" s="135" t="str">
        <f t="shared" si="22"/>
        <v>63</v>
      </c>
      <c r="BG53" s="95"/>
      <c r="BH53" s="125" t="str">
        <f t="shared" si="23"/>
        <v>FIRMIN</v>
      </c>
      <c r="BI53" s="121"/>
      <c r="BJ53" s="122"/>
      <c r="BK53" s="63"/>
      <c r="BM53" s="65">
        <f>[1]resultat!AL53</f>
        <v>53</v>
      </c>
      <c r="BN53" s="65" t="str">
        <f>[1]resultat!AM53</f>
        <v>AURELIEN</v>
      </c>
      <c r="BO53" s="141">
        <v>53</v>
      </c>
      <c r="BP53" s="148">
        <v>7</v>
      </c>
      <c r="BQ53" s="142">
        <v>13</v>
      </c>
      <c r="BR53" s="273">
        <f t="shared" si="24"/>
        <v>47</v>
      </c>
      <c r="BS53" s="274" t="str">
        <f t="shared" si="25"/>
        <v>98</v>
      </c>
      <c r="BT53" s="275" t="str">
        <f t="shared" si="26"/>
        <v>STANISLAS</v>
      </c>
      <c r="BU53" s="276" t="str">
        <f t="shared" si="27"/>
        <v>4</v>
      </c>
      <c r="BV53" s="277" t="str">
        <f t="shared" si="29"/>
        <v>DENISE</v>
      </c>
      <c r="BW53" s="273">
        <f t="shared" si="29"/>
        <v>13</v>
      </c>
      <c r="BX53" s="273">
        <f t="shared" si="29"/>
        <v>7</v>
      </c>
    </row>
    <row r="54" spans="1:76">
      <c r="A54" s="70" t="s">
        <v>187</v>
      </c>
      <c r="B54" s="20">
        <v>49</v>
      </c>
      <c r="C54" s="71" t="s">
        <v>54</v>
      </c>
      <c r="D54" s="130" t="str">
        <f t="shared" si="0"/>
        <v>5</v>
      </c>
      <c r="E54" s="72"/>
      <c r="F54" s="73" t="str">
        <f t="shared" si="1"/>
        <v>YVON</v>
      </c>
      <c r="G54" s="74" t="s">
        <v>54</v>
      </c>
      <c r="H54" s="130" t="str">
        <f t="shared" si="2"/>
        <v>112</v>
      </c>
      <c r="I54" s="75"/>
      <c r="J54" s="73" t="str">
        <f t="shared" si="3"/>
        <v>AYMAR</v>
      </c>
      <c r="K54" s="142">
        <v>13</v>
      </c>
      <c r="L54" s="148">
        <v>7</v>
      </c>
      <c r="M54" s="76" t="s">
        <v>54</v>
      </c>
      <c r="N54" s="131" t="str">
        <f t="shared" si="4"/>
        <v>72</v>
      </c>
      <c r="O54" s="77"/>
      <c r="P54" s="123" t="str">
        <f t="shared" si="5"/>
        <v>DELPHINE</v>
      </c>
      <c r="Q54" s="78" t="s">
        <v>54</v>
      </c>
      <c r="R54" s="131" t="str">
        <f t="shared" si="6"/>
        <v>112</v>
      </c>
      <c r="S54" s="79"/>
      <c r="T54" s="123" t="str">
        <f t="shared" si="7"/>
        <v>AYMAR</v>
      </c>
      <c r="U54" s="56"/>
      <c r="V54" s="57"/>
      <c r="W54" s="80" t="s">
        <v>54</v>
      </c>
      <c r="X54" s="132" t="str">
        <f t="shared" si="8"/>
        <v>18</v>
      </c>
      <c r="Y54" s="81"/>
      <c r="Z54" s="127" t="str">
        <f t="shared" si="9"/>
        <v xml:space="preserve">CHARLES  </v>
      </c>
      <c r="AA54" s="82" t="s">
        <v>54</v>
      </c>
      <c r="AB54" s="132" t="str">
        <f t="shared" si="10"/>
        <v>23</v>
      </c>
      <c r="AC54" s="83"/>
      <c r="AD54" s="127" t="str">
        <f t="shared" si="11"/>
        <v>MARTIAL</v>
      </c>
      <c r="AE54" s="115"/>
      <c r="AF54" s="116"/>
      <c r="AG54" s="84" t="s">
        <v>54</v>
      </c>
      <c r="AH54" s="133" t="str">
        <f t="shared" si="12"/>
        <v>62</v>
      </c>
      <c r="AI54" s="85"/>
      <c r="AJ54" s="126" t="str">
        <f t="shared" si="13"/>
        <v>DIMITRI</v>
      </c>
      <c r="AK54" s="86" t="s">
        <v>54</v>
      </c>
      <c r="AL54" s="133" t="str">
        <f t="shared" si="14"/>
        <v>107</v>
      </c>
      <c r="AM54" s="87"/>
      <c r="AN54" s="126" t="str">
        <f t="shared" si="15"/>
        <v>GONTRAN</v>
      </c>
      <c r="AO54" s="117"/>
      <c r="AP54" s="118"/>
      <c r="AQ54" s="88" t="s">
        <v>54</v>
      </c>
      <c r="AR54" s="134" t="str">
        <f t="shared" si="16"/>
        <v>52</v>
      </c>
      <c r="AS54" s="89"/>
      <c r="AT54" s="124" t="str">
        <f t="shared" si="17"/>
        <v>ABEL</v>
      </c>
      <c r="AU54" s="90" t="s">
        <v>54</v>
      </c>
      <c r="AV54" s="134" t="str">
        <f t="shared" si="18"/>
        <v>75</v>
      </c>
      <c r="AW54" s="91"/>
      <c r="AX54" s="124" t="str">
        <f t="shared" si="19"/>
        <v>NICOLAS</v>
      </c>
      <c r="AY54" s="119"/>
      <c r="AZ54" s="120"/>
      <c r="BA54" s="92" t="s">
        <v>54</v>
      </c>
      <c r="BB54" s="135" t="str">
        <f t="shared" si="20"/>
        <v>56</v>
      </c>
      <c r="BC54" s="93"/>
      <c r="BD54" s="125" t="str">
        <f t="shared" si="21"/>
        <v xml:space="preserve">RENE  </v>
      </c>
      <c r="BE54" s="94" t="s">
        <v>54</v>
      </c>
      <c r="BF54" s="135" t="str">
        <f t="shared" si="22"/>
        <v>79</v>
      </c>
      <c r="BG54" s="95"/>
      <c r="BH54" s="125" t="str">
        <f t="shared" si="23"/>
        <v>GATIEN</v>
      </c>
      <c r="BI54" s="121"/>
      <c r="BJ54" s="122"/>
      <c r="BK54" s="63"/>
      <c r="BM54" s="65">
        <f>[1]resultat!AL54</f>
        <v>54</v>
      </c>
      <c r="BN54" s="65" t="str">
        <f>[1]resultat!AM54</f>
        <v>DAMIEN</v>
      </c>
      <c r="BO54" s="141">
        <v>54</v>
      </c>
      <c r="BP54" s="148">
        <v>7</v>
      </c>
      <c r="BQ54" s="142">
        <v>13</v>
      </c>
      <c r="BR54" s="273">
        <f t="shared" si="24"/>
        <v>48</v>
      </c>
      <c r="BS54" s="274" t="str">
        <f t="shared" si="25"/>
        <v>67</v>
      </c>
      <c r="BT54" s="275" t="str">
        <f t="shared" si="26"/>
        <v>YVONNICK</v>
      </c>
      <c r="BU54" s="276" t="str">
        <f t="shared" si="27"/>
        <v>77</v>
      </c>
      <c r="BV54" s="277" t="str">
        <f t="shared" si="29"/>
        <v>DANIEL</v>
      </c>
      <c r="BW54" s="273">
        <f t="shared" si="29"/>
        <v>13</v>
      </c>
      <c r="BX54" s="273">
        <f t="shared" si="29"/>
        <v>7</v>
      </c>
    </row>
    <row r="55" spans="1:76">
      <c r="A55" s="70" t="s">
        <v>187</v>
      </c>
      <c r="B55" s="20">
        <v>50</v>
      </c>
      <c r="C55" s="71" t="s">
        <v>54</v>
      </c>
      <c r="D55" s="130" t="str">
        <f t="shared" si="0"/>
        <v>111</v>
      </c>
      <c r="E55" s="72"/>
      <c r="F55" s="73" t="str">
        <f t="shared" si="1"/>
        <v>SOLANGE</v>
      </c>
      <c r="G55" s="74" t="s">
        <v>54</v>
      </c>
      <c r="H55" s="130" t="str">
        <f t="shared" si="2"/>
        <v>103</v>
      </c>
      <c r="I55" s="75"/>
      <c r="J55" s="73" t="str">
        <f t="shared" si="3"/>
        <v>GERMAIN</v>
      </c>
      <c r="K55" s="142">
        <v>13</v>
      </c>
      <c r="L55" s="148">
        <v>7</v>
      </c>
      <c r="M55" s="76" t="s">
        <v>54</v>
      </c>
      <c r="N55" s="131" t="str">
        <f t="shared" si="4"/>
        <v>91</v>
      </c>
      <c r="O55" s="77"/>
      <c r="P55" s="123" t="str">
        <f t="shared" si="5"/>
        <v>VALERIE</v>
      </c>
      <c r="Q55" s="78" t="s">
        <v>54</v>
      </c>
      <c r="R55" s="131" t="str">
        <f t="shared" si="6"/>
        <v>80</v>
      </c>
      <c r="S55" s="79"/>
      <c r="T55" s="123" t="str">
        <f t="shared" si="7"/>
        <v>LUCIE</v>
      </c>
      <c r="U55" s="56"/>
      <c r="V55" s="57"/>
      <c r="W55" s="80" t="s">
        <v>54</v>
      </c>
      <c r="X55" s="132" t="str">
        <f t="shared" si="8"/>
        <v>6</v>
      </c>
      <c r="Y55" s="81"/>
      <c r="Z55" s="127" t="str">
        <f t="shared" si="9"/>
        <v>JACQUES</v>
      </c>
      <c r="AA55" s="82" t="s">
        <v>54</v>
      </c>
      <c r="AB55" s="132" t="str">
        <f t="shared" si="10"/>
        <v>8</v>
      </c>
      <c r="AC55" s="83"/>
      <c r="AD55" s="127" t="str">
        <f t="shared" si="11"/>
        <v>THIBAULT</v>
      </c>
      <c r="AE55" s="115"/>
      <c r="AF55" s="116"/>
      <c r="AG55" s="84" t="s">
        <v>54</v>
      </c>
      <c r="AH55" s="133" t="str">
        <f t="shared" si="12"/>
        <v>5</v>
      </c>
      <c r="AI55" s="85"/>
      <c r="AJ55" s="126" t="str">
        <f t="shared" si="13"/>
        <v>YVON</v>
      </c>
      <c r="AK55" s="86" t="s">
        <v>54</v>
      </c>
      <c r="AL55" s="133" t="str">
        <f t="shared" si="14"/>
        <v>83</v>
      </c>
      <c r="AM55" s="87"/>
      <c r="AN55" s="126" t="str">
        <f t="shared" si="15"/>
        <v>ETIENNE</v>
      </c>
      <c r="AO55" s="117"/>
      <c r="AP55" s="118"/>
      <c r="AQ55" s="88" t="s">
        <v>54</v>
      </c>
      <c r="AR55" s="134" t="str">
        <f t="shared" si="16"/>
        <v>67</v>
      </c>
      <c r="AS55" s="89"/>
      <c r="AT55" s="124" t="str">
        <f t="shared" si="17"/>
        <v>YVONNICK</v>
      </c>
      <c r="AU55" s="90" t="s">
        <v>54</v>
      </c>
      <c r="AV55" s="134" t="str">
        <f t="shared" si="18"/>
        <v>80</v>
      </c>
      <c r="AW55" s="91"/>
      <c r="AX55" s="124" t="str">
        <f t="shared" si="19"/>
        <v>LUCIE</v>
      </c>
      <c r="AY55" s="119"/>
      <c r="AZ55" s="120"/>
      <c r="BA55" s="92" t="s">
        <v>54</v>
      </c>
      <c r="BB55" s="135" t="str">
        <f t="shared" si="20"/>
        <v>82</v>
      </c>
      <c r="BC55" s="93"/>
      <c r="BD55" s="125" t="str">
        <f t="shared" si="21"/>
        <v>URBAIN</v>
      </c>
      <c r="BE55" s="94" t="s">
        <v>54</v>
      </c>
      <c r="BF55" s="135" t="str">
        <f t="shared" si="22"/>
        <v>37</v>
      </c>
      <c r="BG55" s="95"/>
      <c r="BH55" s="125" t="str">
        <f t="shared" si="23"/>
        <v>CLEMENT</v>
      </c>
      <c r="BI55" s="121"/>
      <c r="BJ55" s="122"/>
      <c r="BK55" s="63"/>
      <c r="BM55" s="65">
        <f>[1]resultat!AL55</f>
        <v>55</v>
      </c>
      <c r="BN55" s="65" t="str">
        <f>[1]resultat!AM55</f>
        <v>GREGOIRE</v>
      </c>
      <c r="BO55" s="232">
        <v>55</v>
      </c>
      <c r="BP55" s="142">
        <v>13</v>
      </c>
      <c r="BQ55" s="148">
        <v>7</v>
      </c>
      <c r="BR55" s="273">
        <f t="shared" si="24"/>
        <v>49</v>
      </c>
      <c r="BS55" s="274" t="str">
        <f t="shared" si="25"/>
        <v>5</v>
      </c>
      <c r="BT55" s="275" t="str">
        <f t="shared" si="26"/>
        <v>YVON</v>
      </c>
      <c r="BU55" s="276" t="str">
        <f t="shared" si="27"/>
        <v>112</v>
      </c>
      <c r="BV55" s="277" t="str">
        <f t="shared" si="29"/>
        <v>AYMAR</v>
      </c>
      <c r="BW55" s="273">
        <f t="shared" si="29"/>
        <v>13</v>
      </c>
      <c r="BX55" s="273">
        <f t="shared" si="29"/>
        <v>7</v>
      </c>
    </row>
    <row r="56" spans="1:76">
      <c r="A56" s="70" t="s">
        <v>187</v>
      </c>
      <c r="B56" s="20">
        <v>51</v>
      </c>
      <c r="C56" s="71" t="s">
        <v>54</v>
      </c>
      <c r="D56" s="130" t="str">
        <f t="shared" si="0"/>
        <v>38</v>
      </c>
      <c r="E56" s="72"/>
      <c r="F56" s="73" t="str">
        <f t="shared" si="1"/>
        <v xml:space="preserve">ROMAIN  </v>
      </c>
      <c r="G56" s="74" t="s">
        <v>54</v>
      </c>
      <c r="H56" s="130" t="str">
        <f t="shared" si="2"/>
        <v>117</v>
      </c>
      <c r="I56" s="75"/>
      <c r="J56" s="73" t="str">
        <f t="shared" si="3"/>
        <v>PROSPER</v>
      </c>
      <c r="K56" s="142">
        <v>13</v>
      </c>
      <c r="L56" s="148">
        <v>7</v>
      </c>
      <c r="M56" s="76" t="s">
        <v>54</v>
      </c>
      <c r="N56" s="131" t="str">
        <f t="shared" si="4"/>
        <v>7</v>
      </c>
      <c r="O56" s="77"/>
      <c r="P56" s="123" t="str">
        <f t="shared" si="5"/>
        <v>PIERRE</v>
      </c>
      <c r="Q56" s="78" t="s">
        <v>54</v>
      </c>
      <c r="R56" s="131" t="str">
        <f t="shared" si="6"/>
        <v>60</v>
      </c>
      <c r="S56" s="79"/>
      <c r="T56" s="123" t="str">
        <f t="shared" si="7"/>
        <v>EDITH</v>
      </c>
      <c r="U56" s="56"/>
      <c r="V56" s="57"/>
      <c r="W56" s="80" t="s">
        <v>54</v>
      </c>
      <c r="X56" s="132" t="str">
        <f t="shared" si="8"/>
        <v>33</v>
      </c>
      <c r="Y56" s="81"/>
      <c r="Z56" s="127" t="str">
        <f t="shared" si="9"/>
        <v xml:space="preserve">BRUNO  </v>
      </c>
      <c r="AA56" s="82" t="s">
        <v>54</v>
      </c>
      <c r="AB56" s="132" t="str">
        <f t="shared" si="10"/>
        <v>38</v>
      </c>
      <c r="AC56" s="83"/>
      <c r="AD56" s="127" t="str">
        <f t="shared" si="11"/>
        <v xml:space="preserve">ROMAIN  </v>
      </c>
      <c r="AE56" s="115"/>
      <c r="AF56" s="116"/>
      <c r="AG56" s="84" t="s">
        <v>54</v>
      </c>
      <c r="AH56" s="133" t="str">
        <f t="shared" si="12"/>
        <v>7</v>
      </c>
      <c r="AI56" s="85"/>
      <c r="AJ56" s="126" t="str">
        <f t="shared" si="13"/>
        <v>PIERRE</v>
      </c>
      <c r="AK56" s="86" t="s">
        <v>54</v>
      </c>
      <c r="AL56" s="133" t="str">
        <f t="shared" si="14"/>
        <v>49</v>
      </c>
      <c r="AM56" s="87"/>
      <c r="AN56" s="126" t="str">
        <f t="shared" si="15"/>
        <v>OLIVIER</v>
      </c>
      <c r="AO56" s="117"/>
      <c r="AP56" s="118"/>
      <c r="AQ56" s="88" t="s">
        <v>54</v>
      </c>
      <c r="AR56" s="134" t="str">
        <f t="shared" si="16"/>
        <v>54</v>
      </c>
      <c r="AS56" s="89"/>
      <c r="AT56" s="124" t="str">
        <f t="shared" si="17"/>
        <v>DAMIEN</v>
      </c>
      <c r="AU56" s="90" t="s">
        <v>54</v>
      </c>
      <c r="AV56" s="134" t="str">
        <f t="shared" si="18"/>
        <v>66</v>
      </c>
      <c r="AW56" s="91"/>
      <c r="AX56" s="124" t="str">
        <f t="shared" si="19"/>
        <v>FLORIAN</v>
      </c>
      <c r="AY56" s="119"/>
      <c r="AZ56" s="120"/>
      <c r="BA56" s="92" t="s">
        <v>54</v>
      </c>
      <c r="BB56" s="135" t="str">
        <f t="shared" si="20"/>
        <v>85</v>
      </c>
      <c r="BC56" s="93"/>
      <c r="BD56" s="125" t="str">
        <f t="shared" si="21"/>
        <v>RAYMOND</v>
      </c>
      <c r="BE56" s="94" t="s">
        <v>54</v>
      </c>
      <c r="BF56" s="135" t="str">
        <f t="shared" si="22"/>
        <v>88</v>
      </c>
      <c r="BG56" s="95"/>
      <c r="BH56" s="125" t="str">
        <f t="shared" si="23"/>
        <v>VINCENT</v>
      </c>
      <c r="BI56" s="121"/>
      <c r="BJ56" s="122"/>
      <c r="BK56" s="63"/>
      <c r="BM56" s="65">
        <f>[1]resultat!AL56</f>
        <v>56</v>
      </c>
      <c r="BN56" s="65" t="str">
        <f>[1]resultat!AM56</f>
        <v xml:space="preserve">RENE  </v>
      </c>
      <c r="BO56" s="141">
        <v>56</v>
      </c>
      <c r="BP56" s="148">
        <v>7</v>
      </c>
      <c r="BQ56" s="142">
        <v>13</v>
      </c>
      <c r="BR56" s="273">
        <f t="shared" si="24"/>
        <v>50</v>
      </c>
      <c r="BS56" s="274" t="str">
        <f t="shared" si="25"/>
        <v>111</v>
      </c>
      <c r="BT56" s="275" t="str">
        <f t="shared" si="26"/>
        <v>SOLANGE</v>
      </c>
      <c r="BU56" s="276" t="str">
        <f t="shared" si="27"/>
        <v>103</v>
      </c>
      <c r="BV56" s="277" t="str">
        <f t="shared" si="29"/>
        <v>GERMAIN</v>
      </c>
      <c r="BW56" s="273">
        <f t="shared" si="29"/>
        <v>13</v>
      </c>
      <c r="BX56" s="273">
        <f t="shared" si="29"/>
        <v>7</v>
      </c>
    </row>
    <row r="57" spans="1:76">
      <c r="A57" s="70" t="s">
        <v>187</v>
      </c>
      <c r="B57" s="20">
        <v>52</v>
      </c>
      <c r="C57" s="71" t="s">
        <v>54</v>
      </c>
      <c r="D57" s="130" t="str">
        <f t="shared" si="0"/>
        <v>10</v>
      </c>
      <c r="E57" s="72"/>
      <c r="F57" s="73" t="str">
        <f t="shared" si="1"/>
        <v>PETER</v>
      </c>
      <c r="G57" s="74" t="s">
        <v>54</v>
      </c>
      <c r="H57" s="130" t="str">
        <f t="shared" si="2"/>
        <v>73</v>
      </c>
      <c r="I57" s="75"/>
      <c r="J57" s="73" t="str">
        <f t="shared" si="3"/>
        <v>EDMOND</v>
      </c>
      <c r="K57" s="142">
        <v>13</v>
      </c>
      <c r="L57" s="148">
        <v>7</v>
      </c>
      <c r="M57" s="76" t="s">
        <v>54</v>
      </c>
      <c r="N57" s="131" t="str">
        <f t="shared" si="4"/>
        <v>46</v>
      </c>
      <c r="O57" s="77"/>
      <c r="P57" s="123" t="str">
        <f t="shared" si="5"/>
        <v xml:space="preserve">SERGE  </v>
      </c>
      <c r="Q57" s="78" t="s">
        <v>54</v>
      </c>
      <c r="R57" s="131" t="str">
        <f t="shared" si="6"/>
        <v>50</v>
      </c>
      <c r="S57" s="79"/>
      <c r="T57" s="123" t="str">
        <f t="shared" si="7"/>
        <v>FLORENTIN</v>
      </c>
      <c r="U57" s="56"/>
      <c r="V57" s="57"/>
      <c r="W57" s="80" t="s">
        <v>54</v>
      </c>
      <c r="X57" s="132" t="str">
        <f t="shared" si="8"/>
        <v>109</v>
      </c>
      <c r="Y57" s="81"/>
      <c r="Z57" s="127" t="str">
        <f t="shared" si="9"/>
        <v>MARCELLIN</v>
      </c>
      <c r="AA57" s="82" t="s">
        <v>54</v>
      </c>
      <c r="AB57" s="132" t="str">
        <f t="shared" si="10"/>
        <v>34</v>
      </c>
      <c r="AC57" s="83"/>
      <c r="AD57" s="127" t="str">
        <f t="shared" si="11"/>
        <v xml:space="preserve">JOE  </v>
      </c>
      <c r="AE57" s="115"/>
      <c r="AF57" s="116"/>
      <c r="AG57" s="84" t="s">
        <v>54</v>
      </c>
      <c r="AH57" s="133" t="str">
        <f t="shared" si="12"/>
        <v>105</v>
      </c>
      <c r="AI57" s="85"/>
      <c r="AJ57" s="126" t="str">
        <f t="shared" si="13"/>
        <v>CYRILL</v>
      </c>
      <c r="AK57" s="86" t="s">
        <v>54</v>
      </c>
      <c r="AL57" s="133" t="str">
        <f t="shared" si="14"/>
        <v>84</v>
      </c>
      <c r="AM57" s="87"/>
      <c r="AN57" s="126" t="str">
        <f t="shared" si="15"/>
        <v>BASILE</v>
      </c>
      <c r="AO57" s="117"/>
      <c r="AP57" s="118"/>
      <c r="AQ57" s="88" t="s">
        <v>54</v>
      </c>
      <c r="AR57" s="134" t="str">
        <f t="shared" si="16"/>
        <v>34</v>
      </c>
      <c r="AS57" s="89"/>
      <c r="AT57" s="124" t="str">
        <f t="shared" si="17"/>
        <v xml:space="preserve">JOE  </v>
      </c>
      <c r="AU57" s="90" t="s">
        <v>54</v>
      </c>
      <c r="AV57" s="134" t="str">
        <f t="shared" si="18"/>
        <v>83</v>
      </c>
      <c r="AW57" s="91"/>
      <c r="AX57" s="124" t="str">
        <f t="shared" si="19"/>
        <v>ETIENNE</v>
      </c>
      <c r="AY57" s="119"/>
      <c r="AZ57" s="120"/>
      <c r="BA57" s="92" t="s">
        <v>54</v>
      </c>
      <c r="BB57" s="135" t="str">
        <f t="shared" si="20"/>
        <v>43</v>
      </c>
      <c r="BC57" s="93"/>
      <c r="BD57" s="125" t="str">
        <f t="shared" si="21"/>
        <v>ALLAIRE</v>
      </c>
      <c r="BE57" s="94" t="s">
        <v>54</v>
      </c>
      <c r="BF57" s="135" t="str">
        <f t="shared" si="22"/>
        <v>108</v>
      </c>
      <c r="BG57" s="95"/>
      <c r="BH57" s="125" t="str">
        <f t="shared" si="23"/>
        <v>ISIDORE</v>
      </c>
      <c r="BI57" s="121"/>
      <c r="BJ57" s="122"/>
      <c r="BK57" s="63"/>
      <c r="BM57" s="65">
        <f>[1]resultat!AL57</f>
        <v>57</v>
      </c>
      <c r="BN57" s="65" t="str">
        <f>[1]resultat!AM57</f>
        <v>ARSENE</v>
      </c>
      <c r="BO57" s="141">
        <v>57</v>
      </c>
      <c r="BP57" s="148">
        <v>7</v>
      </c>
      <c r="BQ57" s="142">
        <v>13</v>
      </c>
      <c r="BR57" s="273">
        <f t="shared" si="24"/>
        <v>51</v>
      </c>
      <c r="BS57" s="274" t="str">
        <f t="shared" si="25"/>
        <v>38</v>
      </c>
      <c r="BT57" s="275" t="str">
        <f t="shared" si="26"/>
        <v xml:space="preserve">ROMAIN  </v>
      </c>
      <c r="BU57" s="276" t="str">
        <f t="shared" si="27"/>
        <v>117</v>
      </c>
      <c r="BV57" s="277" t="str">
        <f t="shared" si="29"/>
        <v>PROSPER</v>
      </c>
      <c r="BW57" s="273">
        <f t="shared" si="29"/>
        <v>13</v>
      </c>
      <c r="BX57" s="273">
        <f t="shared" si="29"/>
        <v>7</v>
      </c>
    </row>
    <row r="58" spans="1:76">
      <c r="A58" s="70" t="s">
        <v>187</v>
      </c>
      <c r="B58" s="20">
        <v>53</v>
      </c>
      <c r="C58" s="71" t="s">
        <v>54</v>
      </c>
      <c r="D58" s="130" t="str">
        <f t="shared" si="0"/>
        <v>92</v>
      </c>
      <c r="E58" s="72"/>
      <c r="F58" s="73" t="str">
        <f t="shared" si="1"/>
        <v>ROMAIN</v>
      </c>
      <c r="G58" s="74" t="s">
        <v>54</v>
      </c>
      <c r="H58" s="130" t="str">
        <f t="shared" si="2"/>
        <v>84</v>
      </c>
      <c r="I58" s="75"/>
      <c r="J58" s="73" t="str">
        <f t="shared" si="3"/>
        <v>BASILE</v>
      </c>
      <c r="K58" s="142">
        <v>13</v>
      </c>
      <c r="L58" s="148">
        <v>7</v>
      </c>
      <c r="M58" s="76" t="s">
        <v>54</v>
      </c>
      <c r="N58" s="131" t="str">
        <f t="shared" si="4"/>
        <v>8</v>
      </c>
      <c r="O58" s="77"/>
      <c r="P58" s="123" t="str">
        <f t="shared" si="5"/>
        <v>THIBAULT</v>
      </c>
      <c r="Q58" s="78" t="s">
        <v>54</v>
      </c>
      <c r="R58" s="131" t="str">
        <f t="shared" si="6"/>
        <v>71</v>
      </c>
      <c r="S58" s="79"/>
      <c r="T58" s="123" t="str">
        <f t="shared" si="7"/>
        <v>JIMMY</v>
      </c>
      <c r="U58" s="56"/>
      <c r="V58" s="57"/>
      <c r="W58" s="80" t="s">
        <v>54</v>
      </c>
      <c r="X58" s="132" t="str">
        <f t="shared" si="8"/>
        <v>104</v>
      </c>
      <c r="Y58" s="81"/>
      <c r="Z58" s="127" t="str">
        <f t="shared" si="9"/>
        <v>RODRIGUE</v>
      </c>
      <c r="AA58" s="82" t="s">
        <v>54</v>
      </c>
      <c r="AB58" s="132" t="str">
        <f t="shared" si="10"/>
        <v>16</v>
      </c>
      <c r="AC58" s="83"/>
      <c r="AD58" s="127" t="str">
        <f t="shared" si="11"/>
        <v>MICKAEL</v>
      </c>
      <c r="AE58" s="115"/>
      <c r="AF58" s="116"/>
      <c r="AG58" s="84" t="s">
        <v>54</v>
      </c>
      <c r="AH58" s="133" t="str">
        <f t="shared" si="12"/>
        <v>31</v>
      </c>
      <c r="AI58" s="85"/>
      <c r="AJ58" s="126" t="str">
        <f t="shared" si="13"/>
        <v>EDOUARD</v>
      </c>
      <c r="AK58" s="86" t="s">
        <v>54</v>
      </c>
      <c r="AL58" s="133" t="str">
        <f t="shared" si="14"/>
        <v>102</v>
      </c>
      <c r="AM58" s="87"/>
      <c r="AN58" s="126" t="str">
        <f t="shared" si="15"/>
        <v>DONATIEN</v>
      </c>
      <c r="AO58" s="117"/>
      <c r="AP58" s="118"/>
      <c r="AQ58" s="88" t="s">
        <v>54</v>
      </c>
      <c r="AR58" s="134" t="str">
        <f t="shared" si="16"/>
        <v>105</v>
      </c>
      <c r="AS58" s="89"/>
      <c r="AT58" s="124" t="str">
        <f t="shared" si="17"/>
        <v>CYRILL</v>
      </c>
      <c r="AU58" s="90" t="s">
        <v>54</v>
      </c>
      <c r="AV58" s="134" t="str">
        <f t="shared" si="18"/>
        <v>86</v>
      </c>
      <c r="AW58" s="91"/>
      <c r="AX58" s="124" t="str">
        <f t="shared" si="19"/>
        <v>LUCIEN</v>
      </c>
      <c r="AY58" s="119"/>
      <c r="AZ58" s="120"/>
      <c r="BA58" s="92" t="s">
        <v>54</v>
      </c>
      <c r="BB58" s="135" t="str">
        <f t="shared" si="20"/>
        <v>31</v>
      </c>
      <c r="BC58" s="93"/>
      <c r="BD58" s="125" t="str">
        <f t="shared" si="21"/>
        <v>EDOUARD</v>
      </c>
      <c r="BE58" s="94" t="s">
        <v>54</v>
      </c>
      <c r="BF58" s="135" t="str">
        <f t="shared" si="22"/>
        <v>32</v>
      </c>
      <c r="BG58" s="95"/>
      <c r="BH58" s="125" t="str">
        <f t="shared" si="23"/>
        <v xml:space="preserve">ADELINE  </v>
      </c>
      <c r="BI58" s="121"/>
      <c r="BJ58" s="122"/>
      <c r="BK58" s="63"/>
      <c r="BM58" s="65">
        <f>[1]resultat!AL58</f>
        <v>58</v>
      </c>
      <c r="BN58" s="65" t="str">
        <f>[1]resultat!AM58</f>
        <v>FRANCIS</v>
      </c>
      <c r="BO58" s="141">
        <v>58</v>
      </c>
      <c r="BP58" s="148">
        <v>7</v>
      </c>
      <c r="BQ58" s="142">
        <v>13</v>
      </c>
      <c r="BR58" s="273">
        <f t="shared" si="24"/>
        <v>52</v>
      </c>
      <c r="BS58" s="274" t="str">
        <f t="shared" si="25"/>
        <v>10</v>
      </c>
      <c r="BT58" s="275" t="str">
        <f t="shared" si="26"/>
        <v>PETER</v>
      </c>
      <c r="BU58" s="276" t="str">
        <f t="shared" si="27"/>
        <v>73</v>
      </c>
      <c r="BV58" s="277" t="str">
        <f t="shared" si="29"/>
        <v>EDMOND</v>
      </c>
      <c r="BW58" s="273">
        <f t="shared" si="29"/>
        <v>13</v>
      </c>
      <c r="BX58" s="273">
        <f t="shared" si="29"/>
        <v>7</v>
      </c>
    </row>
    <row r="59" spans="1:76">
      <c r="A59" s="70" t="s">
        <v>187</v>
      </c>
      <c r="B59" s="20">
        <v>54</v>
      </c>
      <c r="C59" s="71" t="s">
        <v>54</v>
      </c>
      <c r="D59" s="130" t="str">
        <f t="shared" si="0"/>
        <v>101</v>
      </c>
      <c r="E59" s="72"/>
      <c r="F59" s="73" t="str">
        <f t="shared" si="1"/>
        <v>HONORE</v>
      </c>
      <c r="G59" s="74" t="s">
        <v>54</v>
      </c>
      <c r="H59" s="130" t="str">
        <f t="shared" si="2"/>
        <v>24</v>
      </c>
      <c r="I59" s="75"/>
      <c r="J59" s="73" t="str">
        <f t="shared" si="3"/>
        <v>JACQUES</v>
      </c>
      <c r="K59" s="142">
        <v>13</v>
      </c>
      <c r="L59" s="148">
        <v>7</v>
      </c>
      <c r="M59" s="76" t="s">
        <v>54</v>
      </c>
      <c r="N59" s="131" t="str">
        <f t="shared" si="4"/>
        <v>73</v>
      </c>
      <c r="O59" s="77"/>
      <c r="P59" s="123" t="str">
        <f t="shared" si="5"/>
        <v>EDMOND</v>
      </c>
      <c r="Q59" s="78" t="s">
        <v>54</v>
      </c>
      <c r="R59" s="131" t="str">
        <f t="shared" si="6"/>
        <v>113</v>
      </c>
      <c r="S59" s="79"/>
      <c r="T59" s="123" t="str">
        <f t="shared" si="7"/>
        <v>NORBERT</v>
      </c>
      <c r="U59" s="56"/>
      <c r="V59" s="57"/>
      <c r="W59" s="80" t="s">
        <v>54</v>
      </c>
      <c r="X59" s="132" t="str">
        <f t="shared" si="8"/>
        <v>80</v>
      </c>
      <c r="Y59" s="81"/>
      <c r="Z59" s="127" t="str">
        <f t="shared" si="9"/>
        <v>LUCIE</v>
      </c>
      <c r="AA59" s="82" t="s">
        <v>54</v>
      </c>
      <c r="AB59" s="132" t="str">
        <f t="shared" si="10"/>
        <v>61</v>
      </c>
      <c r="AC59" s="83"/>
      <c r="AD59" s="127" t="str">
        <f t="shared" si="11"/>
        <v>COME</v>
      </c>
      <c r="AE59" s="115"/>
      <c r="AF59" s="116"/>
      <c r="AG59" s="84" t="s">
        <v>54</v>
      </c>
      <c r="AH59" s="133" t="str">
        <f t="shared" si="12"/>
        <v>42</v>
      </c>
      <c r="AI59" s="85"/>
      <c r="AJ59" s="126" t="str">
        <f t="shared" si="13"/>
        <v xml:space="preserve">FREDDY  </v>
      </c>
      <c r="AK59" s="86" t="s">
        <v>54</v>
      </c>
      <c r="AL59" s="133" t="str">
        <f t="shared" si="14"/>
        <v>58</v>
      </c>
      <c r="AM59" s="87"/>
      <c r="AN59" s="126" t="str">
        <f t="shared" si="15"/>
        <v>FRANCIS</v>
      </c>
      <c r="AO59" s="117"/>
      <c r="AP59" s="118"/>
      <c r="AQ59" s="88" t="s">
        <v>54</v>
      </c>
      <c r="AR59" s="134" t="str">
        <f t="shared" si="16"/>
        <v>8</v>
      </c>
      <c r="AS59" s="89"/>
      <c r="AT59" s="124" t="str">
        <f t="shared" si="17"/>
        <v>THIBAULT</v>
      </c>
      <c r="AU59" s="90" t="s">
        <v>54</v>
      </c>
      <c r="AV59" s="134" t="str">
        <f t="shared" si="18"/>
        <v>99</v>
      </c>
      <c r="AW59" s="91"/>
      <c r="AX59" s="124" t="str">
        <f t="shared" si="19"/>
        <v>ROLANDE</v>
      </c>
      <c r="AY59" s="119"/>
      <c r="AZ59" s="120"/>
      <c r="BA59" s="92" t="s">
        <v>54</v>
      </c>
      <c r="BB59" s="135" t="str">
        <f t="shared" si="20"/>
        <v>65</v>
      </c>
      <c r="BC59" s="93"/>
      <c r="BD59" s="125" t="str">
        <f t="shared" si="21"/>
        <v>GEOFFROY</v>
      </c>
      <c r="BE59" s="94" t="s">
        <v>54</v>
      </c>
      <c r="BF59" s="135" t="str">
        <f t="shared" si="22"/>
        <v>104</v>
      </c>
      <c r="BG59" s="95"/>
      <c r="BH59" s="125" t="str">
        <f t="shared" si="23"/>
        <v>RODRIGUE</v>
      </c>
      <c r="BI59" s="121"/>
      <c r="BJ59" s="122"/>
      <c r="BK59" s="63"/>
      <c r="BM59" s="65">
        <f>[1]resultat!AL59</f>
        <v>59</v>
      </c>
      <c r="BN59" s="65" t="str">
        <f>[1]resultat!AM59</f>
        <v>NADEGE</v>
      </c>
      <c r="BO59" s="232">
        <v>59</v>
      </c>
      <c r="BP59" s="142">
        <v>13</v>
      </c>
      <c r="BQ59" s="148">
        <v>7</v>
      </c>
      <c r="BR59" s="273">
        <f t="shared" si="24"/>
        <v>53</v>
      </c>
      <c r="BS59" s="274" t="str">
        <f t="shared" si="25"/>
        <v>92</v>
      </c>
      <c r="BT59" s="275" t="str">
        <f t="shared" si="26"/>
        <v>ROMAIN</v>
      </c>
      <c r="BU59" s="276" t="str">
        <f t="shared" si="27"/>
        <v>84</v>
      </c>
      <c r="BV59" s="277" t="str">
        <f t="shared" si="29"/>
        <v>BASILE</v>
      </c>
      <c r="BW59" s="273">
        <f t="shared" si="29"/>
        <v>13</v>
      </c>
      <c r="BX59" s="273">
        <f t="shared" si="29"/>
        <v>7</v>
      </c>
    </row>
    <row r="60" spans="1:76">
      <c r="A60" s="70" t="s">
        <v>187</v>
      </c>
      <c r="B60" s="20">
        <v>55</v>
      </c>
      <c r="C60" s="71" t="s">
        <v>54</v>
      </c>
      <c r="D60" s="130" t="str">
        <f t="shared" si="0"/>
        <v>29</v>
      </c>
      <c r="E60" s="72"/>
      <c r="F60" s="73" t="str">
        <f t="shared" si="1"/>
        <v xml:space="preserve">YOANN   </v>
      </c>
      <c r="G60" s="74" t="s">
        <v>54</v>
      </c>
      <c r="H60" s="130" t="str">
        <f t="shared" si="2"/>
        <v>78</v>
      </c>
      <c r="I60" s="75"/>
      <c r="J60" s="73" t="str">
        <f t="shared" si="3"/>
        <v>GAEL</v>
      </c>
      <c r="K60" s="142">
        <v>13</v>
      </c>
      <c r="L60" s="148">
        <v>7</v>
      </c>
      <c r="M60" s="76" t="s">
        <v>54</v>
      </c>
      <c r="N60" s="131" t="str">
        <f t="shared" si="4"/>
        <v>105</v>
      </c>
      <c r="O60" s="77"/>
      <c r="P60" s="123" t="str">
        <f t="shared" si="5"/>
        <v>CYRILL</v>
      </c>
      <c r="Q60" s="78" t="s">
        <v>54</v>
      </c>
      <c r="R60" s="131" t="str">
        <f t="shared" si="6"/>
        <v>98</v>
      </c>
      <c r="S60" s="79"/>
      <c r="T60" s="123" t="str">
        <f t="shared" si="7"/>
        <v>STANISLAS</v>
      </c>
      <c r="U60" s="56"/>
      <c r="V60" s="57"/>
      <c r="W60" s="80" t="s">
        <v>54</v>
      </c>
      <c r="X60" s="132" t="str">
        <f t="shared" si="8"/>
        <v>58</v>
      </c>
      <c r="Y60" s="81"/>
      <c r="Z60" s="127" t="str">
        <f t="shared" si="9"/>
        <v>FRANCIS</v>
      </c>
      <c r="AA60" s="82" t="s">
        <v>54</v>
      </c>
      <c r="AB60" s="132" t="str">
        <f t="shared" si="10"/>
        <v>83</v>
      </c>
      <c r="AC60" s="83"/>
      <c r="AD60" s="127" t="str">
        <f t="shared" si="11"/>
        <v>ETIENNE</v>
      </c>
      <c r="AE60" s="115"/>
      <c r="AF60" s="116"/>
      <c r="AG60" s="84" t="s">
        <v>54</v>
      </c>
      <c r="AH60" s="133" t="str">
        <f t="shared" si="12"/>
        <v>75</v>
      </c>
      <c r="AI60" s="85"/>
      <c r="AJ60" s="126" t="str">
        <f t="shared" si="13"/>
        <v>NICOLAS</v>
      </c>
      <c r="AK60" s="86" t="s">
        <v>54</v>
      </c>
      <c r="AL60" s="133" t="str">
        <f t="shared" si="14"/>
        <v>98</v>
      </c>
      <c r="AM60" s="87"/>
      <c r="AN60" s="126" t="str">
        <f t="shared" si="15"/>
        <v>STANISLAS</v>
      </c>
      <c r="AO60" s="117"/>
      <c r="AP60" s="118"/>
      <c r="AQ60" s="88" t="s">
        <v>54</v>
      </c>
      <c r="AR60" s="134" t="str">
        <f t="shared" si="16"/>
        <v>30</v>
      </c>
      <c r="AS60" s="89"/>
      <c r="AT60" s="124" t="str">
        <f t="shared" si="17"/>
        <v xml:space="preserve">PATRICK   </v>
      </c>
      <c r="AU60" s="90" t="s">
        <v>54</v>
      </c>
      <c r="AV60" s="134" t="str">
        <f t="shared" si="18"/>
        <v>56</v>
      </c>
      <c r="AW60" s="91"/>
      <c r="AX60" s="124" t="str">
        <f t="shared" si="19"/>
        <v xml:space="preserve">RENE  </v>
      </c>
      <c r="AY60" s="119"/>
      <c r="AZ60" s="120"/>
      <c r="BA60" s="92" t="s">
        <v>54</v>
      </c>
      <c r="BB60" s="135" t="str">
        <f t="shared" si="20"/>
        <v>25</v>
      </c>
      <c r="BC60" s="93"/>
      <c r="BD60" s="125" t="str">
        <f t="shared" si="21"/>
        <v>AURELIEN</v>
      </c>
      <c r="BE60" s="94" t="s">
        <v>54</v>
      </c>
      <c r="BF60" s="135" t="str">
        <f t="shared" si="22"/>
        <v>106</v>
      </c>
      <c r="BG60" s="95"/>
      <c r="BH60" s="125" t="str">
        <f t="shared" si="23"/>
        <v>LOUISE</v>
      </c>
      <c r="BI60" s="121"/>
      <c r="BJ60" s="122"/>
      <c r="BK60" s="63"/>
      <c r="BM60" s="65">
        <f>[1]resultat!AL60</f>
        <v>60</v>
      </c>
      <c r="BN60" s="65" t="str">
        <f>[1]resultat!AM60</f>
        <v>EDITH</v>
      </c>
      <c r="BO60" s="141">
        <v>60</v>
      </c>
      <c r="BP60" s="148">
        <v>7</v>
      </c>
      <c r="BQ60" s="142">
        <v>13</v>
      </c>
      <c r="BR60" s="273">
        <f t="shared" si="24"/>
        <v>54</v>
      </c>
      <c r="BS60" s="274" t="str">
        <f t="shared" si="25"/>
        <v>101</v>
      </c>
      <c r="BT60" s="275" t="str">
        <f t="shared" si="26"/>
        <v>HONORE</v>
      </c>
      <c r="BU60" s="276" t="str">
        <f t="shared" si="27"/>
        <v>24</v>
      </c>
      <c r="BV60" s="277" t="str">
        <f t="shared" si="29"/>
        <v>JACQUES</v>
      </c>
      <c r="BW60" s="273">
        <f t="shared" si="29"/>
        <v>13</v>
      </c>
      <c r="BX60" s="273">
        <f t="shared" si="29"/>
        <v>7</v>
      </c>
    </row>
    <row r="61" spans="1:76">
      <c r="A61" s="70" t="s">
        <v>187</v>
      </c>
      <c r="B61" s="20">
        <v>56</v>
      </c>
      <c r="C61" s="71" t="s">
        <v>54</v>
      </c>
      <c r="D61" s="130" t="str">
        <f t="shared" si="0"/>
        <v>70</v>
      </c>
      <c r="E61" s="72"/>
      <c r="F61" s="73" t="str">
        <f t="shared" si="1"/>
        <v>TANGUY</v>
      </c>
      <c r="G61" s="74" t="s">
        <v>54</v>
      </c>
      <c r="H61" s="130" t="str">
        <f t="shared" si="2"/>
        <v>52</v>
      </c>
      <c r="I61" s="75"/>
      <c r="J61" s="73" t="str">
        <f t="shared" si="3"/>
        <v>ABEL</v>
      </c>
      <c r="K61" s="142">
        <v>13</v>
      </c>
      <c r="L61" s="148">
        <v>7</v>
      </c>
      <c r="M61" s="76" t="s">
        <v>54</v>
      </c>
      <c r="N61" s="131" t="str">
        <f t="shared" si="4"/>
        <v>26</v>
      </c>
      <c r="O61" s="77"/>
      <c r="P61" s="123" t="str">
        <f t="shared" si="5"/>
        <v xml:space="preserve">THIERRY  </v>
      </c>
      <c r="Q61" s="78" t="s">
        <v>54</v>
      </c>
      <c r="R61" s="131" t="str">
        <f t="shared" si="6"/>
        <v>36</v>
      </c>
      <c r="S61" s="79"/>
      <c r="T61" s="123" t="str">
        <f t="shared" si="7"/>
        <v xml:space="preserve">ALCIDE  </v>
      </c>
      <c r="U61" s="56"/>
      <c r="V61" s="57"/>
      <c r="W61" s="80" t="s">
        <v>54</v>
      </c>
      <c r="X61" s="132" t="str">
        <f t="shared" si="8"/>
        <v>85</v>
      </c>
      <c r="Y61" s="81"/>
      <c r="Z61" s="127" t="str">
        <f t="shared" si="9"/>
        <v>RAYMOND</v>
      </c>
      <c r="AA61" s="82" t="s">
        <v>54</v>
      </c>
      <c r="AB61" s="132" t="str">
        <f t="shared" si="10"/>
        <v>98</v>
      </c>
      <c r="AC61" s="83"/>
      <c r="AD61" s="127" t="str">
        <f t="shared" si="11"/>
        <v>STANISLAS</v>
      </c>
      <c r="AE61" s="115"/>
      <c r="AF61" s="116"/>
      <c r="AG61" s="84" t="s">
        <v>54</v>
      </c>
      <c r="AH61" s="133" t="str">
        <f t="shared" si="12"/>
        <v>117</v>
      </c>
      <c r="AI61" s="85"/>
      <c r="AJ61" s="126" t="str">
        <f t="shared" si="13"/>
        <v>PROSPER</v>
      </c>
      <c r="AK61" s="86" t="s">
        <v>54</v>
      </c>
      <c r="AL61" s="133" t="str">
        <f t="shared" si="14"/>
        <v>71</v>
      </c>
      <c r="AM61" s="87"/>
      <c r="AN61" s="126" t="str">
        <f t="shared" si="15"/>
        <v>JIMMY</v>
      </c>
      <c r="AO61" s="117"/>
      <c r="AP61" s="118"/>
      <c r="AQ61" s="88" t="s">
        <v>54</v>
      </c>
      <c r="AR61" s="134" t="str">
        <f t="shared" si="16"/>
        <v>102</v>
      </c>
      <c r="AS61" s="89"/>
      <c r="AT61" s="124" t="str">
        <f t="shared" si="17"/>
        <v>DONATIEN</v>
      </c>
      <c r="AU61" s="90" t="s">
        <v>54</v>
      </c>
      <c r="AV61" s="134" t="str">
        <f t="shared" si="18"/>
        <v>13</v>
      </c>
      <c r="AW61" s="91"/>
      <c r="AX61" s="124" t="str">
        <f t="shared" si="19"/>
        <v>JEAN PIERRE</v>
      </c>
      <c r="AY61" s="119"/>
      <c r="AZ61" s="120"/>
      <c r="BA61" s="92" t="s">
        <v>54</v>
      </c>
      <c r="BB61" s="135" t="str">
        <f t="shared" si="20"/>
        <v>105</v>
      </c>
      <c r="BC61" s="93"/>
      <c r="BD61" s="125" t="str">
        <f t="shared" si="21"/>
        <v>CYRILL</v>
      </c>
      <c r="BE61" s="94" t="s">
        <v>54</v>
      </c>
      <c r="BF61" s="135" t="str">
        <f t="shared" si="22"/>
        <v>109</v>
      </c>
      <c r="BG61" s="95"/>
      <c r="BH61" s="125" t="str">
        <f t="shared" si="23"/>
        <v>MARCELLIN</v>
      </c>
      <c r="BI61" s="121"/>
      <c r="BJ61" s="122"/>
      <c r="BK61" s="63"/>
      <c r="BM61" s="65">
        <f>[1]resultat!AL61</f>
        <v>61</v>
      </c>
      <c r="BN61" s="65" t="str">
        <f>[1]resultat!AM61</f>
        <v>COME</v>
      </c>
      <c r="BO61" s="232">
        <v>61</v>
      </c>
      <c r="BP61" s="142">
        <v>13</v>
      </c>
      <c r="BQ61" s="148">
        <v>7</v>
      </c>
      <c r="BR61" s="273">
        <f t="shared" si="24"/>
        <v>55</v>
      </c>
      <c r="BS61" s="274" t="str">
        <f t="shared" si="25"/>
        <v>29</v>
      </c>
      <c r="BT61" s="275" t="str">
        <f t="shared" si="26"/>
        <v xml:space="preserve">YOANN   </v>
      </c>
      <c r="BU61" s="276" t="str">
        <f t="shared" si="27"/>
        <v>78</v>
      </c>
      <c r="BV61" s="277" t="str">
        <f t="shared" si="29"/>
        <v>GAEL</v>
      </c>
      <c r="BW61" s="273">
        <f t="shared" si="29"/>
        <v>13</v>
      </c>
      <c r="BX61" s="273">
        <f t="shared" si="29"/>
        <v>7</v>
      </c>
    </row>
    <row r="62" spans="1:76">
      <c r="A62" s="70" t="s">
        <v>187</v>
      </c>
      <c r="B62" s="20">
        <v>57</v>
      </c>
      <c r="C62" s="71" t="s">
        <v>54</v>
      </c>
      <c r="D62" s="130" t="str">
        <f t="shared" si="0"/>
        <v>95</v>
      </c>
      <c r="E62" s="72"/>
      <c r="F62" s="73" t="str">
        <f t="shared" si="1"/>
        <v>RICHARD</v>
      </c>
      <c r="G62" s="74" t="s">
        <v>54</v>
      </c>
      <c r="H62" s="130" t="str">
        <f t="shared" si="2"/>
        <v>31</v>
      </c>
      <c r="I62" s="75"/>
      <c r="J62" s="73" t="str">
        <f t="shared" si="3"/>
        <v>EDOUARD</v>
      </c>
      <c r="K62" s="142">
        <v>13</v>
      </c>
      <c r="L62" s="148">
        <v>7</v>
      </c>
      <c r="M62" s="76" t="s">
        <v>54</v>
      </c>
      <c r="N62" s="131" t="str">
        <f t="shared" si="4"/>
        <v>70</v>
      </c>
      <c r="O62" s="77"/>
      <c r="P62" s="123" t="str">
        <f t="shared" si="5"/>
        <v>TANGUY</v>
      </c>
      <c r="Q62" s="78" t="s">
        <v>54</v>
      </c>
      <c r="R62" s="131" t="str">
        <f t="shared" si="6"/>
        <v>104</v>
      </c>
      <c r="S62" s="79"/>
      <c r="T62" s="123" t="str">
        <f t="shared" si="7"/>
        <v>RODRIGUE</v>
      </c>
      <c r="U62" s="56"/>
      <c r="V62" s="57"/>
      <c r="W62" s="80" t="s">
        <v>54</v>
      </c>
      <c r="X62" s="132" t="str">
        <f t="shared" si="8"/>
        <v>108</v>
      </c>
      <c r="Y62" s="81"/>
      <c r="Z62" s="127" t="str">
        <f t="shared" si="9"/>
        <v>ISIDORE</v>
      </c>
      <c r="AA62" s="82" t="s">
        <v>54</v>
      </c>
      <c r="AB62" s="132" t="str">
        <f t="shared" si="10"/>
        <v>9</v>
      </c>
      <c r="AC62" s="83"/>
      <c r="AD62" s="127" t="str">
        <f t="shared" si="11"/>
        <v>SEBASTIEN</v>
      </c>
      <c r="AE62" s="115"/>
      <c r="AF62" s="116"/>
      <c r="AG62" s="84" t="s">
        <v>54</v>
      </c>
      <c r="AH62" s="133" t="str">
        <f t="shared" si="12"/>
        <v>30</v>
      </c>
      <c r="AI62" s="85"/>
      <c r="AJ62" s="126" t="str">
        <f t="shared" si="13"/>
        <v xml:space="preserve">PATRICK   </v>
      </c>
      <c r="AK62" s="86" t="s">
        <v>54</v>
      </c>
      <c r="AL62" s="133" t="str">
        <f t="shared" si="14"/>
        <v>110</v>
      </c>
      <c r="AM62" s="87"/>
      <c r="AN62" s="126" t="str">
        <f t="shared" si="15"/>
        <v>ANICET</v>
      </c>
      <c r="AO62" s="117"/>
      <c r="AP62" s="118"/>
      <c r="AQ62" s="88" t="s">
        <v>54</v>
      </c>
      <c r="AR62" s="134" t="str">
        <f t="shared" si="16"/>
        <v>68</v>
      </c>
      <c r="AS62" s="89"/>
      <c r="AT62" s="124" t="str">
        <f t="shared" si="17"/>
        <v>BRICE</v>
      </c>
      <c r="AU62" s="90" t="s">
        <v>54</v>
      </c>
      <c r="AV62" s="134" t="str">
        <f t="shared" si="18"/>
        <v>72</v>
      </c>
      <c r="AW62" s="91"/>
      <c r="AX62" s="124" t="str">
        <f t="shared" si="19"/>
        <v>DELPHINE</v>
      </c>
      <c r="AY62" s="119"/>
      <c r="AZ62" s="120"/>
      <c r="BA62" s="92" t="s">
        <v>54</v>
      </c>
      <c r="BB62" s="135" t="str">
        <f t="shared" si="20"/>
        <v>26</v>
      </c>
      <c r="BC62" s="93"/>
      <c r="BD62" s="125" t="str">
        <f t="shared" si="21"/>
        <v xml:space="preserve">THIERRY  </v>
      </c>
      <c r="BE62" s="94" t="s">
        <v>54</v>
      </c>
      <c r="BF62" s="135" t="str">
        <f t="shared" si="22"/>
        <v>50</v>
      </c>
      <c r="BG62" s="95"/>
      <c r="BH62" s="125" t="str">
        <f t="shared" si="23"/>
        <v>FLORENTIN</v>
      </c>
      <c r="BI62" s="121"/>
      <c r="BJ62" s="122"/>
      <c r="BK62" s="63"/>
      <c r="BM62" s="65">
        <f>[1]resultat!AL62</f>
        <v>62</v>
      </c>
      <c r="BN62" s="65" t="str">
        <f>[1]resultat!AM62</f>
        <v>DIMITRI</v>
      </c>
      <c r="BO62" s="141">
        <v>62</v>
      </c>
      <c r="BP62" s="148">
        <v>7</v>
      </c>
      <c r="BQ62" s="142">
        <v>13</v>
      </c>
      <c r="BR62" s="273">
        <f t="shared" si="24"/>
        <v>56</v>
      </c>
      <c r="BS62" s="274" t="str">
        <f t="shared" si="25"/>
        <v>70</v>
      </c>
      <c r="BT62" s="275" t="str">
        <f t="shared" si="26"/>
        <v>TANGUY</v>
      </c>
      <c r="BU62" s="276" t="str">
        <f t="shared" si="27"/>
        <v>52</v>
      </c>
      <c r="BV62" s="277" t="str">
        <f t="shared" si="29"/>
        <v>ABEL</v>
      </c>
      <c r="BW62" s="273">
        <f t="shared" si="29"/>
        <v>13</v>
      </c>
      <c r="BX62" s="273">
        <f t="shared" si="29"/>
        <v>7</v>
      </c>
    </row>
    <row r="63" spans="1:76">
      <c r="A63" s="70" t="s">
        <v>187</v>
      </c>
      <c r="B63" s="20">
        <v>58</v>
      </c>
      <c r="C63" s="71" t="s">
        <v>54</v>
      </c>
      <c r="D63" s="130" t="str">
        <f t="shared" si="0"/>
        <v>113</v>
      </c>
      <c r="E63" s="72"/>
      <c r="F63" s="73" t="str">
        <f t="shared" si="1"/>
        <v>NORBERT</v>
      </c>
      <c r="G63" s="74" t="s">
        <v>54</v>
      </c>
      <c r="H63" s="130" t="str">
        <f t="shared" si="2"/>
        <v>6</v>
      </c>
      <c r="I63" s="75"/>
      <c r="J63" s="73" t="str">
        <f t="shared" si="3"/>
        <v>JACQUES</v>
      </c>
      <c r="K63" s="142">
        <v>13</v>
      </c>
      <c r="L63" s="148">
        <v>7</v>
      </c>
      <c r="M63" s="76" t="s">
        <v>54</v>
      </c>
      <c r="N63" s="131" t="str">
        <f t="shared" si="4"/>
        <v>28</v>
      </c>
      <c r="O63" s="77"/>
      <c r="P63" s="123" t="str">
        <f t="shared" si="5"/>
        <v xml:space="preserve">RENE  </v>
      </c>
      <c r="Q63" s="78" t="s">
        <v>54</v>
      </c>
      <c r="R63" s="131" t="str">
        <f t="shared" si="6"/>
        <v>85</v>
      </c>
      <c r="S63" s="79"/>
      <c r="T63" s="123" t="str">
        <f t="shared" si="7"/>
        <v>RAYMOND</v>
      </c>
      <c r="U63" s="56"/>
      <c r="V63" s="57"/>
      <c r="W63" s="80" t="s">
        <v>54</v>
      </c>
      <c r="X63" s="132" t="str">
        <f t="shared" si="8"/>
        <v>41</v>
      </c>
      <c r="Y63" s="81"/>
      <c r="Z63" s="127" t="str">
        <f t="shared" si="9"/>
        <v>ETIENNE</v>
      </c>
      <c r="AA63" s="82" t="s">
        <v>54</v>
      </c>
      <c r="AB63" s="132" t="str">
        <f t="shared" si="10"/>
        <v>29</v>
      </c>
      <c r="AC63" s="83"/>
      <c r="AD63" s="127" t="str">
        <f t="shared" si="11"/>
        <v xml:space="preserve">YOANN   </v>
      </c>
      <c r="AE63" s="115"/>
      <c r="AF63" s="116"/>
      <c r="AG63" s="84" t="s">
        <v>54</v>
      </c>
      <c r="AH63" s="133" t="str">
        <f t="shared" si="12"/>
        <v>9</v>
      </c>
      <c r="AI63" s="85"/>
      <c r="AJ63" s="126" t="str">
        <f t="shared" si="13"/>
        <v>SEBASTIEN</v>
      </c>
      <c r="AK63" s="86" t="s">
        <v>54</v>
      </c>
      <c r="AL63" s="133" t="str">
        <f t="shared" si="14"/>
        <v>85</v>
      </c>
      <c r="AM63" s="87"/>
      <c r="AN63" s="126" t="str">
        <f t="shared" si="15"/>
        <v>RAYMOND</v>
      </c>
      <c r="AO63" s="117"/>
      <c r="AP63" s="118"/>
      <c r="AQ63" s="88" t="s">
        <v>54</v>
      </c>
      <c r="AR63" s="134" t="str">
        <f t="shared" si="16"/>
        <v>12</v>
      </c>
      <c r="AS63" s="89"/>
      <c r="AT63" s="124" t="str">
        <f t="shared" si="17"/>
        <v>ALAIN</v>
      </c>
      <c r="AU63" s="90" t="s">
        <v>54</v>
      </c>
      <c r="AV63" s="134" t="str">
        <f t="shared" si="18"/>
        <v>58</v>
      </c>
      <c r="AW63" s="91"/>
      <c r="AX63" s="124" t="str">
        <f t="shared" si="19"/>
        <v>FRANCIS</v>
      </c>
      <c r="AY63" s="119"/>
      <c r="AZ63" s="120"/>
      <c r="BA63" s="92" t="s">
        <v>54</v>
      </c>
      <c r="BB63" s="135" t="str">
        <f t="shared" si="20"/>
        <v>11</v>
      </c>
      <c r="BC63" s="93"/>
      <c r="BD63" s="125" t="str">
        <f t="shared" si="21"/>
        <v>JOHN</v>
      </c>
      <c r="BE63" s="94" t="s">
        <v>54</v>
      </c>
      <c r="BF63" s="135" t="str">
        <f t="shared" si="22"/>
        <v>27</v>
      </c>
      <c r="BG63" s="95"/>
      <c r="BH63" s="125" t="str">
        <f t="shared" si="23"/>
        <v xml:space="preserve">PHILIPPE  </v>
      </c>
      <c r="BI63" s="121"/>
      <c r="BJ63" s="122"/>
      <c r="BK63" s="63"/>
      <c r="BM63" s="65">
        <f>[1]resultat!AL63</f>
        <v>63</v>
      </c>
      <c r="BN63" s="65" t="str">
        <f>[1]resultat!AM63</f>
        <v>FIRMIN</v>
      </c>
      <c r="BO63" s="141">
        <v>63</v>
      </c>
      <c r="BP63" s="148">
        <v>7</v>
      </c>
      <c r="BQ63" s="142">
        <v>13</v>
      </c>
      <c r="BR63" s="273">
        <f t="shared" si="24"/>
        <v>57</v>
      </c>
      <c r="BS63" s="274" t="str">
        <f t="shared" si="25"/>
        <v>95</v>
      </c>
      <c r="BT63" s="275" t="str">
        <f t="shared" si="26"/>
        <v>RICHARD</v>
      </c>
      <c r="BU63" s="276" t="str">
        <f t="shared" si="27"/>
        <v>31</v>
      </c>
      <c r="BV63" s="277" t="str">
        <f t="shared" si="29"/>
        <v>EDOUARD</v>
      </c>
      <c r="BW63" s="273">
        <f t="shared" si="29"/>
        <v>13</v>
      </c>
      <c r="BX63" s="273">
        <f t="shared" si="29"/>
        <v>7</v>
      </c>
    </row>
    <row r="64" spans="1:76">
      <c r="A64" s="70" t="s">
        <v>187</v>
      </c>
      <c r="B64" s="20">
        <v>59</v>
      </c>
      <c r="C64" s="71" t="s">
        <v>54</v>
      </c>
      <c r="D64" s="130" t="str">
        <f t="shared" si="0"/>
        <v>47</v>
      </c>
      <c r="E64" s="72"/>
      <c r="F64" s="73" t="str">
        <f t="shared" si="1"/>
        <v>HERMAN</v>
      </c>
      <c r="G64" s="74" t="s">
        <v>54</v>
      </c>
      <c r="H64" s="130" t="str">
        <f t="shared" si="2"/>
        <v>39</v>
      </c>
      <c r="I64" s="75"/>
      <c r="J64" s="73" t="str">
        <f t="shared" si="3"/>
        <v xml:space="preserve">NICO  </v>
      </c>
      <c r="K64" s="142">
        <v>13</v>
      </c>
      <c r="L64" s="148">
        <v>7</v>
      </c>
      <c r="M64" s="76" t="s">
        <v>54</v>
      </c>
      <c r="N64" s="131" t="str">
        <f t="shared" si="4"/>
        <v>81</v>
      </c>
      <c r="O64" s="77"/>
      <c r="P64" s="123" t="str">
        <f t="shared" si="5"/>
        <v>THEOPHILE</v>
      </c>
      <c r="Q64" s="78" t="s">
        <v>54</v>
      </c>
      <c r="R64" s="131" t="str">
        <f t="shared" si="6"/>
        <v>3</v>
      </c>
      <c r="S64" s="79"/>
      <c r="T64" s="123" t="str">
        <f t="shared" si="7"/>
        <v>MARCO</v>
      </c>
      <c r="U64" s="56"/>
      <c r="V64" s="57"/>
      <c r="W64" s="80" t="s">
        <v>54</v>
      </c>
      <c r="X64" s="132" t="str">
        <f t="shared" si="8"/>
        <v>88</v>
      </c>
      <c r="Y64" s="81"/>
      <c r="Z64" s="127" t="str">
        <f t="shared" si="9"/>
        <v>VINCENT</v>
      </c>
      <c r="AA64" s="82" t="s">
        <v>54</v>
      </c>
      <c r="AB64" s="132" t="str">
        <f t="shared" si="10"/>
        <v>116</v>
      </c>
      <c r="AC64" s="83"/>
      <c r="AD64" s="127" t="str">
        <f t="shared" si="11"/>
        <v>ALBAN</v>
      </c>
      <c r="AE64" s="115"/>
      <c r="AF64" s="116"/>
      <c r="AG64" s="84" t="s">
        <v>54</v>
      </c>
      <c r="AH64" s="133" t="str">
        <f t="shared" si="12"/>
        <v>12</v>
      </c>
      <c r="AI64" s="85"/>
      <c r="AJ64" s="126" t="str">
        <f t="shared" si="13"/>
        <v>ALAIN</v>
      </c>
      <c r="AK64" s="86" t="s">
        <v>54</v>
      </c>
      <c r="AL64" s="133" t="str">
        <f t="shared" si="14"/>
        <v>51</v>
      </c>
      <c r="AM64" s="87"/>
      <c r="AN64" s="126" t="str">
        <f t="shared" si="15"/>
        <v>BEAUDOUIN</v>
      </c>
      <c r="AO64" s="117"/>
      <c r="AP64" s="118"/>
      <c r="AQ64" s="88" t="s">
        <v>54</v>
      </c>
      <c r="AR64" s="134" t="str">
        <f t="shared" si="16"/>
        <v>100</v>
      </c>
      <c r="AS64" s="89"/>
      <c r="AT64" s="124" t="str">
        <f t="shared" si="17"/>
        <v>CONSTANTIN</v>
      </c>
      <c r="AU64" s="90" t="s">
        <v>54</v>
      </c>
      <c r="AV64" s="134" t="str">
        <f t="shared" si="18"/>
        <v>32</v>
      </c>
      <c r="AW64" s="91"/>
      <c r="AX64" s="124" t="str">
        <f t="shared" si="19"/>
        <v xml:space="preserve">ADELINE  </v>
      </c>
      <c r="AY64" s="119"/>
      <c r="AZ64" s="120"/>
      <c r="BA64" s="92" t="s">
        <v>54</v>
      </c>
      <c r="BB64" s="135" t="str">
        <f t="shared" si="20"/>
        <v>52</v>
      </c>
      <c r="BC64" s="93"/>
      <c r="BD64" s="125" t="str">
        <f t="shared" si="21"/>
        <v>ABEL</v>
      </c>
      <c r="BE64" s="94" t="s">
        <v>54</v>
      </c>
      <c r="BF64" s="135" t="str">
        <f t="shared" si="22"/>
        <v>22</v>
      </c>
      <c r="BG64" s="95"/>
      <c r="BH64" s="125" t="str">
        <f t="shared" si="23"/>
        <v xml:space="preserve">LANDRY   </v>
      </c>
      <c r="BI64" s="121"/>
      <c r="BJ64" s="122"/>
      <c r="BK64" s="63"/>
      <c r="BM64" s="65">
        <f>[1]resultat!AL64</f>
        <v>64</v>
      </c>
      <c r="BN64" s="65" t="str">
        <f>[1]resultat!AM64</f>
        <v>QUENTIN</v>
      </c>
      <c r="BO64" s="141">
        <v>64</v>
      </c>
      <c r="BP64" s="148">
        <v>7</v>
      </c>
      <c r="BQ64" s="142">
        <v>13</v>
      </c>
      <c r="BR64" s="273">
        <f t="shared" si="24"/>
        <v>58</v>
      </c>
      <c r="BS64" s="274" t="str">
        <f t="shared" si="25"/>
        <v>113</v>
      </c>
      <c r="BT64" s="275" t="str">
        <f t="shared" si="26"/>
        <v>NORBERT</v>
      </c>
      <c r="BU64" s="276" t="str">
        <f t="shared" si="27"/>
        <v>6</v>
      </c>
      <c r="BV64" s="277" t="str">
        <f t="shared" si="29"/>
        <v>JACQUES</v>
      </c>
      <c r="BW64" s="273">
        <f t="shared" si="29"/>
        <v>13</v>
      </c>
      <c r="BX64" s="273">
        <f t="shared" si="29"/>
        <v>7</v>
      </c>
    </row>
    <row r="65" spans="1:76">
      <c r="A65" s="70" t="s">
        <v>187</v>
      </c>
      <c r="B65" s="20">
        <v>60</v>
      </c>
      <c r="C65" s="71"/>
      <c r="D65" s="130" t="str">
        <f t="shared" si="0"/>
        <v/>
      </c>
      <c r="E65" s="72"/>
      <c r="F65" s="73" t="str">
        <f t="shared" si="1"/>
        <v/>
      </c>
      <c r="G65" s="74"/>
      <c r="H65" s="130" t="str">
        <f t="shared" si="2"/>
        <v/>
      </c>
      <c r="I65" s="75"/>
      <c r="J65" s="73" t="str">
        <f t="shared" si="3"/>
        <v/>
      </c>
      <c r="K65" s="142"/>
      <c r="L65" s="148"/>
      <c r="M65" s="76"/>
      <c r="N65" s="131" t="str">
        <f t="shared" si="4"/>
        <v/>
      </c>
      <c r="O65" s="77"/>
      <c r="P65" s="123" t="str">
        <f t="shared" si="5"/>
        <v/>
      </c>
      <c r="Q65" s="78"/>
      <c r="R65" s="131" t="str">
        <f t="shared" si="6"/>
        <v/>
      </c>
      <c r="S65" s="79"/>
      <c r="T65" s="123" t="str">
        <f t="shared" si="7"/>
        <v/>
      </c>
      <c r="U65" s="56"/>
      <c r="V65" s="57"/>
      <c r="W65" s="80"/>
      <c r="X65" s="132" t="str">
        <f t="shared" si="8"/>
        <v/>
      </c>
      <c r="Y65" s="81"/>
      <c r="Z65" s="127" t="str">
        <f t="shared" si="9"/>
        <v/>
      </c>
      <c r="AA65" s="82"/>
      <c r="AB65" s="132" t="str">
        <f t="shared" si="10"/>
        <v/>
      </c>
      <c r="AC65" s="83"/>
      <c r="AD65" s="127" t="str">
        <f t="shared" si="11"/>
        <v/>
      </c>
      <c r="AE65" s="115"/>
      <c r="AF65" s="116"/>
      <c r="AG65" s="84"/>
      <c r="AH65" s="133" t="str">
        <f t="shared" si="12"/>
        <v/>
      </c>
      <c r="AI65" s="85"/>
      <c r="AJ65" s="126" t="str">
        <f t="shared" si="13"/>
        <v/>
      </c>
      <c r="AK65" s="86"/>
      <c r="AL65" s="133" t="str">
        <f t="shared" si="14"/>
        <v/>
      </c>
      <c r="AM65" s="87"/>
      <c r="AN65" s="126" t="str">
        <f t="shared" si="15"/>
        <v/>
      </c>
      <c r="AO65" s="117"/>
      <c r="AP65" s="118"/>
      <c r="AQ65" s="88"/>
      <c r="AR65" s="134" t="str">
        <f t="shared" si="16"/>
        <v/>
      </c>
      <c r="AS65" s="89"/>
      <c r="AT65" s="124" t="str">
        <f t="shared" si="17"/>
        <v/>
      </c>
      <c r="AU65" s="90"/>
      <c r="AV65" s="134" t="str">
        <f t="shared" si="18"/>
        <v/>
      </c>
      <c r="AW65" s="91"/>
      <c r="AX65" s="124" t="str">
        <f t="shared" si="19"/>
        <v/>
      </c>
      <c r="AY65" s="119"/>
      <c r="AZ65" s="120"/>
      <c r="BA65" s="92"/>
      <c r="BB65" s="135" t="str">
        <f t="shared" si="20"/>
        <v/>
      </c>
      <c r="BC65" s="93"/>
      <c r="BD65" s="125" t="str">
        <f t="shared" si="21"/>
        <v/>
      </c>
      <c r="BE65" s="94"/>
      <c r="BF65" s="135" t="str">
        <f t="shared" si="22"/>
        <v/>
      </c>
      <c r="BG65" s="95"/>
      <c r="BH65" s="125" t="str">
        <f t="shared" si="23"/>
        <v/>
      </c>
      <c r="BI65" s="121"/>
      <c r="BJ65" s="122"/>
      <c r="BK65" s="63"/>
      <c r="BM65" s="65">
        <f>[1]resultat!AL65</f>
        <v>65</v>
      </c>
      <c r="BN65" s="65" t="str">
        <f>[1]resultat!AM65</f>
        <v>GEOFFROY</v>
      </c>
      <c r="BO65" s="141">
        <v>65</v>
      </c>
      <c r="BP65" s="148">
        <v>7</v>
      </c>
      <c r="BQ65" s="142">
        <v>13</v>
      </c>
      <c r="BR65" s="273">
        <f t="shared" si="24"/>
        <v>59</v>
      </c>
      <c r="BS65" s="274" t="str">
        <f t="shared" si="25"/>
        <v>47</v>
      </c>
      <c r="BT65" s="275" t="str">
        <f t="shared" si="26"/>
        <v>HERMAN</v>
      </c>
      <c r="BU65" s="276" t="str">
        <f t="shared" si="27"/>
        <v>39</v>
      </c>
      <c r="BV65" s="277" t="str">
        <f t="shared" si="29"/>
        <v xml:space="preserve">NICO  </v>
      </c>
      <c r="BW65" s="273">
        <f t="shared" si="29"/>
        <v>13</v>
      </c>
      <c r="BX65" s="273">
        <f t="shared" si="29"/>
        <v>7</v>
      </c>
    </row>
    <row r="66" spans="1:76">
      <c r="A66" s="70" t="s">
        <v>187</v>
      </c>
      <c r="B66" s="20">
        <v>61</v>
      </c>
      <c r="C66" s="71"/>
      <c r="D66" s="130" t="str">
        <f t="shared" si="0"/>
        <v/>
      </c>
      <c r="E66" s="72"/>
      <c r="F66" s="73" t="str">
        <f t="shared" si="1"/>
        <v/>
      </c>
      <c r="G66" s="74"/>
      <c r="H66" s="130" t="str">
        <f t="shared" si="2"/>
        <v/>
      </c>
      <c r="I66" s="75"/>
      <c r="J66" s="73" t="str">
        <f t="shared" si="3"/>
        <v/>
      </c>
      <c r="K66" s="142"/>
      <c r="L66" s="148"/>
      <c r="M66" s="76"/>
      <c r="N66" s="131" t="str">
        <f t="shared" si="4"/>
        <v/>
      </c>
      <c r="O66" s="77"/>
      <c r="P66" s="123" t="str">
        <f t="shared" si="5"/>
        <v/>
      </c>
      <c r="Q66" s="78"/>
      <c r="R66" s="131" t="str">
        <f t="shared" si="6"/>
        <v/>
      </c>
      <c r="S66" s="79"/>
      <c r="T66" s="123" t="str">
        <f t="shared" si="7"/>
        <v/>
      </c>
      <c r="U66" s="56"/>
      <c r="V66" s="57"/>
      <c r="W66" s="80"/>
      <c r="X66" s="132" t="str">
        <f t="shared" si="8"/>
        <v/>
      </c>
      <c r="Y66" s="81"/>
      <c r="Z66" s="127" t="str">
        <f t="shared" si="9"/>
        <v/>
      </c>
      <c r="AA66" s="82"/>
      <c r="AB66" s="132" t="str">
        <f t="shared" si="10"/>
        <v/>
      </c>
      <c r="AC66" s="83"/>
      <c r="AD66" s="127" t="str">
        <f t="shared" si="11"/>
        <v/>
      </c>
      <c r="AE66" s="115"/>
      <c r="AF66" s="116"/>
      <c r="AG66" s="84"/>
      <c r="AH66" s="133" t="str">
        <f t="shared" si="12"/>
        <v/>
      </c>
      <c r="AI66" s="85"/>
      <c r="AJ66" s="126" t="str">
        <f t="shared" si="13"/>
        <v/>
      </c>
      <c r="AK66" s="86"/>
      <c r="AL66" s="133" t="str">
        <f t="shared" si="14"/>
        <v/>
      </c>
      <c r="AM66" s="87"/>
      <c r="AN66" s="126" t="str">
        <f t="shared" si="15"/>
        <v/>
      </c>
      <c r="AO66" s="117"/>
      <c r="AP66" s="118"/>
      <c r="AQ66" s="88"/>
      <c r="AR66" s="134" t="str">
        <f t="shared" si="16"/>
        <v/>
      </c>
      <c r="AS66" s="89"/>
      <c r="AT66" s="124" t="str">
        <f t="shared" si="17"/>
        <v/>
      </c>
      <c r="AU66" s="90"/>
      <c r="AV66" s="134" t="str">
        <f t="shared" si="18"/>
        <v/>
      </c>
      <c r="AW66" s="91"/>
      <c r="AX66" s="124" t="str">
        <f t="shared" si="19"/>
        <v/>
      </c>
      <c r="AY66" s="119"/>
      <c r="AZ66" s="120"/>
      <c r="BA66" s="92"/>
      <c r="BB66" s="135" t="str">
        <f t="shared" si="20"/>
        <v/>
      </c>
      <c r="BC66" s="93"/>
      <c r="BD66" s="125" t="str">
        <f t="shared" si="21"/>
        <v/>
      </c>
      <c r="BE66" s="94"/>
      <c r="BF66" s="135" t="str">
        <f t="shared" si="22"/>
        <v/>
      </c>
      <c r="BG66" s="95"/>
      <c r="BH66" s="125" t="str">
        <f t="shared" si="23"/>
        <v/>
      </c>
      <c r="BI66" s="121"/>
      <c r="BJ66" s="122"/>
      <c r="BK66" s="63"/>
      <c r="BM66" s="65">
        <f>[1]resultat!AL66</f>
        <v>66</v>
      </c>
      <c r="BN66" s="65" t="str">
        <f>[1]resultat!AM66</f>
        <v>FLORIAN</v>
      </c>
      <c r="BO66" s="141">
        <v>66</v>
      </c>
      <c r="BP66" s="148">
        <v>7</v>
      </c>
      <c r="BQ66" s="142">
        <v>13</v>
      </c>
      <c r="BR66" s="273">
        <f t="shared" si="24"/>
        <v>60</v>
      </c>
      <c r="BS66" s="274" t="str">
        <f t="shared" si="25"/>
        <v/>
      </c>
      <c r="BT66" s="275" t="str">
        <f t="shared" si="26"/>
        <v/>
      </c>
      <c r="BU66" s="276" t="str">
        <f t="shared" si="27"/>
        <v/>
      </c>
      <c r="BV66" s="277" t="str">
        <f t="shared" si="29"/>
        <v/>
      </c>
      <c r="BW66" s="273">
        <f t="shared" si="29"/>
        <v>0</v>
      </c>
      <c r="BX66" s="273">
        <f t="shared" si="29"/>
        <v>0</v>
      </c>
    </row>
    <row r="67" spans="1:76">
      <c r="A67" s="70" t="s">
        <v>187</v>
      </c>
      <c r="B67" s="20">
        <v>62</v>
      </c>
      <c r="C67" s="71"/>
      <c r="D67" s="130" t="str">
        <f t="shared" si="0"/>
        <v/>
      </c>
      <c r="E67" s="72"/>
      <c r="F67" s="73" t="str">
        <f t="shared" si="1"/>
        <v/>
      </c>
      <c r="G67" s="74"/>
      <c r="H67" s="130" t="str">
        <f t="shared" si="2"/>
        <v/>
      </c>
      <c r="I67" s="75"/>
      <c r="J67" s="73" t="str">
        <f t="shared" si="3"/>
        <v/>
      </c>
      <c r="K67" s="142"/>
      <c r="L67" s="148"/>
      <c r="M67" s="76"/>
      <c r="N67" s="131" t="str">
        <f t="shared" si="4"/>
        <v/>
      </c>
      <c r="O67" s="77"/>
      <c r="P67" s="123" t="str">
        <f t="shared" si="5"/>
        <v/>
      </c>
      <c r="Q67" s="78"/>
      <c r="R67" s="131" t="str">
        <f t="shared" si="6"/>
        <v/>
      </c>
      <c r="S67" s="79"/>
      <c r="T67" s="123" t="str">
        <f t="shared" si="7"/>
        <v/>
      </c>
      <c r="U67" s="56"/>
      <c r="V67" s="57"/>
      <c r="W67" s="80"/>
      <c r="X67" s="132" t="str">
        <f t="shared" si="8"/>
        <v/>
      </c>
      <c r="Y67" s="81"/>
      <c r="Z67" s="127" t="str">
        <f t="shared" si="9"/>
        <v/>
      </c>
      <c r="AA67" s="82"/>
      <c r="AB67" s="132" t="str">
        <f t="shared" si="10"/>
        <v/>
      </c>
      <c r="AC67" s="83"/>
      <c r="AD67" s="127" t="str">
        <f t="shared" si="11"/>
        <v/>
      </c>
      <c r="AE67" s="115"/>
      <c r="AF67" s="116"/>
      <c r="AG67" s="84"/>
      <c r="AH67" s="133" t="str">
        <f t="shared" si="12"/>
        <v/>
      </c>
      <c r="AI67" s="85"/>
      <c r="AJ67" s="126" t="str">
        <f t="shared" si="13"/>
        <v/>
      </c>
      <c r="AK67" s="86"/>
      <c r="AL67" s="133" t="str">
        <f t="shared" si="14"/>
        <v/>
      </c>
      <c r="AM67" s="87"/>
      <c r="AN67" s="126" t="str">
        <f t="shared" si="15"/>
        <v/>
      </c>
      <c r="AO67" s="117"/>
      <c r="AP67" s="118"/>
      <c r="AQ67" s="88"/>
      <c r="AR67" s="134" t="str">
        <f t="shared" si="16"/>
        <v/>
      </c>
      <c r="AS67" s="89"/>
      <c r="AT67" s="124" t="str">
        <f t="shared" si="17"/>
        <v/>
      </c>
      <c r="AU67" s="90"/>
      <c r="AV67" s="134" t="str">
        <f t="shared" si="18"/>
        <v/>
      </c>
      <c r="AW67" s="91"/>
      <c r="AX67" s="124" t="str">
        <f t="shared" si="19"/>
        <v/>
      </c>
      <c r="AY67" s="119"/>
      <c r="AZ67" s="120"/>
      <c r="BA67" s="92"/>
      <c r="BB67" s="135" t="str">
        <f t="shared" si="20"/>
        <v/>
      </c>
      <c r="BC67" s="93"/>
      <c r="BD67" s="125" t="str">
        <f t="shared" si="21"/>
        <v/>
      </c>
      <c r="BE67" s="94"/>
      <c r="BF67" s="135" t="str">
        <f t="shared" si="22"/>
        <v/>
      </c>
      <c r="BG67" s="95"/>
      <c r="BH67" s="125" t="str">
        <f t="shared" si="23"/>
        <v/>
      </c>
      <c r="BI67" s="121"/>
      <c r="BJ67" s="122"/>
      <c r="BK67" s="63"/>
      <c r="BM67" s="65">
        <f>[1]resultat!AL67</f>
        <v>67</v>
      </c>
      <c r="BN67" s="65" t="str">
        <f>[1]resultat!AM67</f>
        <v>YVONNICK</v>
      </c>
      <c r="BO67" s="232">
        <v>67</v>
      </c>
      <c r="BP67" s="142">
        <v>13</v>
      </c>
      <c r="BQ67" s="148">
        <v>7</v>
      </c>
      <c r="BR67" s="273">
        <f t="shared" si="24"/>
        <v>61</v>
      </c>
      <c r="BS67" s="274" t="str">
        <f t="shared" si="25"/>
        <v/>
      </c>
      <c r="BT67" s="275" t="str">
        <f t="shared" si="26"/>
        <v/>
      </c>
      <c r="BU67" s="276" t="str">
        <f t="shared" si="27"/>
        <v/>
      </c>
      <c r="BV67" s="277" t="str">
        <f t="shared" si="29"/>
        <v/>
      </c>
      <c r="BW67" s="273">
        <f t="shared" si="29"/>
        <v>0</v>
      </c>
      <c r="BX67" s="273">
        <f t="shared" si="29"/>
        <v>0</v>
      </c>
    </row>
    <row r="68" spans="1:76">
      <c r="A68" s="70" t="s">
        <v>187</v>
      </c>
      <c r="B68" s="20">
        <v>63</v>
      </c>
      <c r="C68" s="71"/>
      <c r="D68" s="130" t="str">
        <f t="shared" si="0"/>
        <v/>
      </c>
      <c r="E68" s="72"/>
      <c r="F68" s="73" t="str">
        <f t="shared" si="1"/>
        <v/>
      </c>
      <c r="G68" s="74"/>
      <c r="H68" s="130" t="str">
        <f t="shared" si="2"/>
        <v/>
      </c>
      <c r="I68" s="75"/>
      <c r="J68" s="73" t="str">
        <f t="shared" si="3"/>
        <v/>
      </c>
      <c r="K68" s="142"/>
      <c r="L68" s="148"/>
      <c r="M68" s="76"/>
      <c r="N68" s="131" t="str">
        <f t="shared" si="4"/>
        <v/>
      </c>
      <c r="O68" s="77"/>
      <c r="P68" s="123" t="str">
        <f t="shared" si="5"/>
        <v/>
      </c>
      <c r="Q68" s="78"/>
      <c r="R68" s="131" t="str">
        <f t="shared" si="6"/>
        <v/>
      </c>
      <c r="S68" s="79"/>
      <c r="T68" s="123" t="str">
        <f t="shared" si="7"/>
        <v/>
      </c>
      <c r="U68" s="56"/>
      <c r="V68" s="57"/>
      <c r="W68" s="80"/>
      <c r="X68" s="132" t="str">
        <f t="shared" si="8"/>
        <v/>
      </c>
      <c r="Y68" s="81"/>
      <c r="Z68" s="127" t="str">
        <f t="shared" si="9"/>
        <v/>
      </c>
      <c r="AA68" s="82"/>
      <c r="AB68" s="132" t="str">
        <f t="shared" si="10"/>
        <v/>
      </c>
      <c r="AC68" s="83"/>
      <c r="AD68" s="127" t="str">
        <f t="shared" si="11"/>
        <v/>
      </c>
      <c r="AE68" s="115"/>
      <c r="AF68" s="116"/>
      <c r="AG68" s="84"/>
      <c r="AH68" s="133" t="str">
        <f t="shared" si="12"/>
        <v/>
      </c>
      <c r="AI68" s="85"/>
      <c r="AJ68" s="126" t="str">
        <f t="shared" si="13"/>
        <v/>
      </c>
      <c r="AK68" s="86"/>
      <c r="AL68" s="133" t="str">
        <f t="shared" si="14"/>
        <v/>
      </c>
      <c r="AM68" s="87"/>
      <c r="AN68" s="126" t="str">
        <f t="shared" si="15"/>
        <v/>
      </c>
      <c r="AO68" s="117"/>
      <c r="AP68" s="118"/>
      <c r="AQ68" s="88"/>
      <c r="AR68" s="134" t="str">
        <f t="shared" si="16"/>
        <v/>
      </c>
      <c r="AS68" s="89"/>
      <c r="AT68" s="124" t="str">
        <f t="shared" si="17"/>
        <v/>
      </c>
      <c r="AU68" s="90"/>
      <c r="AV68" s="134" t="str">
        <f t="shared" si="18"/>
        <v/>
      </c>
      <c r="AW68" s="91"/>
      <c r="AX68" s="124" t="str">
        <f t="shared" si="19"/>
        <v/>
      </c>
      <c r="AY68" s="119"/>
      <c r="AZ68" s="120"/>
      <c r="BA68" s="92"/>
      <c r="BB68" s="135" t="str">
        <f t="shared" si="20"/>
        <v/>
      </c>
      <c r="BC68" s="93"/>
      <c r="BD68" s="125" t="str">
        <f t="shared" si="21"/>
        <v/>
      </c>
      <c r="BE68" s="94"/>
      <c r="BF68" s="135" t="str">
        <f t="shared" si="22"/>
        <v/>
      </c>
      <c r="BG68" s="95"/>
      <c r="BH68" s="125" t="str">
        <f t="shared" si="23"/>
        <v/>
      </c>
      <c r="BI68" s="121"/>
      <c r="BJ68" s="122"/>
      <c r="BK68" s="63"/>
      <c r="BM68" s="65">
        <f>[1]resultat!AL68</f>
        <v>68</v>
      </c>
      <c r="BN68" s="65" t="str">
        <f>[1]resultat!AM68</f>
        <v>BRICE</v>
      </c>
      <c r="BO68" s="141">
        <v>68</v>
      </c>
      <c r="BP68" s="148">
        <v>7</v>
      </c>
      <c r="BQ68" s="142">
        <v>13</v>
      </c>
      <c r="BR68" s="273">
        <f t="shared" si="24"/>
        <v>62</v>
      </c>
      <c r="BS68" s="274" t="str">
        <f t="shared" si="25"/>
        <v/>
      </c>
      <c r="BT68" s="275" t="str">
        <f t="shared" si="26"/>
        <v/>
      </c>
      <c r="BU68" s="276" t="str">
        <f t="shared" si="27"/>
        <v/>
      </c>
      <c r="BV68" s="277" t="str">
        <f t="shared" si="29"/>
        <v/>
      </c>
      <c r="BW68" s="273">
        <f t="shared" si="29"/>
        <v>0</v>
      </c>
      <c r="BX68" s="273">
        <f t="shared" si="29"/>
        <v>0</v>
      </c>
    </row>
    <row r="69" spans="1:76">
      <c r="A69" s="70" t="s">
        <v>187</v>
      </c>
      <c r="B69" s="20">
        <v>64</v>
      </c>
      <c r="C69" s="71"/>
      <c r="D69" s="130" t="str">
        <f t="shared" si="0"/>
        <v/>
      </c>
      <c r="E69" s="72"/>
      <c r="F69" s="73" t="str">
        <f t="shared" si="1"/>
        <v/>
      </c>
      <c r="G69" s="74"/>
      <c r="H69" s="130" t="str">
        <f t="shared" si="2"/>
        <v/>
      </c>
      <c r="I69" s="75"/>
      <c r="J69" s="73" t="str">
        <f t="shared" si="3"/>
        <v/>
      </c>
      <c r="K69" s="142"/>
      <c r="L69" s="148"/>
      <c r="M69" s="76"/>
      <c r="N69" s="131" t="str">
        <f t="shared" si="4"/>
        <v/>
      </c>
      <c r="O69" s="77"/>
      <c r="P69" s="123" t="str">
        <f t="shared" si="5"/>
        <v/>
      </c>
      <c r="Q69" s="78"/>
      <c r="R69" s="131" t="str">
        <f t="shared" si="6"/>
        <v/>
      </c>
      <c r="S69" s="79"/>
      <c r="T69" s="123" t="str">
        <f t="shared" si="7"/>
        <v/>
      </c>
      <c r="U69" s="56"/>
      <c r="V69" s="57"/>
      <c r="W69" s="80"/>
      <c r="X69" s="132" t="str">
        <f t="shared" si="8"/>
        <v/>
      </c>
      <c r="Y69" s="81"/>
      <c r="Z69" s="127" t="str">
        <f t="shared" si="9"/>
        <v/>
      </c>
      <c r="AA69" s="82"/>
      <c r="AB69" s="132" t="str">
        <f t="shared" si="10"/>
        <v/>
      </c>
      <c r="AC69" s="83"/>
      <c r="AD69" s="127" t="str">
        <f t="shared" si="11"/>
        <v/>
      </c>
      <c r="AE69" s="115"/>
      <c r="AF69" s="116"/>
      <c r="AG69" s="84"/>
      <c r="AH69" s="133" t="str">
        <f t="shared" si="12"/>
        <v/>
      </c>
      <c r="AI69" s="85"/>
      <c r="AJ69" s="126" t="str">
        <f t="shared" si="13"/>
        <v/>
      </c>
      <c r="AK69" s="86"/>
      <c r="AL69" s="133" t="str">
        <f t="shared" si="14"/>
        <v/>
      </c>
      <c r="AM69" s="87"/>
      <c r="AN69" s="126" t="str">
        <f t="shared" si="15"/>
        <v/>
      </c>
      <c r="AO69" s="117"/>
      <c r="AP69" s="118"/>
      <c r="AQ69" s="88"/>
      <c r="AR69" s="134" t="str">
        <f t="shared" si="16"/>
        <v/>
      </c>
      <c r="AS69" s="89"/>
      <c r="AT69" s="124" t="str">
        <f t="shared" si="17"/>
        <v/>
      </c>
      <c r="AU69" s="90"/>
      <c r="AV69" s="134" t="str">
        <f t="shared" si="18"/>
        <v/>
      </c>
      <c r="AW69" s="91"/>
      <c r="AX69" s="124" t="str">
        <f t="shared" si="19"/>
        <v/>
      </c>
      <c r="AY69" s="119"/>
      <c r="AZ69" s="120"/>
      <c r="BA69" s="92"/>
      <c r="BB69" s="135" t="str">
        <f t="shared" si="20"/>
        <v/>
      </c>
      <c r="BC69" s="93"/>
      <c r="BD69" s="125" t="str">
        <f t="shared" si="21"/>
        <v/>
      </c>
      <c r="BE69" s="94"/>
      <c r="BF69" s="135" t="str">
        <f t="shared" si="22"/>
        <v/>
      </c>
      <c r="BG69" s="95"/>
      <c r="BH69" s="125" t="str">
        <f t="shared" si="23"/>
        <v/>
      </c>
      <c r="BI69" s="121"/>
      <c r="BJ69" s="122"/>
      <c r="BK69" s="63"/>
      <c r="BM69" s="65">
        <f>[1]resultat!AL69</f>
        <v>69</v>
      </c>
      <c r="BN69" s="65" t="str">
        <f>[1]resultat!AM69</f>
        <v>ALBERT</v>
      </c>
      <c r="BO69" s="141">
        <v>69</v>
      </c>
      <c r="BP69" s="148">
        <v>7</v>
      </c>
      <c r="BQ69" s="142">
        <v>13</v>
      </c>
      <c r="BR69" s="273">
        <f t="shared" si="24"/>
        <v>63</v>
      </c>
      <c r="BS69" s="274" t="str">
        <f t="shared" si="25"/>
        <v/>
      </c>
      <c r="BT69" s="275" t="str">
        <f t="shared" si="26"/>
        <v/>
      </c>
      <c r="BU69" s="276" t="str">
        <f t="shared" si="27"/>
        <v/>
      </c>
      <c r="BV69" s="277" t="str">
        <f t="shared" si="29"/>
        <v/>
      </c>
      <c r="BW69" s="273">
        <f t="shared" si="29"/>
        <v>0</v>
      </c>
      <c r="BX69" s="273">
        <f t="shared" si="29"/>
        <v>0</v>
      </c>
    </row>
    <row r="70" spans="1:76" ht="20.25" customHeight="1">
      <c r="F70" s="99"/>
      <c r="G70" s="99"/>
      <c r="H70" s="99"/>
      <c r="I70" s="100"/>
      <c r="J70" s="99"/>
      <c r="K70" s="147"/>
      <c r="L70" s="147"/>
      <c r="M70" s="101"/>
      <c r="N70" s="101"/>
      <c r="O70" s="63"/>
      <c r="P70" s="63"/>
      <c r="Q70" s="101"/>
      <c r="R70" s="101"/>
      <c r="S70" s="101"/>
      <c r="T70" s="101"/>
      <c r="U70" s="139" t="s">
        <v>190</v>
      </c>
      <c r="V70" s="101"/>
      <c r="W70" s="101"/>
      <c r="Y70" s="101"/>
      <c r="Z70" s="101"/>
      <c r="AA70" s="101"/>
      <c r="AC70" s="101"/>
      <c r="AD70" s="101"/>
      <c r="AE70" s="101"/>
      <c r="AF70" s="101"/>
      <c r="AG70" s="101"/>
      <c r="AI70" s="101"/>
      <c r="AJ70" s="101"/>
      <c r="AK70" s="101"/>
      <c r="AM70" s="101"/>
      <c r="AN70" s="101"/>
      <c r="AO70" s="139" t="s">
        <v>190</v>
      </c>
      <c r="AP70" s="101"/>
      <c r="AQ70" s="101"/>
      <c r="AS70" s="101"/>
      <c r="AT70" s="101"/>
      <c r="AU70" s="101"/>
      <c r="BM70" s="65">
        <f>[1]resultat!AL70</f>
        <v>70</v>
      </c>
      <c r="BN70" s="65" t="str">
        <f>[1]resultat!AM70</f>
        <v>TANGUY</v>
      </c>
      <c r="BO70" s="233">
        <v>70</v>
      </c>
      <c r="BP70" s="142">
        <v>13</v>
      </c>
      <c r="BQ70" s="148">
        <v>7</v>
      </c>
      <c r="BR70" s="273">
        <f t="shared" si="24"/>
        <v>64</v>
      </c>
      <c r="BS70" s="274" t="str">
        <f t="shared" si="25"/>
        <v/>
      </c>
      <c r="BT70" s="275" t="str">
        <f t="shared" si="26"/>
        <v/>
      </c>
      <c r="BU70" s="276" t="str">
        <f t="shared" si="27"/>
        <v/>
      </c>
      <c r="BV70" s="277" t="str">
        <f t="shared" si="29"/>
        <v/>
      </c>
      <c r="BW70" s="273">
        <f t="shared" si="29"/>
        <v>0</v>
      </c>
      <c r="BX70" s="273">
        <f t="shared" si="29"/>
        <v>0</v>
      </c>
    </row>
    <row r="71" spans="1:76">
      <c r="F71" s="99" t="str">
        <f>IF((F166)=1,$BN$1,"")&amp;IF((F166)=2,$BN$2,"")&amp;IF((F166)=3,$BN$3,"")&amp;IF((F166)=4,$BN$4,"")&amp;IF((F166)=5,$BN$5,"")&amp;IF((F166)=6,$BN$6,"")&amp;IF((F166)=7,$BN$7,"")&amp;IF((F166)=8,$BN$8,"")&amp;IF((F166)=9,$BN$9,"")&amp;IF((F166)=10,$BN$10,"")&amp;IF((F166)=11,$BN$11,"")&amp;IF((F166)=12,$BN$12,"")&amp;IF((F166)=13,$BN$13,"")&amp;IF((F166)=14,$BN$14,"")&amp;IF((F166)=15,$BN$15,"")&amp;IF((F166)=16,$BN$16,"")&amp;IF((F166)=17,$BN$17,"")&amp;IF((F166)=18,$BN$18,"")&amp;IF((F166)=19,$BN$19,"")&amp;IF((F166)=20,$BN$20,"")&amp;IF((F166)=21,$BN$21,"")&amp;IF((F166)=22,$BN$22,"")&amp;IF((F166)=23,$BN$23,"")&amp;IF((F166)=24,$BN$24,"")&amp;IF((F166)=25,$BN$25,"")&amp;IF((F166)=26,$BN$26,"")&amp;IF((F166)=27,$BN$27,"")&amp;IF((F166)=28,$BN$28,"")&amp;IF((F166)=29,$BN$29,"")&amp;IF((F166)=30,$BN$30,"")&amp;IF((F166)=31,$BN$31,"")&amp;IF((F166)=32,$BN$32,"")&amp;IF((F166)=33,$BN$33,"")&amp;IF((F166)=34,$BN$34,"")&amp;IF((F166)=35,$BN$35,"")&amp;IF((F166)=36,$BN$36,"")&amp;IF((F166)=37,$BN$37,"")&amp;IF((F166)=38,$BN$38,"")&amp;IF((F166)=39,$BN$39,"")&amp;IF((F166)=40,$BN$40,"")&amp;IF((F166)=41,$BN$41,"")&amp;IF((F166)=42,$BN$42,"")&amp;IF((F166)=43,$BN$43,"")&amp;IF((F166)=44,$BN$44,"")&amp;IF((F166)=45,$BN$45,"")&amp;IF((F166)=46,$BN$46,"")&amp;IF((F166)=47,$BN$47,"")&amp;IF((F166)=48,$BN$48,"")&amp;IF((F166)=49,$BN$49,"")&amp;IF((F166)=50,$BN$50,"")&amp;IF((F166)=51,$BN$51,"")&amp;IF((F166)=52,$BN$52,"")&amp;IF((F166)=53,$BN$53,"")&amp;IF((F166)=54,$BN$54,"")&amp;IF((F166)=55,$BN$55,"")&amp;IF((F166)=56,$BN$56,"")&amp;IF((F166)=57,$BN$57,"")&amp;IF((F166)=58,$BN$58,"")&amp;IF((F166)=59,$BN$59,"")&amp;IF((F166)=60,$BN$60,"")&amp;IF((F166)=61,$BN$61,"")&amp;IF((F166)=62,$BN$62,"")&amp;IF((F166)=63,$BN$63,"")&amp;IF((F166)=64,$BN$64,"")&amp;IF((F166)=65,$BN$65,"")&amp;IF((F166)=66,$BN$66,"")&amp;IF((F166)=67,$BN$67,"")&amp;IF((F166)=68,$BN$68,"")&amp;IF((F166)=69,$BN$69,"")&amp;IF((F166)=70,$BN$70,"")&amp;IF((F166)=71,$BN$71,"")&amp;IF((F166)=72,$BN$72,"")&amp;IF((F166)=73,$BN$73,"")&amp;IF((F166)=74,$BN$74,"")&amp;IF((F166)=75,$BN$75,"")&amp;IF((F166)=76,$BN$76,"")&amp;IF((F166)=77,$BN$77,"")&amp;IF((F166)=78,$BN$78,"")&amp;IF((F166)=79,$BN$79,"")&amp;IF((F166)=80,$BN$80,"")&amp;IF((F166)=81,$BN$81,"")&amp;IF((F166)=82,$BN$82,"")&amp;IF((F166)=83,$BN$83,"")&amp;IF((F166)=84,$BN$84,"")&amp;IF((F166)=85,$BN$85,"")&amp;IF((F166)=86,$BN$86,"")&amp;IF((F166)=87,$BN$87,"")&amp;IF((F166)=88,$BN$88,"")&amp;IF((F166)=89,$BN$89,"")&amp;IF((F166)=90,$BN$90,"")&amp;IF((F166)=91,$BN$91,"")&amp;IF((F166)=92,$BN$92,"")&amp;IF((F166)=93,$BN$93,"")&amp;IF((F166)=94,$BN$94,"")&amp;IF((F166)=95,$BN$95,"")&amp;IF((F166)=96,$BN$96,"")&amp;IF((F166)=97,$BN$97,"")&amp;IF((F166)=98,$BN$98,"")&amp;IF((F166)=99,$BN$99,"")&amp;IF((F166)=100,$BN$100,"")&amp;IF((F166)=101,$BN$101,"")&amp;IF((F166)=102,$BN$102,"")&amp;IF((F166)=103,$BN$103,"")&amp;IF((F166)=104,$BN$104,"")&amp;IF((F166)=105,$BN$105,"")&amp;IF((F166)=106,$BN$106,"")&amp;IF((F166)=107,$BN$107,"")&amp;IF((F166)=108,$BN$108,"")&amp;IF((F166)=109,$BN$109,"")&amp;IF((F166)=110,$BN$110,"")&amp;IF((F166)=111,$BN$111,"")&amp;IF((F166)=112,$BN$112,"")&amp;IF((F166)=113,$BN$113,"")&amp;IF((F166)=114,$BN$114,"")&amp;IF((F166)=115,$BN$115,"")&amp;IF((F166)=116,$BN$116,"")&amp;IF((F166)=117,$BN$117,"")&amp;IF((F166)=118,$BN$118,"")&amp;IF((F166)=119,$BN$119,"")&amp;IF((F166)=120,$BN$120,"")&amp;IF((F166)=121,$BN$121,"")&amp;IF((F166)=122,$BN$122,"")&amp;IF((F166)=123,$BN$123,"")&amp;IF((F166)=124,$BN$124,"")</f>
        <v/>
      </c>
      <c r="G71" s="99"/>
      <c r="H71" s="99"/>
      <c r="I71" s="100"/>
      <c r="J71" s="99"/>
      <c r="K71" s="263"/>
      <c r="L71" s="263"/>
      <c r="M71" s="101"/>
      <c r="N71" s="101"/>
      <c r="O71" s="63"/>
      <c r="P71" s="63"/>
      <c r="Q71" s="101"/>
      <c r="R71" s="101"/>
      <c r="S71" s="101"/>
      <c r="T71" s="101"/>
      <c r="U71" s="101"/>
      <c r="V71" s="101"/>
      <c r="W71" s="101"/>
      <c r="Y71" s="101"/>
      <c r="Z71" s="101"/>
      <c r="AA71" s="101"/>
      <c r="AC71" s="101"/>
      <c r="AD71" s="101"/>
      <c r="AG71" s="101"/>
      <c r="AI71" s="101"/>
      <c r="AJ71" s="101"/>
      <c r="AK71" s="101"/>
      <c r="AM71" s="101"/>
      <c r="AN71" s="101"/>
      <c r="AQ71" s="101"/>
      <c r="AS71" s="101"/>
      <c r="AT71" s="101"/>
      <c r="AU71" s="101"/>
      <c r="BM71" s="65">
        <f>[1]resultat!AL71</f>
        <v>71</v>
      </c>
      <c r="BN71" s="65" t="str">
        <f>[1]resultat!AM71</f>
        <v>JIMMY</v>
      </c>
      <c r="BO71" s="233">
        <v>71</v>
      </c>
      <c r="BP71" s="142">
        <v>13</v>
      </c>
      <c r="BQ71" s="148">
        <v>7</v>
      </c>
    </row>
    <row r="72" spans="1:76" ht="21" thickBot="1">
      <c r="A72" s="137"/>
      <c r="B72" s="137"/>
      <c r="F72" s="99" t="str">
        <f>IF((F167)=1,$BN$1,"")&amp;IF((F167)=2,$BN$2,"")&amp;IF((F167)=3,$BN$3,"")&amp;IF((F167)=4,$BN$4,"")&amp;IF((F167)=5,$BN$5,"")&amp;IF((F167)=6,$BN$6,"")&amp;IF((F167)=7,$BN$7,"")&amp;IF((F167)=8,$BN$8,"")&amp;IF((F167)=9,$BN$9,"")&amp;IF((F167)=10,$BN$10,"")&amp;IF((F167)=11,$BN$11,"")&amp;IF((F167)=12,$BN$12,"")&amp;IF((F167)=13,$BN$13,"")&amp;IF((F167)=14,$BN$14,"")&amp;IF((F167)=15,$BN$15,"")&amp;IF((F167)=16,$BN$16,"")&amp;IF((F167)=17,$BN$17,"")&amp;IF((F167)=18,$BN$18,"")&amp;IF((F167)=19,$BN$19,"")&amp;IF((F167)=20,$BN$20,"")&amp;IF((F167)=21,$BN$21,"")&amp;IF((F167)=22,$BN$22,"")&amp;IF((F167)=23,$BN$23,"")&amp;IF((F167)=24,$BN$24,"")&amp;IF((F167)=25,$BN$25,"")&amp;IF((F167)=26,$BN$26,"")&amp;IF((F167)=27,$BN$27,"")&amp;IF((F167)=28,$BN$28,"")&amp;IF((F167)=29,$BN$29,"")&amp;IF((F167)=30,$BN$30,"")&amp;IF((F167)=31,$BN$31,"")&amp;IF((F167)=32,$BN$32,"")&amp;IF((F167)=33,$BN$33,"")&amp;IF((F167)=34,$BN$34,"")&amp;IF((F167)=35,$BN$35,"")&amp;IF((F167)=36,$BN$36,"")&amp;IF((F167)=37,$BN$37,"")&amp;IF((F167)=38,$BN$38,"")&amp;IF((F167)=39,$BN$39,"")&amp;IF((F167)=40,$BN$40,"")&amp;IF((F167)=41,$BN$41,"")&amp;IF((F167)=42,$BN$42,"")&amp;IF((F167)=43,$BN$43,"")&amp;IF((F167)=44,$BN$44,"")&amp;IF((F167)=45,$BN$45,"")&amp;IF((F167)=46,$BN$46,"")&amp;IF((F167)=47,$BN$47,"")&amp;IF((F167)=48,$BN$48,"")&amp;IF((F167)=49,$BN$49,"")&amp;IF((F167)=50,$BN$50,"")&amp;IF((F167)=51,$BN$51,"")&amp;IF((F167)=52,$BN$52,"")&amp;IF((F167)=53,$BN$53,"")&amp;IF((F167)=54,$BN$54,"")&amp;IF((F167)=55,$BN$55,"")&amp;IF((F167)=56,$BN$56,"")&amp;IF((F167)=57,$BN$57,"")&amp;IF((F167)=58,$BN$58,"")&amp;IF((F167)=59,$BN$59,"")&amp;IF((F167)=60,$BN$60,"")&amp;IF((F167)=61,$BN$61,"")&amp;IF((F167)=62,$BN$62,"")&amp;IF((F167)=63,$BN$63,"")&amp;IF((F167)=64,$BN$64,"")&amp;IF((F167)=65,$BN$65,"")&amp;IF((F167)=66,$BN$66,"")&amp;IF((F167)=67,$BN$67,"")&amp;IF((F167)=68,$BN$68,"")&amp;IF((F167)=69,$BN$69,"")&amp;IF((F167)=70,$BN$70,"")&amp;IF((F167)=71,$BN$71,"")&amp;IF((F167)=72,$BN$72,"")&amp;IF((F167)=73,$BN$73,"")&amp;IF((F167)=74,$BN$74,"")&amp;IF((F167)=75,$BN$75,"")&amp;IF((F167)=76,$BN$76,"")&amp;IF((F167)=77,$BN$77,"")&amp;IF((F167)=78,$BN$78,"")&amp;IF((F167)=79,$BN$79,"")&amp;IF((F167)=80,$BN$80,"")&amp;IF((F167)=81,$BN$81,"")&amp;IF((F167)=82,$BN$82,"")&amp;IF((F167)=83,$BN$83,"")&amp;IF((F167)=84,$BN$84,"")&amp;IF((F167)=85,$BN$85,"")&amp;IF((F167)=86,$BN$86,"")&amp;IF((F167)=87,$BN$87,"")&amp;IF((F167)=88,$BN$88,"")&amp;IF((F167)=89,$BN$89,"")&amp;IF((F167)=90,$BN$90,"")&amp;IF((F167)=91,$BN$91,"")&amp;IF((F167)=92,$BN$92,"")&amp;IF((F167)=93,$BN$93,"")&amp;IF((F167)=94,$BN$94,"")&amp;IF((F167)=95,$BN$95,"")&amp;IF((F167)=96,$BN$96,"")&amp;IF((F167)=97,$BN$97,"")&amp;IF((F167)=98,$BN$98,"")&amp;IF((F167)=99,$BN$99,"")&amp;IF((F167)=100,$BN$100,"")&amp;IF((F167)=101,$BN$101,"")&amp;IF((F167)=102,$BN$102,"")&amp;IF((F167)=103,$BN$103,"")&amp;IF((F167)=104,$BN$104,"")&amp;IF((F167)=105,$BN$105,"")&amp;IF((F167)=106,$BN$106,"")&amp;IF((F167)=107,$BN$107,"")&amp;IF((F167)=108,$BN$108,"")&amp;IF((F167)=109,$BN$109,"")&amp;IF((F167)=110,$BN$110,"")&amp;IF((F167)=111,$BN$111,"")&amp;IF((F167)=112,$BN$112,"")&amp;IF((F167)=113,$BN$113,"")&amp;IF((F167)=114,$BN$114,"")&amp;IF((F167)=115,$BN$115,"")&amp;IF((F167)=116,$BN$116,"")&amp;IF((F167)=117,$BN$117,"")&amp;IF((F167)=118,$BN$118,"")&amp;IF((F167)=119,$BN$119,"")&amp;IF((F167)=120,$BN$120,"")&amp;IF((F167)=121,$BN$121,"")&amp;IF((F167)=122,$BN$122,"")&amp;IF((F167)=123,$BN$123,"")&amp;IF((F167)=124,$BN$124,"")</f>
        <v/>
      </c>
      <c r="G72" s="99"/>
      <c r="H72" s="99"/>
      <c r="I72" s="100"/>
      <c r="J72" s="99"/>
      <c r="K72" s="264"/>
      <c r="L72" s="264"/>
      <c r="M72" s="101"/>
      <c r="N72" s="101"/>
      <c r="O72" s="63"/>
      <c r="P72" s="146"/>
      <c r="Q72" s="101"/>
      <c r="R72" s="101"/>
      <c r="S72" s="101"/>
      <c r="T72" s="101"/>
      <c r="U72" s="101"/>
      <c r="V72" s="101"/>
      <c r="W72" s="101"/>
      <c r="Y72" s="101"/>
      <c r="Z72" s="101"/>
      <c r="AA72" s="101"/>
      <c r="AC72" s="101"/>
      <c r="AD72" s="101"/>
      <c r="AG72" s="101"/>
      <c r="AI72" s="101"/>
      <c r="AJ72" s="101"/>
      <c r="AK72" s="101"/>
      <c r="AM72" s="101"/>
      <c r="AN72" s="101"/>
      <c r="AQ72" s="101"/>
      <c r="AS72" s="101"/>
      <c r="AT72" s="101"/>
      <c r="AU72" s="101"/>
      <c r="BM72" s="65">
        <f>[1]resultat!AL72</f>
        <v>72</v>
      </c>
      <c r="BN72" s="65" t="str">
        <f>[1]resultat!AM72</f>
        <v>DELPHINE</v>
      </c>
      <c r="BO72" s="213">
        <v>72</v>
      </c>
      <c r="BP72" s="148">
        <v>7</v>
      </c>
      <c r="BQ72" s="142">
        <v>13</v>
      </c>
    </row>
    <row r="73" spans="1:76" ht="21" thickTop="1">
      <c r="F73" s="99"/>
      <c r="G73" s="99"/>
      <c r="H73" s="99"/>
      <c r="I73" s="100"/>
      <c r="J73" s="143"/>
      <c r="K73" s="265"/>
      <c r="L73" s="265"/>
      <c r="M73" s="101"/>
      <c r="N73" s="101"/>
      <c r="O73" s="63"/>
      <c r="P73" s="63"/>
      <c r="Q73" s="101"/>
      <c r="R73" s="101"/>
      <c r="S73" s="101"/>
      <c r="T73" s="101"/>
      <c r="U73" s="101"/>
      <c r="V73" s="101"/>
      <c r="W73" s="101"/>
      <c r="Y73" s="101"/>
      <c r="Z73" s="101"/>
      <c r="AA73" s="101"/>
      <c r="AC73" s="101"/>
      <c r="AD73" s="101"/>
      <c r="AG73" s="101"/>
      <c r="AI73" s="101"/>
      <c r="AJ73" s="101"/>
      <c r="AK73" s="101"/>
      <c r="AM73" s="101"/>
      <c r="AN73" s="101"/>
      <c r="AQ73" s="101"/>
      <c r="AS73" s="101"/>
      <c r="AT73" s="101"/>
      <c r="AU73" s="101"/>
      <c r="BM73" s="65">
        <f>[1]resultat!AL73</f>
        <v>73</v>
      </c>
      <c r="BN73" s="65" t="str">
        <f>[1]resultat!AM73</f>
        <v>EDMOND</v>
      </c>
      <c r="BO73" s="213">
        <v>73</v>
      </c>
      <c r="BP73" s="148">
        <v>7</v>
      </c>
      <c r="BQ73" s="142">
        <v>13</v>
      </c>
      <c r="BS73" s="269" t="s">
        <v>191</v>
      </c>
      <c r="BT73" s="270"/>
      <c r="BU73" s="270"/>
      <c r="BV73" s="270"/>
      <c r="BW73" s="271" t="s">
        <v>189</v>
      </c>
      <c r="BX73" s="272"/>
    </row>
    <row r="74" spans="1:76">
      <c r="C74" s="103"/>
      <c r="D74" s="105"/>
      <c r="F74" s="99"/>
      <c r="G74" s="99"/>
      <c r="H74" s="99"/>
      <c r="I74" s="100"/>
      <c r="J74" s="99"/>
      <c r="K74" s="101"/>
      <c r="L74" s="101"/>
      <c r="M74" s="101"/>
      <c r="N74" s="101"/>
      <c r="O74" s="63"/>
      <c r="P74" s="63"/>
      <c r="Q74" s="101"/>
      <c r="R74" s="101"/>
      <c r="S74" s="101"/>
      <c r="T74" s="101"/>
      <c r="U74" s="101"/>
      <c r="V74" s="101"/>
      <c r="W74" s="101"/>
      <c r="Y74" s="101"/>
      <c r="Z74" s="101"/>
      <c r="AA74" s="101"/>
      <c r="AC74" s="101"/>
      <c r="AD74" s="101"/>
      <c r="AE74" s="101"/>
      <c r="AF74" s="101"/>
      <c r="AG74" s="101"/>
      <c r="AI74" s="101"/>
      <c r="AJ74" s="101"/>
      <c r="AK74" s="101"/>
      <c r="AM74" s="101"/>
      <c r="AN74" s="101"/>
      <c r="AO74" s="101"/>
      <c r="AP74" s="101"/>
      <c r="AQ74" s="101"/>
      <c r="AS74" s="101"/>
      <c r="AT74" s="101"/>
      <c r="AU74" s="101"/>
      <c r="BM74" s="65">
        <f>[1]resultat!AL74</f>
        <v>74</v>
      </c>
      <c r="BN74" s="65" t="str">
        <f>[1]resultat!AM74</f>
        <v>GERALD</v>
      </c>
      <c r="BO74" s="141">
        <v>74</v>
      </c>
      <c r="BP74" s="148">
        <v>7</v>
      </c>
      <c r="BQ74" s="142">
        <v>13</v>
      </c>
      <c r="BR74" s="273">
        <f>B6</f>
        <v>1</v>
      </c>
      <c r="BS74" s="274" t="str">
        <f>N6</f>
        <v>57</v>
      </c>
      <c r="BT74" s="275" t="str">
        <f>P6</f>
        <v>ARSENE</v>
      </c>
      <c r="BU74" s="273" t="str">
        <f>R6</f>
        <v>94</v>
      </c>
      <c r="BV74" s="277" t="str">
        <f t="shared" ref="BV74:BX105" si="30">T6</f>
        <v>HUGUES</v>
      </c>
      <c r="BW74" s="273">
        <f t="shared" si="30"/>
        <v>0</v>
      </c>
      <c r="BX74" s="273">
        <f t="shared" si="30"/>
        <v>0</v>
      </c>
    </row>
    <row r="75" spans="1:76">
      <c r="C75" s="103"/>
      <c r="D75" s="105"/>
      <c r="F75" s="99"/>
      <c r="G75" s="99"/>
      <c r="H75" s="99"/>
      <c r="I75" s="100"/>
      <c r="J75" s="99"/>
      <c r="K75" s="99"/>
      <c r="L75" s="99"/>
      <c r="M75" s="101"/>
      <c r="N75" s="101"/>
      <c r="O75" s="63"/>
      <c r="P75" s="63"/>
      <c r="Q75" s="101"/>
      <c r="R75" s="101"/>
      <c r="S75" s="101"/>
      <c r="T75" s="101"/>
      <c r="U75" s="139" t="s">
        <v>190</v>
      </c>
      <c r="V75" s="101"/>
      <c r="W75" s="101"/>
      <c r="Y75" s="101"/>
      <c r="Z75" s="101"/>
      <c r="AA75" s="101"/>
      <c r="AC75" s="101"/>
      <c r="AD75" s="101"/>
      <c r="AE75" s="101"/>
      <c r="AF75" s="101"/>
      <c r="AG75" s="101"/>
      <c r="AI75" s="101"/>
      <c r="AJ75" s="101"/>
      <c r="AK75" s="101"/>
      <c r="AM75" s="101"/>
      <c r="AN75" s="101"/>
      <c r="AO75" s="101"/>
      <c r="AP75" s="101"/>
      <c r="AQ75" s="101"/>
      <c r="AS75" s="101"/>
      <c r="AT75" s="101"/>
      <c r="AU75" s="101"/>
      <c r="BM75" s="65">
        <f>[1]resultat!AL75</f>
        <v>75</v>
      </c>
      <c r="BN75" s="65" t="str">
        <f>[1]resultat!AM75</f>
        <v>NICOLAS</v>
      </c>
      <c r="BO75" s="233">
        <v>75</v>
      </c>
      <c r="BP75" s="142">
        <v>13</v>
      </c>
      <c r="BQ75" s="148">
        <v>7</v>
      </c>
      <c r="BR75" s="273">
        <f t="shared" ref="BR75:BR137" si="31">B7</f>
        <v>2</v>
      </c>
      <c r="BS75" s="274" t="str">
        <f t="shared" ref="BS75:BS137" si="32">N7</f>
        <v>4</v>
      </c>
      <c r="BT75" s="275" t="str">
        <f t="shared" ref="BT75:BT137" si="33">P7</f>
        <v>DENISE</v>
      </c>
      <c r="BU75" s="273" t="str">
        <f t="shared" ref="BU75:BU137" si="34">R7</f>
        <v>66</v>
      </c>
      <c r="BV75" s="277" t="str">
        <f t="shared" si="30"/>
        <v>FLORIAN</v>
      </c>
      <c r="BW75" s="273">
        <f t="shared" si="30"/>
        <v>0</v>
      </c>
      <c r="BX75" s="273">
        <f t="shared" si="30"/>
        <v>0</v>
      </c>
    </row>
    <row r="76" spans="1:76">
      <c r="C76" s="103"/>
      <c r="D76" s="105"/>
      <c r="F76" s="99"/>
      <c r="G76" s="99"/>
      <c r="H76" s="99"/>
      <c r="I76" s="100"/>
      <c r="J76" s="99"/>
      <c r="K76" s="143"/>
      <c r="L76" s="99"/>
      <c r="M76" s="101"/>
      <c r="N76" s="101"/>
      <c r="O76" s="63"/>
      <c r="P76" s="63"/>
      <c r="Q76" s="101"/>
      <c r="R76" s="101"/>
      <c r="S76" s="101"/>
      <c r="T76" s="101"/>
      <c r="U76" s="101"/>
      <c r="V76" s="101"/>
      <c r="W76" s="101"/>
      <c r="Y76" s="101"/>
      <c r="Z76" s="101"/>
      <c r="AA76" s="101"/>
      <c r="AC76" s="101"/>
      <c r="AD76" s="101"/>
      <c r="AE76" s="101"/>
      <c r="AF76" s="101"/>
      <c r="AG76" s="101"/>
      <c r="AI76" s="101"/>
      <c r="AJ76" s="101"/>
      <c r="AK76" s="101"/>
      <c r="AM76" s="101"/>
      <c r="AN76" s="101"/>
      <c r="AO76" s="101"/>
      <c r="AP76" s="101"/>
      <c r="AQ76" s="101"/>
      <c r="AS76" s="101"/>
      <c r="AT76" s="101"/>
      <c r="AU76" s="101"/>
      <c r="BM76" s="65">
        <f>[1]resultat!AL76</f>
        <v>76</v>
      </c>
      <c r="BN76" s="65" t="str">
        <f>[1]resultat!AM76</f>
        <v>AMBROISE</v>
      </c>
      <c r="BO76" s="233">
        <v>76</v>
      </c>
      <c r="BP76" s="142">
        <v>13</v>
      </c>
      <c r="BQ76" s="148">
        <v>7</v>
      </c>
      <c r="BR76" s="273">
        <f t="shared" si="31"/>
        <v>3</v>
      </c>
      <c r="BS76" s="274" t="str">
        <f t="shared" si="32"/>
        <v>22</v>
      </c>
      <c r="BT76" s="275" t="str">
        <f t="shared" si="33"/>
        <v xml:space="preserve">LANDRY   </v>
      </c>
      <c r="BU76" s="273" t="str">
        <f t="shared" si="34"/>
        <v>23</v>
      </c>
      <c r="BV76" s="277" t="str">
        <f t="shared" si="30"/>
        <v>MARTIAL</v>
      </c>
      <c r="BW76" s="273">
        <f t="shared" si="30"/>
        <v>0</v>
      </c>
      <c r="BX76" s="273">
        <f t="shared" si="30"/>
        <v>0</v>
      </c>
    </row>
    <row r="77" spans="1:76">
      <c r="A77" s="145"/>
      <c r="B77" s="145"/>
      <c r="C77" s="103"/>
      <c r="D77" s="105"/>
      <c r="F77" s="99"/>
      <c r="G77" s="99"/>
      <c r="H77" s="99"/>
      <c r="I77" s="100"/>
      <c r="J77" s="99"/>
      <c r="K77" s="99"/>
      <c r="L77" s="99"/>
      <c r="M77" s="101"/>
      <c r="N77" s="101"/>
      <c r="O77" s="63"/>
      <c r="P77" s="63"/>
      <c r="Q77" s="101"/>
      <c r="R77" s="101"/>
      <c r="S77" s="101"/>
      <c r="T77" s="101"/>
      <c r="U77" s="101"/>
      <c r="V77" s="101"/>
      <c r="W77" s="101"/>
      <c r="Y77" s="101"/>
      <c r="Z77" s="101"/>
      <c r="AA77" s="101"/>
      <c r="AC77" s="101"/>
      <c r="AD77" s="101"/>
      <c r="AE77" s="101"/>
      <c r="AF77" s="101"/>
      <c r="AG77" s="101"/>
      <c r="AI77" s="101"/>
      <c r="AJ77" s="101"/>
      <c r="AK77" s="101"/>
      <c r="AM77" s="101"/>
      <c r="AN77" s="101"/>
      <c r="AO77" s="101"/>
      <c r="AP77" s="101"/>
      <c r="AQ77" s="101"/>
      <c r="AS77" s="101"/>
      <c r="AT77" s="101"/>
      <c r="AU77" s="101"/>
      <c r="BM77" s="65">
        <f>[1]resultat!AL77</f>
        <v>77</v>
      </c>
      <c r="BN77" s="65" t="str">
        <f>[1]resultat!AM77</f>
        <v>DANIEL</v>
      </c>
      <c r="BO77" s="141">
        <v>77</v>
      </c>
      <c r="BP77" s="148">
        <v>7</v>
      </c>
      <c r="BQ77" s="142">
        <v>13</v>
      </c>
      <c r="BR77" s="273">
        <f t="shared" si="31"/>
        <v>4</v>
      </c>
      <c r="BS77" s="274" t="str">
        <f t="shared" si="32"/>
        <v>25</v>
      </c>
      <c r="BT77" s="275" t="str">
        <f t="shared" si="33"/>
        <v>AURELIEN</v>
      </c>
      <c r="BU77" s="273" t="str">
        <f t="shared" si="34"/>
        <v>118</v>
      </c>
      <c r="BV77" s="277" t="str">
        <f t="shared" si="30"/>
        <v>FERNAND</v>
      </c>
      <c r="BW77" s="273">
        <f t="shared" si="30"/>
        <v>0</v>
      </c>
      <c r="BX77" s="273">
        <f t="shared" si="30"/>
        <v>0</v>
      </c>
    </row>
    <row r="78" spans="1:76">
      <c r="A78" s="145"/>
      <c r="B78" s="145"/>
      <c r="C78" s="103"/>
      <c r="D78" s="105"/>
      <c r="F78" s="99"/>
      <c r="G78" s="99"/>
      <c r="H78" s="99"/>
      <c r="I78" s="100"/>
      <c r="J78" s="99"/>
      <c r="K78" s="102"/>
      <c r="L78" s="102"/>
      <c r="M78" s="101"/>
      <c r="N78" s="101"/>
      <c r="O78" s="63"/>
      <c r="P78" s="63"/>
      <c r="Q78" s="101"/>
      <c r="R78" s="101"/>
      <c r="S78" s="62"/>
      <c r="T78" s="62"/>
      <c r="U78" s="101"/>
      <c r="V78" s="101"/>
      <c r="Y78" s="101"/>
      <c r="Z78" s="101"/>
      <c r="AC78" s="101"/>
      <c r="AD78" s="101"/>
      <c r="BM78" s="65">
        <f>[1]resultat!AL78</f>
        <v>78</v>
      </c>
      <c r="BN78" s="65" t="str">
        <f>[1]resultat!AM78</f>
        <v>GAEL</v>
      </c>
      <c r="BO78" s="136">
        <v>78</v>
      </c>
      <c r="BP78" s="148">
        <v>7</v>
      </c>
      <c r="BQ78" s="142">
        <v>13</v>
      </c>
      <c r="BR78" s="273">
        <f t="shared" si="31"/>
        <v>5</v>
      </c>
      <c r="BS78" s="274" t="str">
        <f t="shared" si="32"/>
        <v>35</v>
      </c>
      <c r="BT78" s="275" t="str">
        <f t="shared" si="33"/>
        <v>MARTIN</v>
      </c>
      <c r="BU78" s="273" t="str">
        <f t="shared" si="34"/>
        <v>95</v>
      </c>
      <c r="BV78" s="277" t="str">
        <f t="shared" si="30"/>
        <v>RICHARD</v>
      </c>
      <c r="BW78" s="273">
        <f t="shared" si="30"/>
        <v>0</v>
      </c>
      <c r="BX78" s="273">
        <f t="shared" si="30"/>
        <v>0</v>
      </c>
    </row>
    <row r="79" spans="1:76">
      <c r="A79" s="145"/>
      <c r="B79" s="145"/>
      <c r="C79" s="103"/>
      <c r="D79" s="105"/>
      <c r="F79" s="99"/>
      <c r="G79" s="99"/>
      <c r="H79" s="99"/>
      <c r="I79" s="100"/>
      <c r="J79" s="99"/>
      <c r="K79" s="102"/>
      <c r="L79" s="102"/>
      <c r="M79" s="101"/>
      <c r="N79" s="101"/>
      <c r="O79" s="63"/>
      <c r="P79" s="63"/>
      <c r="Q79" s="101"/>
      <c r="R79" s="101"/>
      <c r="S79" s="101"/>
      <c r="T79" s="101"/>
      <c r="U79" s="101"/>
      <c r="V79" s="101"/>
      <c r="W79" s="101"/>
      <c r="Y79" s="101"/>
      <c r="Z79" s="101"/>
      <c r="AA79" s="101"/>
      <c r="AC79" s="101"/>
      <c r="AD79" s="101"/>
      <c r="AE79" s="101"/>
      <c r="AF79" s="101"/>
      <c r="AG79" s="101"/>
      <c r="AI79" s="101"/>
      <c r="AJ79" s="101"/>
      <c r="AK79" s="101"/>
      <c r="AM79" s="101"/>
      <c r="AN79" s="101"/>
      <c r="AO79" s="101"/>
      <c r="AP79" s="101"/>
      <c r="AQ79" s="101"/>
      <c r="AS79" s="101"/>
      <c r="AT79" s="101"/>
      <c r="AU79" s="101"/>
      <c r="BM79" s="65">
        <f>[1]resultat!AL79</f>
        <v>79</v>
      </c>
      <c r="BN79" s="65" t="str">
        <f>[1]resultat!AM79</f>
        <v>GATIEN</v>
      </c>
      <c r="BO79" s="136">
        <v>79</v>
      </c>
      <c r="BP79" s="148">
        <v>7</v>
      </c>
      <c r="BQ79" s="142">
        <v>13</v>
      </c>
      <c r="BR79" s="273">
        <f t="shared" si="31"/>
        <v>6</v>
      </c>
      <c r="BS79" s="274" t="str">
        <f t="shared" si="32"/>
        <v>116</v>
      </c>
      <c r="BT79" s="275" t="str">
        <f t="shared" si="33"/>
        <v>ALBAN</v>
      </c>
      <c r="BU79" s="273" t="str">
        <f t="shared" si="34"/>
        <v>11</v>
      </c>
      <c r="BV79" s="277" t="str">
        <f t="shared" si="30"/>
        <v>JOHN</v>
      </c>
      <c r="BW79" s="273">
        <f t="shared" si="30"/>
        <v>0</v>
      </c>
      <c r="BX79" s="273">
        <f t="shared" si="30"/>
        <v>0</v>
      </c>
    </row>
    <row r="80" spans="1:76">
      <c r="A80" s="145"/>
      <c r="B80" s="145"/>
      <c r="C80" s="103"/>
      <c r="D80" s="105"/>
      <c r="F80" s="99"/>
      <c r="G80" s="99"/>
      <c r="H80" s="99"/>
      <c r="I80" s="100"/>
      <c r="J80" s="99"/>
      <c r="K80" s="102"/>
      <c r="L80" s="102"/>
      <c r="M80" s="101"/>
      <c r="N80" s="101"/>
      <c r="O80" s="63"/>
      <c r="P80" s="63"/>
      <c r="Q80" s="101"/>
      <c r="R80" s="101"/>
      <c r="S80" s="101"/>
      <c r="T80" s="101"/>
      <c r="U80" s="101"/>
      <c r="V80" s="101"/>
      <c r="W80" s="101"/>
      <c r="Y80" s="101"/>
      <c r="Z80" s="101"/>
      <c r="AA80" s="101"/>
      <c r="AC80" s="101"/>
      <c r="AD80" s="101"/>
      <c r="AE80" s="101"/>
      <c r="AF80" s="101"/>
      <c r="AG80" s="101"/>
      <c r="AI80" s="101"/>
      <c r="AJ80" s="101"/>
      <c r="AK80" s="101"/>
      <c r="AM80" s="101"/>
      <c r="AN80" s="101"/>
      <c r="AO80" s="101"/>
      <c r="AP80" s="101"/>
      <c r="AQ80" s="101"/>
      <c r="AS80" s="101"/>
      <c r="AT80" s="101"/>
      <c r="AU80" s="101"/>
      <c r="BM80" s="65">
        <f>[1]resultat!AL80</f>
        <v>80</v>
      </c>
      <c r="BN80" s="65" t="str">
        <f>[1]resultat!AM80</f>
        <v>LUCIE</v>
      </c>
      <c r="BO80" s="224">
        <v>80</v>
      </c>
      <c r="BP80" s="142">
        <v>13</v>
      </c>
      <c r="BQ80" s="148">
        <v>7</v>
      </c>
      <c r="BR80" s="273">
        <f t="shared" si="31"/>
        <v>7</v>
      </c>
      <c r="BS80" s="274" t="str">
        <f t="shared" si="32"/>
        <v>14</v>
      </c>
      <c r="BT80" s="275" t="str">
        <f t="shared" si="33"/>
        <v>CHRISTOPHE</v>
      </c>
      <c r="BU80" s="273" t="str">
        <f t="shared" si="34"/>
        <v>111</v>
      </c>
      <c r="BV80" s="277" t="str">
        <f t="shared" si="30"/>
        <v>SOLANGE</v>
      </c>
      <c r="BW80" s="273">
        <f t="shared" si="30"/>
        <v>0</v>
      </c>
      <c r="BX80" s="273">
        <f t="shared" si="30"/>
        <v>0</v>
      </c>
    </row>
    <row r="81" spans="1:76">
      <c r="A81" s="145"/>
      <c r="B81" s="145"/>
      <c r="F81" s="99"/>
      <c r="G81" s="99"/>
      <c r="H81" s="99"/>
      <c r="I81" s="100"/>
      <c r="J81" s="99"/>
      <c r="K81" s="102"/>
      <c r="L81" s="102"/>
      <c r="M81" s="101"/>
      <c r="N81" s="101"/>
      <c r="O81" s="63"/>
      <c r="P81" s="63"/>
      <c r="Q81" s="101"/>
      <c r="R81" s="101"/>
      <c r="S81" s="101"/>
      <c r="T81" s="101"/>
      <c r="U81" s="101"/>
      <c r="V81" s="101"/>
      <c r="W81" s="101"/>
      <c r="Y81" s="101"/>
      <c r="Z81" s="101"/>
      <c r="AA81" s="101"/>
      <c r="AC81" s="101"/>
      <c r="AD81" s="101"/>
      <c r="AE81" s="101"/>
      <c r="AF81" s="101"/>
      <c r="AG81" s="101"/>
      <c r="AI81" s="101"/>
      <c r="AJ81" s="101"/>
      <c r="AK81" s="101"/>
      <c r="AM81" s="101"/>
      <c r="AN81" s="101"/>
      <c r="AO81" s="101"/>
      <c r="AP81" s="101"/>
      <c r="AQ81" s="101"/>
      <c r="AS81" s="101"/>
      <c r="AT81" s="101"/>
      <c r="AU81" s="101"/>
      <c r="BM81" s="65">
        <f>[1]resultat!AL81</f>
        <v>81</v>
      </c>
      <c r="BN81" s="65" t="str">
        <f>[1]resultat!AM81</f>
        <v>THEOPHILE</v>
      </c>
      <c r="BO81" s="224">
        <v>81</v>
      </c>
      <c r="BP81" s="142">
        <v>13</v>
      </c>
      <c r="BQ81" s="148">
        <v>7</v>
      </c>
      <c r="BR81" s="273">
        <f t="shared" si="31"/>
        <v>8</v>
      </c>
      <c r="BS81" s="274" t="str">
        <f t="shared" si="32"/>
        <v>2</v>
      </c>
      <c r="BT81" s="275" t="str">
        <f t="shared" si="33"/>
        <v>FRANCIS</v>
      </c>
      <c r="BU81" s="273" t="str">
        <f t="shared" si="34"/>
        <v>69</v>
      </c>
      <c r="BV81" s="277" t="str">
        <f t="shared" si="30"/>
        <v>ALBERT</v>
      </c>
      <c r="BW81" s="273">
        <f t="shared" si="30"/>
        <v>0</v>
      </c>
      <c r="BX81" s="273">
        <f t="shared" si="30"/>
        <v>0</v>
      </c>
    </row>
    <row r="82" spans="1:76">
      <c r="A82" s="145"/>
      <c r="B82" s="145"/>
      <c r="F82" s="99"/>
      <c r="G82" s="99"/>
      <c r="H82" s="99"/>
      <c r="I82" s="100"/>
      <c r="J82" s="99"/>
      <c r="K82" s="102"/>
      <c r="L82" s="102"/>
      <c r="M82" s="101"/>
      <c r="N82" s="101"/>
      <c r="O82" s="63"/>
      <c r="P82" s="63"/>
      <c r="Q82" s="101"/>
      <c r="R82" s="101"/>
      <c r="S82" s="101"/>
      <c r="T82" s="101"/>
      <c r="U82" s="101"/>
      <c r="V82" s="101"/>
      <c r="W82" s="101"/>
      <c r="Y82" s="101"/>
      <c r="Z82" s="101"/>
      <c r="AA82" s="101"/>
      <c r="AC82" s="101"/>
      <c r="AD82" s="101"/>
      <c r="AE82" s="101"/>
      <c r="AF82" s="101"/>
      <c r="AG82" s="101"/>
      <c r="AI82" s="101"/>
      <c r="AJ82" s="101"/>
      <c r="AK82" s="101"/>
      <c r="AM82" s="101"/>
      <c r="AN82" s="101"/>
      <c r="AO82" s="101"/>
      <c r="AP82" s="101"/>
      <c r="AQ82" s="101"/>
      <c r="AS82" s="101"/>
      <c r="AT82" s="101"/>
      <c r="AU82" s="101"/>
      <c r="BM82" s="65">
        <f>[1]resultat!AL82</f>
        <v>82</v>
      </c>
      <c r="BN82" s="65" t="str">
        <f>[1]resultat!AM82</f>
        <v>URBAIN</v>
      </c>
      <c r="BO82" s="136">
        <v>82</v>
      </c>
      <c r="BP82" s="148">
        <v>7</v>
      </c>
      <c r="BQ82" s="142">
        <v>13</v>
      </c>
      <c r="BR82" s="273">
        <f t="shared" si="31"/>
        <v>9</v>
      </c>
      <c r="BS82" s="274" t="str">
        <f t="shared" si="32"/>
        <v>19</v>
      </c>
      <c r="BT82" s="275" t="str">
        <f t="shared" si="33"/>
        <v xml:space="preserve">SYLVAIN   </v>
      </c>
      <c r="BU82" s="273" t="str">
        <f t="shared" si="34"/>
        <v>56</v>
      </c>
      <c r="BV82" s="277" t="str">
        <f t="shared" si="30"/>
        <v xml:space="preserve">RENE  </v>
      </c>
      <c r="BW82" s="273">
        <f t="shared" si="30"/>
        <v>0</v>
      </c>
      <c r="BX82" s="273">
        <f t="shared" si="30"/>
        <v>0</v>
      </c>
    </row>
    <row r="83" spans="1:76">
      <c r="A83" s="145"/>
      <c r="B83" s="145"/>
      <c r="M83" s="103"/>
      <c r="N83" s="104"/>
      <c r="O83" s="66"/>
      <c r="P83" s="66"/>
      <c r="Q83" s="62"/>
      <c r="R83" s="101"/>
      <c r="S83" s="101"/>
      <c r="T83" s="101"/>
      <c r="U83" s="62"/>
      <c r="V83" s="62"/>
      <c r="W83" s="101"/>
      <c r="AA83" s="101"/>
      <c r="AE83" s="101"/>
      <c r="AF83" s="101"/>
      <c r="AG83" s="101"/>
      <c r="AI83" s="101"/>
      <c r="AJ83" s="101"/>
      <c r="AK83" s="101"/>
      <c r="AM83" s="101"/>
      <c r="AN83" s="101"/>
      <c r="AO83" s="101"/>
      <c r="AP83" s="101"/>
      <c r="AQ83" s="101"/>
      <c r="AS83" s="101"/>
      <c r="AT83" s="101"/>
      <c r="AU83" s="101"/>
      <c r="BM83" s="65">
        <f>[1]resultat!AL83</f>
        <v>83</v>
      </c>
      <c r="BN83" s="65" t="str">
        <f>[1]resultat!AM83</f>
        <v>ETIENNE</v>
      </c>
      <c r="BO83" s="136">
        <v>83</v>
      </c>
      <c r="BP83" s="148">
        <v>7</v>
      </c>
      <c r="BQ83" s="142">
        <v>13</v>
      </c>
      <c r="BR83" s="273">
        <f t="shared" si="31"/>
        <v>10</v>
      </c>
      <c r="BS83" s="274" t="str">
        <f t="shared" si="32"/>
        <v>75</v>
      </c>
      <c r="BT83" s="275" t="str">
        <f t="shared" si="33"/>
        <v>NICOLAS</v>
      </c>
      <c r="BU83" s="273" t="str">
        <f t="shared" si="34"/>
        <v>40</v>
      </c>
      <c r="BV83" s="277" t="str">
        <f t="shared" si="30"/>
        <v>VINCENT</v>
      </c>
      <c r="BW83" s="273">
        <f t="shared" si="30"/>
        <v>0</v>
      </c>
      <c r="BX83" s="273">
        <f t="shared" si="30"/>
        <v>0</v>
      </c>
    </row>
    <row r="84" spans="1:76">
      <c r="M84" s="103"/>
      <c r="N84" s="104"/>
      <c r="O84" s="66"/>
      <c r="P84" s="66"/>
      <c r="Q84" s="103"/>
      <c r="R84" s="104"/>
      <c r="S84" s="104"/>
      <c r="T84" s="104"/>
      <c r="U84" s="103"/>
      <c r="V84" s="103"/>
      <c r="W84" s="101"/>
      <c r="AA84" s="101"/>
      <c r="AE84" s="101"/>
      <c r="AF84" s="101"/>
      <c r="AG84" s="101"/>
      <c r="AI84" s="101"/>
      <c r="AJ84" s="101"/>
      <c r="AK84" s="101"/>
      <c r="AM84" s="101"/>
      <c r="AN84" s="101"/>
      <c r="AO84" s="101"/>
      <c r="AP84" s="101"/>
      <c r="AQ84" s="101"/>
      <c r="AS84" s="101"/>
      <c r="AT84" s="101"/>
      <c r="AU84" s="101"/>
      <c r="BM84" s="65">
        <f>[1]resultat!AL84</f>
        <v>84</v>
      </c>
      <c r="BN84" s="65" t="str">
        <f>[1]resultat!AM84</f>
        <v>BASILE</v>
      </c>
      <c r="BO84" s="136">
        <v>84</v>
      </c>
      <c r="BP84" s="148">
        <v>7</v>
      </c>
      <c r="BQ84" s="142">
        <v>13</v>
      </c>
      <c r="BR84" s="273">
        <f t="shared" si="31"/>
        <v>11</v>
      </c>
      <c r="BS84" s="274" t="str">
        <f t="shared" si="32"/>
        <v>39</v>
      </c>
      <c r="BT84" s="275" t="str">
        <f t="shared" si="33"/>
        <v xml:space="preserve">NICO  </v>
      </c>
      <c r="BU84" s="273" t="str">
        <f t="shared" si="34"/>
        <v>114</v>
      </c>
      <c r="BV84" s="277" t="str">
        <f t="shared" si="30"/>
        <v>BARNABE</v>
      </c>
      <c r="BW84" s="273">
        <f t="shared" si="30"/>
        <v>0</v>
      </c>
      <c r="BX84" s="273">
        <f t="shared" si="30"/>
        <v>0</v>
      </c>
    </row>
    <row r="85" spans="1:76">
      <c r="M85" s="103"/>
      <c r="N85" s="104"/>
      <c r="O85" s="66"/>
      <c r="P85" s="66"/>
      <c r="Q85" s="103"/>
      <c r="R85" s="104"/>
      <c r="S85" s="104"/>
      <c r="T85" s="104"/>
      <c r="U85" s="104"/>
      <c r="V85" s="104"/>
      <c r="W85" s="101"/>
      <c r="Y85" s="101"/>
      <c r="Z85" s="101"/>
      <c r="AA85" s="101"/>
      <c r="AC85" s="101"/>
      <c r="AD85" s="101"/>
      <c r="AE85" s="101"/>
      <c r="AF85" s="101"/>
      <c r="AG85" s="101"/>
      <c r="AI85" s="101"/>
      <c r="AJ85" s="101"/>
      <c r="AK85" s="101"/>
      <c r="AM85" s="101"/>
      <c r="AN85" s="101"/>
      <c r="AO85" s="101"/>
      <c r="AP85" s="101"/>
      <c r="AQ85" s="101"/>
      <c r="AS85" s="101"/>
      <c r="AT85" s="101"/>
      <c r="AU85" s="101"/>
      <c r="BM85" s="65">
        <f>[1]resultat!AL85</f>
        <v>85</v>
      </c>
      <c r="BN85" s="65" t="str">
        <f>[1]resultat!AM85</f>
        <v>RAYMOND</v>
      </c>
      <c r="BO85" s="224">
        <v>85</v>
      </c>
      <c r="BP85" s="142">
        <v>13</v>
      </c>
      <c r="BQ85" s="148">
        <v>7</v>
      </c>
      <c r="BR85" s="273">
        <f t="shared" si="31"/>
        <v>12</v>
      </c>
      <c r="BS85" s="274" t="str">
        <f t="shared" si="32"/>
        <v>48</v>
      </c>
      <c r="BT85" s="275" t="str">
        <f t="shared" si="33"/>
        <v>LUC</v>
      </c>
      <c r="BU85" s="273" t="str">
        <f t="shared" si="34"/>
        <v>55</v>
      </c>
      <c r="BV85" s="277" t="str">
        <f t="shared" si="30"/>
        <v>GREGOIRE</v>
      </c>
      <c r="BW85" s="273">
        <f t="shared" si="30"/>
        <v>0</v>
      </c>
      <c r="BX85" s="273">
        <f t="shared" si="30"/>
        <v>0</v>
      </c>
    </row>
    <row r="86" spans="1:76">
      <c r="M86" s="103"/>
      <c r="N86" s="104"/>
      <c r="O86" s="66"/>
      <c r="P86" s="66"/>
      <c r="Q86" s="103"/>
      <c r="R86" s="104"/>
      <c r="S86" s="103"/>
      <c r="T86" s="103"/>
      <c r="U86" s="103"/>
      <c r="V86" s="103"/>
      <c r="BM86" s="65">
        <f>[1]resultat!AL86</f>
        <v>86</v>
      </c>
      <c r="BN86" s="65" t="str">
        <f>[1]resultat!AM86</f>
        <v>LUCIEN</v>
      </c>
      <c r="BO86" s="224">
        <v>86</v>
      </c>
      <c r="BP86" s="142">
        <v>13</v>
      </c>
      <c r="BQ86" s="148">
        <v>7</v>
      </c>
      <c r="BR86" s="273">
        <f t="shared" si="31"/>
        <v>13</v>
      </c>
      <c r="BS86" s="274" t="str">
        <f t="shared" si="32"/>
        <v>97</v>
      </c>
      <c r="BT86" s="275" t="str">
        <f t="shared" si="33"/>
        <v>MATTHIAS</v>
      </c>
      <c r="BU86" s="273" t="str">
        <f t="shared" si="34"/>
        <v>15</v>
      </c>
      <c r="BV86" s="277" t="str">
        <f t="shared" si="30"/>
        <v>JEAN PAUL</v>
      </c>
      <c r="BW86" s="273">
        <f t="shared" si="30"/>
        <v>0</v>
      </c>
      <c r="BX86" s="273">
        <f t="shared" si="30"/>
        <v>0</v>
      </c>
    </row>
    <row r="87" spans="1:76">
      <c r="M87" s="103"/>
      <c r="N87" s="104"/>
      <c r="O87" s="66"/>
      <c r="P87" s="66"/>
      <c r="Q87" s="103"/>
      <c r="R87" s="104"/>
      <c r="S87" s="103"/>
      <c r="T87" s="103"/>
      <c r="U87" s="103"/>
      <c r="V87" s="103"/>
      <c r="BM87" s="65">
        <f>[1]resultat!AL87</f>
        <v>87</v>
      </c>
      <c r="BN87" s="65" t="str">
        <f>[1]resultat!AM87</f>
        <v>GUILLAUME</v>
      </c>
      <c r="BO87" s="136">
        <v>87</v>
      </c>
      <c r="BP87" s="148">
        <v>7</v>
      </c>
      <c r="BQ87" s="142">
        <v>13</v>
      </c>
      <c r="BR87" s="273">
        <f t="shared" si="31"/>
        <v>14</v>
      </c>
      <c r="BS87" s="274" t="str">
        <f t="shared" si="32"/>
        <v>109</v>
      </c>
      <c r="BT87" s="275" t="str">
        <f t="shared" si="33"/>
        <v>MARCELLIN</v>
      </c>
      <c r="BU87" s="273" t="str">
        <f t="shared" si="34"/>
        <v>42</v>
      </c>
      <c r="BV87" s="277" t="str">
        <f t="shared" si="30"/>
        <v xml:space="preserve">FREDDY  </v>
      </c>
      <c r="BW87" s="273">
        <f t="shared" si="30"/>
        <v>0</v>
      </c>
      <c r="BX87" s="273">
        <f t="shared" si="30"/>
        <v>0</v>
      </c>
    </row>
    <row r="88" spans="1:76">
      <c r="M88" s="103"/>
      <c r="N88" s="104"/>
      <c r="O88" s="66"/>
      <c r="P88" s="66"/>
      <c r="Q88" s="103"/>
      <c r="R88" s="104"/>
      <c r="S88" s="103"/>
      <c r="T88" s="103"/>
      <c r="U88" s="103"/>
      <c r="V88" s="103"/>
      <c r="BM88" s="65">
        <f>[1]resultat!AL88</f>
        <v>88</v>
      </c>
      <c r="BN88" s="65" t="str">
        <f>[1]resultat!AM88</f>
        <v>VINCENT</v>
      </c>
      <c r="BO88" s="136">
        <v>88</v>
      </c>
      <c r="BP88" s="148">
        <v>7</v>
      </c>
      <c r="BQ88" s="142">
        <v>13</v>
      </c>
      <c r="BR88" s="273">
        <f t="shared" si="31"/>
        <v>15</v>
      </c>
      <c r="BS88" s="274" t="str">
        <f t="shared" si="32"/>
        <v>115</v>
      </c>
      <c r="BT88" s="275" t="str">
        <f t="shared" si="33"/>
        <v>LEON</v>
      </c>
      <c r="BU88" s="273" t="str">
        <f t="shared" si="34"/>
        <v>17</v>
      </c>
      <c r="BV88" s="277" t="str">
        <f t="shared" si="30"/>
        <v xml:space="preserve">LAURENT    </v>
      </c>
      <c r="BW88" s="273">
        <f t="shared" si="30"/>
        <v>0</v>
      </c>
      <c r="BX88" s="273">
        <f t="shared" si="30"/>
        <v>0</v>
      </c>
    </row>
    <row r="89" spans="1:76">
      <c r="M89" s="103"/>
      <c r="N89" s="104"/>
      <c r="O89" s="66"/>
      <c r="P89" s="66"/>
      <c r="Q89" s="103"/>
      <c r="R89" s="104"/>
      <c r="S89" s="103"/>
      <c r="T89" s="103"/>
      <c r="U89" s="103"/>
      <c r="V89" s="103"/>
      <c r="BM89" s="65">
        <f>[1]resultat!AL89</f>
        <v>89</v>
      </c>
      <c r="BN89" s="65" t="str">
        <f>[1]resultat!AM89</f>
        <v>BERNARD</v>
      </c>
      <c r="BO89" s="136">
        <v>89</v>
      </c>
      <c r="BP89" s="148">
        <v>7</v>
      </c>
      <c r="BQ89" s="142">
        <v>13</v>
      </c>
      <c r="BR89" s="273">
        <f t="shared" si="31"/>
        <v>16</v>
      </c>
      <c r="BS89" s="274" t="str">
        <f t="shared" si="32"/>
        <v>64</v>
      </c>
      <c r="BT89" s="275" t="str">
        <f t="shared" si="33"/>
        <v>QUENTIN</v>
      </c>
      <c r="BU89" s="273" t="str">
        <f t="shared" si="34"/>
        <v>49</v>
      </c>
      <c r="BV89" s="277" t="str">
        <f t="shared" si="30"/>
        <v>OLIVIER</v>
      </c>
      <c r="BW89" s="273">
        <f t="shared" si="30"/>
        <v>0</v>
      </c>
      <c r="BX89" s="273">
        <f t="shared" si="30"/>
        <v>0</v>
      </c>
    </row>
    <row r="90" spans="1:76">
      <c r="M90" s="103"/>
      <c r="N90" s="104"/>
      <c r="O90" s="66"/>
      <c r="P90" s="66"/>
      <c r="Q90" s="103"/>
      <c r="R90" s="104"/>
      <c r="S90" s="103"/>
      <c r="T90" s="103"/>
      <c r="U90" s="103"/>
      <c r="V90" s="103"/>
      <c r="BM90" s="65">
        <f>[1]resultat!AL90</f>
        <v>90</v>
      </c>
      <c r="BN90" s="65" t="str">
        <f>[1]resultat!AM90</f>
        <v>VALENTIN</v>
      </c>
      <c r="BO90" s="224">
        <v>90</v>
      </c>
      <c r="BP90" s="142">
        <v>13</v>
      </c>
      <c r="BQ90" s="148">
        <v>7</v>
      </c>
      <c r="BR90" s="273">
        <f t="shared" si="31"/>
        <v>17</v>
      </c>
      <c r="BS90" s="274" t="str">
        <f t="shared" si="32"/>
        <v>6</v>
      </c>
      <c r="BT90" s="275" t="str">
        <f t="shared" si="33"/>
        <v>JACQUES</v>
      </c>
      <c r="BU90" s="273" t="str">
        <f t="shared" si="34"/>
        <v>9</v>
      </c>
      <c r="BV90" s="277" t="str">
        <f t="shared" si="30"/>
        <v>SEBASTIEN</v>
      </c>
      <c r="BW90" s="273">
        <f t="shared" si="30"/>
        <v>0</v>
      </c>
      <c r="BX90" s="273">
        <f t="shared" si="30"/>
        <v>0</v>
      </c>
    </row>
    <row r="91" spans="1:76">
      <c r="M91" s="103"/>
      <c r="N91" s="104"/>
      <c r="O91" s="66"/>
      <c r="P91" s="66"/>
      <c r="Q91" s="103"/>
      <c r="R91" s="104"/>
      <c r="S91" s="103"/>
      <c r="T91" s="103"/>
      <c r="U91" s="103"/>
      <c r="V91" s="103"/>
      <c r="BM91" s="65">
        <f>[1]resultat!AL91</f>
        <v>91</v>
      </c>
      <c r="BN91" s="65" t="str">
        <f>[1]resultat!AM91</f>
        <v>VALERIE</v>
      </c>
      <c r="BO91" s="136">
        <v>91</v>
      </c>
      <c r="BP91" s="148">
        <v>7</v>
      </c>
      <c r="BQ91" s="142">
        <v>13</v>
      </c>
      <c r="BR91" s="273">
        <f t="shared" si="31"/>
        <v>18</v>
      </c>
      <c r="BS91" s="274" t="str">
        <f t="shared" si="32"/>
        <v>16</v>
      </c>
      <c r="BT91" s="275" t="str">
        <f t="shared" si="33"/>
        <v>MICKAEL</v>
      </c>
      <c r="BU91" s="273" t="str">
        <f t="shared" si="34"/>
        <v>84</v>
      </c>
      <c r="BV91" s="277" t="str">
        <f t="shared" si="30"/>
        <v>BASILE</v>
      </c>
      <c r="BW91" s="273">
        <f t="shared" si="30"/>
        <v>0</v>
      </c>
      <c r="BX91" s="273">
        <f t="shared" si="30"/>
        <v>0</v>
      </c>
    </row>
    <row r="92" spans="1:76">
      <c r="M92" s="103"/>
      <c r="N92" s="104"/>
      <c r="O92" s="66"/>
      <c r="P92" s="66"/>
      <c r="Q92" s="103"/>
      <c r="R92" s="104"/>
      <c r="S92" s="103"/>
      <c r="T92" s="103"/>
      <c r="U92" s="103"/>
      <c r="V92" s="103"/>
      <c r="BM92" s="65">
        <f>[1]resultat!AL92</f>
        <v>92</v>
      </c>
      <c r="BN92" s="65" t="str">
        <f>[1]resultat!AM92</f>
        <v>ROMAIN</v>
      </c>
      <c r="BO92" s="224">
        <v>92</v>
      </c>
      <c r="BP92" s="142">
        <v>13</v>
      </c>
      <c r="BQ92" s="148">
        <v>7</v>
      </c>
      <c r="BR92" s="273">
        <f t="shared" si="31"/>
        <v>19</v>
      </c>
      <c r="BS92" s="274" t="str">
        <f t="shared" si="32"/>
        <v>20</v>
      </c>
      <c r="BT92" s="275" t="str">
        <f t="shared" si="33"/>
        <v>JONATHAN</v>
      </c>
      <c r="BU92" s="273" t="str">
        <f t="shared" si="34"/>
        <v>74</v>
      </c>
      <c r="BV92" s="277" t="str">
        <f t="shared" si="30"/>
        <v>GERALD</v>
      </c>
      <c r="BW92" s="273">
        <f t="shared" si="30"/>
        <v>0</v>
      </c>
      <c r="BX92" s="273">
        <f t="shared" si="30"/>
        <v>0</v>
      </c>
    </row>
    <row r="93" spans="1:76">
      <c r="M93" s="103"/>
      <c r="N93" s="104"/>
      <c r="O93" s="66"/>
      <c r="P93" s="66"/>
      <c r="Q93" s="103"/>
      <c r="R93" s="104"/>
      <c r="S93" s="103"/>
      <c r="T93" s="103"/>
      <c r="U93" s="103"/>
      <c r="V93" s="103"/>
      <c r="BM93" s="65">
        <f>[1]resultat!AL93</f>
        <v>93</v>
      </c>
      <c r="BN93" s="65" t="str">
        <f>[1]resultat!AM93</f>
        <v>JOSEPH</v>
      </c>
      <c r="BO93" s="136">
        <v>93</v>
      </c>
      <c r="BP93" s="148">
        <v>7</v>
      </c>
      <c r="BQ93" s="142">
        <v>13</v>
      </c>
      <c r="BR93" s="273">
        <f t="shared" si="31"/>
        <v>20</v>
      </c>
      <c r="BS93" s="274" t="str">
        <f t="shared" si="32"/>
        <v>32</v>
      </c>
      <c r="BT93" s="275" t="str">
        <f t="shared" si="33"/>
        <v xml:space="preserve">ADELINE  </v>
      </c>
      <c r="BU93" s="273" t="str">
        <f t="shared" si="34"/>
        <v>33</v>
      </c>
      <c r="BV93" s="277" t="str">
        <f t="shared" si="30"/>
        <v xml:space="preserve">BRUNO  </v>
      </c>
      <c r="BW93" s="273">
        <f t="shared" si="30"/>
        <v>0</v>
      </c>
      <c r="BX93" s="273">
        <f t="shared" si="30"/>
        <v>0</v>
      </c>
    </row>
    <row r="94" spans="1:76">
      <c r="M94" s="103"/>
      <c r="N94" s="104"/>
      <c r="O94" s="66"/>
      <c r="P94" s="66"/>
      <c r="Q94" s="103"/>
      <c r="R94" s="104"/>
      <c r="S94" s="103"/>
      <c r="T94" s="103"/>
      <c r="U94" s="103"/>
      <c r="V94" s="103"/>
      <c r="BM94" s="65">
        <f>[1]resultat!AL94</f>
        <v>94</v>
      </c>
      <c r="BN94" s="65" t="str">
        <f>[1]resultat!AM94</f>
        <v>HUGUES</v>
      </c>
      <c r="BO94" s="136">
        <v>94</v>
      </c>
      <c r="BP94" s="148">
        <v>7</v>
      </c>
      <c r="BQ94" s="142">
        <v>13</v>
      </c>
      <c r="BR94" s="273">
        <f t="shared" si="31"/>
        <v>21</v>
      </c>
      <c r="BS94" s="274" t="str">
        <f t="shared" si="32"/>
        <v>100</v>
      </c>
      <c r="BT94" s="275" t="str">
        <f t="shared" si="33"/>
        <v>CONSTANTIN</v>
      </c>
      <c r="BU94" s="273" t="str">
        <f t="shared" si="34"/>
        <v>110</v>
      </c>
      <c r="BV94" s="277" t="str">
        <f t="shared" si="30"/>
        <v>ANICET</v>
      </c>
      <c r="BW94" s="273">
        <f t="shared" si="30"/>
        <v>0</v>
      </c>
      <c r="BX94" s="273">
        <f t="shared" si="30"/>
        <v>0</v>
      </c>
    </row>
    <row r="95" spans="1:76">
      <c r="M95" s="103"/>
      <c r="N95" s="104"/>
      <c r="O95" s="66"/>
      <c r="P95" s="66"/>
      <c r="Q95" s="103"/>
      <c r="R95" s="104"/>
      <c r="S95" s="103"/>
      <c r="T95" s="103"/>
      <c r="U95" s="103"/>
      <c r="V95" s="103"/>
      <c r="BM95" s="65">
        <f>[1]resultat!AL95</f>
        <v>95</v>
      </c>
      <c r="BN95" s="65" t="str">
        <f>[1]resultat!AM95</f>
        <v>RICHARD</v>
      </c>
      <c r="BO95" s="224">
        <v>95</v>
      </c>
      <c r="BP95" s="142">
        <v>13</v>
      </c>
      <c r="BQ95" s="148">
        <v>7</v>
      </c>
      <c r="BR95" s="273">
        <f t="shared" si="31"/>
        <v>22</v>
      </c>
      <c r="BS95" s="274" t="str">
        <f t="shared" si="32"/>
        <v>5</v>
      </c>
      <c r="BT95" s="275" t="str">
        <f t="shared" si="33"/>
        <v>YVON</v>
      </c>
      <c r="BU95" s="273" t="str">
        <f t="shared" si="34"/>
        <v>90</v>
      </c>
      <c r="BV95" s="277" t="str">
        <f t="shared" si="30"/>
        <v>VALENTIN</v>
      </c>
      <c r="BW95" s="273">
        <f t="shared" si="30"/>
        <v>0</v>
      </c>
      <c r="BX95" s="273">
        <f t="shared" si="30"/>
        <v>0</v>
      </c>
    </row>
    <row r="96" spans="1:76">
      <c r="M96" s="103"/>
      <c r="N96" s="104"/>
      <c r="O96" s="66"/>
      <c r="P96" s="66"/>
      <c r="Q96" s="103"/>
      <c r="R96" s="104"/>
      <c r="S96" s="103"/>
      <c r="T96" s="103"/>
      <c r="U96" s="103"/>
      <c r="V96" s="103"/>
      <c r="BM96" s="65">
        <f>[1]resultat!AL96</f>
        <v>96</v>
      </c>
      <c r="BN96" s="65" t="str">
        <f>[1]resultat!AM96</f>
        <v>GAUTIER</v>
      </c>
      <c r="BO96" s="224">
        <v>96</v>
      </c>
      <c r="BP96" s="142">
        <v>13</v>
      </c>
      <c r="BQ96" s="148">
        <v>7</v>
      </c>
      <c r="BR96" s="273">
        <f t="shared" si="31"/>
        <v>23</v>
      </c>
      <c r="BS96" s="274" t="str">
        <f t="shared" si="32"/>
        <v>13</v>
      </c>
      <c r="BT96" s="275" t="str">
        <f t="shared" si="33"/>
        <v>JEAN PIERRE</v>
      </c>
      <c r="BU96" s="273" t="str">
        <f t="shared" si="34"/>
        <v>58</v>
      </c>
      <c r="BV96" s="277" t="str">
        <f t="shared" si="30"/>
        <v>FRANCIS</v>
      </c>
      <c r="BW96" s="273">
        <f t="shared" si="30"/>
        <v>0</v>
      </c>
      <c r="BX96" s="273">
        <f t="shared" si="30"/>
        <v>0</v>
      </c>
    </row>
    <row r="97" spans="3:76">
      <c r="M97" s="103"/>
      <c r="N97" s="104"/>
      <c r="O97" s="66"/>
      <c r="P97" s="66"/>
      <c r="Q97" s="103"/>
      <c r="R97" s="104"/>
      <c r="S97" s="103"/>
      <c r="T97" s="103"/>
      <c r="U97" s="103"/>
      <c r="V97" s="103"/>
      <c r="BM97" s="65">
        <f>[1]resultat!AL97</f>
        <v>97</v>
      </c>
      <c r="BN97" s="65" t="str">
        <f>[1]resultat!AM97</f>
        <v>MATTHIAS</v>
      </c>
      <c r="BO97" s="136">
        <v>97</v>
      </c>
      <c r="BP97" s="148">
        <v>7</v>
      </c>
      <c r="BQ97" s="142">
        <v>13</v>
      </c>
      <c r="BR97" s="273">
        <f t="shared" si="31"/>
        <v>24</v>
      </c>
      <c r="BS97" s="274" t="str">
        <f t="shared" si="32"/>
        <v>63</v>
      </c>
      <c r="BT97" s="275" t="str">
        <f t="shared" si="33"/>
        <v>FIRMIN</v>
      </c>
      <c r="BU97" s="273" t="str">
        <f t="shared" si="34"/>
        <v>67</v>
      </c>
      <c r="BV97" s="277" t="str">
        <f t="shared" si="30"/>
        <v>YVONNICK</v>
      </c>
      <c r="BW97" s="273">
        <f t="shared" si="30"/>
        <v>0</v>
      </c>
      <c r="BX97" s="273">
        <f t="shared" si="30"/>
        <v>0</v>
      </c>
    </row>
    <row r="98" spans="3:76">
      <c r="M98" s="103"/>
      <c r="N98" s="104"/>
      <c r="O98" s="66"/>
      <c r="P98" s="66"/>
      <c r="Q98" s="103"/>
      <c r="R98" s="104"/>
      <c r="S98" s="103"/>
      <c r="T98" s="103"/>
      <c r="U98" s="103"/>
      <c r="V98" s="103"/>
      <c r="BM98" s="65">
        <f>[1]resultat!AL98</f>
        <v>98</v>
      </c>
      <c r="BN98" s="65" t="str">
        <f>[1]resultat!AM98</f>
        <v>STANISLAS</v>
      </c>
      <c r="BO98" s="224">
        <v>98</v>
      </c>
      <c r="BP98" s="142">
        <v>13</v>
      </c>
      <c r="BQ98" s="148">
        <v>7</v>
      </c>
      <c r="BR98" s="273">
        <f t="shared" si="31"/>
        <v>25</v>
      </c>
      <c r="BS98" s="274" t="str">
        <f t="shared" si="32"/>
        <v>1</v>
      </c>
      <c r="BT98" s="275" t="str">
        <f t="shared" si="33"/>
        <v>PETER</v>
      </c>
      <c r="BU98" s="273" t="str">
        <f t="shared" si="34"/>
        <v>30</v>
      </c>
      <c r="BV98" s="277" t="str">
        <f t="shared" si="30"/>
        <v xml:space="preserve">PATRICK   </v>
      </c>
      <c r="BW98" s="273">
        <f t="shared" si="30"/>
        <v>0</v>
      </c>
      <c r="BX98" s="273">
        <f t="shared" si="30"/>
        <v>0</v>
      </c>
    </row>
    <row r="99" spans="3:76" ht="21.75" customHeight="1">
      <c r="M99" s="103"/>
      <c r="N99" s="104"/>
      <c r="O99" s="66"/>
      <c r="P99" s="66"/>
      <c r="Q99" s="103"/>
      <c r="R99" s="104"/>
      <c r="S99" s="103"/>
      <c r="T99" s="103"/>
      <c r="U99" s="103"/>
      <c r="V99" s="103"/>
      <c r="BM99" s="65">
        <f>[1]resultat!AL99</f>
        <v>99</v>
      </c>
      <c r="BN99" s="65" t="str">
        <f>[1]resultat!AM99</f>
        <v>ROLANDE</v>
      </c>
      <c r="BO99" s="224">
        <v>99</v>
      </c>
      <c r="BP99" s="142">
        <v>13</v>
      </c>
      <c r="BQ99" s="148">
        <v>7</v>
      </c>
      <c r="BR99" s="273">
        <f t="shared" si="31"/>
        <v>26</v>
      </c>
      <c r="BS99" s="274" t="str">
        <f t="shared" si="32"/>
        <v>77</v>
      </c>
      <c r="BT99" s="275" t="str">
        <f t="shared" si="33"/>
        <v>DANIEL</v>
      </c>
      <c r="BU99" s="273" t="str">
        <f t="shared" si="34"/>
        <v>12</v>
      </c>
      <c r="BV99" s="277" t="str">
        <f t="shared" si="30"/>
        <v>ALAIN</v>
      </c>
      <c r="BW99" s="273">
        <f t="shared" si="30"/>
        <v>0</v>
      </c>
      <c r="BX99" s="273">
        <f t="shared" si="30"/>
        <v>0</v>
      </c>
    </row>
    <row r="100" spans="3:76" ht="21.75" customHeight="1">
      <c r="C100" s="62"/>
      <c r="D100" s="105"/>
      <c r="E100" s="105"/>
      <c r="F100" s="106"/>
      <c r="G100" s="106"/>
      <c r="H100" s="107"/>
      <c r="I100" s="108"/>
      <c r="J100" s="62"/>
      <c r="K100" s="62"/>
      <c r="L100" s="62"/>
      <c r="M100" s="62"/>
      <c r="N100" s="101"/>
      <c r="O100" s="63"/>
      <c r="P100" s="63"/>
      <c r="Q100" s="62"/>
      <c r="R100" s="101"/>
      <c r="S100" s="62"/>
      <c r="T100" s="62"/>
      <c r="U100" s="62"/>
      <c r="V100" s="62"/>
      <c r="BM100" s="65">
        <f>[1]resultat!AL100</f>
        <v>100</v>
      </c>
      <c r="BN100" s="65" t="str">
        <f>[1]resultat!AM100</f>
        <v>CONSTANTIN</v>
      </c>
      <c r="BO100" s="224">
        <v>100</v>
      </c>
      <c r="BP100" s="142">
        <v>13</v>
      </c>
      <c r="BQ100" s="148">
        <v>7</v>
      </c>
      <c r="BR100" s="273">
        <f t="shared" si="31"/>
        <v>27</v>
      </c>
      <c r="BS100" s="274" t="str">
        <f t="shared" si="32"/>
        <v>24</v>
      </c>
      <c r="BT100" s="275" t="str">
        <f t="shared" si="33"/>
        <v>JACQUES</v>
      </c>
      <c r="BU100" s="273" t="str">
        <f t="shared" si="34"/>
        <v>83</v>
      </c>
      <c r="BV100" s="277" t="str">
        <f t="shared" si="30"/>
        <v>ETIENNE</v>
      </c>
      <c r="BW100" s="273">
        <f t="shared" si="30"/>
        <v>0</v>
      </c>
      <c r="BX100" s="273">
        <f t="shared" si="30"/>
        <v>0</v>
      </c>
    </row>
    <row r="101" spans="3:76" ht="21.75" customHeight="1">
      <c r="C101" s="71" t="s">
        <v>54</v>
      </c>
      <c r="D101" s="109"/>
      <c r="E101" s="105"/>
      <c r="F101" s="22">
        <v>105</v>
      </c>
      <c r="G101" s="101"/>
      <c r="H101" s="101"/>
      <c r="I101" s="110"/>
      <c r="J101" s="23">
        <v>23</v>
      </c>
      <c r="K101" s="263"/>
      <c r="L101" s="263"/>
      <c r="M101" s="101"/>
      <c r="N101" s="101"/>
      <c r="O101" s="101"/>
      <c r="P101" s="1">
        <v>57</v>
      </c>
      <c r="Q101" s="101"/>
      <c r="R101" s="101"/>
      <c r="S101" s="101"/>
      <c r="T101" s="5">
        <v>94</v>
      </c>
      <c r="U101" s="101"/>
      <c r="V101" s="101"/>
      <c r="W101" s="101"/>
      <c r="Y101" s="101"/>
      <c r="Z101" s="1">
        <v>95</v>
      </c>
      <c r="AC101" s="101"/>
      <c r="AD101" s="5">
        <v>72</v>
      </c>
      <c r="AJ101" s="1">
        <v>87</v>
      </c>
      <c r="AN101" s="5">
        <v>15</v>
      </c>
      <c r="AT101" s="1">
        <v>107</v>
      </c>
      <c r="AX101" s="5">
        <v>73</v>
      </c>
      <c r="BD101" s="1">
        <v>57</v>
      </c>
      <c r="BH101" s="2">
        <v>36</v>
      </c>
      <c r="BM101" s="65">
        <f>[1]resultat!AL101</f>
        <v>101</v>
      </c>
      <c r="BN101" s="65" t="str">
        <f>[1]resultat!AM101</f>
        <v>HONORE</v>
      </c>
      <c r="BO101" s="224">
        <v>101</v>
      </c>
      <c r="BP101" s="142">
        <v>13</v>
      </c>
      <c r="BQ101" s="148">
        <v>7</v>
      </c>
      <c r="BR101" s="273">
        <f t="shared" si="31"/>
        <v>28</v>
      </c>
      <c r="BS101" s="274" t="str">
        <f t="shared" si="32"/>
        <v>21</v>
      </c>
      <c r="BT101" s="275" t="str">
        <f t="shared" si="33"/>
        <v>GEGE</v>
      </c>
      <c r="BU101" s="273" t="str">
        <f t="shared" si="34"/>
        <v>43</v>
      </c>
      <c r="BV101" s="277" t="str">
        <f t="shared" si="30"/>
        <v>ALLAIRE</v>
      </c>
      <c r="BW101" s="273">
        <f t="shared" si="30"/>
        <v>0</v>
      </c>
      <c r="BX101" s="273">
        <f t="shared" si="30"/>
        <v>0</v>
      </c>
    </row>
    <row r="102" spans="3:76" ht="21.75" customHeight="1">
      <c r="C102" s="71" t="s">
        <v>54</v>
      </c>
      <c r="D102" s="109"/>
      <c r="E102" s="105"/>
      <c r="F102" s="22">
        <v>7</v>
      </c>
      <c r="G102" s="101"/>
      <c r="H102" s="101"/>
      <c r="I102" s="110"/>
      <c r="J102" s="23">
        <v>65</v>
      </c>
      <c r="K102" s="264"/>
      <c r="L102" s="264"/>
      <c r="M102" s="101"/>
      <c r="N102" s="101"/>
      <c r="O102" s="101"/>
      <c r="P102" s="1">
        <v>4</v>
      </c>
      <c r="Q102" s="101"/>
      <c r="R102" s="101"/>
      <c r="S102" s="101"/>
      <c r="T102" s="5">
        <v>66</v>
      </c>
      <c r="U102" s="101"/>
      <c r="V102" s="101"/>
      <c r="W102" s="101"/>
      <c r="Y102" s="101"/>
      <c r="Z102" s="1">
        <v>1</v>
      </c>
      <c r="AC102" s="101"/>
      <c r="AD102" s="5">
        <v>3</v>
      </c>
      <c r="AJ102" s="1">
        <v>67</v>
      </c>
      <c r="AN102" s="5">
        <v>100</v>
      </c>
      <c r="AT102" s="1">
        <v>44</v>
      </c>
      <c r="AX102" s="5">
        <v>103</v>
      </c>
      <c r="BD102" s="1">
        <v>100</v>
      </c>
      <c r="BH102" s="2">
        <v>19</v>
      </c>
      <c r="BM102" s="65">
        <f>[1]resultat!AL102</f>
        <v>102</v>
      </c>
      <c r="BN102" s="65" t="str">
        <f>[1]resultat!AM102</f>
        <v>DONATIEN</v>
      </c>
      <c r="BO102" s="136">
        <v>102</v>
      </c>
      <c r="BP102" s="148">
        <v>7</v>
      </c>
      <c r="BQ102" s="142">
        <v>13</v>
      </c>
      <c r="BR102" s="273">
        <f t="shared" si="31"/>
        <v>29</v>
      </c>
      <c r="BS102" s="274" t="str">
        <f t="shared" si="32"/>
        <v>29</v>
      </c>
      <c r="BT102" s="275" t="str">
        <f t="shared" si="33"/>
        <v xml:space="preserve">YOANN   </v>
      </c>
      <c r="BU102" s="273" t="str">
        <f t="shared" si="34"/>
        <v>54</v>
      </c>
      <c r="BV102" s="277" t="str">
        <f t="shared" si="30"/>
        <v>DAMIEN</v>
      </c>
      <c r="BW102" s="273">
        <f t="shared" si="30"/>
        <v>0</v>
      </c>
      <c r="BX102" s="273">
        <f t="shared" si="30"/>
        <v>0</v>
      </c>
    </row>
    <row r="103" spans="3:76" ht="21.75" customHeight="1">
      <c r="C103" s="71" t="s">
        <v>54</v>
      </c>
      <c r="D103" s="109"/>
      <c r="E103" s="105"/>
      <c r="F103" s="22">
        <v>55</v>
      </c>
      <c r="G103" s="101"/>
      <c r="H103" s="101"/>
      <c r="I103" s="110"/>
      <c r="J103" s="23">
        <v>57</v>
      </c>
      <c r="K103" s="265"/>
      <c r="L103" s="265"/>
      <c r="M103" s="101"/>
      <c r="N103" s="101"/>
      <c r="O103" s="101"/>
      <c r="P103" s="1">
        <v>22</v>
      </c>
      <c r="Q103" s="101"/>
      <c r="R103" s="101"/>
      <c r="S103" s="101"/>
      <c r="T103" s="5">
        <v>23</v>
      </c>
      <c r="U103" s="101"/>
      <c r="V103" s="101"/>
      <c r="W103" s="101"/>
      <c r="Y103" s="101"/>
      <c r="Z103" s="1">
        <v>35</v>
      </c>
      <c r="AC103" s="101"/>
      <c r="AD103" s="5">
        <v>82</v>
      </c>
      <c r="AJ103" s="1">
        <v>103</v>
      </c>
      <c r="AN103" s="5">
        <v>18</v>
      </c>
      <c r="AT103" s="1">
        <v>87</v>
      </c>
      <c r="AX103" s="5">
        <v>113</v>
      </c>
      <c r="BD103" s="1">
        <v>72</v>
      </c>
      <c r="BH103" s="2">
        <v>59</v>
      </c>
      <c r="BM103" s="65">
        <f>[1]resultat!AL103</f>
        <v>103</v>
      </c>
      <c r="BN103" s="65" t="str">
        <f>[1]resultat!AM103</f>
        <v>GERMAIN</v>
      </c>
      <c r="BO103" s="136">
        <v>103</v>
      </c>
      <c r="BP103" s="148">
        <v>7</v>
      </c>
      <c r="BQ103" s="142">
        <v>13</v>
      </c>
      <c r="BR103" s="273">
        <f t="shared" si="31"/>
        <v>30</v>
      </c>
      <c r="BS103" s="274" t="str">
        <f t="shared" si="32"/>
        <v>82</v>
      </c>
      <c r="BT103" s="275" t="str">
        <f t="shared" si="33"/>
        <v>URBAIN</v>
      </c>
      <c r="BU103" s="273" t="str">
        <f t="shared" si="34"/>
        <v>93</v>
      </c>
      <c r="BV103" s="277" t="str">
        <f t="shared" si="30"/>
        <v>JOSEPH</v>
      </c>
      <c r="BW103" s="273">
        <f t="shared" si="30"/>
        <v>0</v>
      </c>
      <c r="BX103" s="273">
        <f t="shared" si="30"/>
        <v>0</v>
      </c>
    </row>
    <row r="104" spans="3:76" ht="21.75" customHeight="1">
      <c r="C104" s="71" t="s">
        <v>54</v>
      </c>
      <c r="D104" s="109"/>
      <c r="E104" s="105"/>
      <c r="F104" s="22">
        <v>41</v>
      </c>
      <c r="G104" s="101"/>
      <c r="H104" s="101"/>
      <c r="I104" s="110"/>
      <c r="J104" s="23">
        <v>56</v>
      </c>
      <c r="K104" s="101"/>
      <c r="L104" s="101"/>
      <c r="M104" s="101"/>
      <c r="N104" s="101"/>
      <c r="O104" s="101"/>
      <c r="P104" s="1">
        <v>25</v>
      </c>
      <c r="Q104" s="101"/>
      <c r="R104" s="101"/>
      <c r="S104" s="101"/>
      <c r="T104" s="5">
        <v>118</v>
      </c>
      <c r="U104" s="101"/>
      <c r="V104" s="101"/>
      <c r="W104" s="101"/>
      <c r="Y104" s="101"/>
      <c r="Z104" s="1">
        <v>91</v>
      </c>
      <c r="AC104" s="101"/>
      <c r="AD104" s="5">
        <v>55</v>
      </c>
      <c r="AJ104" s="1">
        <v>46</v>
      </c>
      <c r="AN104" s="5">
        <v>108</v>
      </c>
      <c r="AT104" s="1">
        <v>9</v>
      </c>
      <c r="AX104" s="5">
        <v>101</v>
      </c>
      <c r="BD104" s="1">
        <v>96</v>
      </c>
      <c r="BH104" s="2">
        <v>101</v>
      </c>
      <c r="BM104" s="65">
        <f>[1]resultat!AL104</f>
        <v>104</v>
      </c>
      <c r="BN104" s="65" t="str">
        <f>[1]resultat!AM104</f>
        <v>RODRIGUE</v>
      </c>
      <c r="BO104" s="224">
        <v>104</v>
      </c>
      <c r="BP104" s="142">
        <v>13</v>
      </c>
      <c r="BQ104" s="148">
        <v>7</v>
      </c>
      <c r="BR104" s="273">
        <f t="shared" si="31"/>
        <v>31</v>
      </c>
      <c r="BS104" s="274" t="str">
        <f t="shared" si="32"/>
        <v>51</v>
      </c>
      <c r="BT104" s="275" t="str">
        <f t="shared" si="33"/>
        <v>BEAUDOUIN</v>
      </c>
      <c r="BU104" s="273" t="str">
        <f t="shared" si="34"/>
        <v>68</v>
      </c>
      <c r="BV104" s="277" t="str">
        <f t="shared" si="30"/>
        <v>BRICE</v>
      </c>
      <c r="BW104" s="273">
        <f t="shared" si="30"/>
        <v>0</v>
      </c>
      <c r="BX104" s="273">
        <f t="shared" si="30"/>
        <v>0</v>
      </c>
    </row>
    <row r="105" spans="3:76" ht="21.75" customHeight="1">
      <c r="C105" s="71" t="s">
        <v>54</v>
      </c>
      <c r="D105" s="109"/>
      <c r="E105" s="105"/>
      <c r="F105" s="22">
        <v>75</v>
      </c>
      <c r="G105" s="101"/>
      <c r="H105" s="101"/>
      <c r="I105" s="110"/>
      <c r="J105" s="23">
        <v>53</v>
      </c>
      <c r="K105" s="101"/>
      <c r="L105" s="101"/>
      <c r="M105" s="101"/>
      <c r="N105" s="101"/>
      <c r="O105" s="101"/>
      <c r="P105" s="1">
        <v>35</v>
      </c>
      <c r="Q105" s="101"/>
      <c r="R105" s="101"/>
      <c r="S105" s="101"/>
      <c r="T105" s="5">
        <v>95</v>
      </c>
      <c r="U105" s="101"/>
      <c r="V105" s="101"/>
      <c r="W105" s="101"/>
      <c r="Y105" s="101"/>
      <c r="Z105" s="1">
        <v>28</v>
      </c>
      <c r="AC105" s="101"/>
      <c r="AD105" s="5">
        <v>89</v>
      </c>
      <c r="AJ105" s="1">
        <v>36</v>
      </c>
      <c r="AN105" s="5">
        <v>22</v>
      </c>
      <c r="AT105" s="1">
        <v>93</v>
      </c>
      <c r="AX105" s="5">
        <v>11</v>
      </c>
      <c r="BD105" s="1">
        <v>113</v>
      </c>
      <c r="BH105" s="2">
        <v>53</v>
      </c>
      <c r="BM105" s="65">
        <f>[1]resultat!AL105</f>
        <v>105</v>
      </c>
      <c r="BN105" s="65" t="str">
        <f>[1]resultat!AM105</f>
        <v>CYRILL</v>
      </c>
      <c r="BO105" s="224">
        <v>105</v>
      </c>
      <c r="BP105" s="142">
        <v>13</v>
      </c>
      <c r="BQ105" s="148">
        <v>7</v>
      </c>
      <c r="BR105" s="273">
        <f t="shared" si="31"/>
        <v>32</v>
      </c>
      <c r="BS105" s="274" t="str">
        <f t="shared" si="32"/>
        <v>86</v>
      </c>
      <c r="BT105" s="275" t="str">
        <f t="shared" si="33"/>
        <v>LUCIEN</v>
      </c>
      <c r="BU105" s="273" t="str">
        <f t="shared" si="34"/>
        <v>27</v>
      </c>
      <c r="BV105" s="277" t="str">
        <f t="shared" si="30"/>
        <v xml:space="preserve">PHILIPPE  </v>
      </c>
      <c r="BW105" s="273">
        <f t="shared" si="30"/>
        <v>0</v>
      </c>
      <c r="BX105" s="273">
        <f t="shared" si="30"/>
        <v>0</v>
      </c>
    </row>
    <row r="106" spans="3:76" ht="21.75" customHeight="1">
      <c r="C106" s="71" t="s">
        <v>54</v>
      </c>
      <c r="D106" s="109"/>
      <c r="E106" s="105"/>
      <c r="F106" s="22">
        <v>32</v>
      </c>
      <c r="G106" s="101"/>
      <c r="H106" s="101"/>
      <c r="I106" s="110"/>
      <c r="J106" s="23">
        <v>51</v>
      </c>
      <c r="K106" s="101"/>
      <c r="L106" s="101"/>
      <c r="M106" s="101"/>
      <c r="N106" s="101"/>
      <c r="O106" s="101"/>
      <c r="P106" s="1">
        <v>116</v>
      </c>
      <c r="Q106" s="101"/>
      <c r="R106" s="101"/>
      <c r="S106" s="101"/>
      <c r="T106" s="5">
        <v>11</v>
      </c>
      <c r="U106" s="101"/>
      <c r="V106" s="101"/>
      <c r="W106" s="101"/>
      <c r="Y106" s="101"/>
      <c r="Z106" s="1">
        <v>48</v>
      </c>
      <c r="AC106" s="101"/>
      <c r="AD106" s="5">
        <v>115</v>
      </c>
      <c r="AJ106" s="1">
        <v>65</v>
      </c>
      <c r="AN106" s="5">
        <v>106</v>
      </c>
      <c r="AT106" s="1">
        <v>6</v>
      </c>
      <c r="AX106" s="5">
        <v>115</v>
      </c>
      <c r="BD106" s="1">
        <v>35</v>
      </c>
      <c r="BH106" s="2">
        <v>86</v>
      </c>
      <c r="BM106" s="65">
        <f>[1]resultat!AL106</f>
        <v>106</v>
      </c>
      <c r="BN106" s="65" t="str">
        <f>[1]resultat!AM106</f>
        <v>LOUISE</v>
      </c>
      <c r="BO106" s="136">
        <v>106</v>
      </c>
      <c r="BP106" s="148">
        <v>7</v>
      </c>
      <c r="BQ106" s="142">
        <v>13</v>
      </c>
      <c r="BR106" s="273">
        <f t="shared" si="31"/>
        <v>33</v>
      </c>
      <c r="BS106" s="274" t="str">
        <f t="shared" si="32"/>
        <v>103</v>
      </c>
      <c r="BT106" s="275" t="str">
        <f t="shared" si="33"/>
        <v>GERMAIN</v>
      </c>
      <c r="BU106" s="273" t="str">
        <f t="shared" si="34"/>
        <v>96</v>
      </c>
      <c r="BV106" s="277" t="str">
        <f t="shared" ref="BV106:BX137" si="35">T38</f>
        <v>GAUTIER</v>
      </c>
      <c r="BW106" s="273">
        <f t="shared" si="35"/>
        <v>0</v>
      </c>
      <c r="BX106" s="273">
        <f t="shared" si="35"/>
        <v>0</v>
      </c>
    </row>
    <row r="107" spans="3:76" ht="21.75" customHeight="1">
      <c r="C107" s="71" t="s">
        <v>54</v>
      </c>
      <c r="D107" s="109"/>
      <c r="E107" s="105"/>
      <c r="F107" s="22">
        <v>90</v>
      </c>
      <c r="G107" s="101"/>
      <c r="H107" s="101"/>
      <c r="I107" s="110"/>
      <c r="J107" s="23">
        <v>36</v>
      </c>
      <c r="K107" s="101"/>
      <c r="L107" s="101"/>
      <c r="M107" s="101"/>
      <c r="N107" s="101"/>
      <c r="O107" s="101"/>
      <c r="P107" s="1">
        <v>14</v>
      </c>
      <c r="Q107" s="101"/>
      <c r="R107" s="101"/>
      <c r="S107" s="101"/>
      <c r="T107" s="5">
        <v>111</v>
      </c>
      <c r="U107" s="101"/>
      <c r="V107" s="101"/>
      <c r="W107" s="101"/>
      <c r="Y107" s="101"/>
      <c r="Z107" s="1">
        <v>113</v>
      </c>
      <c r="AC107" s="101"/>
      <c r="AD107" s="5">
        <v>51</v>
      </c>
      <c r="AJ107" s="1">
        <v>32</v>
      </c>
      <c r="AN107" s="5">
        <v>95</v>
      </c>
      <c r="AT107" s="1">
        <v>59</v>
      </c>
      <c r="AX107" s="5">
        <v>118</v>
      </c>
      <c r="BD107" s="1">
        <v>81</v>
      </c>
      <c r="BH107" s="2">
        <v>111</v>
      </c>
      <c r="BM107" s="65">
        <f>[1]resultat!AL107</f>
        <v>107</v>
      </c>
      <c r="BN107" s="65" t="str">
        <f>[1]resultat!AM107</f>
        <v>GONTRAN</v>
      </c>
      <c r="BO107" s="224">
        <v>107</v>
      </c>
      <c r="BP107" s="142">
        <v>13</v>
      </c>
      <c r="BQ107" s="148">
        <v>7</v>
      </c>
      <c r="BR107" s="273">
        <f t="shared" si="31"/>
        <v>34</v>
      </c>
      <c r="BS107" s="274" t="str">
        <f t="shared" si="32"/>
        <v>102</v>
      </c>
      <c r="BT107" s="275" t="str">
        <f t="shared" si="33"/>
        <v>DONATIEN</v>
      </c>
      <c r="BU107" s="273" t="str">
        <f t="shared" si="34"/>
        <v>92</v>
      </c>
      <c r="BV107" s="277" t="str">
        <f t="shared" si="35"/>
        <v>ROMAIN</v>
      </c>
      <c r="BW107" s="273">
        <f t="shared" si="35"/>
        <v>0</v>
      </c>
      <c r="BX107" s="273">
        <f t="shared" si="35"/>
        <v>0</v>
      </c>
    </row>
    <row r="108" spans="3:76" ht="21.75" customHeight="1">
      <c r="C108" s="71" t="s">
        <v>54</v>
      </c>
      <c r="D108" s="111"/>
      <c r="E108" s="105"/>
      <c r="F108" s="1">
        <v>35</v>
      </c>
      <c r="G108" s="101"/>
      <c r="H108" s="101"/>
      <c r="I108" s="112"/>
      <c r="J108" s="42">
        <v>106</v>
      </c>
      <c r="K108" s="101"/>
      <c r="L108" s="101"/>
      <c r="M108" s="101"/>
      <c r="N108" s="101"/>
      <c r="O108" s="101"/>
      <c r="P108" s="1">
        <v>2</v>
      </c>
      <c r="Q108" s="101"/>
      <c r="R108" s="101"/>
      <c r="S108" s="101"/>
      <c r="T108" s="5">
        <v>69</v>
      </c>
      <c r="U108" s="101"/>
      <c r="V108" s="101"/>
      <c r="W108" s="101"/>
      <c r="Y108" s="101"/>
      <c r="Z108" s="1">
        <v>22</v>
      </c>
      <c r="AC108" s="101"/>
      <c r="AD108" s="5">
        <v>68</v>
      </c>
      <c r="AJ108" s="1">
        <v>64</v>
      </c>
      <c r="AN108" s="5">
        <v>8</v>
      </c>
      <c r="AT108" s="1">
        <v>55</v>
      </c>
      <c r="AX108" s="5">
        <v>69</v>
      </c>
      <c r="BD108" s="1">
        <v>10</v>
      </c>
      <c r="BH108" s="2">
        <v>114</v>
      </c>
      <c r="BM108" s="65">
        <f>[1]resultat!AL108</f>
        <v>108</v>
      </c>
      <c r="BN108" s="65" t="str">
        <f>[1]resultat!AM108</f>
        <v>ISIDORE</v>
      </c>
      <c r="BO108" s="136">
        <v>108</v>
      </c>
      <c r="BP108" s="148">
        <v>7</v>
      </c>
      <c r="BQ108" s="142">
        <v>13</v>
      </c>
      <c r="BR108" s="273">
        <f t="shared" si="31"/>
        <v>35</v>
      </c>
      <c r="BS108" s="274" t="str">
        <f t="shared" si="32"/>
        <v>89</v>
      </c>
      <c r="BT108" s="275" t="str">
        <f t="shared" si="33"/>
        <v>BERNARD</v>
      </c>
      <c r="BU108" s="273" t="str">
        <f t="shared" si="34"/>
        <v>101</v>
      </c>
      <c r="BV108" s="277" t="str">
        <f t="shared" si="35"/>
        <v>HONORE</v>
      </c>
      <c r="BW108" s="273">
        <f t="shared" si="35"/>
        <v>0</v>
      </c>
      <c r="BX108" s="273">
        <f t="shared" si="35"/>
        <v>0</v>
      </c>
    </row>
    <row r="109" spans="3:76" ht="21.75" customHeight="1">
      <c r="C109" s="71" t="s">
        <v>54</v>
      </c>
      <c r="D109" s="101"/>
      <c r="E109" s="105"/>
      <c r="F109" s="1">
        <v>2</v>
      </c>
      <c r="G109" s="101"/>
      <c r="H109" s="101"/>
      <c r="I109" s="112"/>
      <c r="J109" s="5">
        <v>97</v>
      </c>
      <c r="K109" s="101"/>
      <c r="L109" s="101"/>
      <c r="M109" s="101"/>
      <c r="N109" s="101"/>
      <c r="O109" s="101"/>
      <c r="P109" s="1">
        <v>19</v>
      </c>
      <c r="Q109" s="101"/>
      <c r="R109" s="101"/>
      <c r="S109" s="101"/>
      <c r="T109" s="5">
        <v>56</v>
      </c>
      <c r="U109" s="101"/>
      <c r="V109" s="101"/>
      <c r="W109" s="101"/>
      <c r="Y109" s="101"/>
      <c r="Z109" s="1">
        <v>46</v>
      </c>
      <c r="AC109" s="101"/>
      <c r="AD109" s="5">
        <v>24</v>
      </c>
      <c r="AJ109" s="1">
        <v>54</v>
      </c>
      <c r="AN109" s="5">
        <v>73</v>
      </c>
      <c r="AT109" s="1">
        <v>57</v>
      </c>
      <c r="AX109" s="5">
        <v>64</v>
      </c>
      <c r="BD109" s="1">
        <v>99</v>
      </c>
      <c r="BH109" s="2">
        <v>91</v>
      </c>
      <c r="BM109" s="65">
        <f>[1]resultat!AL109</f>
        <v>109</v>
      </c>
      <c r="BN109" s="65" t="str">
        <f>[1]resultat!AM109</f>
        <v>MARCELLIN</v>
      </c>
      <c r="BO109" s="224">
        <v>109</v>
      </c>
      <c r="BP109" s="142">
        <v>13</v>
      </c>
      <c r="BQ109" s="148">
        <v>7</v>
      </c>
      <c r="BR109" s="273">
        <f t="shared" si="31"/>
        <v>36</v>
      </c>
      <c r="BS109" s="274" t="str">
        <f t="shared" si="32"/>
        <v>37</v>
      </c>
      <c r="BT109" s="275" t="str">
        <f t="shared" si="33"/>
        <v>CLEMENT</v>
      </c>
      <c r="BU109" s="273" t="str">
        <f t="shared" si="34"/>
        <v>34</v>
      </c>
      <c r="BV109" s="277" t="str">
        <f t="shared" si="35"/>
        <v xml:space="preserve">JOE  </v>
      </c>
      <c r="BW109" s="273">
        <f t="shared" si="35"/>
        <v>0</v>
      </c>
      <c r="BX109" s="273">
        <f t="shared" si="35"/>
        <v>0</v>
      </c>
    </row>
    <row r="110" spans="3:76" ht="21.75" customHeight="1">
      <c r="C110" s="71" t="s">
        <v>54</v>
      </c>
      <c r="D110" s="101"/>
      <c r="E110" s="105"/>
      <c r="F110" s="1">
        <v>13</v>
      </c>
      <c r="G110" s="101"/>
      <c r="H110" s="101"/>
      <c r="I110" s="112"/>
      <c r="J110" s="5">
        <v>68</v>
      </c>
      <c r="K110" s="101"/>
      <c r="L110" s="101"/>
      <c r="M110" s="101"/>
      <c r="N110" s="101"/>
      <c r="O110" s="101"/>
      <c r="P110" s="1">
        <v>75</v>
      </c>
      <c r="Q110" s="101"/>
      <c r="R110" s="101"/>
      <c r="S110" s="101"/>
      <c r="T110" s="5">
        <v>40</v>
      </c>
      <c r="U110" s="101"/>
      <c r="V110" s="101"/>
      <c r="W110" s="101"/>
      <c r="Y110" s="101"/>
      <c r="Z110" s="1">
        <v>52</v>
      </c>
      <c r="AC110" s="101"/>
      <c r="AD110" s="5">
        <v>56</v>
      </c>
      <c r="AJ110" s="1">
        <v>25</v>
      </c>
      <c r="AN110" s="5">
        <v>101</v>
      </c>
      <c r="AT110" s="1">
        <v>50</v>
      </c>
      <c r="AX110" s="5">
        <v>96</v>
      </c>
      <c r="BD110" s="1">
        <v>62</v>
      </c>
      <c r="BH110" s="2">
        <v>29</v>
      </c>
      <c r="BM110" s="65">
        <f>[1]resultat!AL110</f>
        <v>110</v>
      </c>
      <c r="BN110" s="65" t="str">
        <f>[1]resultat!AM110</f>
        <v>ANICET</v>
      </c>
      <c r="BO110" s="224">
        <v>110</v>
      </c>
      <c r="BP110" s="142">
        <v>13</v>
      </c>
      <c r="BQ110" s="148">
        <v>7</v>
      </c>
      <c r="BR110" s="273">
        <f t="shared" si="31"/>
        <v>37</v>
      </c>
      <c r="BS110" s="274" t="str">
        <f t="shared" si="32"/>
        <v>10</v>
      </c>
      <c r="BT110" s="275" t="str">
        <f t="shared" si="33"/>
        <v>PETER</v>
      </c>
      <c r="BU110" s="273" t="str">
        <f t="shared" si="34"/>
        <v>44</v>
      </c>
      <c r="BV110" s="277" t="str">
        <f t="shared" si="35"/>
        <v>GUY JEAN</v>
      </c>
      <c r="BW110" s="273">
        <f t="shared" si="35"/>
        <v>0</v>
      </c>
      <c r="BX110" s="273">
        <f t="shared" si="35"/>
        <v>0</v>
      </c>
    </row>
    <row r="111" spans="3:76" ht="21.75" customHeight="1">
      <c r="C111" s="71" t="s">
        <v>54</v>
      </c>
      <c r="D111" s="101"/>
      <c r="E111" s="105"/>
      <c r="F111" s="1">
        <v>99</v>
      </c>
      <c r="G111" s="101"/>
      <c r="H111" s="101"/>
      <c r="I111" s="112"/>
      <c r="J111" s="5">
        <v>89</v>
      </c>
      <c r="K111" s="101"/>
      <c r="L111" s="101"/>
      <c r="M111" s="101"/>
      <c r="N111" s="101"/>
      <c r="O111" s="101"/>
      <c r="P111" s="1">
        <v>39</v>
      </c>
      <c r="Q111" s="101"/>
      <c r="R111" s="101"/>
      <c r="S111" s="101"/>
      <c r="T111" s="5">
        <v>114</v>
      </c>
      <c r="U111" s="101"/>
      <c r="V111" s="101"/>
      <c r="W111" s="101"/>
      <c r="Y111" s="101"/>
      <c r="Z111" s="1">
        <v>67</v>
      </c>
      <c r="AC111" s="101"/>
      <c r="AD111" s="5">
        <v>81</v>
      </c>
      <c r="AJ111" s="1">
        <v>118</v>
      </c>
      <c r="AN111" s="5">
        <v>111</v>
      </c>
      <c r="AT111" s="1">
        <v>91</v>
      </c>
      <c r="AX111" s="5">
        <v>74</v>
      </c>
      <c r="BD111" s="1">
        <v>6</v>
      </c>
      <c r="BH111" s="2">
        <v>112</v>
      </c>
      <c r="BM111" s="65">
        <f>[1]resultat!AL111</f>
        <v>111</v>
      </c>
      <c r="BN111" s="65" t="str">
        <f>[1]resultat!AM111</f>
        <v>SOLANGE</v>
      </c>
      <c r="BO111" s="224">
        <v>111</v>
      </c>
      <c r="BP111" s="142">
        <v>13</v>
      </c>
      <c r="BQ111" s="148">
        <v>7</v>
      </c>
      <c r="BR111" s="273">
        <f t="shared" si="31"/>
        <v>38</v>
      </c>
      <c r="BS111" s="274" t="str">
        <f t="shared" si="32"/>
        <v>117</v>
      </c>
      <c r="BT111" s="275" t="str">
        <f t="shared" si="33"/>
        <v>PROSPER</v>
      </c>
      <c r="BU111" s="273" t="str">
        <f t="shared" si="34"/>
        <v>65</v>
      </c>
      <c r="BV111" s="277" t="str">
        <f t="shared" si="35"/>
        <v>GEOFFROY</v>
      </c>
      <c r="BW111" s="273">
        <f t="shared" si="35"/>
        <v>0</v>
      </c>
      <c r="BX111" s="273">
        <f t="shared" si="35"/>
        <v>0</v>
      </c>
    </row>
    <row r="112" spans="3:76" ht="21.75" customHeight="1">
      <c r="C112" s="71" t="s">
        <v>54</v>
      </c>
      <c r="D112" s="101"/>
      <c r="E112" s="105"/>
      <c r="F112" s="1">
        <v>22</v>
      </c>
      <c r="G112" s="101"/>
      <c r="H112" s="101"/>
      <c r="I112" s="112"/>
      <c r="J112" s="5">
        <v>74</v>
      </c>
      <c r="K112" s="101"/>
      <c r="L112" s="101"/>
      <c r="M112" s="101"/>
      <c r="N112" s="101"/>
      <c r="O112" s="101"/>
      <c r="P112" s="1">
        <v>48</v>
      </c>
      <c r="Q112" s="101"/>
      <c r="R112" s="101"/>
      <c r="S112" s="101"/>
      <c r="T112" s="5">
        <v>55</v>
      </c>
      <c r="U112" s="101"/>
      <c r="V112" s="101"/>
      <c r="W112" s="101"/>
      <c r="Y112" s="101"/>
      <c r="Z112" s="1">
        <v>100</v>
      </c>
      <c r="AC112" s="101"/>
      <c r="AD112" s="5">
        <v>84</v>
      </c>
      <c r="AJ112" s="1">
        <v>76</v>
      </c>
      <c r="AN112" s="5">
        <v>26</v>
      </c>
      <c r="AT112" s="1">
        <v>5</v>
      </c>
      <c r="AX112" s="5">
        <v>26</v>
      </c>
      <c r="BD112" s="1">
        <v>87</v>
      </c>
      <c r="BH112" s="2">
        <v>75</v>
      </c>
      <c r="BM112" s="65">
        <f>[1]resultat!AL112</f>
        <v>112</v>
      </c>
      <c r="BN112" s="65" t="str">
        <f>[1]resultat!AM112</f>
        <v>AYMAR</v>
      </c>
      <c r="BO112" s="136">
        <v>112</v>
      </c>
      <c r="BP112" s="148">
        <v>7</v>
      </c>
      <c r="BQ112" s="142">
        <v>13</v>
      </c>
      <c r="BR112" s="273">
        <f t="shared" si="31"/>
        <v>39</v>
      </c>
      <c r="BS112" s="274" t="str">
        <f t="shared" si="32"/>
        <v>53</v>
      </c>
      <c r="BT112" s="275" t="str">
        <f t="shared" si="33"/>
        <v>AURELIEN</v>
      </c>
      <c r="BU112" s="273" t="str">
        <f t="shared" si="34"/>
        <v>108</v>
      </c>
      <c r="BV112" s="277" t="str">
        <f t="shared" si="35"/>
        <v>ISIDORE</v>
      </c>
      <c r="BW112" s="273">
        <f t="shared" si="35"/>
        <v>0</v>
      </c>
      <c r="BX112" s="273">
        <f t="shared" si="35"/>
        <v>0</v>
      </c>
    </row>
    <row r="113" spans="3:76" ht="21.75" customHeight="1">
      <c r="C113" s="71" t="s">
        <v>54</v>
      </c>
      <c r="D113" s="101"/>
      <c r="E113" s="105"/>
      <c r="F113" s="1">
        <v>107</v>
      </c>
      <c r="G113" s="101"/>
      <c r="H113" s="101"/>
      <c r="I113" s="112"/>
      <c r="J113" s="5">
        <v>58</v>
      </c>
      <c r="K113" s="101"/>
      <c r="L113" s="101"/>
      <c r="M113" s="101"/>
      <c r="N113" s="101"/>
      <c r="O113" s="101"/>
      <c r="P113" s="1">
        <v>97</v>
      </c>
      <c r="Q113" s="101"/>
      <c r="R113" s="101"/>
      <c r="S113" s="101"/>
      <c r="T113" s="5">
        <v>15</v>
      </c>
      <c r="U113" s="101"/>
      <c r="V113" s="101"/>
      <c r="W113" s="101"/>
      <c r="Y113" s="101"/>
      <c r="Z113" s="1">
        <v>36</v>
      </c>
      <c r="AC113" s="101"/>
      <c r="AD113" s="5">
        <v>49</v>
      </c>
      <c r="AJ113" s="1">
        <v>28</v>
      </c>
      <c r="AN113" s="5">
        <v>44</v>
      </c>
      <c r="AT113" s="1">
        <v>14</v>
      </c>
      <c r="AX113" s="5">
        <v>10</v>
      </c>
      <c r="BD113" s="1">
        <v>8</v>
      </c>
      <c r="BH113" s="2">
        <v>69</v>
      </c>
      <c r="BM113" s="65">
        <f>[1]resultat!AL113</f>
        <v>113</v>
      </c>
      <c r="BN113" s="65" t="str">
        <f>[1]resultat!AM113</f>
        <v>NORBERT</v>
      </c>
      <c r="BO113" s="224">
        <v>113</v>
      </c>
      <c r="BP113" s="142">
        <v>13</v>
      </c>
      <c r="BQ113" s="148">
        <v>7</v>
      </c>
      <c r="BR113" s="273">
        <f t="shared" si="31"/>
        <v>40</v>
      </c>
      <c r="BS113" s="274" t="str">
        <f t="shared" si="32"/>
        <v>18</v>
      </c>
      <c r="BT113" s="275" t="str">
        <f t="shared" si="33"/>
        <v xml:space="preserve">CHARLES  </v>
      </c>
      <c r="BU113" s="273" t="str">
        <f t="shared" si="34"/>
        <v>76</v>
      </c>
      <c r="BV113" s="277" t="str">
        <f t="shared" si="35"/>
        <v>AMBROISE</v>
      </c>
      <c r="BW113" s="273">
        <f t="shared" si="35"/>
        <v>0</v>
      </c>
      <c r="BX113" s="273">
        <f t="shared" si="35"/>
        <v>0</v>
      </c>
    </row>
    <row r="114" spans="3:76" ht="21.75" customHeight="1">
      <c r="C114" s="71" t="s">
        <v>54</v>
      </c>
      <c r="D114" s="101"/>
      <c r="E114" s="105"/>
      <c r="F114" s="1">
        <v>81</v>
      </c>
      <c r="G114" s="101"/>
      <c r="H114" s="101"/>
      <c r="I114" s="112"/>
      <c r="J114" s="5">
        <v>25</v>
      </c>
      <c r="K114" s="101"/>
      <c r="L114" s="101"/>
      <c r="M114" s="101"/>
      <c r="N114" s="101"/>
      <c r="O114" s="101"/>
      <c r="P114" s="1">
        <v>109</v>
      </c>
      <c r="Q114" s="101"/>
      <c r="R114" s="101"/>
      <c r="S114" s="101"/>
      <c r="T114" s="5">
        <v>42</v>
      </c>
      <c r="U114" s="101"/>
      <c r="V114" s="101"/>
      <c r="W114" s="101"/>
      <c r="Y114" s="101"/>
      <c r="Z114" s="1">
        <v>10</v>
      </c>
      <c r="AC114" s="101"/>
      <c r="AD114" s="5">
        <v>117</v>
      </c>
      <c r="AJ114" s="1">
        <v>88</v>
      </c>
      <c r="AN114" s="5">
        <v>4</v>
      </c>
      <c r="AT114" s="1">
        <v>47</v>
      </c>
      <c r="AX114" s="5">
        <v>31</v>
      </c>
      <c r="BD114" s="1">
        <v>4</v>
      </c>
      <c r="BH114" s="2">
        <v>41</v>
      </c>
      <c r="BM114" s="65">
        <f>[1]resultat!AL114</f>
        <v>114</v>
      </c>
      <c r="BN114" s="65" t="str">
        <f>[1]resultat!AM114</f>
        <v>BARNABE</v>
      </c>
      <c r="BO114" s="224">
        <v>114</v>
      </c>
      <c r="BP114" s="142">
        <v>13</v>
      </c>
      <c r="BQ114" s="148">
        <v>7</v>
      </c>
      <c r="BR114" s="273">
        <f t="shared" si="31"/>
        <v>41</v>
      </c>
      <c r="BS114" s="274" t="str">
        <f t="shared" si="32"/>
        <v>31</v>
      </c>
      <c r="BT114" s="275" t="str">
        <f t="shared" si="33"/>
        <v>EDOUARD</v>
      </c>
      <c r="BU114" s="273" t="str">
        <f t="shared" si="34"/>
        <v>107</v>
      </c>
      <c r="BV114" s="277" t="str">
        <f t="shared" si="35"/>
        <v>GONTRAN</v>
      </c>
      <c r="BW114" s="273">
        <f t="shared" si="35"/>
        <v>0</v>
      </c>
      <c r="BX114" s="273">
        <f t="shared" si="35"/>
        <v>0</v>
      </c>
    </row>
    <row r="115" spans="3:76" ht="21.75" customHeight="1">
      <c r="C115" s="71" t="s">
        <v>54</v>
      </c>
      <c r="D115" s="101"/>
      <c r="E115" s="105"/>
      <c r="F115" s="1">
        <v>59</v>
      </c>
      <c r="G115" s="101"/>
      <c r="H115" s="101"/>
      <c r="I115" s="112"/>
      <c r="J115" s="5">
        <v>62</v>
      </c>
      <c r="K115" s="101"/>
      <c r="L115" s="101"/>
      <c r="M115" s="101"/>
      <c r="N115" s="101"/>
      <c r="O115" s="101"/>
      <c r="P115" s="1">
        <v>115</v>
      </c>
      <c r="Q115" s="101"/>
      <c r="R115" s="101"/>
      <c r="S115" s="101"/>
      <c r="T115" s="5">
        <v>17</v>
      </c>
      <c r="U115" s="101"/>
      <c r="V115" s="101"/>
      <c r="W115" s="101"/>
      <c r="Y115" s="101"/>
      <c r="Z115" s="1">
        <v>43</v>
      </c>
      <c r="AC115" s="101"/>
      <c r="AD115" s="5">
        <v>53</v>
      </c>
      <c r="AJ115" s="1">
        <v>89</v>
      </c>
      <c r="AN115" s="5">
        <v>68</v>
      </c>
      <c r="AT115" s="1">
        <v>25</v>
      </c>
      <c r="AX115" s="5">
        <v>92</v>
      </c>
      <c r="BD115" s="1">
        <v>44</v>
      </c>
      <c r="BH115" s="2">
        <v>67</v>
      </c>
      <c r="BM115" s="65">
        <f>[1]resultat!AL115</f>
        <v>115</v>
      </c>
      <c r="BN115" s="65" t="str">
        <f>[1]resultat!AM115</f>
        <v>LEON</v>
      </c>
      <c r="BO115" s="224">
        <v>115</v>
      </c>
      <c r="BP115" s="142">
        <v>13</v>
      </c>
      <c r="BQ115" s="148">
        <v>7</v>
      </c>
      <c r="BR115" s="273">
        <f t="shared" si="31"/>
        <v>42</v>
      </c>
      <c r="BS115" s="274" t="str">
        <f t="shared" si="32"/>
        <v>79</v>
      </c>
      <c r="BT115" s="275" t="str">
        <f t="shared" si="33"/>
        <v>GATIEN</v>
      </c>
      <c r="BU115" s="273" t="str">
        <f t="shared" si="34"/>
        <v>87</v>
      </c>
      <c r="BV115" s="277" t="str">
        <f t="shared" si="35"/>
        <v>GUILLAUME</v>
      </c>
      <c r="BW115" s="273">
        <f t="shared" si="35"/>
        <v>0</v>
      </c>
      <c r="BX115" s="273">
        <f t="shared" si="35"/>
        <v>0</v>
      </c>
    </row>
    <row r="116" spans="3:76" ht="21.75" customHeight="1">
      <c r="C116" s="71" t="s">
        <v>54</v>
      </c>
      <c r="D116" s="101"/>
      <c r="E116" s="105"/>
      <c r="F116" s="1">
        <v>71</v>
      </c>
      <c r="G116" s="101"/>
      <c r="H116" s="101"/>
      <c r="I116" s="112"/>
      <c r="J116" s="5">
        <v>60</v>
      </c>
      <c r="K116" s="101"/>
      <c r="L116" s="101"/>
      <c r="M116" s="101"/>
      <c r="N116" s="101"/>
      <c r="O116" s="101"/>
      <c r="P116" s="1">
        <v>64</v>
      </c>
      <c r="Q116" s="101"/>
      <c r="R116" s="101"/>
      <c r="S116" s="101"/>
      <c r="T116" s="5">
        <v>49</v>
      </c>
      <c r="U116" s="101"/>
      <c r="V116" s="101"/>
      <c r="W116" s="101"/>
      <c r="Y116" s="101"/>
      <c r="Z116" s="1">
        <v>63</v>
      </c>
      <c r="AC116" s="101"/>
      <c r="AD116" s="5">
        <v>54</v>
      </c>
      <c r="AJ116" s="1">
        <v>86</v>
      </c>
      <c r="AN116" s="5">
        <v>113</v>
      </c>
      <c r="AT116" s="1">
        <v>97</v>
      </c>
      <c r="AX116" s="5">
        <v>70</v>
      </c>
      <c r="BD116" s="1">
        <v>70</v>
      </c>
      <c r="BH116" s="2">
        <v>49</v>
      </c>
      <c r="BM116" s="65">
        <f>[1]resultat!AL116</f>
        <v>116</v>
      </c>
      <c r="BN116" s="65" t="str">
        <f>[1]resultat!AM116</f>
        <v>ALBAN</v>
      </c>
      <c r="BO116" s="136">
        <v>116</v>
      </c>
      <c r="BP116" s="148">
        <v>7</v>
      </c>
      <c r="BQ116" s="142">
        <v>13</v>
      </c>
      <c r="BR116" s="273">
        <f t="shared" si="31"/>
        <v>43</v>
      </c>
      <c r="BS116" s="274" t="str">
        <f t="shared" si="32"/>
        <v>78</v>
      </c>
      <c r="BT116" s="275" t="str">
        <f t="shared" si="33"/>
        <v>GAEL</v>
      </c>
      <c r="BU116" s="273" t="str">
        <f t="shared" si="34"/>
        <v>45</v>
      </c>
      <c r="BV116" s="277" t="str">
        <f t="shared" si="35"/>
        <v>RENAUD</v>
      </c>
      <c r="BW116" s="273">
        <f t="shared" si="35"/>
        <v>0</v>
      </c>
      <c r="BX116" s="273">
        <f t="shared" si="35"/>
        <v>0</v>
      </c>
    </row>
    <row r="117" spans="3:76" ht="21.75" customHeight="1">
      <c r="C117" s="71" t="s">
        <v>54</v>
      </c>
      <c r="D117" s="101"/>
      <c r="E117" s="105"/>
      <c r="F117" s="1">
        <v>16</v>
      </c>
      <c r="G117" s="101"/>
      <c r="H117" s="101"/>
      <c r="I117" s="112"/>
      <c r="J117" s="5">
        <v>108</v>
      </c>
      <c r="K117" s="101"/>
      <c r="L117" s="101"/>
      <c r="M117" s="101"/>
      <c r="N117" s="101"/>
      <c r="O117" s="101"/>
      <c r="P117" s="1">
        <v>6</v>
      </c>
      <c r="Q117" s="101"/>
      <c r="R117" s="101"/>
      <c r="S117" s="101"/>
      <c r="T117" s="5">
        <v>9</v>
      </c>
      <c r="U117" s="101"/>
      <c r="V117" s="101"/>
      <c r="W117" s="101"/>
      <c r="Y117" s="101"/>
      <c r="Z117" s="1">
        <v>59</v>
      </c>
      <c r="AC117" s="101"/>
      <c r="AD117" s="5">
        <v>77</v>
      </c>
      <c r="AJ117" s="1">
        <v>1</v>
      </c>
      <c r="AN117" s="5">
        <v>69</v>
      </c>
      <c r="AT117" s="1">
        <v>60</v>
      </c>
      <c r="AX117" s="5">
        <v>114</v>
      </c>
      <c r="BD117" s="1">
        <v>20</v>
      </c>
      <c r="BH117" s="2">
        <v>47</v>
      </c>
      <c r="BM117" s="65">
        <f>[1]resultat!AL117</f>
        <v>117</v>
      </c>
      <c r="BN117" s="65" t="str">
        <f>[1]resultat!AM117</f>
        <v>PROSPER</v>
      </c>
      <c r="BO117" s="136">
        <v>117</v>
      </c>
      <c r="BP117" s="148">
        <v>7</v>
      </c>
      <c r="BQ117" s="142">
        <v>13</v>
      </c>
      <c r="BR117" s="273">
        <f t="shared" si="31"/>
        <v>44</v>
      </c>
      <c r="BS117" s="274" t="str">
        <f t="shared" si="32"/>
        <v>59</v>
      </c>
      <c r="BT117" s="275" t="str">
        <f t="shared" si="33"/>
        <v>NADEGE</v>
      </c>
      <c r="BU117" s="273" t="str">
        <f t="shared" si="34"/>
        <v>47</v>
      </c>
      <c r="BV117" s="277" t="str">
        <f t="shared" si="35"/>
        <v>HERMAN</v>
      </c>
      <c r="BW117" s="273">
        <f t="shared" si="35"/>
        <v>0</v>
      </c>
      <c r="BX117" s="273">
        <f t="shared" si="35"/>
        <v>0</v>
      </c>
    </row>
    <row r="118" spans="3:76" ht="21.75" customHeight="1">
      <c r="C118" s="71" t="s">
        <v>54</v>
      </c>
      <c r="D118" s="101"/>
      <c r="E118" s="105"/>
      <c r="F118" s="1">
        <v>8</v>
      </c>
      <c r="G118" s="101"/>
      <c r="H118" s="101"/>
      <c r="I118" s="112"/>
      <c r="J118" s="5">
        <v>91</v>
      </c>
      <c r="K118" s="101"/>
      <c r="L118" s="101"/>
      <c r="M118" s="101"/>
      <c r="N118" s="101"/>
      <c r="O118" s="101"/>
      <c r="P118" s="1">
        <v>16</v>
      </c>
      <c r="Q118" s="101"/>
      <c r="R118" s="101"/>
      <c r="S118" s="101"/>
      <c r="T118" s="5">
        <v>84</v>
      </c>
      <c r="U118" s="101"/>
      <c r="V118" s="101"/>
      <c r="W118" s="101"/>
      <c r="Y118" s="101"/>
      <c r="Z118" s="1">
        <v>57</v>
      </c>
      <c r="AC118" s="101"/>
      <c r="AD118" s="5">
        <v>103</v>
      </c>
      <c r="AJ118" s="1">
        <v>50</v>
      </c>
      <c r="AN118" s="5">
        <v>109</v>
      </c>
      <c r="AT118" s="1">
        <v>27</v>
      </c>
      <c r="AX118" s="5">
        <v>77</v>
      </c>
      <c r="BD118" s="1">
        <v>83</v>
      </c>
      <c r="BH118" s="2">
        <v>33</v>
      </c>
      <c r="BM118" s="65">
        <f>[1]resultat!AL118</f>
        <v>118</v>
      </c>
      <c r="BN118" s="65" t="str">
        <f>[1]resultat!AM118</f>
        <v>FERNAND</v>
      </c>
      <c r="BO118" s="136">
        <v>118</v>
      </c>
      <c r="BP118" s="148">
        <v>7</v>
      </c>
      <c r="BQ118" s="142">
        <v>13</v>
      </c>
      <c r="BR118" s="273">
        <f t="shared" si="31"/>
        <v>45</v>
      </c>
      <c r="BS118" s="274" t="str">
        <f t="shared" si="32"/>
        <v>62</v>
      </c>
      <c r="BT118" s="275" t="str">
        <f t="shared" si="33"/>
        <v>DIMITRI</v>
      </c>
      <c r="BU118" s="273" t="str">
        <f t="shared" si="34"/>
        <v>99</v>
      </c>
      <c r="BV118" s="277" t="str">
        <f t="shared" si="35"/>
        <v>ROLANDE</v>
      </c>
      <c r="BW118" s="273">
        <f t="shared" si="35"/>
        <v>0</v>
      </c>
      <c r="BX118" s="273">
        <f t="shared" si="35"/>
        <v>0</v>
      </c>
    </row>
    <row r="119" spans="3:76" ht="21.75" customHeight="1">
      <c r="C119" s="71" t="s">
        <v>54</v>
      </c>
      <c r="D119" s="101"/>
      <c r="E119" s="105"/>
      <c r="F119" s="1">
        <v>42</v>
      </c>
      <c r="G119" s="101"/>
      <c r="H119" s="101"/>
      <c r="I119" s="112"/>
      <c r="J119" s="5">
        <v>33</v>
      </c>
      <c r="K119" s="101"/>
      <c r="L119" s="101"/>
      <c r="M119" s="101"/>
      <c r="N119" s="101"/>
      <c r="O119" s="101"/>
      <c r="P119" s="1">
        <v>20</v>
      </c>
      <c r="Q119" s="101"/>
      <c r="R119" s="101"/>
      <c r="S119" s="101"/>
      <c r="T119" s="5">
        <v>74</v>
      </c>
      <c r="U119" s="101"/>
      <c r="V119" s="101"/>
      <c r="W119" s="101"/>
      <c r="Y119" s="101"/>
      <c r="Z119" s="1">
        <v>87</v>
      </c>
      <c r="AC119" s="101"/>
      <c r="AD119" s="5">
        <v>92</v>
      </c>
      <c r="AJ119" s="1">
        <v>96</v>
      </c>
      <c r="AN119" s="5">
        <v>77</v>
      </c>
      <c r="AT119" s="1">
        <v>21</v>
      </c>
      <c r="AX119" s="5">
        <v>108</v>
      </c>
      <c r="BD119" s="1">
        <v>66</v>
      </c>
      <c r="BH119" s="2">
        <v>55</v>
      </c>
      <c r="BM119" s="65">
        <f>[1]resultat!AL119</f>
        <v>0</v>
      </c>
      <c r="BN119" s="65">
        <f>[1]resultat!AM119</f>
        <v>0</v>
      </c>
      <c r="BO119" s="136">
        <v>119</v>
      </c>
      <c r="BQ119" s="278"/>
      <c r="BR119" s="273">
        <f t="shared" si="31"/>
        <v>46</v>
      </c>
      <c r="BS119" s="274" t="str">
        <f t="shared" si="32"/>
        <v>52</v>
      </c>
      <c r="BT119" s="275" t="str">
        <f t="shared" si="33"/>
        <v>ABEL</v>
      </c>
      <c r="BU119" s="273" t="str">
        <f t="shared" si="34"/>
        <v>38</v>
      </c>
      <c r="BV119" s="277" t="str">
        <f t="shared" si="35"/>
        <v xml:space="preserve">ROMAIN  </v>
      </c>
      <c r="BW119" s="273">
        <f t="shared" si="35"/>
        <v>0</v>
      </c>
      <c r="BX119" s="273">
        <f t="shared" si="35"/>
        <v>0</v>
      </c>
    </row>
    <row r="120" spans="3:76" ht="21.75" customHeight="1">
      <c r="C120" s="71" t="s">
        <v>54</v>
      </c>
      <c r="D120" s="101"/>
      <c r="E120" s="105"/>
      <c r="F120" s="1">
        <v>1</v>
      </c>
      <c r="G120" s="101"/>
      <c r="H120" s="101"/>
      <c r="I120" s="112"/>
      <c r="J120" s="5">
        <v>72</v>
      </c>
      <c r="K120" s="101"/>
      <c r="L120" s="101"/>
      <c r="M120" s="101"/>
      <c r="N120" s="101"/>
      <c r="O120" s="101"/>
      <c r="P120" s="1">
        <v>32</v>
      </c>
      <c r="Q120" s="101"/>
      <c r="R120" s="101"/>
      <c r="S120" s="101"/>
      <c r="T120" s="5">
        <v>33</v>
      </c>
      <c r="U120" s="101"/>
      <c r="V120" s="101"/>
      <c r="W120" s="101"/>
      <c r="Y120" s="101"/>
      <c r="Z120" s="1">
        <v>12</v>
      </c>
      <c r="AC120" s="101"/>
      <c r="AD120" s="5">
        <v>111</v>
      </c>
      <c r="AJ120" s="1">
        <v>61</v>
      </c>
      <c r="AN120" s="5">
        <v>115</v>
      </c>
      <c r="AT120" s="1">
        <v>82</v>
      </c>
      <c r="AX120" s="5">
        <v>110</v>
      </c>
      <c r="BD120" s="1">
        <v>23</v>
      </c>
      <c r="BH120" s="2">
        <v>94</v>
      </c>
      <c r="BM120" s="65">
        <f>[1]resultat!AL120</f>
        <v>0</v>
      </c>
      <c r="BN120" s="65">
        <f>[1]resultat!AM120</f>
        <v>0</v>
      </c>
      <c r="BO120" s="136">
        <v>120</v>
      </c>
      <c r="BQ120" s="278"/>
      <c r="BR120" s="273">
        <f t="shared" si="31"/>
        <v>47</v>
      </c>
      <c r="BS120" s="274" t="str">
        <f t="shared" si="32"/>
        <v>41</v>
      </c>
      <c r="BT120" s="275" t="str">
        <f t="shared" si="33"/>
        <v>ETIENNE</v>
      </c>
      <c r="BU120" s="273" t="str">
        <f t="shared" si="34"/>
        <v>106</v>
      </c>
      <c r="BV120" s="277" t="str">
        <f t="shared" si="35"/>
        <v>LOUISE</v>
      </c>
      <c r="BW120" s="273">
        <f t="shared" si="35"/>
        <v>0</v>
      </c>
      <c r="BX120" s="273">
        <f t="shared" si="35"/>
        <v>0</v>
      </c>
    </row>
    <row r="121" spans="3:76" ht="21.75" customHeight="1">
      <c r="C121" s="71" t="s">
        <v>54</v>
      </c>
      <c r="D121" s="101"/>
      <c r="E121" s="105"/>
      <c r="F121" s="1">
        <v>9</v>
      </c>
      <c r="G121" s="101"/>
      <c r="H121" s="101"/>
      <c r="I121" s="112"/>
      <c r="J121" s="5">
        <v>88</v>
      </c>
      <c r="K121" s="101"/>
      <c r="L121" s="101"/>
      <c r="M121" s="101"/>
      <c r="N121" s="101"/>
      <c r="O121" s="101"/>
      <c r="P121" s="1">
        <v>100</v>
      </c>
      <c r="Q121" s="101"/>
      <c r="R121" s="101"/>
      <c r="S121" s="101"/>
      <c r="T121" s="5">
        <v>110</v>
      </c>
      <c r="U121" s="101"/>
      <c r="V121" s="101"/>
      <c r="W121" s="101"/>
      <c r="Y121" s="101"/>
      <c r="Z121" s="1">
        <v>112</v>
      </c>
      <c r="AC121" s="101"/>
      <c r="AD121" s="5">
        <v>62</v>
      </c>
      <c r="AJ121" s="1">
        <v>112</v>
      </c>
      <c r="AN121" s="5">
        <v>29</v>
      </c>
      <c r="AT121" s="1">
        <v>61</v>
      </c>
      <c r="AX121" s="5">
        <v>78</v>
      </c>
      <c r="BD121" s="1">
        <v>1</v>
      </c>
      <c r="BH121" s="2">
        <v>97</v>
      </c>
      <c r="BM121" s="65">
        <f>[1]resultat!AL121</f>
        <v>0</v>
      </c>
      <c r="BN121" s="65">
        <f>[1]resultat!AM121</f>
        <v>0</v>
      </c>
      <c r="BO121" s="136">
        <v>121</v>
      </c>
      <c r="BQ121" s="278"/>
      <c r="BR121" s="273">
        <f t="shared" si="31"/>
        <v>48</v>
      </c>
      <c r="BS121" s="274" t="str">
        <f t="shared" si="32"/>
        <v>61</v>
      </c>
      <c r="BT121" s="275" t="str">
        <f t="shared" si="33"/>
        <v>COME</v>
      </c>
      <c r="BU121" s="273" t="str">
        <f t="shared" si="34"/>
        <v>88</v>
      </c>
      <c r="BV121" s="277" t="str">
        <f t="shared" si="35"/>
        <v>VINCENT</v>
      </c>
      <c r="BW121" s="273">
        <f t="shared" si="35"/>
        <v>0</v>
      </c>
      <c r="BX121" s="273">
        <f t="shared" si="35"/>
        <v>0</v>
      </c>
    </row>
    <row r="122" spans="3:76" ht="21.75" customHeight="1">
      <c r="C122" s="71" t="s">
        <v>54</v>
      </c>
      <c r="D122" s="101"/>
      <c r="E122" s="105"/>
      <c r="F122" s="1">
        <v>20</v>
      </c>
      <c r="G122" s="101"/>
      <c r="H122" s="101"/>
      <c r="I122" s="112"/>
      <c r="J122" s="5">
        <v>63</v>
      </c>
      <c r="K122" s="101"/>
      <c r="L122" s="101"/>
      <c r="M122" s="101"/>
      <c r="N122" s="101"/>
      <c r="O122" s="101"/>
      <c r="P122" s="1">
        <v>5</v>
      </c>
      <c r="Q122" s="101"/>
      <c r="R122" s="101"/>
      <c r="S122" s="101"/>
      <c r="T122" s="5">
        <v>90</v>
      </c>
      <c r="U122" s="101"/>
      <c r="V122" s="101"/>
      <c r="W122" s="101"/>
      <c r="Y122" s="101"/>
      <c r="Z122" s="1">
        <v>37</v>
      </c>
      <c r="AC122" s="101"/>
      <c r="AD122" s="5">
        <v>78</v>
      </c>
      <c r="AJ122" s="1">
        <v>21</v>
      </c>
      <c r="AN122" s="5">
        <v>41</v>
      </c>
      <c r="AT122" s="1">
        <v>117</v>
      </c>
      <c r="AX122" s="5">
        <v>98</v>
      </c>
      <c r="BD122" s="1">
        <v>68</v>
      </c>
      <c r="BH122" s="2">
        <v>93</v>
      </c>
      <c r="BM122" s="65">
        <f>[1]resultat!AL122</f>
        <v>0</v>
      </c>
      <c r="BN122" s="65">
        <f>[1]resultat!AM122</f>
        <v>0</v>
      </c>
      <c r="BO122" s="136">
        <v>122</v>
      </c>
      <c r="BQ122" s="278"/>
      <c r="BR122" s="273">
        <f t="shared" si="31"/>
        <v>49</v>
      </c>
      <c r="BS122" s="274" t="str">
        <f t="shared" si="32"/>
        <v>72</v>
      </c>
      <c r="BT122" s="275" t="str">
        <f t="shared" si="33"/>
        <v>DELPHINE</v>
      </c>
      <c r="BU122" s="273" t="str">
        <f t="shared" si="34"/>
        <v>112</v>
      </c>
      <c r="BV122" s="277" t="str">
        <f t="shared" si="35"/>
        <v>AYMAR</v>
      </c>
      <c r="BW122" s="273">
        <f t="shared" si="35"/>
        <v>0</v>
      </c>
      <c r="BX122" s="273">
        <f t="shared" si="35"/>
        <v>0</v>
      </c>
    </row>
    <row r="123" spans="3:76" ht="21.75" customHeight="1">
      <c r="C123" s="71" t="s">
        <v>54</v>
      </c>
      <c r="D123" s="101"/>
      <c r="E123" s="105"/>
      <c r="F123" s="1">
        <v>80</v>
      </c>
      <c r="G123" s="101"/>
      <c r="H123" s="101"/>
      <c r="I123" s="112"/>
      <c r="J123" s="5">
        <v>3</v>
      </c>
      <c r="K123" s="101"/>
      <c r="L123" s="101"/>
      <c r="M123" s="101"/>
      <c r="N123" s="101"/>
      <c r="O123" s="101"/>
      <c r="P123" s="1">
        <v>13</v>
      </c>
      <c r="Q123" s="101"/>
      <c r="R123" s="101"/>
      <c r="S123" s="101"/>
      <c r="T123" s="5">
        <v>58</v>
      </c>
      <c r="U123" s="101"/>
      <c r="V123" s="101"/>
      <c r="W123" s="101"/>
      <c r="Y123" s="101"/>
      <c r="Z123" s="1">
        <v>21</v>
      </c>
      <c r="AC123" s="101"/>
      <c r="AD123" s="5">
        <v>44</v>
      </c>
      <c r="AJ123" s="1">
        <v>78</v>
      </c>
      <c r="AN123" s="5">
        <v>82</v>
      </c>
      <c r="AT123" s="1">
        <v>81</v>
      </c>
      <c r="AX123" s="5">
        <v>35</v>
      </c>
      <c r="BD123" s="1">
        <v>48</v>
      </c>
      <c r="BH123" s="2">
        <v>71</v>
      </c>
      <c r="BM123" s="65">
        <f>[1]resultat!AL123</f>
        <v>0</v>
      </c>
      <c r="BN123" s="65">
        <f>[1]resultat!AM123</f>
        <v>0</v>
      </c>
      <c r="BO123" s="136">
        <v>123</v>
      </c>
      <c r="BQ123" s="278"/>
      <c r="BR123" s="273">
        <f t="shared" si="31"/>
        <v>50</v>
      </c>
      <c r="BS123" s="274" t="str">
        <f t="shared" si="32"/>
        <v>91</v>
      </c>
      <c r="BT123" s="275" t="str">
        <f t="shared" si="33"/>
        <v>VALERIE</v>
      </c>
      <c r="BU123" s="273" t="str">
        <f t="shared" si="34"/>
        <v>80</v>
      </c>
      <c r="BV123" s="277" t="str">
        <f t="shared" si="35"/>
        <v>LUCIE</v>
      </c>
      <c r="BW123" s="273">
        <f t="shared" si="35"/>
        <v>0</v>
      </c>
      <c r="BX123" s="273">
        <f t="shared" si="35"/>
        <v>0</v>
      </c>
    </row>
    <row r="124" spans="3:76" ht="21.75" customHeight="1">
      <c r="C124" s="71" t="s">
        <v>54</v>
      </c>
      <c r="D124" s="101"/>
      <c r="E124" s="105"/>
      <c r="F124" s="1">
        <v>43</v>
      </c>
      <c r="G124" s="101"/>
      <c r="H124" s="101"/>
      <c r="I124" s="112"/>
      <c r="J124" s="5">
        <v>11</v>
      </c>
      <c r="K124" s="101"/>
      <c r="L124" s="101"/>
      <c r="M124" s="101"/>
      <c r="N124" s="101"/>
      <c r="O124" s="101"/>
      <c r="P124" s="1">
        <v>63</v>
      </c>
      <c r="Q124" s="101"/>
      <c r="R124" s="101"/>
      <c r="S124" s="101"/>
      <c r="T124" s="5">
        <v>67</v>
      </c>
      <c r="U124" s="101"/>
      <c r="V124" s="101"/>
      <c r="W124" s="101"/>
      <c r="Y124" s="101"/>
      <c r="Z124" s="1">
        <v>27</v>
      </c>
      <c r="AC124" s="101"/>
      <c r="AD124" s="5">
        <v>42</v>
      </c>
      <c r="AJ124" s="1">
        <v>53</v>
      </c>
      <c r="AN124" s="5">
        <v>74</v>
      </c>
      <c r="AT124" s="1">
        <v>71</v>
      </c>
      <c r="AX124" s="5">
        <v>28</v>
      </c>
      <c r="BD124" s="1">
        <v>117</v>
      </c>
      <c r="BH124" s="2">
        <v>28</v>
      </c>
      <c r="BM124" s="65">
        <f>[1]resultat!AL124</f>
        <v>0</v>
      </c>
      <c r="BN124" s="65">
        <f>[1]resultat!AM124</f>
        <v>0</v>
      </c>
      <c r="BO124" s="136">
        <v>124</v>
      </c>
      <c r="BQ124" s="278"/>
      <c r="BR124" s="273">
        <f t="shared" si="31"/>
        <v>51</v>
      </c>
      <c r="BS124" s="274" t="str">
        <f t="shared" si="32"/>
        <v>7</v>
      </c>
      <c r="BT124" s="275" t="str">
        <f t="shared" si="33"/>
        <v>PIERRE</v>
      </c>
      <c r="BU124" s="273" t="str">
        <f t="shared" si="34"/>
        <v>60</v>
      </c>
      <c r="BV124" s="277" t="str">
        <f t="shared" si="35"/>
        <v>EDITH</v>
      </c>
      <c r="BW124" s="273">
        <f t="shared" si="35"/>
        <v>0</v>
      </c>
      <c r="BX124" s="273">
        <f t="shared" si="35"/>
        <v>0</v>
      </c>
    </row>
    <row r="125" spans="3:76" ht="21.75" customHeight="1">
      <c r="C125" s="71" t="s">
        <v>54</v>
      </c>
      <c r="D125" s="101"/>
      <c r="E125" s="105"/>
      <c r="F125" s="1">
        <v>96</v>
      </c>
      <c r="G125" s="101"/>
      <c r="H125" s="101"/>
      <c r="I125" s="112"/>
      <c r="J125" s="5">
        <v>46</v>
      </c>
      <c r="K125" s="101"/>
      <c r="L125" s="101"/>
      <c r="M125" s="101"/>
      <c r="N125" s="101"/>
      <c r="O125" s="101"/>
      <c r="P125" s="1">
        <v>1</v>
      </c>
      <c r="Q125" s="101"/>
      <c r="R125" s="101"/>
      <c r="S125" s="101"/>
      <c r="T125" s="5">
        <v>30</v>
      </c>
      <c r="U125" s="101"/>
      <c r="V125" s="101"/>
      <c r="W125" s="101"/>
      <c r="Y125" s="101"/>
      <c r="Z125" s="1">
        <v>97</v>
      </c>
      <c r="AC125" s="101"/>
      <c r="AD125" s="5">
        <v>25</v>
      </c>
      <c r="AJ125" s="1">
        <v>66</v>
      </c>
      <c r="AN125" s="5">
        <v>81</v>
      </c>
      <c r="AT125" s="1">
        <v>49</v>
      </c>
      <c r="AX125" s="5">
        <v>16</v>
      </c>
      <c r="BD125" s="1">
        <v>54</v>
      </c>
      <c r="BH125" s="2">
        <v>42</v>
      </c>
      <c r="BM125" s="65">
        <f>[1]resultat!AL125</f>
        <v>0</v>
      </c>
      <c r="BN125" s="65">
        <f>[1]resultat!AM125</f>
        <v>0</v>
      </c>
      <c r="BO125" s="136">
        <v>125</v>
      </c>
      <c r="BQ125" s="278"/>
      <c r="BR125" s="273">
        <f t="shared" si="31"/>
        <v>52</v>
      </c>
      <c r="BS125" s="274" t="str">
        <f t="shared" si="32"/>
        <v>46</v>
      </c>
      <c r="BT125" s="275" t="str">
        <f t="shared" si="33"/>
        <v xml:space="preserve">SERGE  </v>
      </c>
      <c r="BU125" s="273" t="str">
        <f t="shared" si="34"/>
        <v>50</v>
      </c>
      <c r="BV125" s="277" t="str">
        <f t="shared" si="35"/>
        <v>FLORENTIN</v>
      </c>
      <c r="BW125" s="273">
        <f t="shared" si="35"/>
        <v>0</v>
      </c>
      <c r="BX125" s="273">
        <f t="shared" si="35"/>
        <v>0</v>
      </c>
    </row>
    <row r="126" spans="3:76" ht="21.75" customHeight="1">
      <c r="C126" s="71" t="s">
        <v>54</v>
      </c>
      <c r="D126" s="101"/>
      <c r="E126" s="105"/>
      <c r="F126" s="1">
        <v>17</v>
      </c>
      <c r="G126" s="101"/>
      <c r="H126" s="101"/>
      <c r="I126" s="112"/>
      <c r="J126" s="5">
        <v>50</v>
      </c>
      <c r="K126" s="101"/>
      <c r="L126" s="101"/>
      <c r="M126" s="101"/>
      <c r="N126" s="101"/>
      <c r="O126" s="101"/>
      <c r="P126" s="1">
        <v>77</v>
      </c>
      <c r="Q126" s="101"/>
      <c r="R126" s="101"/>
      <c r="S126" s="101"/>
      <c r="T126" s="5">
        <v>12</v>
      </c>
      <c r="U126" s="101"/>
      <c r="V126" s="101"/>
      <c r="W126" s="101"/>
      <c r="Y126" s="101"/>
      <c r="Z126" s="1">
        <v>73</v>
      </c>
      <c r="AC126" s="101"/>
      <c r="AD126" s="5">
        <v>26</v>
      </c>
      <c r="AJ126" s="1">
        <v>14</v>
      </c>
      <c r="AN126" s="5">
        <v>45</v>
      </c>
      <c r="AT126" s="1">
        <v>45</v>
      </c>
      <c r="AX126" s="5">
        <v>3</v>
      </c>
      <c r="BD126" s="1">
        <v>51</v>
      </c>
      <c r="BH126" s="2">
        <v>64</v>
      </c>
      <c r="BM126" s="65">
        <f>[1]resultat!AL126</f>
        <v>0</v>
      </c>
      <c r="BN126" s="65">
        <f>[1]resultat!AM126</f>
        <v>0</v>
      </c>
      <c r="BO126" s="136">
        <v>126</v>
      </c>
      <c r="BQ126" s="278"/>
      <c r="BR126" s="273">
        <f t="shared" si="31"/>
        <v>53</v>
      </c>
      <c r="BS126" s="274" t="str">
        <f t="shared" si="32"/>
        <v>8</v>
      </c>
      <c r="BT126" s="275" t="str">
        <f t="shared" si="33"/>
        <v>THIBAULT</v>
      </c>
      <c r="BU126" s="273" t="str">
        <f t="shared" si="34"/>
        <v>71</v>
      </c>
      <c r="BV126" s="277" t="str">
        <f t="shared" si="35"/>
        <v>JIMMY</v>
      </c>
      <c r="BW126" s="273">
        <f t="shared" si="35"/>
        <v>0</v>
      </c>
      <c r="BX126" s="273">
        <f t="shared" si="35"/>
        <v>0</v>
      </c>
    </row>
    <row r="127" spans="3:76" ht="21.75" customHeight="1">
      <c r="C127" s="71" t="s">
        <v>54</v>
      </c>
      <c r="D127" s="101"/>
      <c r="E127" s="105"/>
      <c r="F127" s="1">
        <v>15</v>
      </c>
      <c r="G127" s="101"/>
      <c r="H127" s="101"/>
      <c r="I127" s="112"/>
      <c r="J127" s="5">
        <v>94</v>
      </c>
      <c r="K127" s="101"/>
      <c r="L127" s="101"/>
      <c r="M127" s="101"/>
      <c r="N127" s="101"/>
      <c r="O127" s="101"/>
      <c r="P127" s="1">
        <v>24</v>
      </c>
      <c r="Q127" s="101"/>
      <c r="R127" s="101"/>
      <c r="S127" s="101"/>
      <c r="T127" s="5">
        <v>83</v>
      </c>
      <c r="U127" s="101"/>
      <c r="V127" s="101"/>
      <c r="W127" s="101"/>
      <c r="Y127" s="101"/>
      <c r="Z127" s="1">
        <v>102</v>
      </c>
      <c r="AC127" s="101"/>
      <c r="AD127" s="5">
        <v>118</v>
      </c>
      <c r="AJ127" s="1">
        <v>39</v>
      </c>
      <c r="AN127" s="5">
        <v>13</v>
      </c>
      <c r="AT127" s="1">
        <v>37</v>
      </c>
      <c r="AX127" s="5">
        <v>112</v>
      </c>
      <c r="BD127" s="1">
        <v>92</v>
      </c>
      <c r="BH127" s="2">
        <v>103</v>
      </c>
      <c r="BM127" s="65">
        <f>[1]resultat!AL127</f>
        <v>0</v>
      </c>
      <c r="BN127" s="65">
        <f>[1]resultat!AM127</f>
        <v>0</v>
      </c>
      <c r="BO127" s="136">
        <v>127</v>
      </c>
      <c r="BQ127" s="278"/>
      <c r="BR127" s="273">
        <f t="shared" si="31"/>
        <v>54</v>
      </c>
      <c r="BS127" s="274" t="str">
        <f t="shared" si="32"/>
        <v>73</v>
      </c>
      <c r="BT127" s="275" t="str">
        <f t="shared" si="33"/>
        <v>EDMOND</v>
      </c>
      <c r="BU127" s="273" t="str">
        <f t="shared" si="34"/>
        <v>113</v>
      </c>
      <c r="BV127" s="277" t="str">
        <f t="shared" si="35"/>
        <v>NORBERT</v>
      </c>
      <c r="BW127" s="273">
        <f t="shared" si="35"/>
        <v>0</v>
      </c>
      <c r="BX127" s="273">
        <f t="shared" si="35"/>
        <v>0</v>
      </c>
    </row>
    <row r="128" spans="3:76" ht="21.75" customHeight="1">
      <c r="C128" s="71" t="s">
        <v>54</v>
      </c>
      <c r="D128" s="101"/>
      <c r="E128" s="105"/>
      <c r="F128" s="1">
        <v>21</v>
      </c>
      <c r="G128" s="101"/>
      <c r="H128" s="101"/>
      <c r="I128" s="112"/>
      <c r="J128" s="5">
        <v>93</v>
      </c>
      <c r="K128" s="101"/>
      <c r="L128" s="101"/>
      <c r="M128" s="101"/>
      <c r="N128" s="101"/>
      <c r="O128" s="101"/>
      <c r="P128" s="1">
        <v>21</v>
      </c>
      <c r="Q128" s="101"/>
      <c r="R128" s="101"/>
      <c r="S128" s="101"/>
      <c r="T128" s="5">
        <v>43</v>
      </c>
      <c r="U128" s="101"/>
      <c r="V128" s="101"/>
      <c r="W128" s="101"/>
      <c r="Y128" s="101"/>
      <c r="Z128" s="1">
        <v>69</v>
      </c>
      <c r="AC128" s="101"/>
      <c r="AD128" s="5">
        <v>106</v>
      </c>
      <c r="AJ128" s="1">
        <v>17</v>
      </c>
      <c r="AN128" s="5">
        <v>90</v>
      </c>
      <c r="AT128" s="1">
        <v>94</v>
      </c>
      <c r="AX128" s="5">
        <v>111</v>
      </c>
      <c r="BD128" s="1">
        <v>115</v>
      </c>
      <c r="BH128" s="2">
        <v>95</v>
      </c>
      <c r="BM128" s="65">
        <f>[1]resultat!AL128</f>
        <v>0</v>
      </c>
      <c r="BN128" s="65">
        <f>[1]resultat!AM128</f>
        <v>0</v>
      </c>
      <c r="BO128" s="136">
        <v>128</v>
      </c>
      <c r="BQ128" s="278"/>
      <c r="BR128" s="273">
        <f t="shared" si="31"/>
        <v>55</v>
      </c>
      <c r="BS128" s="274" t="str">
        <f t="shared" si="32"/>
        <v>105</v>
      </c>
      <c r="BT128" s="275" t="str">
        <f t="shared" si="33"/>
        <v>CYRILL</v>
      </c>
      <c r="BU128" s="273" t="str">
        <f t="shared" si="34"/>
        <v>98</v>
      </c>
      <c r="BV128" s="277" t="str">
        <f t="shared" si="35"/>
        <v>STANISLAS</v>
      </c>
      <c r="BW128" s="273">
        <f t="shared" si="35"/>
        <v>0</v>
      </c>
      <c r="BX128" s="273">
        <f t="shared" si="35"/>
        <v>0</v>
      </c>
    </row>
    <row r="129" spans="3:76" ht="21.75" customHeight="1">
      <c r="C129" s="71" t="s">
        <v>54</v>
      </c>
      <c r="D129" s="101"/>
      <c r="E129" s="105"/>
      <c r="F129" s="1">
        <v>26</v>
      </c>
      <c r="G129" s="101"/>
      <c r="H129" s="101"/>
      <c r="I129" s="112"/>
      <c r="J129" s="5">
        <v>64</v>
      </c>
      <c r="K129" s="101"/>
      <c r="L129" s="101"/>
      <c r="M129" s="101"/>
      <c r="N129" s="101"/>
      <c r="O129" s="101"/>
      <c r="P129" s="1">
        <v>29</v>
      </c>
      <c r="Q129" s="101"/>
      <c r="R129" s="101"/>
      <c r="S129" s="101"/>
      <c r="T129" s="5">
        <v>54</v>
      </c>
      <c r="U129" s="101"/>
      <c r="V129" s="101"/>
      <c r="W129" s="101"/>
      <c r="Y129" s="101"/>
      <c r="Z129" s="1">
        <v>30</v>
      </c>
      <c r="AC129" s="101"/>
      <c r="AD129" s="5">
        <v>32</v>
      </c>
      <c r="AJ129" s="1">
        <v>79</v>
      </c>
      <c r="AN129" s="5">
        <v>94</v>
      </c>
      <c r="AT129" s="1">
        <v>24</v>
      </c>
      <c r="AX129" s="5">
        <v>19</v>
      </c>
      <c r="BD129" s="1">
        <v>39</v>
      </c>
      <c r="BH129" s="2">
        <v>45</v>
      </c>
      <c r="BO129" s="36"/>
      <c r="BQ129" s="278"/>
      <c r="BR129" s="273">
        <f t="shared" si="31"/>
        <v>56</v>
      </c>
      <c r="BS129" s="274" t="str">
        <f t="shared" si="32"/>
        <v>26</v>
      </c>
      <c r="BT129" s="275" t="str">
        <f t="shared" si="33"/>
        <v xml:space="preserve">THIERRY  </v>
      </c>
      <c r="BU129" s="273" t="str">
        <f t="shared" si="34"/>
        <v>36</v>
      </c>
      <c r="BV129" s="277" t="str">
        <f t="shared" si="35"/>
        <v xml:space="preserve">ALCIDE  </v>
      </c>
      <c r="BW129" s="273">
        <f t="shared" si="35"/>
        <v>0</v>
      </c>
      <c r="BX129" s="273">
        <f t="shared" si="35"/>
        <v>0</v>
      </c>
    </row>
    <row r="130" spans="3:76" ht="21.75" customHeight="1">
      <c r="C130" s="71" t="s">
        <v>54</v>
      </c>
      <c r="D130" s="101"/>
      <c r="E130" s="105"/>
      <c r="F130" s="1">
        <v>30</v>
      </c>
      <c r="G130" s="101"/>
      <c r="H130" s="101"/>
      <c r="I130" s="112"/>
      <c r="J130" s="5">
        <v>87</v>
      </c>
      <c r="K130" s="101"/>
      <c r="L130" s="101"/>
      <c r="M130" s="101"/>
      <c r="N130" s="101"/>
      <c r="O130" s="101"/>
      <c r="P130" s="1">
        <v>82</v>
      </c>
      <c r="Q130" s="101"/>
      <c r="R130" s="101"/>
      <c r="S130" s="101"/>
      <c r="T130" s="5">
        <v>93</v>
      </c>
      <c r="U130" s="101"/>
      <c r="V130" s="101"/>
      <c r="W130" s="101"/>
      <c r="Y130" s="101"/>
      <c r="Z130" s="1">
        <v>74</v>
      </c>
      <c r="AC130" s="101"/>
      <c r="AD130" s="5">
        <v>2</v>
      </c>
      <c r="AJ130" s="1">
        <v>11</v>
      </c>
      <c r="AN130" s="5">
        <v>3</v>
      </c>
      <c r="AT130" s="1">
        <v>116</v>
      </c>
      <c r="AX130" s="5">
        <v>17</v>
      </c>
      <c r="BD130" s="1">
        <v>110</v>
      </c>
      <c r="BH130" s="2">
        <v>61</v>
      </c>
      <c r="BO130" s="36"/>
      <c r="BQ130" s="278"/>
      <c r="BR130" s="273">
        <f t="shared" si="31"/>
        <v>57</v>
      </c>
      <c r="BS130" s="274" t="str">
        <f t="shared" si="32"/>
        <v>70</v>
      </c>
      <c r="BT130" s="275" t="str">
        <f t="shared" si="33"/>
        <v>TANGUY</v>
      </c>
      <c r="BU130" s="273" t="str">
        <f t="shared" si="34"/>
        <v>104</v>
      </c>
      <c r="BV130" s="277" t="str">
        <f t="shared" si="35"/>
        <v>RODRIGUE</v>
      </c>
      <c r="BW130" s="273">
        <f t="shared" si="35"/>
        <v>0</v>
      </c>
      <c r="BX130" s="273">
        <f t="shared" si="35"/>
        <v>0</v>
      </c>
    </row>
    <row r="131" spans="3:76" ht="21.75" customHeight="1">
      <c r="C131" s="71" t="s">
        <v>54</v>
      </c>
      <c r="D131" s="101"/>
      <c r="E131" s="105"/>
      <c r="F131" s="1">
        <v>37</v>
      </c>
      <c r="G131" s="101"/>
      <c r="H131" s="101"/>
      <c r="I131" s="112"/>
      <c r="J131" s="5">
        <v>69</v>
      </c>
      <c r="K131" s="101"/>
      <c r="L131" s="101"/>
      <c r="M131" s="101"/>
      <c r="N131" s="101"/>
      <c r="O131" s="101"/>
      <c r="P131" s="1">
        <v>51</v>
      </c>
      <c r="Q131" s="101"/>
      <c r="R131" s="101"/>
      <c r="S131" s="101"/>
      <c r="T131" s="5">
        <v>68</v>
      </c>
      <c r="U131" s="101"/>
      <c r="V131" s="101"/>
      <c r="W131" s="101"/>
      <c r="Y131" s="101"/>
      <c r="Z131" s="1">
        <v>70</v>
      </c>
      <c r="AC131" s="101"/>
      <c r="AD131" s="5">
        <v>31</v>
      </c>
      <c r="AJ131" s="1">
        <v>63</v>
      </c>
      <c r="AN131" s="5">
        <v>40</v>
      </c>
      <c r="AT131" s="1">
        <v>88</v>
      </c>
      <c r="AX131" s="5">
        <v>2</v>
      </c>
      <c r="BD131" s="1">
        <v>77</v>
      </c>
      <c r="BH131" s="2">
        <v>18</v>
      </c>
      <c r="BO131" s="36"/>
      <c r="BQ131" s="278"/>
      <c r="BR131" s="273">
        <f t="shared" si="31"/>
        <v>58</v>
      </c>
      <c r="BS131" s="274" t="str">
        <f t="shared" si="32"/>
        <v>28</v>
      </c>
      <c r="BT131" s="275" t="str">
        <f t="shared" si="33"/>
        <v xml:space="preserve">RENE  </v>
      </c>
      <c r="BU131" s="273" t="str">
        <f t="shared" si="34"/>
        <v>85</v>
      </c>
      <c r="BV131" s="277" t="str">
        <f t="shared" si="35"/>
        <v>RAYMOND</v>
      </c>
      <c r="BW131" s="273">
        <f t="shared" si="35"/>
        <v>0</v>
      </c>
      <c r="BX131" s="273">
        <f t="shared" si="35"/>
        <v>0</v>
      </c>
    </row>
    <row r="132" spans="3:76" ht="21.75" customHeight="1">
      <c r="C132" s="71" t="s">
        <v>54</v>
      </c>
      <c r="D132" s="101"/>
      <c r="E132" s="105"/>
      <c r="F132" s="1">
        <v>45</v>
      </c>
      <c r="G132" s="101"/>
      <c r="H132" s="101"/>
      <c r="I132" s="112"/>
      <c r="J132" s="5">
        <v>82</v>
      </c>
      <c r="K132" s="101"/>
      <c r="L132" s="101"/>
      <c r="M132" s="101"/>
      <c r="N132" s="101"/>
      <c r="O132" s="101"/>
      <c r="P132" s="1">
        <v>86</v>
      </c>
      <c r="Q132" s="101"/>
      <c r="R132" s="101"/>
      <c r="S132" s="101"/>
      <c r="T132" s="5">
        <v>27</v>
      </c>
      <c r="U132" s="101"/>
      <c r="V132" s="101"/>
      <c r="W132" s="101"/>
      <c r="Y132" s="101"/>
      <c r="Z132" s="1">
        <v>107</v>
      </c>
      <c r="AC132" s="101"/>
      <c r="AD132" s="5">
        <v>105</v>
      </c>
      <c r="AJ132" s="1">
        <v>93</v>
      </c>
      <c r="AN132" s="5">
        <v>56</v>
      </c>
      <c r="AT132" s="1">
        <v>109</v>
      </c>
      <c r="AX132" s="5">
        <v>85</v>
      </c>
      <c r="BD132" s="1">
        <v>3</v>
      </c>
      <c r="BH132" s="2">
        <v>38</v>
      </c>
      <c r="BO132" s="36"/>
      <c r="BQ132" s="278"/>
      <c r="BR132" s="273">
        <f t="shared" si="31"/>
        <v>59</v>
      </c>
      <c r="BS132" s="274" t="str">
        <f t="shared" si="32"/>
        <v>81</v>
      </c>
      <c r="BT132" s="275" t="str">
        <f t="shared" si="33"/>
        <v>THEOPHILE</v>
      </c>
      <c r="BU132" s="273" t="str">
        <f t="shared" si="34"/>
        <v>3</v>
      </c>
      <c r="BV132" s="277" t="str">
        <f t="shared" si="35"/>
        <v>MARCO</v>
      </c>
      <c r="BW132" s="273">
        <f t="shared" si="35"/>
        <v>0</v>
      </c>
      <c r="BX132" s="273">
        <f t="shared" si="35"/>
        <v>0</v>
      </c>
    </row>
    <row r="133" spans="3:76" ht="21.75" customHeight="1">
      <c r="C133" s="71" t="s">
        <v>54</v>
      </c>
      <c r="D133" s="101"/>
      <c r="E133" s="105"/>
      <c r="F133" s="1">
        <v>76</v>
      </c>
      <c r="G133" s="101"/>
      <c r="H133" s="101"/>
      <c r="I133" s="112"/>
      <c r="J133" s="5">
        <v>12</v>
      </c>
      <c r="K133" s="101"/>
      <c r="L133" s="101"/>
      <c r="M133" s="101"/>
      <c r="N133" s="101"/>
      <c r="O133" s="101"/>
      <c r="P133" s="1">
        <v>103</v>
      </c>
      <c r="Q133" s="101"/>
      <c r="R133" s="101"/>
      <c r="S133" s="101"/>
      <c r="T133" s="5">
        <v>96</v>
      </c>
      <c r="U133" s="101"/>
      <c r="V133" s="101"/>
      <c r="W133" s="101"/>
      <c r="Y133" s="101"/>
      <c r="Z133" s="1">
        <v>17</v>
      </c>
      <c r="AC133" s="101"/>
      <c r="AD133" s="5">
        <v>39</v>
      </c>
      <c r="AJ133" s="1">
        <v>34</v>
      </c>
      <c r="AN133" s="5">
        <v>72</v>
      </c>
      <c r="AT133" s="1">
        <v>7</v>
      </c>
      <c r="AX133" s="5">
        <v>63</v>
      </c>
      <c r="BD133" s="1">
        <v>9</v>
      </c>
      <c r="BH133" s="2">
        <v>76</v>
      </c>
      <c r="BO133" s="36"/>
      <c r="BQ133" s="278"/>
      <c r="BR133" s="273">
        <f t="shared" si="31"/>
        <v>60</v>
      </c>
      <c r="BS133" s="274" t="str">
        <f t="shared" si="32"/>
        <v/>
      </c>
      <c r="BT133" s="275" t="str">
        <f t="shared" si="33"/>
        <v/>
      </c>
      <c r="BU133" s="273" t="str">
        <f t="shared" si="34"/>
        <v/>
      </c>
      <c r="BV133" s="277" t="str">
        <f t="shared" si="35"/>
        <v/>
      </c>
      <c r="BW133" s="273">
        <f t="shared" si="35"/>
        <v>0</v>
      </c>
      <c r="BX133" s="273">
        <f t="shared" si="35"/>
        <v>0</v>
      </c>
    </row>
    <row r="134" spans="3:76" ht="21.75" customHeight="1">
      <c r="C134" s="71" t="s">
        <v>54</v>
      </c>
      <c r="D134" s="101"/>
      <c r="E134" s="105"/>
      <c r="F134" s="1">
        <v>61</v>
      </c>
      <c r="G134" s="101"/>
      <c r="H134" s="101"/>
      <c r="I134" s="112"/>
      <c r="J134" s="5">
        <v>83</v>
      </c>
      <c r="K134" s="101"/>
      <c r="L134" s="101"/>
      <c r="M134" s="101"/>
      <c r="N134" s="101"/>
      <c r="O134" s="101"/>
      <c r="P134" s="1">
        <v>102</v>
      </c>
      <c r="Q134" s="101"/>
      <c r="R134" s="101"/>
      <c r="S134" s="101"/>
      <c r="T134" s="5">
        <v>92</v>
      </c>
      <c r="U134" s="101"/>
      <c r="V134" s="101"/>
      <c r="W134" s="101"/>
      <c r="Y134" s="101"/>
      <c r="Z134" s="1">
        <v>4</v>
      </c>
      <c r="AC134" s="101"/>
      <c r="AD134" s="5">
        <v>101</v>
      </c>
      <c r="AJ134" s="1">
        <v>116</v>
      </c>
      <c r="AN134" s="5">
        <v>6</v>
      </c>
      <c r="AT134" s="1">
        <v>53</v>
      </c>
      <c r="AX134" s="5">
        <v>104</v>
      </c>
      <c r="BD134" s="1">
        <v>21</v>
      </c>
      <c r="BH134" s="2">
        <v>46</v>
      </c>
      <c r="BQ134" s="278"/>
      <c r="BR134" s="273">
        <f t="shared" si="31"/>
        <v>61</v>
      </c>
      <c r="BS134" s="274" t="str">
        <f t="shared" si="32"/>
        <v/>
      </c>
      <c r="BT134" s="275" t="str">
        <f t="shared" si="33"/>
        <v/>
      </c>
      <c r="BU134" s="273" t="str">
        <f t="shared" si="34"/>
        <v/>
      </c>
      <c r="BV134" s="277" t="str">
        <f t="shared" si="35"/>
        <v/>
      </c>
      <c r="BW134" s="273">
        <f t="shared" si="35"/>
        <v>0</v>
      </c>
      <c r="BX134" s="273">
        <f t="shared" si="35"/>
        <v>0</v>
      </c>
    </row>
    <row r="135" spans="3:76" ht="21.75" customHeight="1">
      <c r="C135" s="71" t="s">
        <v>54</v>
      </c>
      <c r="D135" s="101"/>
      <c r="E135" s="105"/>
      <c r="F135" s="1">
        <v>114</v>
      </c>
      <c r="G135" s="101"/>
      <c r="H135" s="101"/>
      <c r="I135" s="112"/>
      <c r="J135" s="5">
        <v>44</v>
      </c>
      <c r="K135" s="101"/>
      <c r="L135" s="101"/>
      <c r="M135" s="101"/>
      <c r="N135" s="101"/>
      <c r="O135" s="101"/>
      <c r="P135" s="1">
        <v>89</v>
      </c>
      <c r="Q135" s="101"/>
      <c r="R135" s="101"/>
      <c r="S135" s="101"/>
      <c r="T135" s="5">
        <v>101</v>
      </c>
      <c r="U135" s="101"/>
      <c r="V135" s="101"/>
      <c r="W135" s="101"/>
      <c r="Y135" s="101"/>
      <c r="Z135" s="1">
        <v>13</v>
      </c>
      <c r="AC135" s="101"/>
      <c r="AD135" s="5">
        <v>110</v>
      </c>
      <c r="AJ135" s="1">
        <v>55</v>
      </c>
      <c r="AN135" s="5">
        <v>33</v>
      </c>
      <c r="AT135" s="1">
        <v>39</v>
      </c>
      <c r="AX135" s="5">
        <v>36</v>
      </c>
      <c r="BD135" s="1">
        <v>74</v>
      </c>
      <c r="BH135" s="2">
        <v>90</v>
      </c>
      <c r="BQ135" s="278"/>
      <c r="BR135" s="273">
        <f t="shared" si="31"/>
        <v>62</v>
      </c>
      <c r="BS135" s="274" t="str">
        <f t="shared" si="32"/>
        <v/>
      </c>
      <c r="BT135" s="275" t="str">
        <f t="shared" si="33"/>
        <v/>
      </c>
      <c r="BU135" s="273" t="str">
        <f t="shared" si="34"/>
        <v/>
      </c>
      <c r="BV135" s="277" t="str">
        <f t="shared" si="35"/>
        <v/>
      </c>
      <c r="BW135" s="273">
        <f t="shared" si="35"/>
        <v>0</v>
      </c>
      <c r="BX135" s="273">
        <f t="shared" si="35"/>
        <v>0</v>
      </c>
    </row>
    <row r="136" spans="3:76" ht="21.75" customHeight="1">
      <c r="C136" s="71" t="s">
        <v>54</v>
      </c>
      <c r="D136" s="101"/>
      <c r="E136" s="105"/>
      <c r="F136" s="1">
        <v>109</v>
      </c>
      <c r="G136" s="101"/>
      <c r="H136" s="101"/>
      <c r="I136" s="112"/>
      <c r="J136" s="5">
        <v>18</v>
      </c>
      <c r="K136" s="101"/>
      <c r="L136" s="101"/>
      <c r="M136" s="101"/>
      <c r="N136" s="101"/>
      <c r="O136" s="101"/>
      <c r="P136" s="1">
        <v>37</v>
      </c>
      <c r="Q136" s="101"/>
      <c r="R136" s="101"/>
      <c r="S136" s="101"/>
      <c r="T136" s="5">
        <v>34</v>
      </c>
      <c r="U136" s="101"/>
      <c r="V136" s="101"/>
      <c r="W136" s="101"/>
      <c r="Y136" s="101"/>
      <c r="Z136" s="1">
        <v>75</v>
      </c>
      <c r="AC136" s="101"/>
      <c r="AD136" s="5">
        <v>99</v>
      </c>
      <c r="AJ136" s="1">
        <v>97</v>
      </c>
      <c r="AN136" s="5">
        <v>114</v>
      </c>
      <c r="AT136" s="1">
        <v>29</v>
      </c>
      <c r="AX136" s="5">
        <v>18</v>
      </c>
      <c r="BD136" s="1">
        <v>89</v>
      </c>
      <c r="BH136" s="2">
        <v>80</v>
      </c>
      <c r="BQ136" s="278"/>
      <c r="BR136" s="273">
        <f t="shared" si="31"/>
        <v>63</v>
      </c>
      <c r="BS136" s="274" t="str">
        <f t="shared" si="32"/>
        <v/>
      </c>
      <c r="BT136" s="275" t="str">
        <f t="shared" si="33"/>
        <v/>
      </c>
      <c r="BU136" s="273" t="str">
        <f t="shared" si="34"/>
        <v/>
      </c>
      <c r="BV136" s="277" t="str">
        <f t="shared" si="35"/>
        <v/>
      </c>
      <c r="BW136" s="273">
        <f t="shared" si="35"/>
        <v>0</v>
      </c>
      <c r="BX136" s="273">
        <f t="shared" si="35"/>
        <v>0</v>
      </c>
    </row>
    <row r="137" spans="3:76" ht="21.75" customHeight="1">
      <c r="C137" s="71" t="s">
        <v>54</v>
      </c>
      <c r="D137" s="101"/>
      <c r="E137" s="105"/>
      <c r="F137" s="1">
        <v>110</v>
      </c>
      <c r="G137" s="101"/>
      <c r="H137" s="101"/>
      <c r="I137" s="112"/>
      <c r="J137" s="5">
        <v>49</v>
      </c>
      <c r="K137" s="101"/>
      <c r="L137" s="101"/>
      <c r="M137" s="101"/>
      <c r="N137" s="101"/>
      <c r="O137" s="101"/>
      <c r="P137" s="1">
        <v>10</v>
      </c>
      <c r="Q137" s="101"/>
      <c r="R137" s="101"/>
      <c r="S137" s="101"/>
      <c r="T137" s="5">
        <v>44</v>
      </c>
      <c r="U137" s="101"/>
      <c r="V137" s="101"/>
      <c r="W137" s="101"/>
      <c r="Y137" s="101"/>
      <c r="Z137" s="1">
        <v>86</v>
      </c>
      <c r="AC137" s="101"/>
      <c r="AD137" s="5">
        <v>93</v>
      </c>
      <c r="AJ137" s="1">
        <v>19</v>
      </c>
      <c r="AN137" s="5">
        <v>16</v>
      </c>
      <c r="AT137" s="1">
        <v>41</v>
      </c>
      <c r="AX137" s="5">
        <v>15</v>
      </c>
      <c r="BD137" s="1">
        <v>78</v>
      </c>
      <c r="BH137" s="2">
        <v>7</v>
      </c>
      <c r="BQ137" s="278"/>
      <c r="BR137" s="273">
        <f t="shared" si="31"/>
        <v>64</v>
      </c>
      <c r="BS137" s="274" t="str">
        <f t="shared" si="32"/>
        <v/>
      </c>
      <c r="BT137" s="275" t="str">
        <f t="shared" si="33"/>
        <v/>
      </c>
      <c r="BU137" s="273" t="str">
        <f t="shared" si="34"/>
        <v/>
      </c>
      <c r="BV137" s="277" t="str">
        <f t="shared" si="35"/>
        <v/>
      </c>
      <c r="BW137" s="273">
        <f t="shared" si="35"/>
        <v>0</v>
      </c>
      <c r="BX137" s="273">
        <f t="shared" si="35"/>
        <v>0</v>
      </c>
    </row>
    <row r="138" spans="3:76" ht="21.75" customHeight="1">
      <c r="C138" s="71" t="s">
        <v>54</v>
      </c>
      <c r="D138" s="101"/>
      <c r="E138" s="105"/>
      <c r="F138" s="1">
        <v>104</v>
      </c>
      <c r="G138" s="101"/>
      <c r="H138" s="101"/>
      <c r="I138" s="112"/>
      <c r="J138" s="5">
        <v>54</v>
      </c>
      <c r="K138" s="101"/>
      <c r="L138" s="101"/>
      <c r="M138" s="101"/>
      <c r="N138" s="101"/>
      <c r="O138" s="101"/>
      <c r="P138" s="1">
        <v>117</v>
      </c>
      <c r="Q138" s="101"/>
      <c r="R138" s="101"/>
      <c r="S138" s="101"/>
      <c r="T138" s="5">
        <v>65</v>
      </c>
      <c r="U138" s="101"/>
      <c r="V138" s="101"/>
      <c r="W138" s="101"/>
      <c r="Y138" s="101"/>
      <c r="Z138" s="1">
        <v>5</v>
      </c>
      <c r="AC138" s="101"/>
      <c r="AD138" s="5">
        <v>20</v>
      </c>
      <c r="AJ138" s="1">
        <v>80</v>
      </c>
      <c r="AN138" s="5">
        <v>57</v>
      </c>
      <c r="AT138" s="1">
        <v>22</v>
      </c>
      <c r="AX138" s="5">
        <v>106</v>
      </c>
      <c r="BD138" s="1">
        <v>102</v>
      </c>
      <c r="BH138" s="2">
        <v>14</v>
      </c>
      <c r="BQ138" s="279"/>
      <c r="BR138" s="280"/>
      <c r="BS138" s="280"/>
      <c r="BT138" s="281"/>
      <c r="BU138" s="280"/>
      <c r="BV138" s="281"/>
      <c r="BW138" s="280"/>
      <c r="BX138" s="280"/>
    </row>
    <row r="139" spans="3:76" ht="21.75" customHeight="1" thickBot="1">
      <c r="C139" s="71" t="s">
        <v>54</v>
      </c>
      <c r="D139" s="101"/>
      <c r="E139" s="105"/>
      <c r="F139" s="1">
        <v>85</v>
      </c>
      <c r="G139" s="101"/>
      <c r="H139" s="101"/>
      <c r="I139" s="112"/>
      <c r="J139" s="5">
        <v>79</v>
      </c>
      <c r="K139" s="101"/>
      <c r="L139" s="101"/>
      <c r="M139" s="101"/>
      <c r="N139" s="101"/>
      <c r="O139" s="101"/>
      <c r="P139" s="1">
        <v>53</v>
      </c>
      <c r="Q139" s="101"/>
      <c r="R139" s="101"/>
      <c r="S139" s="101"/>
      <c r="T139" s="5">
        <v>108</v>
      </c>
      <c r="U139" s="101"/>
      <c r="V139" s="101"/>
      <c r="W139" s="101"/>
      <c r="Y139" s="101"/>
      <c r="Z139" s="1">
        <v>50</v>
      </c>
      <c r="AC139" s="101"/>
      <c r="AD139" s="5">
        <v>14</v>
      </c>
      <c r="AJ139" s="1">
        <v>104</v>
      </c>
      <c r="AN139" s="5">
        <v>2</v>
      </c>
      <c r="AT139" s="1">
        <v>89</v>
      </c>
      <c r="AX139" s="5">
        <v>20</v>
      </c>
      <c r="BD139" s="1">
        <v>58</v>
      </c>
      <c r="BH139" s="2">
        <v>24</v>
      </c>
      <c r="BQ139" s="279"/>
      <c r="BR139" s="280"/>
      <c r="BS139" s="280"/>
      <c r="BT139" s="281"/>
      <c r="BU139" s="280"/>
      <c r="BV139" s="281"/>
      <c r="BW139" s="280"/>
      <c r="BX139" s="280"/>
    </row>
    <row r="140" spans="3:76" ht="21.75" customHeight="1" thickTop="1">
      <c r="C140" s="71" t="s">
        <v>54</v>
      </c>
      <c r="D140" s="101"/>
      <c r="E140" s="105"/>
      <c r="F140" s="1">
        <v>40</v>
      </c>
      <c r="G140" s="101"/>
      <c r="H140" s="101"/>
      <c r="I140" s="112"/>
      <c r="J140" s="5">
        <v>66</v>
      </c>
      <c r="K140" s="101"/>
      <c r="L140" s="101"/>
      <c r="M140" s="101"/>
      <c r="N140" s="101"/>
      <c r="O140" s="101"/>
      <c r="P140" s="1">
        <v>18</v>
      </c>
      <c r="Q140" s="101"/>
      <c r="R140" s="101"/>
      <c r="S140" s="101"/>
      <c r="T140" s="5">
        <v>76</v>
      </c>
      <c r="U140" s="101"/>
      <c r="V140" s="101"/>
      <c r="W140" s="101"/>
      <c r="Y140" s="101"/>
      <c r="Z140" s="1">
        <v>90</v>
      </c>
      <c r="AC140" s="101"/>
      <c r="AD140" s="5">
        <v>7</v>
      </c>
      <c r="AJ140" s="1">
        <v>43</v>
      </c>
      <c r="AN140" s="5">
        <v>24</v>
      </c>
      <c r="AT140" s="1">
        <v>40</v>
      </c>
      <c r="AX140" s="5">
        <v>42</v>
      </c>
      <c r="BD140" s="1">
        <v>2</v>
      </c>
      <c r="BH140" s="2">
        <v>60</v>
      </c>
      <c r="BS140" s="269" t="s">
        <v>192</v>
      </c>
      <c r="BT140" s="270"/>
      <c r="BU140" s="270"/>
      <c r="BV140" s="270"/>
      <c r="BW140" s="271" t="s">
        <v>189</v>
      </c>
      <c r="BX140" s="272"/>
    </row>
    <row r="141" spans="3:76" ht="21.75" customHeight="1">
      <c r="C141" s="71" t="s">
        <v>54</v>
      </c>
      <c r="D141" s="101"/>
      <c r="E141" s="105"/>
      <c r="F141" s="1">
        <v>86</v>
      </c>
      <c r="G141" s="101"/>
      <c r="H141" s="101"/>
      <c r="I141" s="112"/>
      <c r="J141" s="5">
        <v>48</v>
      </c>
      <c r="K141" s="101"/>
      <c r="L141" s="101"/>
      <c r="M141" s="101"/>
      <c r="N141" s="101"/>
      <c r="O141" s="101"/>
      <c r="P141" s="1">
        <v>31</v>
      </c>
      <c r="Q141" s="101"/>
      <c r="R141" s="101"/>
      <c r="S141" s="101"/>
      <c r="T141" s="5">
        <v>107</v>
      </c>
      <c r="U141" s="101"/>
      <c r="V141" s="101"/>
      <c r="W141" s="101"/>
      <c r="Y141" s="101"/>
      <c r="Z141" s="1">
        <v>64</v>
      </c>
      <c r="AC141" s="101"/>
      <c r="AD141" s="5">
        <v>11</v>
      </c>
      <c r="AJ141" s="1">
        <v>23</v>
      </c>
      <c r="AN141" s="5">
        <v>10</v>
      </c>
      <c r="AT141" s="1">
        <v>95</v>
      </c>
      <c r="AX141" s="5">
        <v>48</v>
      </c>
      <c r="BD141" s="1">
        <v>16</v>
      </c>
      <c r="BH141" s="2">
        <v>107</v>
      </c>
      <c r="BQ141" s="278"/>
      <c r="BR141" s="273">
        <f>B6</f>
        <v>1</v>
      </c>
      <c r="BS141" s="273" t="str">
        <f>X6</f>
        <v>95</v>
      </c>
      <c r="BT141" s="282" t="str">
        <f>Z6</f>
        <v>RICHARD</v>
      </c>
      <c r="BU141" s="283" t="str">
        <f>AB6</f>
        <v>72</v>
      </c>
      <c r="BV141" s="282" t="str">
        <f>AD6</f>
        <v>DELPHINE</v>
      </c>
      <c r="BW141" s="282">
        <f>AE6</f>
        <v>0</v>
      </c>
      <c r="BX141" s="282">
        <f>AF6</f>
        <v>0</v>
      </c>
    </row>
    <row r="142" spans="3:76" ht="21.75" customHeight="1">
      <c r="C142" s="71" t="s">
        <v>54</v>
      </c>
      <c r="D142" s="101"/>
      <c r="E142" s="105"/>
      <c r="F142" s="1">
        <v>14</v>
      </c>
      <c r="G142" s="101"/>
      <c r="H142" s="101"/>
      <c r="I142" s="112"/>
      <c r="J142" s="5">
        <v>28</v>
      </c>
      <c r="K142" s="101"/>
      <c r="L142" s="101"/>
      <c r="M142" s="101"/>
      <c r="N142" s="101"/>
      <c r="O142" s="101"/>
      <c r="P142" s="1">
        <v>79</v>
      </c>
      <c r="Q142" s="101"/>
      <c r="R142" s="101"/>
      <c r="S142" s="101"/>
      <c r="T142" s="5">
        <v>87</v>
      </c>
      <c r="U142" s="101"/>
      <c r="V142" s="101"/>
      <c r="W142" s="101"/>
      <c r="Y142" s="101"/>
      <c r="Z142" s="1">
        <v>79</v>
      </c>
      <c r="AC142" s="101"/>
      <c r="AD142" s="5">
        <v>47</v>
      </c>
      <c r="AJ142" s="1">
        <v>60</v>
      </c>
      <c r="AN142" s="5">
        <v>91</v>
      </c>
      <c r="AT142" s="1">
        <v>43</v>
      </c>
      <c r="AX142" s="5">
        <v>38</v>
      </c>
      <c r="BD142" s="1">
        <v>15</v>
      </c>
      <c r="BH142" s="2">
        <v>73</v>
      </c>
      <c r="BQ142" s="278"/>
      <c r="BR142" s="273">
        <f t="shared" ref="BR142:BR204" si="36">B7</f>
        <v>2</v>
      </c>
      <c r="BS142" s="273" t="str">
        <f t="shared" ref="BS142:BS204" si="37">X7</f>
        <v>1</v>
      </c>
      <c r="BT142" s="282" t="str">
        <f t="shared" ref="BT142:BT204" si="38">Z7</f>
        <v>PETER</v>
      </c>
      <c r="BU142" s="283" t="str">
        <f t="shared" ref="BU142:BU204" si="39">AB7</f>
        <v>3</v>
      </c>
      <c r="BV142" s="282" t="str">
        <f t="shared" ref="BV142:BX204" si="40">AD7</f>
        <v>MARCO</v>
      </c>
      <c r="BW142" s="282">
        <f t="shared" si="40"/>
        <v>0</v>
      </c>
      <c r="BX142" s="282">
        <f t="shared" si="40"/>
        <v>0</v>
      </c>
    </row>
    <row r="143" spans="3:76" ht="21.75" customHeight="1">
      <c r="C143" s="71" t="s">
        <v>54</v>
      </c>
      <c r="D143" s="101"/>
      <c r="E143" s="105"/>
      <c r="F143" s="1">
        <v>115</v>
      </c>
      <c r="G143" s="101"/>
      <c r="H143" s="101"/>
      <c r="I143" s="112"/>
      <c r="J143" s="5">
        <v>116</v>
      </c>
      <c r="K143" s="101"/>
      <c r="L143" s="101"/>
      <c r="M143" s="101"/>
      <c r="N143" s="101"/>
      <c r="O143" s="101"/>
      <c r="P143" s="1">
        <v>78</v>
      </c>
      <c r="Q143" s="101"/>
      <c r="R143" s="101"/>
      <c r="S143" s="101"/>
      <c r="T143" s="5">
        <v>45</v>
      </c>
      <c r="U143" s="101"/>
      <c r="V143" s="101"/>
      <c r="W143" s="101"/>
      <c r="Y143" s="101"/>
      <c r="Z143" s="1">
        <v>40</v>
      </c>
      <c r="AC143" s="101"/>
      <c r="AD143" s="5">
        <v>45</v>
      </c>
      <c r="AJ143" s="1">
        <v>27</v>
      </c>
      <c r="AN143" s="5">
        <v>70</v>
      </c>
      <c r="AT143" s="1">
        <v>51</v>
      </c>
      <c r="AX143" s="5">
        <v>4</v>
      </c>
      <c r="BD143" s="1">
        <v>17</v>
      </c>
      <c r="BH143" s="2">
        <v>98</v>
      </c>
      <c r="BQ143" s="278"/>
      <c r="BR143" s="273">
        <f t="shared" si="36"/>
        <v>3</v>
      </c>
      <c r="BS143" s="273" t="str">
        <f t="shared" si="37"/>
        <v>35</v>
      </c>
      <c r="BT143" s="282" t="str">
        <f t="shared" si="38"/>
        <v>MARTIN</v>
      </c>
      <c r="BU143" s="283" t="str">
        <f t="shared" si="39"/>
        <v>82</v>
      </c>
      <c r="BV143" s="282" t="str">
        <f t="shared" si="40"/>
        <v>URBAIN</v>
      </c>
      <c r="BW143" s="282">
        <f t="shared" si="40"/>
        <v>0</v>
      </c>
      <c r="BX143" s="282">
        <f t="shared" si="40"/>
        <v>0</v>
      </c>
    </row>
    <row r="144" spans="3:76" ht="21.75" customHeight="1">
      <c r="C144" s="71" t="s">
        <v>54</v>
      </c>
      <c r="D144" s="101"/>
      <c r="E144" s="105"/>
      <c r="F144" s="1">
        <v>27</v>
      </c>
      <c r="G144" s="101"/>
      <c r="H144" s="101"/>
      <c r="I144" s="112"/>
      <c r="J144" s="5">
        <v>19</v>
      </c>
      <c r="K144" s="101"/>
      <c r="L144" s="101"/>
      <c r="M144" s="101"/>
      <c r="N144" s="101"/>
      <c r="O144" s="101"/>
      <c r="P144" s="1">
        <v>59</v>
      </c>
      <c r="Q144" s="101"/>
      <c r="R144" s="101"/>
      <c r="S144" s="101"/>
      <c r="T144" s="5">
        <v>47</v>
      </c>
      <c r="U144" s="101"/>
      <c r="V144" s="101"/>
      <c r="W144" s="101"/>
      <c r="Y144" s="101"/>
      <c r="Z144" s="1">
        <v>66</v>
      </c>
      <c r="AC144" s="101"/>
      <c r="AD144" s="5">
        <v>96</v>
      </c>
      <c r="AJ144" s="1">
        <v>52</v>
      </c>
      <c r="AN144" s="5">
        <v>92</v>
      </c>
      <c r="AT144" s="1">
        <v>90</v>
      </c>
      <c r="AX144" s="5">
        <v>84</v>
      </c>
      <c r="BD144" s="1">
        <v>34</v>
      </c>
      <c r="BH144" s="2">
        <v>30</v>
      </c>
      <c r="BQ144" s="278"/>
      <c r="BR144" s="273">
        <f t="shared" si="36"/>
        <v>4</v>
      </c>
      <c r="BS144" s="273" t="str">
        <f t="shared" si="37"/>
        <v>91</v>
      </c>
      <c r="BT144" s="282" t="str">
        <f t="shared" si="38"/>
        <v>VALERIE</v>
      </c>
      <c r="BU144" s="283" t="str">
        <f t="shared" si="39"/>
        <v>55</v>
      </c>
      <c r="BV144" s="282" t="str">
        <f t="shared" si="40"/>
        <v>GREGOIRE</v>
      </c>
      <c r="BW144" s="282">
        <f t="shared" si="40"/>
        <v>0</v>
      </c>
      <c r="BX144" s="282">
        <f t="shared" si="40"/>
        <v>0</v>
      </c>
    </row>
    <row r="145" spans="3:76" ht="21.75" customHeight="1">
      <c r="C145" s="71" t="s">
        <v>54</v>
      </c>
      <c r="D145" s="101"/>
      <c r="E145" s="105"/>
      <c r="F145" s="1">
        <v>100</v>
      </c>
      <c r="G145" s="101"/>
      <c r="H145" s="101"/>
      <c r="I145" s="112"/>
      <c r="J145" s="5">
        <v>102</v>
      </c>
      <c r="K145" s="101"/>
      <c r="L145" s="101"/>
      <c r="M145" s="101"/>
      <c r="N145" s="101"/>
      <c r="O145" s="101"/>
      <c r="P145" s="1">
        <v>62</v>
      </c>
      <c r="Q145" s="101"/>
      <c r="R145" s="101"/>
      <c r="S145" s="101"/>
      <c r="T145" s="5">
        <v>99</v>
      </c>
      <c r="U145" s="101"/>
      <c r="V145" s="101"/>
      <c r="W145" s="101"/>
      <c r="Y145" s="101"/>
      <c r="Z145" s="1">
        <v>94</v>
      </c>
      <c r="AC145" s="101"/>
      <c r="AD145" s="5">
        <v>114</v>
      </c>
      <c r="AJ145" s="1">
        <v>59</v>
      </c>
      <c r="AN145" s="5">
        <v>99</v>
      </c>
      <c r="AT145" s="1">
        <v>1</v>
      </c>
      <c r="AX145" s="5">
        <v>23</v>
      </c>
      <c r="BD145" s="1">
        <v>40</v>
      </c>
      <c r="BH145" s="2">
        <v>84</v>
      </c>
      <c r="BQ145" s="278"/>
      <c r="BR145" s="273">
        <f t="shared" si="36"/>
        <v>5</v>
      </c>
      <c r="BS145" s="273" t="str">
        <f t="shared" si="37"/>
        <v>28</v>
      </c>
      <c r="BT145" s="282" t="str">
        <f t="shared" si="38"/>
        <v xml:space="preserve">RENE  </v>
      </c>
      <c r="BU145" s="283" t="str">
        <f t="shared" si="39"/>
        <v>89</v>
      </c>
      <c r="BV145" s="282" t="str">
        <f t="shared" si="40"/>
        <v>BERNARD</v>
      </c>
      <c r="BW145" s="282">
        <f t="shared" si="40"/>
        <v>0</v>
      </c>
      <c r="BX145" s="282">
        <f t="shared" si="40"/>
        <v>0</v>
      </c>
    </row>
    <row r="146" spans="3:76" ht="21.75" customHeight="1">
      <c r="C146" s="71" t="s">
        <v>54</v>
      </c>
      <c r="D146" s="101"/>
      <c r="E146" s="105"/>
      <c r="F146" s="1">
        <v>34</v>
      </c>
      <c r="G146" s="101"/>
      <c r="H146" s="101"/>
      <c r="I146" s="112"/>
      <c r="J146" s="5">
        <v>118</v>
      </c>
      <c r="K146" s="101"/>
      <c r="L146" s="101"/>
      <c r="M146" s="101"/>
      <c r="N146" s="101"/>
      <c r="O146" s="101"/>
      <c r="P146" s="1">
        <v>52</v>
      </c>
      <c r="Q146" s="101"/>
      <c r="R146" s="101"/>
      <c r="S146" s="101"/>
      <c r="T146" s="5">
        <v>38</v>
      </c>
      <c r="U146" s="101"/>
      <c r="V146" s="101"/>
      <c r="W146" s="101"/>
      <c r="Y146" s="101"/>
      <c r="Z146" s="1">
        <v>15</v>
      </c>
      <c r="AC146" s="101"/>
      <c r="AD146" s="5">
        <v>76</v>
      </c>
      <c r="AJ146" s="1">
        <v>37</v>
      </c>
      <c r="AN146" s="5">
        <v>38</v>
      </c>
      <c r="AT146" s="1">
        <v>65</v>
      </c>
      <c r="AX146" s="5">
        <v>76</v>
      </c>
      <c r="BD146" s="1">
        <v>118</v>
      </c>
      <c r="BH146" s="2">
        <v>13</v>
      </c>
      <c r="BQ146" s="278"/>
      <c r="BR146" s="273">
        <f t="shared" si="36"/>
        <v>6</v>
      </c>
      <c r="BS146" s="273" t="str">
        <f t="shared" si="37"/>
        <v>48</v>
      </c>
      <c r="BT146" s="282" t="str">
        <f t="shared" si="38"/>
        <v>LUC</v>
      </c>
      <c r="BU146" s="283" t="str">
        <f t="shared" si="39"/>
        <v>115</v>
      </c>
      <c r="BV146" s="282" t="str">
        <f t="shared" si="40"/>
        <v>LEON</v>
      </c>
      <c r="BW146" s="282">
        <f t="shared" si="40"/>
        <v>0</v>
      </c>
      <c r="BX146" s="282">
        <f t="shared" si="40"/>
        <v>0</v>
      </c>
    </row>
    <row r="147" spans="3:76" ht="21.75" customHeight="1">
      <c r="C147" s="71" t="s">
        <v>54</v>
      </c>
      <c r="D147" s="101"/>
      <c r="E147" s="105"/>
      <c r="F147" s="1">
        <v>98</v>
      </c>
      <c r="G147" s="101"/>
      <c r="H147" s="101"/>
      <c r="I147" s="112"/>
      <c r="J147" s="5">
        <v>4</v>
      </c>
      <c r="K147" s="101"/>
      <c r="L147" s="101"/>
      <c r="M147" s="101"/>
      <c r="N147" s="101"/>
      <c r="O147" s="101"/>
      <c r="P147" s="1">
        <v>41</v>
      </c>
      <c r="Q147" s="101"/>
      <c r="R147" s="101"/>
      <c r="S147" s="101"/>
      <c r="T147" s="5">
        <v>106</v>
      </c>
      <c r="U147" s="101"/>
      <c r="V147" s="101"/>
      <c r="W147" s="101"/>
      <c r="Y147" s="101"/>
      <c r="Z147" s="1">
        <v>19</v>
      </c>
      <c r="AC147" s="101"/>
      <c r="AD147" s="5">
        <v>60</v>
      </c>
      <c r="AJ147" s="1">
        <v>48</v>
      </c>
      <c r="AN147" s="5">
        <v>20</v>
      </c>
      <c r="AT147" s="1">
        <v>33</v>
      </c>
      <c r="AX147" s="5">
        <v>46</v>
      </c>
      <c r="BD147" s="1">
        <v>12</v>
      </c>
      <c r="BH147" s="2">
        <v>5</v>
      </c>
      <c r="BQ147" s="278"/>
      <c r="BR147" s="273">
        <f t="shared" si="36"/>
        <v>7</v>
      </c>
      <c r="BS147" s="273" t="str">
        <f t="shared" si="37"/>
        <v>113</v>
      </c>
      <c r="BT147" s="282" t="str">
        <f t="shared" si="38"/>
        <v>NORBERT</v>
      </c>
      <c r="BU147" s="283" t="str">
        <f t="shared" si="39"/>
        <v>51</v>
      </c>
      <c r="BV147" s="282" t="str">
        <f t="shared" si="40"/>
        <v>BEAUDOUIN</v>
      </c>
      <c r="BW147" s="282">
        <f t="shared" si="40"/>
        <v>0</v>
      </c>
      <c r="BX147" s="282">
        <f t="shared" si="40"/>
        <v>0</v>
      </c>
    </row>
    <row r="148" spans="3:76" ht="21.75" customHeight="1">
      <c r="C148" s="71" t="s">
        <v>54</v>
      </c>
      <c r="D148" s="101"/>
      <c r="E148" s="105"/>
      <c r="F148" s="1">
        <v>67</v>
      </c>
      <c r="G148" s="101"/>
      <c r="H148" s="101"/>
      <c r="I148" s="112"/>
      <c r="J148" s="5">
        <v>77</v>
      </c>
      <c r="K148" s="101"/>
      <c r="L148" s="101"/>
      <c r="M148" s="101"/>
      <c r="N148" s="101"/>
      <c r="O148" s="101"/>
      <c r="P148" s="1">
        <v>61</v>
      </c>
      <c r="Q148" s="101"/>
      <c r="R148" s="101"/>
      <c r="S148" s="101"/>
      <c r="T148" s="5">
        <v>88</v>
      </c>
      <c r="U148" s="101"/>
      <c r="V148" s="101"/>
      <c r="W148" s="101"/>
      <c r="Y148" s="101"/>
      <c r="Z148" s="1">
        <v>71</v>
      </c>
      <c r="AC148" s="101"/>
      <c r="AD148" s="5">
        <v>65</v>
      </c>
      <c r="AJ148" s="1">
        <v>35</v>
      </c>
      <c r="AN148" s="5">
        <v>47</v>
      </c>
      <c r="AT148" s="1">
        <v>62</v>
      </c>
      <c r="AX148" s="5">
        <v>79</v>
      </c>
      <c r="BD148" s="1">
        <v>116</v>
      </c>
      <c r="BH148" s="2">
        <v>63</v>
      </c>
      <c r="BQ148" s="278"/>
      <c r="BR148" s="273">
        <f t="shared" si="36"/>
        <v>8</v>
      </c>
      <c r="BS148" s="273" t="str">
        <f t="shared" si="37"/>
        <v>22</v>
      </c>
      <c r="BT148" s="282" t="str">
        <f t="shared" si="38"/>
        <v xml:space="preserve">LANDRY   </v>
      </c>
      <c r="BU148" s="283" t="str">
        <f t="shared" si="39"/>
        <v>68</v>
      </c>
      <c r="BV148" s="282" t="str">
        <f t="shared" si="40"/>
        <v>BRICE</v>
      </c>
      <c r="BW148" s="282">
        <f t="shared" si="40"/>
        <v>0</v>
      </c>
      <c r="BX148" s="282">
        <f t="shared" si="40"/>
        <v>0</v>
      </c>
    </row>
    <row r="149" spans="3:76" ht="21.75" customHeight="1">
      <c r="C149" s="71" t="s">
        <v>54</v>
      </c>
      <c r="D149" s="101"/>
      <c r="E149" s="105"/>
      <c r="F149" s="1">
        <v>5</v>
      </c>
      <c r="G149" s="101"/>
      <c r="H149" s="101"/>
      <c r="I149" s="112"/>
      <c r="J149" s="5">
        <v>112</v>
      </c>
      <c r="K149" s="101"/>
      <c r="L149" s="101"/>
      <c r="M149" s="101"/>
      <c r="N149" s="101"/>
      <c r="O149" s="101"/>
      <c r="P149" s="1">
        <v>72</v>
      </c>
      <c r="Q149" s="101"/>
      <c r="R149" s="101"/>
      <c r="S149" s="101"/>
      <c r="T149" s="5">
        <v>112</v>
      </c>
      <c r="U149" s="101"/>
      <c r="V149" s="101"/>
      <c r="W149" s="101"/>
      <c r="Y149" s="101"/>
      <c r="Z149" s="1">
        <v>18</v>
      </c>
      <c r="AC149" s="101"/>
      <c r="AD149" s="5">
        <v>23</v>
      </c>
      <c r="AJ149" s="1">
        <v>62</v>
      </c>
      <c r="AN149" s="5">
        <v>107</v>
      </c>
      <c r="AT149" s="1">
        <v>52</v>
      </c>
      <c r="AX149" s="5">
        <v>75</v>
      </c>
      <c r="BD149" s="1">
        <v>56</v>
      </c>
      <c r="BH149" s="2">
        <v>79</v>
      </c>
      <c r="BQ149" s="278"/>
      <c r="BR149" s="273">
        <f t="shared" si="36"/>
        <v>9</v>
      </c>
      <c r="BS149" s="273" t="str">
        <f t="shared" si="37"/>
        <v>46</v>
      </c>
      <c r="BT149" s="282" t="str">
        <f t="shared" si="38"/>
        <v xml:space="preserve">SERGE  </v>
      </c>
      <c r="BU149" s="283" t="str">
        <f t="shared" si="39"/>
        <v>24</v>
      </c>
      <c r="BV149" s="282" t="str">
        <f t="shared" si="40"/>
        <v>JACQUES</v>
      </c>
      <c r="BW149" s="282">
        <f t="shared" si="40"/>
        <v>0</v>
      </c>
      <c r="BX149" s="282">
        <f t="shared" si="40"/>
        <v>0</v>
      </c>
    </row>
    <row r="150" spans="3:76" ht="21.75" customHeight="1">
      <c r="C150" s="71" t="s">
        <v>54</v>
      </c>
      <c r="D150" s="101"/>
      <c r="E150" s="105"/>
      <c r="F150" s="1">
        <v>111</v>
      </c>
      <c r="G150" s="101"/>
      <c r="H150" s="101"/>
      <c r="I150" s="112"/>
      <c r="J150" s="5">
        <v>103</v>
      </c>
      <c r="K150" s="101"/>
      <c r="L150" s="101"/>
      <c r="M150" s="101"/>
      <c r="N150" s="101"/>
      <c r="O150" s="101"/>
      <c r="P150" s="1">
        <v>91</v>
      </c>
      <c r="Q150" s="101"/>
      <c r="R150" s="101"/>
      <c r="S150" s="101"/>
      <c r="T150" s="5">
        <v>80</v>
      </c>
      <c r="U150" s="101"/>
      <c r="V150" s="101"/>
      <c r="W150" s="101"/>
      <c r="Y150" s="101"/>
      <c r="Z150" s="1">
        <v>6</v>
      </c>
      <c r="AC150" s="101"/>
      <c r="AD150" s="5">
        <v>8</v>
      </c>
      <c r="AJ150" s="1">
        <v>5</v>
      </c>
      <c r="AN150" s="5">
        <v>83</v>
      </c>
      <c r="AT150" s="1">
        <v>67</v>
      </c>
      <c r="AX150" s="5">
        <v>80</v>
      </c>
      <c r="BD150" s="1">
        <v>82</v>
      </c>
      <c r="BH150" s="2">
        <v>37</v>
      </c>
      <c r="BQ150" s="278"/>
      <c r="BR150" s="273">
        <f t="shared" si="36"/>
        <v>10</v>
      </c>
      <c r="BS150" s="273" t="str">
        <f t="shared" si="37"/>
        <v>52</v>
      </c>
      <c r="BT150" s="282" t="str">
        <f t="shared" si="38"/>
        <v>ABEL</v>
      </c>
      <c r="BU150" s="283" t="str">
        <f t="shared" si="39"/>
        <v>56</v>
      </c>
      <c r="BV150" s="282" t="str">
        <f t="shared" si="40"/>
        <v xml:space="preserve">RENE  </v>
      </c>
      <c r="BW150" s="282">
        <f t="shared" si="40"/>
        <v>0</v>
      </c>
      <c r="BX150" s="282">
        <f t="shared" si="40"/>
        <v>0</v>
      </c>
    </row>
    <row r="151" spans="3:76" ht="21.75" customHeight="1">
      <c r="C151" s="71" t="s">
        <v>54</v>
      </c>
      <c r="D151" s="101"/>
      <c r="E151" s="105"/>
      <c r="F151" s="1">
        <v>38</v>
      </c>
      <c r="G151" s="101"/>
      <c r="H151" s="101"/>
      <c r="I151" s="112"/>
      <c r="J151" s="5">
        <v>117</v>
      </c>
      <c r="K151" s="101"/>
      <c r="L151" s="101"/>
      <c r="M151" s="101"/>
      <c r="N151" s="101"/>
      <c r="O151" s="101"/>
      <c r="P151" s="1">
        <v>7</v>
      </c>
      <c r="Q151" s="101"/>
      <c r="R151" s="101"/>
      <c r="S151" s="101"/>
      <c r="T151" s="5">
        <v>60</v>
      </c>
      <c r="U151" s="101"/>
      <c r="V151" s="101"/>
      <c r="W151" s="101"/>
      <c r="Y151" s="101"/>
      <c r="Z151" s="1">
        <v>33</v>
      </c>
      <c r="AC151" s="101"/>
      <c r="AD151" s="5">
        <v>38</v>
      </c>
      <c r="AJ151" s="1">
        <v>7</v>
      </c>
      <c r="AN151" s="5">
        <v>49</v>
      </c>
      <c r="AT151" s="1">
        <v>54</v>
      </c>
      <c r="AX151" s="5">
        <v>66</v>
      </c>
      <c r="BD151" s="1">
        <v>85</v>
      </c>
      <c r="BH151" s="2">
        <v>88</v>
      </c>
      <c r="BQ151" s="278"/>
      <c r="BR151" s="273">
        <f t="shared" si="36"/>
        <v>11</v>
      </c>
      <c r="BS151" s="273" t="str">
        <f t="shared" si="37"/>
        <v>67</v>
      </c>
      <c r="BT151" s="282" t="str">
        <f t="shared" si="38"/>
        <v>YVONNICK</v>
      </c>
      <c r="BU151" s="283" t="str">
        <f t="shared" si="39"/>
        <v>81</v>
      </c>
      <c r="BV151" s="282" t="str">
        <f t="shared" si="40"/>
        <v>THEOPHILE</v>
      </c>
      <c r="BW151" s="282">
        <f t="shared" si="40"/>
        <v>0</v>
      </c>
      <c r="BX151" s="282">
        <f t="shared" si="40"/>
        <v>0</v>
      </c>
    </row>
    <row r="152" spans="3:76" ht="21.75" customHeight="1">
      <c r="C152" s="71" t="s">
        <v>54</v>
      </c>
      <c r="D152" s="101"/>
      <c r="E152" s="105"/>
      <c r="F152" s="1">
        <v>10</v>
      </c>
      <c r="G152" s="101"/>
      <c r="H152" s="101"/>
      <c r="I152" s="112"/>
      <c r="J152" s="5">
        <v>73</v>
      </c>
      <c r="K152" s="101"/>
      <c r="L152" s="101"/>
      <c r="M152" s="101"/>
      <c r="N152" s="101"/>
      <c r="O152" s="101"/>
      <c r="P152" s="1">
        <v>46</v>
      </c>
      <c r="Q152" s="101"/>
      <c r="R152" s="101"/>
      <c r="S152" s="101"/>
      <c r="T152" s="5">
        <v>50</v>
      </c>
      <c r="U152" s="101"/>
      <c r="V152" s="101"/>
      <c r="W152" s="101"/>
      <c r="Y152" s="101"/>
      <c r="Z152" s="1">
        <v>109</v>
      </c>
      <c r="AC152" s="101"/>
      <c r="AD152" s="5">
        <v>34</v>
      </c>
      <c r="AJ152" s="1">
        <v>105</v>
      </c>
      <c r="AN152" s="5">
        <v>84</v>
      </c>
      <c r="AT152" s="1">
        <v>34</v>
      </c>
      <c r="AX152" s="5">
        <v>83</v>
      </c>
      <c r="BD152" s="1">
        <v>43</v>
      </c>
      <c r="BH152" s="2">
        <v>108</v>
      </c>
      <c r="BQ152" s="278"/>
      <c r="BR152" s="273">
        <f t="shared" si="36"/>
        <v>12</v>
      </c>
      <c r="BS152" s="273" t="str">
        <f t="shared" si="37"/>
        <v>100</v>
      </c>
      <c r="BT152" s="282" t="str">
        <f t="shared" si="38"/>
        <v>CONSTANTIN</v>
      </c>
      <c r="BU152" s="283" t="str">
        <f t="shared" si="39"/>
        <v>84</v>
      </c>
      <c r="BV152" s="282" t="str">
        <f t="shared" si="40"/>
        <v>BASILE</v>
      </c>
      <c r="BW152" s="282">
        <f t="shared" si="40"/>
        <v>0</v>
      </c>
      <c r="BX152" s="282">
        <f t="shared" si="40"/>
        <v>0</v>
      </c>
    </row>
    <row r="153" spans="3:76" ht="21.75" customHeight="1">
      <c r="C153" s="71" t="s">
        <v>54</v>
      </c>
      <c r="D153" s="101"/>
      <c r="E153" s="105"/>
      <c r="F153" s="1">
        <v>92</v>
      </c>
      <c r="G153" s="101"/>
      <c r="H153" s="101"/>
      <c r="I153" s="112"/>
      <c r="J153" s="5">
        <v>84</v>
      </c>
      <c r="K153" s="101"/>
      <c r="L153" s="101"/>
      <c r="M153" s="101"/>
      <c r="N153" s="101"/>
      <c r="O153" s="101"/>
      <c r="P153" s="1">
        <v>8</v>
      </c>
      <c r="Q153" s="101"/>
      <c r="R153" s="101"/>
      <c r="S153" s="101"/>
      <c r="T153" s="5">
        <v>71</v>
      </c>
      <c r="U153" s="101"/>
      <c r="V153" s="101"/>
      <c r="W153" s="101"/>
      <c r="Y153" s="101"/>
      <c r="Z153" s="1">
        <v>104</v>
      </c>
      <c r="AC153" s="101"/>
      <c r="AD153" s="5">
        <v>16</v>
      </c>
      <c r="AJ153" s="1">
        <v>31</v>
      </c>
      <c r="AN153" s="5">
        <v>102</v>
      </c>
      <c r="AT153" s="1">
        <v>105</v>
      </c>
      <c r="AX153" s="5">
        <v>86</v>
      </c>
      <c r="BD153" s="1">
        <v>31</v>
      </c>
      <c r="BH153" s="2">
        <v>32</v>
      </c>
      <c r="BQ153" s="278"/>
      <c r="BR153" s="273">
        <f t="shared" si="36"/>
        <v>13</v>
      </c>
      <c r="BS153" s="273" t="str">
        <f t="shared" si="37"/>
        <v>36</v>
      </c>
      <c r="BT153" s="282" t="str">
        <f t="shared" si="38"/>
        <v xml:space="preserve">ALCIDE  </v>
      </c>
      <c r="BU153" s="283" t="str">
        <f t="shared" si="39"/>
        <v>49</v>
      </c>
      <c r="BV153" s="282" t="str">
        <f t="shared" si="40"/>
        <v>OLIVIER</v>
      </c>
      <c r="BW153" s="282">
        <f t="shared" si="40"/>
        <v>0</v>
      </c>
      <c r="BX153" s="282">
        <f t="shared" si="40"/>
        <v>0</v>
      </c>
    </row>
    <row r="154" spans="3:76" ht="21.75" customHeight="1">
      <c r="C154" s="71" t="s">
        <v>54</v>
      </c>
      <c r="D154" s="101"/>
      <c r="E154" s="105"/>
      <c r="F154" s="1">
        <v>101</v>
      </c>
      <c r="G154" s="101"/>
      <c r="H154" s="101"/>
      <c r="I154" s="112"/>
      <c r="J154" s="5">
        <v>24</v>
      </c>
      <c r="K154" s="101"/>
      <c r="L154" s="101"/>
      <c r="M154" s="101"/>
      <c r="N154" s="101"/>
      <c r="O154" s="101"/>
      <c r="P154" s="1">
        <v>73</v>
      </c>
      <c r="Q154" s="101"/>
      <c r="R154" s="101"/>
      <c r="S154" s="101"/>
      <c r="T154" s="5">
        <v>113</v>
      </c>
      <c r="U154" s="101"/>
      <c r="V154" s="101"/>
      <c r="W154" s="101"/>
      <c r="Y154" s="101"/>
      <c r="Z154" s="1">
        <v>80</v>
      </c>
      <c r="AC154" s="101"/>
      <c r="AD154" s="5">
        <v>61</v>
      </c>
      <c r="AJ154" s="1">
        <v>42</v>
      </c>
      <c r="AN154" s="5">
        <v>58</v>
      </c>
      <c r="AT154" s="1">
        <v>8</v>
      </c>
      <c r="AX154" s="5">
        <v>99</v>
      </c>
      <c r="BD154" s="1">
        <v>65</v>
      </c>
      <c r="BH154" s="2">
        <v>104</v>
      </c>
      <c r="BQ154" s="278"/>
      <c r="BR154" s="273">
        <f t="shared" si="36"/>
        <v>14</v>
      </c>
      <c r="BS154" s="273" t="str">
        <f t="shared" si="37"/>
        <v>10</v>
      </c>
      <c r="BT154" s="282" t="str">
        <f t="shared" si="38"/>
        <v>PETER</v>
      </c>
      <c r="BU154" s="283" t="str">
        <f t="shared" si="39"/>
        <v>117</v>
      </c>
      <c r="BV154" s="282" t="str">
        <f t="shared" si="40"/>
        <v>PROSPER</v>
      </c>
      <c r="BW154" s="282">
        <f t="shared" si="40"/>
        <v>0</v>
      </c>
      <c r="BX154" s="282">
        <f t="shared" si="40"/>
        <v>0</v>
      </c>
    </row>
    <row r="155" spans="3:76" ht="21.75" customHeight="1">
      <c r="C155" s="71" t="s">
        <v>54</v>
      </c>
      <c r="D155" s="101"/>
      <c r="E155" s="105"/>
      <c r="F155" s="1">
        <v>29</v>
      </c>
      <c r="G155" s="101"/>
      <c r="H155" s="101"/>
      <c r="I155" s="112"/>
      <c r="J155" s="5">
        <v>78</v>
      </c>
      <c r="K155" s="101"/>
      <c r="L155" s="101"/>
      <c r="M155" s="101"/>
      <c r="N155" s="101"/>
      <c r="O155" s="101"/>
      <c r="P155" s="1">
        <v>105</v>
      </c>
      <c r="Q155" s="101"/>
      <c r="R155" s="101"/>
      <c r="S155" s="101"/>
      <c r="T155" s="5">
        <v>98</v>
      </c>
      <c r="U155" s="101"/>
      <c r="V155" s="101"/>
      <c r="W155" s="101"/>
      <c r="Y155" s="101"/>
      <c r="Z155" s="1">
        <v>58</v>
      </c>
      <c r="AC155" s="101"/>
      <c r="AD155" s="5">
        <v>83</v>
      </c>
      <c r="AJ155" s="1">
        <v>75</v>
      </c>
      <c r="AN155" s="5">
        <v>98</v>
      </c>
      <c r="AT155" s="1">
        <v>30</v>
      </c>
      <c r="AX155" s="5">
        <v>56</v>
      </c>
      <c r="BD155" s="1">
        <v>25</v>
      </c>
      <c r="BH155" s="2">
        <v>106</v>
      </c>
      <c r="BQ155" s="278"/>
      <c r="BR155" s="273">
        <f t="shared" si="36"/>
        <v>15</v>
      </c>
      <c r="BS155" s="273" t="str">
        <f t="shared" si="37"/>
        <v>43</v>
      </c>
      <c r="BT155" s="282" t="str">
        <f t="shared" si="38"/>
        <v>ALLAIRE</v>
      </c>
      <c r="BU155" s="283" t="str">
        <f t="shared" si="39"/>
        <v>53</v>
      </c>
      <c r="BV155" s="282" t="str">
        <f t="shared" si="40"/>
        <v>AURELIEN</v>
      </c>
      <c r="BW155" s="282">
        <f t="shared" si="40"/>
        <v>0</v>
      </c>
      <c r="BX155" s="282">
        <f t="shared" si="40"/>
        <v>0</v>
      </c>
    </row>
    <row r="156" spans="3:76" ht="21.75" customHeight="1">
      <c r="C156" s="71" t="s">
        <v>54</v>
      </c>
      <c r="D156" s="101"/>
      <c r="E156" s="105"/>
      <c r="F156" s="1">
        <v>70</v>
      </c>
      <c r="G156" s="101"/>
      <c r="H156" s="101"/>
      <c r="I156" s="112"/>
      <c r="J156" s="5">
        <v>52</v>
      </c>
      <c r="K156" s="101"/>
      <c r="L156" s="101"/>
      <c r="M156" s="101"/>
      <c r="N156" s="101"/>
      <c r="O156" s="101"/>
      <c r="P156" s="1">
        <v>26</v>
      </c>
      <c r="Q156" s="101"/>
      <c r="R156" s="101"/>
      <c r="S156" s="101"/>
      <c r="T156" s="5">
        <v>36</v>
      </c>
      <c r="U156" s="101"/>
      <c r="V156" s="101"/>
      <c r="W156" s="101"/>
      <c r="Y156" s="101"/>
      <c r="Z156" s="1">
        <v>85</v>
      </c>
      <c r="AC156" s="101"/>
      <c r="AD156" s="5">
        <v>98</v>
      </c>
      <c r="AJ156" s="1">
        <v>117</v>
      </c>
      <c r="AN156" s="5">
        <v>71</v>
      </c>
      <c r="AT156" s="1">
        <v>102</v>
      </c>
      <c r="AX156" s="5">
        <v>13</v>
      </c>
      <c r="BD156" s="1">
        <v>105</v>
      </c>
      <c r="BH156" s="2">
        <v>109</v>
      </c>
      <c r="BQ156" s="278"/>
      <c r="BR156" s="273">
        <f t="shared" si="36"/>
        <v>16</v>
      </c>
      <c r="BS156" s="273" t="str">
        <f t="shared" si="37"/>
        <v>63</v>
      </c>
      <c r="BT156" s="282" t="str">
        <f t="shared" si="38"/>
        <v>FIRMIN</v>
      </c>
      <c r="BU156" s="283" t="str">
        <f t="shared" si="39"/>
        <v>54</v>
      </c>
      <c r="BV156" s="282" t="str">
        <f t="shared" si="40"/>
        <v>DAMIEN</v>
      </c>
      <c r="BW156" s="282">
        <f t="shared" si="40"/>
        <v>0</v>
      </c>
      <c r="BX156" s="282">
        <f t="shared" si="40"/>
        <v>0</v>
      </c>
    </row>
    <row r="157" spans="3:76" ht="21.75" customHeight="1">
      <c r="C157" s="71" t="s">
        <v>54</v>
      </c>
      <c r="D157" s="101"/>
      <c r="E157" s="105"/>
      <c r="F157" s="1">
        <v>95</v>
      </c>
      <c r="G157" s="101"/>
      <c r="H157" s="101"/>
      <c r="I157" s="112"/>
      <c r="J157" s="5">
        <v>31</v>
      </c>
      <c r="K157" s="101"/>
      <c r="L157" s="101"/>
      <c r="M157" s="101"/>
      <c r="N157" s="101"/>
      <c r="O157" s="101"/>
      <c r="P157" s="1">
        <v>70</v>
      </c>
      <c r="Q157" s="101"/>
      <c r="R157" s="101"/>
      <c r="S157" s="101"/>
      <c r="T157" s="5">
        <v>104</v>
      </c>
      <c r="U157" s="101"/>
      <c r="V157" s="101"/>
      <c r="W157" s="101"/>
      <c r="Y157" s="101"/>
      <c r="Z157" s="1">
        <v>108</v>
      </c>
      <c r="AC157" s="101"/>
      <c r="AD157" s="5">
        <v>9</v>
      </c>
      <c r="AJ157" s="1">
        <v>30</v>
      </c>
      <c r="AN157" s="5">
        <v>110</v>
      </c>
      <c r="AT157" s="1">
        <v>68</v>
      </c>
      <c r="AX157" s="5">
        <v>72</v>
      </c>
      <c r="BD157" s="1">
        <v>26</v>
      </c>
      <c r="BH157" s="2">
        <v>50</v>
      </c>
      <c r="BQ157" s="278"/>
      <c r="BR157" s="273">
        <f t="shared" si="36"/>
        <v>17</v>
      </c>
      <c r="BS157" s="273" t="str">
        <f t="shared" si="37"/>
        <v>59</v>
      </c>
      <c r="BT157" s="282" t="str">
        <f t="shared" si="38"/>
        <v>NADEGE</v>
      </c>
      <c r="BU157" s="283" t="str">
        <f t="shared" si="39"/>
        <v>77</v>
      </c>
      <c r="BV157" s="282" t="str">
        <f t="shared" si="40"/>
        <v>DANIEL</v>
      </c>
      <c r="BW157" s="282">
        <f t="shared" si="40"/>
        <v>0</v>
      </c>
      <c r="BX157" s="282">
        <f t="shared" si="40"/>
        <v>0</v>
      </c>
    </row>
    <row r="158" spans="3:76" ht="21.75" customHeight="1">
      <c r="C158" s="71" t="s">
        <v>54</v>
      </c>
      <c r="D158" s="101"/>
      <c r="E158" s="105"/>
      <c r="F158" s="1">
        <v>113</v>
      </c>
      <c r="G158" s="101"/>
      <c r="H158" s="101"/>
      <c r="I158" s="112"/>
      <c r="J158" s="5">
        <v>6</v>
      </c>
      <c r="K158" s="101"/>
      <c r="L158" s="101"/>
      <c r="M158" s="101"/>
      <c r="N158" s="101"/>
      <c r="O158" s="101"/>
      <c r="P158" s="1">
        <v>28</v>
      </c>
      <c r="Q158" s="101"/>
      <c r="R158" s="101"/>
      <c r="S158" s="101"/>
      <c r="T158" s="5">
        <v>85</v>
      </c>
      <c r="U158" s="101"/>
      <c r="V158" s="101"/>
      <c r="W158" s="101"/>
      <c r="Y158" s="101"/>
      <c r="Z158" s="1">
        <v>41</v>
      </c>
      <c r="AC158" s="101"/>
      <c r="AD158" s="5">
        <v>29</v>
      </c>
      <c r="AJ158" s="1">
        <v>9</v>
      </c>
      <c r="AN158" s="5">
        <v>85</v>
      </c>
      <c r="AT158" s="1">
        <v>12</v>
      </c>
      <c r="AX158" s="5">
        <v>58</v>
      </c>
      <c r="BD158" s="1">
        <v>11</v>
      </c>
      <c r="BH158" s="2">
        <v>27</v>
      </c>
      <c r="BQ158" s="278"/>
      <c r="BR158" s="273">
        <f t="shared" si="36"/>
        <v>18</v>
      </c>
      <c r="BS158" s="273" t="str">
        <f t="shared" si="37"/>
        <v>57</v>
      </c>
      <c r="BT158" s="282" t="str">
        <f t="shared" si="38"/>
        <v>ARSENE</v>
      </c>
      <c r="BU158" s="283" t="str">
        <f t="shared" si="39"/>
        <v>103</v>
      </c>
      <c r="BV158" s="282" t="str">
        <f t="shared" si="40"/>
        <v>GERMAIN</v>
      </c>
      <c r="BW158" s="282">
        <f t="shared" si="40"/>
        <v>0</v>
      </c>
      <c r="BX158" s="282">
        <f t="shared" si="40"/>
        <v>0</v>
      </c>
    </row>
    <row r="159" spans="3:76" ht="21.75" customHeight="1" thickBot="1">
      <c r="C159" s="71" t="s">
        <v>54</v>
      </c>
      <c r="D159" s="101"/>
      <c r="E159" s="105"/>
      <c r="F159" s="3">
        <v>47</v>
      </c>
      <c r="G159" s="101"/>
      <c r="H159" s="101"/>
      <c r="I159" s="112"/>
      <c r="J159" s="6">
        <v>39</v>
      </c>
      <c r="K159" s="101"/>
      <c r="L159" s="101"/>
      <c r="M159" s="101"/>
      <c r="N159" s="101"/>
      <c r="O159" s="101"/>
      <c r="P159" s="3">
        <v>81</v>
      </c>
      <c r="Q159" s="101"/>
      <c r="R159" s="101"/>
      <c r="S159" s="101"/>
      <c r="T159" s="6">
        <v>3</v>
      </c>
      <c r="U159" s="101"/>
      <c r="V159" s="101"/>
      <c r="W159" s="101"/>
      <c r="Y159" s="101"/>
      <c r="Z159" s="3">
        <v>88</v>
      </c>
      <c r="AC159" s="101"/>
      <c r="AD159" s="6">
        <v>116</v>
      </c>
      <c r="AJ159" s="3">
        <v>12</v>
      </c>
      <c r="AN159" s="6">
        <v>51</v>
      </c>
      <c r="AT159" s="3">
        <v>100</v>
      </c>
      <c r="AX159" s="6">
        <v>32</v>
      </c>
      <c r="BD159" s="3">
        <v>52</v>
      </c>
      <c r="BH159" s="4">
        <v>22</v>
      </c>
      <c r="BQ159" s="278"/>
      <c r="BR159" s="273">
        <f t="shared" si="36"/>
        <v>19</v>
      </c>
      <c r="BS159" s="273" t="str">
        <f t="shared" si="37"/>
        <v>87</v>
      </c>
      <c r="BT159" s="282" t="str">
        <f t="shared" si="38"/>
        <v>GUILLAUME</v>
      </c>
      <c r="BU159" s="283" t="str">
        <f t="shared" si="39"/>
        <v>92</v>
      </c>
      <c r="BV159" s="282" t="str">
        <f t="shared" si="40"/>
        <v>ROMAIN</v>
      </c>
      <c r="BW159" s="282">
        <f t="shared" si="40"/>
        <v>0</v>
      </c>
      <c r="BX159" s="282">
        <f t="shared" si="40"/>
        <v>0</v>
      </c>
    </row>
    <row r="160" spans="3:76" ht="21.75" customHeight="1">
      <c r="C160" s="71" t="s">
        <v>54</v>
      </c>
      <c r="D160" s="101"/>
      <c r="E160" s="105"/>
      <c r="F160"/>
      <c r="G160" s="101"/>
      <c r="H160" s="101"/>
      <c r="I160" s="112"/>
      <c r="J160"/>
      <c r="K160" s="101"/>
      <c r="L160" s="101"/>
      <c r="M160" s="101"/>
      <c r="N160" s="101"/>
      <c r="O160" s="101"/>
      <c r="P160"/>
      <c r="Q160" s="101"/>
      <c r="R160" s="101"/>
      <c r="S160" s="101"/>
      <c r="T160"/>
      <c r="U160" s="101"/>
      <c r="V160" s="101"/>
      <c r="W160" s="101"/>
      <c r="Y160" s="101"/>
      <c r="Z160"/>
      <c r="AC160" s="101"/>
      <c r="AD160"/>
      <c r="AJ160"/>
      <c r="AN160"/>
      <c r="AT160"/>
      <c r="AX160"/>
      <c r="BD160"/>
      <c r="BH160"/>
      <c r="BQ160" s="278"/>
      <c r="BR160" s="273">
        <f t="shared" si="36"/>
        <v>20</v>
      </c>
      <c r="BS160" s="273" t="str">
        <f t="shared" si="37"/>
        <v>12</v>
      </c>
      <c r="BT160" s="282" t="str">
        <f t="shared" si="38"/>
        <v>ALAIN</v>
      </c>
      <c r="BU160" s="283" t="str">
        <f t="shared" si="39"/>
        <v>111</v>
      </c>
      <c r="BV160" s="282" t="str">
        <f t="shared" si="40"/>
        <v>SOLANGE</v>
      </c>
      <c r="BW160" s="282">
        <f t="shared" si="40"/>
        <v>0</v>
      </c>
      <c r="BX160" s="282">
        <f t="shared" si="40"/>
        <v>0</v>
      </c>
    </row>
    <row r="161" spans="3:76" ht="21.75" customHeight="1">
      <c r="C161" s="71" t="s">
        <v>54</v>
      </c>
      <c r="D161" s="101"/>
      <c r="E161" s="105"/>
      <c r="F161"/>
      <c r="G161" s="101"/>
      <c r="H161" s="101"/>
      <c r="I161" s="112"/>
      <c r="J161"/>
      <c r="K161" s="101"/>
      <c r="L161" s="101"/>
      <c r="M161" s="101"/>
      <c r="N161" s="101"/>
      <c r="O161" s="101"/>
      <c r="P161"/>
      <c r="Q161" s="101"/>
      <c r="R161" s="101"/>
      <c r="S161" s="101"/>
      <c r="T161"/>
      <c r="U161" s="101"/>
      <c r="V161" s="101"/>
      <c r="W161" s="101"/>
      <c r="Y161" s="101"/>
      <c r="Z161"/>
      <c r="AC161" s="101"/>
      <c r="AD161"/>
      <c r="AJ161"/>
      <c r="AN161"/>
      <c r="AT161"/>
      <c r="AX161"/>
      <c r="BD161"/>
      <c r="BH161"/>
      <c r="BQ161" s="278"/>
      <c r="BR161" s="273">
        <f t="shared" si="36"/>
        <v>21</v>
      </c>
      <c r="BS161" s="273" t="str">
        <f t="shared" si="37"/>
        <v>112</v>
      </c>
      <c r="BT161" s="282" t="str">
        <f t="shared" si="38"/>
        <v>AYMAR</v>
      </c>
      <c r="BU161" s="283" t="str">
        <f t="shared" si="39"/>
        <v>62</v>
      </c>
      <c r="BV161" s="282" t="str">
        <f t="shared" si="40"/>
        <v>DIMITRI</v>
      </c>
      <c r="BW161" s="282">
        <f t="shared" si="40"/>
        <v>0</v>
      </c>
      <c r="BX161" s="282">
        <f t="shared" si="40"/>
        <v>0</v>
      </c>
    </row>
    <row r="162" spans="3:76" ht="21.75" customHeight="1">
      <c r="C162" s="71" t="s">
        <v>54</v>
      </c>
      <c r="D162" s="101"/>
      <c r="E162" s="105"/>
      <c r="F162"/>
      <c r="G162" s="101"/>
      <c r="H162" s="101"/>
      <c r="I162" s="112"/>
      <c r="J162"/>
      <c r="K162" s="101"/>
      <c r="L162" s="101"/>
      <c r="M162" s="101"/>
      <c r="N162" s="101"/>
      <c r="O162" s="101"/>
      <c r="P162"/>
      <c r="Q162" s="101"/>
      <c r="R162" s="101"/>
      <c r="S162" s="101"/>
      <c r="T162"/>
      <c r="U162" s="101"/>
      <c r="V162" s="101"/>
      <c r="W162" s="101"/>
      <c r="Y162" s="101"/>
      <c r="Z162"/>
      <c r="AC162" s="101"/>
      <c r="AD162"/>
      <c r="AJ162"/>
      <c r="AN162"/>
      <c r="AT162"/>
      <c r="AX162"/>
      <c r="BD162"/>
      <c r="BH162"/>
      <c r="BQ162" s="278"/>
      <c r="BR162" s="273">
        <f t="shared" si="36"/>
        <v>22</v>
      </c>
      <c r="BS162" s="273" t="str">
        <f t="shared" si="37"/>
        <v>37</v>
      </c>
      <c r="BT162" s="282" t="str">
        <f t="shared" si="38"/>
        <v>CLEMENT</v>
      </c>
      <c r="BU162" s="283" t="str">
        <f t="shared" si="39"/>
        <v>78</v>
      </c>
      <c r="BV162" s="282" t="str">
        <f t="shared" si="40"/>
        <v>GAEL</v>
      </c>
      <c r="BW162" s="282">
        <f t="shared" si="40"/>
        <v>0</v>
      </c>
      <c r="BX162" s="282">
        <f t="shared" si="40"/>
        <v>0</v>
      </c>
    </row>
    <row r="163" spans="3:76" ht="21.75" customHeight="1">
      <c r="C163" s="71" t="s">
        <v>54</v>
      </c>
      <c r="D163" s="101"/>
      <c r="E163" s="105"/>
      <c r="F163"/>
      <c r="G163" s="101"/>
      <c r="H163" s="101"/>
      <c r="I163" s="112"/>
      <c r="J163"/>
      <c r="K163" s="101"/>
      <c r="L163" s="101"/>
      <c r="M163" s="101"/>
      <c r="N163" s="101"/>
      <c r="O163" s="101"/>
      <c r="P163"/>
      <c r="Q163" s="101"/>
      <c r="R163" s="101"/>
      <c r="S163" s="101"/>
      <c r="T163"/>
      <c r="U163" s="101"/>
      <c r="V163" s="101"/>
      <c r="W163" s="101"/>
      <c r="Y163" s="101"/>
      <c r="Z163"/>
      <c r="AC163" s="101"/>
      <c r="AD163"/>
      <c r="AJ163"/>
      <c r="AN163"/>
      <c r="AT163"/>
      <c r="AX163"/>
      <c r="BD163"/>
      <c r="BH163"/>
      <c r="BQ163" s="278"/>
      <c r="BR163" s="273">
        <f t="shared" si="36"/>
        <v>23</v>
      </c>
      <c r="BS163" s="273" t="str">
        <f t="shared" si="37"/>
        <v>21</v>
      </c>
      <c r="BT163" s="282" t="str">
        <f t="shared" si="38"/>
        <v>GEGE</v>
      </c>
      <c r="BU163" s="283" t="str">
        <f t="shared" si="39"/>
        <v>44</v>
      </c>
      <c r="BV163" s="282" t="str">
        <f t="shared" si="40"/>
        <v>GUY JEAN</v>
      </c>
      <c r="BW163" s="282">
        <f t="shared" si="40"/>
        <v>0</v>
      </c>
      <c r="BX163" s="282">
        <f t="shared" si="40"/>
        <v>0</v>
      </c>
    </row>
    <row r="164" spans="3:76" ht="21.75" customHeight="1">
      <c r="C164" s="71" t="s">
        <v>54</v>
      </c>
      <c r="D164" s="101"/>
      <c r="E164" s="105"/>
      <c r="F164"/>
      <c r="G164" s="101"/>
      <c r="H164" s="101"/>
      <c r="I164" s="112"/>
      <c r="J164"/>
      <c r="K164" s="101"/>
      <c r="L164" s="101"/>
      <c r="M164" s="101"/>
      <c r="N164" s="101"/>
      <c r="O164" s="101"/>
      <c r="P164"/>
      <c r="Q164" s="101"/>
      <c r="R164" s="101"/>
      <c r="S164" s="101"/>
      <c r="T164"/>
      <c r="U164" s="101"/>
      <c r="V164" s="101"/>
      <c r="W164" s="101"/>
      <c r="Y164" s="101"/>
      <c r="Z164"/>
      <c r="AC164" s="101"/>
      <c r="AD164"/>
      <c r="AJ164"/>
      <c r="AN164"/>
      <c r="AT164"/>
      <c r="AX164"/>
      <c r="BD164"/>
      <c r="BH164"/>
      <c r="BQ164" s="278"/>
      <c r="BR164" s="273">
        <f t="shared" si="36"/>
        <v>24</v>
      </c>
      <c r="BS164" s="273" t="str">
        <f t="shared" si="37"/>
        <v>27</v>
      </c>
      <c r="BT164" s="282" t="str">
        <f t="shared" si="38"/>
        <v xml:space="preserve">PHILIPPE  </v>
      </c>
      <c r="BU164" s="283" t="str">
        <f t="shared" si="39"/>
        <v>42</v>
      </c>
      <c r="BV164" s="282" t="str">
        <f t="shared" si="40"/>
        <v xml:space="preserve">FREDDY  </v>
      </c>
      <c r="BW164" s="282">
        <f t="shared" si="40"/>
        <v>0</v>
      </c>
      <c r="BX164" s="282">
        <f t="shared" si="40"/>
        <v>0</v>
      </c>
    </row>
    <row r="165" spans="3:76" ht="21.75" customHeight="1">
      <c r="C165" s="62"/>
      <c r="D165" s="105"/>
      <c r="E165" s="105"/>
      <c r="F165" s="62"/>
      <c r="G165" s="62"/>
      <c r="H165" s="101"/>
      <c r="I165" s="112"/>
      <c r="J165" s="113"/>
      <c r="K165" s="62"/>
      <c r="L165" s="62"/>
      <c r="M165" s="62"/>
      <c r="N165" s="101"/>
      <c r="O165" s="63"/>
      <c r="P165" s="63"/>
      <c r="Q165" s="62"/>
      <c r="R165" s="101"/>
      <c r="S165" s="62"/>
      <c r="T165" s="62"/>
      <c r="U165" s="62"/>
      <c r="V165" s="62"/>
      <c r="BQ165" s="278"/>
      <c r="BR165" s="273">
        <f t="shared" si="36"/>
        <v>25</v>
      </c>
      <c r="BS165" s="273" t="str">
        <f t="shared" si="37"/>
        <v>97</v>
      </c>
      <c r="BT165" s="282" t="str">
        <f t="shared" si="38"/>
        <v>MATTHIAS</v>
      </c>
      <c r="BU165" s="283" t="str">
        <f t="shared" si="39"/>
        <v>25</v>
      </c>
      <c r="BV165" s="282" t="str">
        <f t="shared" si="40"/>
        <v>AURELIEN</v>
      </c>
      <c r="BW165" s="282">
        <f t="shared" si="40"/>
        <v>0</v>
      </c>
      <c r="BX165" s="282">
        <f t="shared" si="40"/>
        <v>0</v>
      </c>
    </row>
    <row r="166" spans="3:76" ht="21.75" customHeight="1">
      <c r="C166" s="62"/>
      <c r="D166" s="105"/>
      <c r="E166" s="105"/>
      <c r="F166" s="62"/>
      <c r="G166" s="62"/>
      <c r="H166" s="101"/>
      <c r="I166" s="112"/>
      <c r="J166" s="62"/>
      <c r="K166" s="62"/>
      <c r="L166" s="62"/>
      <c r="M166" s="62"/>
      <c r="N166" s="101"/>
      <c r="O166" s="63"/>
      <c r="P166" s="63"/>
      <c r="Q166" s="62"/>
      <c r="R166" s="101"/>
      <c r="S166" s="62"/>
      <c r="T166" s="62"/>
      <c r="U166" s="62"/>
      <c r="V166" s="62"/>
      <c r="BQ166" s="278"/>
      <c r="BR166" s="273">
        <f t="shared" si="36"/>
        <v>26</v>
      </c>
      <c r="BS166" s="273" t="str">
        <f t="shared" si="37"/>
        <v>73</v>
      </c>
      <c r="BT166" s="282" t="str">
        <f t="shared" si="38"/>
        <v>EDMOND</v>
      </c>
      <c r="BU166" s="283" t="str">
        <f t="shared" si="39"/>
        <v>26</v>
      </c>
      <c r="BV166" s="282" t="str">
        <f t="shared" si="40"/>
        <v xml:space="preserve">THIERRY  </v>
      </c>
      <c r="BW166" s="282">
        <f t="shared" si="40"/>
        <v>0</v>
      </c>
      <c r="BX166" s="282">
        <f t="shared" si="40"/>
        <v>0</v>
      </c>
    </row>
    <row r="167" spans="3:76" ht="21.75" customHeight="1">
      <c r="C167" s="62"/>
      <c r="D167" s="105"/>
      <c r="E167" s="105"/>
      <c r="F167" s="62"/>
      <c r="G167" s="62"/>
      <c r="H167" s="101"/>
      <c r="I167" s="112"/>
      <c r="J167" s="62"/>
      <c r="K167" s="62"/>
      <c r="L167" s="62"/>
      <c r="M167" s="62"/>
      <c r="N167" s="101"/>
      <c r="O167" s="63"/>
      <c r="P167" s="63"/>
      <c r="Q167" s="62"/>
      <c r="R167" s="101"/>
      <c r="S167" s="62"/>
      <c r="T167" s="62"/>
      <c r="U167" s="62"/>
      <c r="V167" s="62"/>
      <c r="BQ167" s="278"/>
      <c r="BR167" s="273">
        <f t="shared" si="36"/>
        <v>27</v>
      </c>
      <c r="BS167" s="273" t="str">
        <f t="shared" si="37"/>
        <v>102</v>
      </c>
      <c r="BT167" s="282" t="str">
        <f t="shared" si="38"/>
        <v>DONATIEN</v>
      </c>
      <c r="BU167" s="283" t="str">
        <f t="shared" si="39"/>
        <v>118</v>
      </c>
      <c r="BV167" s="282" t="str">
        <f t="shared" si="40"/>
        <v>FERNAND</v>
      </c>
      <c r="BW167" s="282">
        <f t="shared" si="40"/>
        <v>0</v>
      </c>
      <c r="BX167" s="282">
        <f t="shared" si="40"/>
        <v>0</v>
      </c>
    </row>
    <row r="168" spans="3:76" ht="21.75" customHeight="1">
      <c r="C168" s="62"/>
      <c r="D168" s="105"/>
      <c r="E168" s="105"/>
      <c r="F168" s="62"/>
      <c r="G168" s="62"/>
      <c r="H168" s="101"/>
      <c r="I168" s="112"/>
      <c r="J168" s="62"/>
      <c r="K168" s="62"/>
      <c r="L168" s="62"/>
      <c r="M168" s="62"/>
      <c r="N168" s="101"/>
      <c r="O168" s="63"/>
      <c r="P168" s="63"/>
      <c r="Q168" s="62"/>
      <c r="R168" s="101"/>
      <c r="S168" s="62"/>
      <c r="T168" s="62"/>
      <c r="U168" s="62"/>
      <c r="V168" s="62"/>
      <c r="BQ168" s="278"/>
      <c r="BR168" s="273">
        <f t="shared" si="36"/>
        <v>28</v>
      </c>
      <c r="BS168" s="273" t="str">
        <f t="shared" si="37"/>
        <v>69</v>
      </c>
      <c r="BT168" s="282" t="str">
        <f t="shared" si="38"/>
        <v>ALBERT</v>
      </c>
      <c r="BU168" s="283" t="str">
        <f t="shared" si="39"/>
        <v>106</v>
      </c>
      <c r="BV168" s="282" t="str">
        <f t="shared" si="40"/>
        <v>LOUISE</v>
      </c>
      <c r="BW168" s="282">
        <f t="shared" si="40"/>
        <v>0</v>
      </c>
      <c r="BX168" s="282">
        <f t="shared" si="40"/>
        <v>0</v>
      </c>
    </row>
    <row r="169" spans="3:76" ht="21.75" customHeight="1">
      <c r="C169" s="62"/>
      <c r="D169" s="105"/>
      <c r="E169" s="105"/>
      <c r="F169" s="62"/>
      <c r="G169" s="62"/>
      <c r="H169" s="101"/>
      <c r="I169" s="112"/>
      <c r="J169" s="62"/>
      <c r="K169" s="62"/>
      <c r="L169" s="62"/>
      <c r="M169" s="62"/>
      <c r="N169" s="101"/>
      <c r="O169" s="63"/>
      <c r="P169" s="63"/>
      <c r="Q169" s="62"/>
      <c r="R169" s="101"/>
      <c r="S169" s="62"/>
      <c r="T169" s="62"/>
      <c r="U169" s="62"/>
      <c r="V169" s="62"/>
      <c r="BQ169" s="278"/>
      <c r="BR169" s="273">
        <f t="shared" si="36"/>
        <v>29</v>
      </c>
      <c r="BS169" s="273" t="str">
        <f t="shared" si="37"/>
        <v>30</v>
      </c>
      <c r="BT169" s="282" t="str">
        <f t="shared" si="38"/>
        <v xml:space="preserve">PATRICK   </v>
      </c>
      <c r="BU169" s="283" t="str">
        <f t="shared" si="39"/>
        <v>32</v>
      </c>
      <c r="BV169" s="282" t="str">
        <f t="shared" si="40"/>
        <v xml:space="preserve">ADELINE  </v>
      </c>
      <c r="BW169" s="282">
        <f t="shared" si="40"/>
        <v>0</v>
      </c>
      <c r="BX169" s="282">
        <f t="shared" si="40"/>
        <v>0</v>
      </c>
    </row>
    <row r="170" spans="3:76" ht="21.75" customHeight="1">
      <c r="C170" s="62"/>
      <c r="D170" s="105"/>
      <c r="E170" s="105"/>
      <c r="F170" s="62"/>
      <c r="G170" s="62"/>
      <c r="H170" s="101"/>
      <c r="I170" s="112"/>
      <c r="J170" s="62"/>
      <c r="K170" s="62"/>
      <c r="L170" s="62"/>
      <c r="M170" s="62"/>
      <c r="N170" s="101"/>
      <c r="O170" s="63"/>
      <c r="P170" s="63"/>
      <c r="Q170" s="62"/>
      <c r="R170" s="101"/>
      <c r="S170" s="62"/>
      <c r="T170" s="62"/>
      <c r="U170" s="62"/>
      <c r="V170" s="62"/>
      <c r="BQ170" s="278"/>
      <c r="BR170" s="273">
        <f t="shared" si="36"/>
        <v>30</v>
      </c>
      <c r="BS170" s="273" t="str">
        <f t="shared" si="37"/>
        <v>74</v>
      </c>
      <c r="BT170" s="282" t="str">
        <f t="shared" si="38"/>
        <v>GERALD</v>
      </c>
      <c r="BU170" s="283" t="str">
        <f t="shared" si="39"/>
        <v>2</v>
      </c>
      <c r="BV170" s="282" t="str">
        <f t="shared" si="40"/>
        <v>FRANCIS</v>
      </c>
      <c r="BW170" s="282">
        <f t="shared" si="40"/>
        <v>0</v>
      </c>
      <c r="BX170" s="282">
        <f t="shared" si="40"/>
        <v>0</v>
      </c>
    </row>
    <row r="171" spans="3:76">
      <c r="C171" s="62"/>
      <c r="D171" s="105"/>
      <c r="E171" s="105"/>
      <c r="F171" s="62"/>
      <c r="G171" s="62"/>
      <c r="H171" s="101"/>
      <c r="I171" s="112"/>
      <c r="J171" s="62"/>
      <c r="K171" s="62"/>
      <c r="L171" s="62"/>
      <c r="M171" s="62"/>
      <c r="N171" s="101"/>
      <c r="O171" s="63"/>
      <c r="P171" s="63"/>
      <c r="Q171" s="62"/>
      <c r="R171" s="101"/>
      <c r="S171" s="62"/>
      <c r="T171" s="62"/>
      <c r="U171" s="62"/>
      <c r="V171" s="62"/>
      <c r="BQ171" s="278"/>
      <c r="BR171" s="273">
        <f t="shared" si="36"/>
        <v>31</v>
      </c>
      <c r="BS171" s="273" t="str">
        <f t="shared" si="37"/>
        <v>70</v>
      </c>
      <c r="BT171" s="282" t="str">
        <f t="shared" si="38"/>
        <v>TANGUY</v>
      </c>
      <c r="BU171" s="283" t="str">
        <f t="shared" si="39"/>
        <v>31</v>
      </c>
      <c r="BV171" s="282" t="str">
        <f t="shared" si="40"/>
        <v>EDOUARD</v>
      </c>
      <c r="BW171" s="282">
        <f t="shared" si="40"/>
        <v>0</v>
      </c>
      <c r="BX171" s="282">
        <f t="shared" si="40"/>
        <v>0</v>
      </c>
    </row>
    <row r="172" spans="3:76">
      <c r="C172" s="62"/>
      <c r="D172" s="105"/>
      <c r="E172" s="105"/>
      <c r="F172" s="62"/>
      <c r="G172" s="62"/>
      <c r="H172" s="101"/>
      <c r="I172" s="112"/>
      <c r="J172" s="62"/>
      <c r="K172" s="62"/>
      <c r="L172" s="62"/>
      <c r="M172" s="62"/>
      <c r="N172" s="101"/>
      <c r="O172" s="63"/>
      <c r="P172" s="63"/>
      <c r="Q172" s="62"/>
      <c r="R172" s="101"/>
      <c r="S172" s="62"/>
      <c r="T172" s="62"/>
      <c r="U172" s="62"/>
      <c r="V172" s="62"/>
      <c r="BQ172" s="278"/>
      <c r="BR172" s="273">
        <f t="shared" si="36"/>
        <v>32</v>
      </c>
      <c r="BS172" s="273" t="str">
        <f t="shared" si="37"/>
        <v>107</v>
      </c>
      <c r="BT172" s="282" t="str">
        <f t="shared" si="38"/>
        <v>GONTRAN</v>
      </c>
      <c r="BU172" s="283" t="str">
        <f t="shared" si="39"/>
        <v>105</v>
      </c>
      <c r="BV172" s="282" t="str">
        <f t="shared" si="40"/>
        <v>CYRILL</v>
      </c>
      <c r="BW172" s="282">
        <f t="shared" si="40"/>
        <v>0</v>
      </c>
      <c r="BX172" s="282">
        <f t="shared" si="40"/>
        <v>0</v>
      </c>
    </row>
    <row r="173" spans="3:76">
      <c r="C173" s="62"/>
      <c r="D173" s="105"/>
      <c r="E173" s="105"/>
      <c r="F173" s="62"/>
      <c r="G173" s="62"/>
      <c r="H173" s="101"/>
      <c r="I173" s="112"/>
      <c r="J173" s="62"/>
      <c r="K173" s="62"/>
      <c r="L173" s="62"/>
      <c r="M173" s="62"/>
      <c r="N173" s="101"/>
      <c r="O173" s="63"/>
      <c r="P173" s="63"/>
      <c r="Q173" s="62"/>
      <c r="R173" s="101"/>
      <c r="S173" s="62"/>
      <c r="T173" s="62"/>
      <c r="U173" s="62"/>
      <c r="V173" s="62"/>
      <c r="BQ173" s="278"/>
      <c r="BR173" s="273">
        <f t="shared" si="36"/>
        <v>33</v>
      </c>
      <c r="BS173" s="273" t="str">
        <f t="shared" si="37"/>
        <v>17</v>
      </c>
      <c r="BT173" s="282" t="str">
        <f t="shared" si="38"/>
        <v xml:space="preserve">LAURENT    </v>
      </c>
      <c r="BU173" s="283" t="str">
        <f t="shared" si="39"/>
        <v>39</v>
      </c>
      <c r="BV173" s="282" t="str">
        <f t="shared" si="40"/>
        <v xml:space="preserve">NICO  </v>
      </c>
      <c r="BW173" s="282">
        <f t="shared" si="40"/>
        <v>0</v>
      </c>
      <c r="BX173" s="282">
        <f t="shared" si="40"/>
        <v>0</v>
      </c>
    </row>
    <row r="174" spans="3:76">
      <c r="C174" s="62"/>
      <c r="D174" s="105"/>
      <c r="E174" s="105"/>
      <c r="F174" s="62"/>
      <c r="G174" s="62"/>
      <c r="H174" s="101"/>
      <c r="I174" s="112"/>
      <c r="J174" s="62"/>
      <c r="K174" s="62"/>
      <c r="L174" s="62"/>
      <c r="M174" s="62"/>
      <c r="N174" s="101"/>
      <c r="O174" s="63"/>
      <c r="P174" s="63"/>
      <c r="Q174" s="62"/>
      <c r="R174" s="101"/>
      <c r="S174" s="62"/>
      <c r="T174" s="62"/>
      <c r="U174" s="62"/>
      <c r="V174" s="62"/>
      <c r="BQ174" s="278"/>
      <c r="BR174" s="273">
        <f t="shared" si="36"/>
        <v>34</v>
      </c>
      <c r="BS174" s="273" t="str">
        <f t="shared" si="37"/>
        <v>4</v>
      </c>
      <c r="BT174" s="282" t="str">
        <f t="shared" si="38"/>
        <v>DENISE</v>
      </c>
      <c r="BU174" s="283" t="str">
        <f t="shared" si="39"/>
        <v>101</v>
      </c>
      <c r="BV174" s="282" t="str">
        <f t="shared" si="40"/>
        <v>HONORE</v>
      </c>
      <c r="BW174" s="282">
        <f t="shared" si="40"/>
        <v>0</v>
      </c>
      <c r="BX174" s="282">
        <f t="shared" si="40"/>
        <v>0</v>
      </c>
    </row>
    <row r="175" spans="3:76">
      <c r="C175" s="62"/>
      <c r="D175" s="105"/>
      <c r="E175" s="105"/>
      <c r="F175" s="62"/>
      <c r="G175" s="62"/>
      <c r="H175" s="101"/>
      <c r="I175" s="112"/>
      <c r="J175" s="62"/>
      <c r="K175" s="62"/>
      <c r="L175" s="62"/>
      <c r="M175" s="62"/>
      <c r="N175" s="101"/>
      <c r="O175" s="63"/>
      <c r="P175" s="63"/>
      <c r="Q175" s="62"/>
      <c r="R175" s="101"/>
      <c r="S175" s="62"/>
      <c r="T175" s="62"/>
      <c r="U175" s="62"/>
      <c r="V175" s="62"/>
      <c r="BQ175" s="278"/>
      <c r="BR175" s="273">
        <f t="shared" si="36"/>
        <v>35</v>
      </c>
      <c r="BS175" s="273" t="str">
        <f t="shared" si="37"/>
        <v>13</v>
      </c>
      <c r="BT175" s="282" t="str">
        <f t="shared" si="38"/>
        <v>JEAN PIERRE</v>
      </c>
      <c r="BU175" s="283" t="str">
        <f t="shared" si="39"/>
        <v>110</v>
      </c>
      <c r="BV175" s="282" t="str">
        <f t="shared" si="40"/>
        <v>ANICET</v>
      </c>
      <c r="BW175" s="282">
        <f t="shared" si="40"/>
        <v>0</v>
      </c>
      <c r="BX175" s="282">
        <f t="shared" si="40"/>
        <v>0</v>
      </c>
    </row>
    <row r="176" spans="3:76">
      <c r="C176" s="62"/>
      <c r="D176" s="105"/>
      <c r="E176" s="105"/>
      <c r="F176" s="62"/>
      <c r="G176" s="62"/>
      <c r="H176" s="101"/>
      <c r="I176" s="112"/>
      <c r="J176" s="62"/>
      <c r="K176" s="62"/>
      <c r="L176" s="62"/>
      <c r="M176" s="62"/>
      <c r="N176" s="101"/>
      <c r="O176" s="63"/>
      <c r="P176" s="63"/>
      <c r="Q176" s="62"/>
      <c r="R176" s="101"/>
      <c r="S176" s="62"/>
      <c r="T176" s="62"/>
      <c r="U176" s="62"/>
      <c r="V176" s="62"/>
      <c r="BQ176" s="278"/>
      <c r="BR176" s="273">
        <f t="shared" si="36"/>
        <v>36</v>
      </c>
      <c r="BS176" s="273" t="str">
        <f t="shared" si="37"/>
        <v>75</v>
      </c>
      <c r="BT176" s="282" t="str">
        <f t="shared" si="38"/>
        <v>NICOLAS</v>
      </c>
      <c r="BU176" s="283" t="str">
        <f t="shared" si="39"/>
        <v>99</v>
      </c>
      <c r="BV176" s="282" t="str">
        <f t="shared" si="40"/>
        <v>ROLANDE</v>
      </c>
      <c r="BW176" s="282">
        <f t="shared" si="40"/>
        <v>0</v>
      </c>
      <c r="BX176" s="282">
        <f t="shared" si="40"/>
        <v>0</v>
      </c>
    </row>
    <row r="177" spans="3:76">
      <c r="C177" s="62"/>
      <c r="D177" s="105"/>
      <c r="E177" s="105"/>
      <c r="F177" s="62"/>
      <c r="G177" s="62"/>
      <c r="H177" s="101"/>
      <c r="I177" s="112"/>
      <c r="J177" s="62"/>
      <c r="K177" s="62"/>
      <c r="L177" s="62"/>
      <c r="M177" s="62"/>
      <c r="N177" s="101"/>
      <c r="O177" s="63"/>
      <c r="P177" s="63"/>
      <c r="Q177" s="62"/>
      <c r="R177" s="101"/>
      <c r="S177" s="62"/>
      <c r="T177" s="62"/>
      <c r="U177" s="62"/>
      <c r="V177" s="62"/>
      <c r="BQ177" s="278"/>
      <c r="BR177" s="273">
        <f t="shared" si="36"/>
        <v>37</v>
      </c>
      <c r="BS177" s="273" t="str">
        <f t="shared" si="37"/>
        <v>86</v>
      </c>
      <c r="BT177" s="282" t="str">
        <f t="shared" si="38"/>
        <v>LUCIEN</v>
      </c>
      <c r="BU177" s="283" t="str">
        <f t="shared" si="39"/>
        <v>93</v>
      </c>
      <c r="BV177" s="282" t="str">
        <f t="shared" si="40"/>
        <v>JOSEPH</v>
      </c>
      <c r="BW177" s="282">
        <f t="shared" si="40"/>
        <v>0</v>
      </c>
      <c r="BX177" s="282">
        <f t="shared" si="40"/>
        <v>0</v>
      </c>
    </row>
    <row r="178" spans="3:76">
      <c r="C178" s="62"/>
      <c r="D178" s="105"/>
      <c r="E178" s="105"/>
      <c r="F178" s="62"/>
      <c r="G178" s="62"/>
      <c r="H178" s="101"/>
      <c r="I178" s="112"/>
      <c r="J178" s="62"/>
      <c r="K178" s="62"/>
      <c r="L178" s="62"/>
      <c r="M178" s="62"/>
      <c r="N178" s="101"/>
      <c r="O178" s="63"/>
      <c r="P178" s="63"/>
      <c r="Q178" s="62"/>
      <c r="R178" s="101"/>
      <c r="S178" s="62"/>
      <c r="T178" s="62"/>
      <c r="U178" s="62"/>
      <c r="V178" s="62"/>
      <c r="BQ178" s="278"/>
      <c r="BR178" s="273">
        <f t="shared" si="36"/>
        <v>38</v>
      </c>
      <c r="BS178" s="273" t="str">
        <f t="shared" si="37"/>
        <v>5</v>
      </c>
      <c r="BT178" s="282" t="str">
        <f t="shared" si="38"/>
        <v>YVON</v>
      </c>
      <c r="BU178" s="283" t="str">
        <f t="shared" si="39"/>
        <v>20</v>
      </c>
      <c r="BV178" s="282" t="str">
        <f t="shared" si="40"/>
        <v>JONATHAN</v>
      </c>
      <c r="BW178" s="282">
        <f t="shared" si="40"/>
        <v>0</v>
      </c>
      <c r="BX178" s="282">
        <f t="shared" si="40"/>
        <v>0</v>
      </c>
    </row>
    <row r="179" spans="3:76">
      <c r="C179" s="62"/>
      <c r="D179" s="105"/>
      <c r="E179" s="105"/>
      <c r="F179" s="62"/>
      <c r="G179" s="62"/>
      <c r="H179" s="101"/>
      <c r="I179" s="112"/>
      <c r="J179" s="62"/>
      <c r="K179" s="62"/>
      <c r="L179" s="62"/>
      <c r="M179" s="62"/>
      <c r="N179" s="101"/>
      <c r="O179" s="63"/>
      <c r="P179" s="63"/>
      <c r="Q179" s="62"/>
      <c r="R179" s="101"/>
      <c r="S179" s="62"/>
      <c r="T179" s="62"/>
      <c r="U179" s="62"/>
      <c r="V179" s="62"/>
      <c r="BQ179" s="278"/>
      <c r="BR179" s="273">
        <f t="shared" si="36"/>
        <v>39</v>
      </c>
      <c r="BS179" s="273" t="str">
        <f t="shared" si="37"/>
        <v>50</v>
      </c>
      <c r="BT179" s="282" t="str">
        <f t="shared" si="38"/>
        <v>FLORENTIN</v>
      </c>
      <c r="BU179" s="283" t="str">
        <f t="shared" si="39"/>
        <v>14</v>
      </c>
      <c r="BV179" s="282" t="str">
        <f t="shared" si="40"/>
        <v>CHRISTOPHE</v>
      </c>
      <c r="BW179" s="282">
        <f t="shared" si="40"/>
        <v>0</v>
      </c>
      <c r="BX179" s="282">
        <f t="shared" si="40"/>
        <v>0</v>
      </c>
    </row>
    <row r="180" spans="3:76">
      <c r="C180" s="62"/>
      <c r="D180" s="105"/>
      <c r="E180" s="105"/>
      <c r="F180" s="62"/>
      <c r="G180" s="62"/>
      <c r="H180" s="101"/>
      <c r="I180" s="112"/>
      <c r="J180" s="62"/>
      <c r="K180" s="62"/>
      <c r="L180" s="62"/>
      <c r="M180" s="62"/>
      <c r="N180" s="101"/>
      <c r="O180" s="63"/>
      <c r="P180" s="63"/>
      <c r="Q180" s="62"/>
      <c r="R180" s="101"/>
      <c r="S180" s="62"/>
      <c r="T180" s="62"/>
      <c r="U180" s="62"/>
      <c r="V180" s="62"/>
      <c r="BQ180" s="278"/>
      <c r="BR180" s="273">
        <f t="shared" si="36"/>
        <v>40</v>
      </c>
      <c r="BS180" s="273" t="str">
        <f t="shared" si="37"/>
        <v>90</v>
      </c>
      <c r="BT180" s="282" t="str">
        <f t="shared" si="38"/>
        <v>VALENTIN</v>
      </c>
      <c r="BU180" s="283" t="str">
        <f t="shared" si="39"/>
        <v>7</v>
      </c>
      <c r="BV180" s="282" t="str">
        <f t="shared" si="40"/>
        <v>PIERRE</v>
      </c>
      <c r="BW180" s="282">
        <f t="shared" si="40"/>
        <v>0</v>
      </c>
      <c r="BX180" s="282">
        <f t="shared" si="40"/>
        <v>0</v>
      </c>
    </row>
    <row r="181" spans="3:76">
      <c r="C181" s="62"/>
      <c r="D181" s="105"/>
      <c r="E181" s="105"/>
      <c r="F181" s="62"/>
      <c r="G181" s="62"/>
      <c r="H181" s="101"/>
      <c r="I181" s="112"/>
      <c r="J181" s="62"/>
      <c r="K181" s="62"/>
      <c r="L181" s="62"/>
      <c r="M181" s="62"/>
      <c r="N181" s="101"/>
      <c r="O181" s="63"/>
      <c r="P181" s="63"/>
      <c r="Q181" s="62"/>
      <c r="R181" s="101"/>
      <c r="S181" s="62"/>
      <c r="T181" s="62"/>
      <c r="U181" s="62"/>
      <c r="V181" s="62"/>
      <c r="BQ181" s="278"/>
      <c r="BR181" s="273">
        <f t="shared" si="36"/>
        <v>41</v>
      </c>
      <c r="BS181" s="273" t="str">
        <f t="shared" si="37"/>
        <v>64</v>
      </c>
      <c r="BT181" s="282" t="str">
        <f t="shared" si="38"/>
        <v>QUENTIN</v>
      </c>
      <c r="BU181" s="283" t="str">
        <f t="shared" si="39"/>
        <v>11</v>
      </c>
      <c r="BV181" s="282" t="str">
        <f t="shared" si="40"/>
        <v>JOHN</v>
      </c>
      <c r="BW181" s="282">
        <f t="shared" si="40"/>
        <v>0</v>
      </c>
      <c r="BX181" s="282">
        <f t="shared" si="40"/>
        <v>0</v>
      </c>
    </row>
    <row r="182" spans="3:76">
      <c r="C182" s="62"/>
      <c r="D182" s="105"/>
      <c r="E182" s="105"/>
      <c r="F182" s="62"/>
      <c r="G182" s="62"/>
      <c r="H182" s="101"/>
      <c r="I182" s="112"/>
      <c r="J182" s="62"/>
      <c r="K182" s="62"/>
      <c r="L182" s="62"/>
      <c r="M182" s="62"/>
      <c r="N182" s="101"/>
      <c r="O182" s="63"/>
      <c r="P182" s="63"/>
      <c r="Q182" s="62"/>
      <c r="R182" s="101"/>
      <c r="S182" s="62"/>
      <c r="T182" s="62"/>
      <c r="U182" s="62"/>
      <c r="V182" s="62"/>
      <c r="BQ182" s="278"/>
      <c r="BR182" s="273">
        <f t="shared" si="36"/>
        <v>42</v>
      </c>
      <c r="BS182" s="273" t="str">
        <f t="shared" si="37"/>
        <v>79</v>
      </c>
      <c r="BT182" s="282" t="str">
        <f t="shared" si="38"/>
        <v>GATIEN</v>
      </c>
      <c r="BU182" s="283" t="str">
        <f t="shared" si="39"/>
        <v>47</v>
      </c>
      <c r="BV182" s="282" t="str">
        <f t="shared" si="40"/>
        <v>HERMAN</v>
      </c>
      <c r="BW182" s="282">
        <f t="shared" si="40"/>
        <v>0</v>
      </c>
      <c r="BX182" s="282">
        <f t="shared" si="40"/>
        <v>0</v>
      </c>
    </row>
    <row r="183" spans="3:76">
      <c r="C183" s="62"/>
      <c r="D183" s="105"/>
      <c r="E183" s="105"/>
      <c r="F183" s="62"/>
      <c r="G183" s="62"/>
      <c r="H183" s="101"/>
      <c r="I183" s="112"/>
      <c r="J183" s="62"/>
      <c r="K183" s="62"/>
      <c r="L183" s="62"/>
      <c r="M183" s="62"/>
      <c r="N183" s="101"/>
      <c r="O183" s="63"/>
      <c r="P183" s="63"/>
      <c r="Q183" s="62"/>
      <c r="R183" s="101"/>
      <c r="S183" s="62"/>
      <c r="T183" s="62"/>
      <c r="U183" s="62"/>
      <c r="V183" s="62"/>
      <c r="BQ183" s="278"/>
      <c r="BR183" s="273">
        <f t="shared" si="36"/>
        <v>43</v>
      </c>
      <c r="BS183" s="273" t="str">
        <f t="shared" si="37"/>
        <v>40</v>
      </c>
      <c r="BT183" s="282" t="str">
        <f t="shared" si="38"/>
        <v>VINCENT</v>
      </c>
      <c r="BU183" s="283" t="str">
        <f t="shared" si="39"/>
        <v>45</v>
      </c>
      <c r="BV183" s="282" t="str">
        <f t="shared" si="40"/>
        <v>RENAUD</v>
      </c>
      <c r="BW183" s="282">
        <f t="shared" si="40"/>
        <v>0</v>
      </c>
      <c r="BX183" s="282">
        <f t="shared" si="40"/>
        <v>0</v>
      </c>
    </row>
    <row r="184" spans="3:76">
      <c r="C184" s="62"/>
      <c r="D184" s="105"/>
      <c r="E184" s="105"/>
      <c r="F184" s="62"/>
      <c r="G184" s="62"/>
      <c r="H184" s="101"/>
      <c r="I184" s="112"/>
      <c r="J184" s="62"/>
      <c r="K184" s="62"/>
      <c r="L184" s="62"/>
      <c r="M184" s="62"/>
      <c r="N184" s="101"/>
      <c r="O184" s="63"/>
      <c r="P184" s="63"/>
      <c r="Q184" s="62"/>
      <c r="R184" s="101"/>
      <c r="S184" s="62"/>
      <c r="T184" s="62"/>
      <c r="U184" s="62"/>
      <c r="V184" s="62"/>
      <c r="BQ184" s="278"/>
      <c r="BR184" s="273">
        <f t="shared" si="36"/>
        <v>44</v>
      </c>
      <c r="BS184" s="273" t="str">
        <f t="shared" si="37"/>
        <v>66</v>
      </c>
      <c r="BT184" s="282" t="str">
        <f t="shared" si="38"/>
        <v>FLORIAN</v>
      </c>
      <c r="BU184" s="283" t="str">
        <f t="shared" si="39"/>
        <v>96</v>
      </c>
      <c r="BV184" s="282" t="str">
        <f t="shared" si="40"/>
        <v>GAUTIER</v>
      </c>
      <c r="BW184" s="282">
        <f t="shared" si="40"/>
        <v>0</v>
      </c>
      <c r="BX184" s="282">
        <f t="shared" si="40"/>
        <v>0</v>
      </c>
    </row>
    <row r="185" spans="3:76">
      <c r="C185" s="62"/>
      <c r="D185" s="105"/>
      <c r="E185" s="105"/>
      <c r="F185" s="62"/>
      <c r="G185" s="62"/>
      <c r="H185" s="101"/>
      <c r="I185" s="112"/>
      <c r="J185" s="62"/>
      <c r="K185" s="62"/>
      <c r="L185" s="62"/>
      <c r="M185" s="62"/>
      <c r="N185" s="101"/>
      <c r="O185" s="63"/>
      <c r="P185" s="63"/>
      <c r="Q185" s="62"/>
      <c r="R185" s="101"/>
      <c r="S185" s="62"/>
      <c r="T185" s="62"/>
      <c r="U185" s="62"/>
      <c r="V185" s="62"/>
      <c r="BQ185" s="278"/>
      <c r="BR185" s="273">
        <f t="shared" si="36"/>
        <v>45</v>
      </c>
      <c r="BS185" s="273" t="str">
        <f t="shared" si="37"/>
        <v>94</v>
      </c>
      <c r="BT185" s="282" t="str">
        <f t="shared" si="38"/>
        <v>HUGUES</v>
      </c>
      <c r="BU185" s="283" t="str">
        <f t="shared" si="39"/>
        <v>114</v>
      </c>
      <c r="BV185" s="282" t="str">
        <f t="shared" si="40"/>
        <v>BARNABE</v>
      </c>
      <c r="BW185" s="282">
        <f t="shared" si="40"/>
        <v>0</v>
      </c>
      <c r="BX185" s="282">
        <f t="shared" si="40"/>
        <v>0</v>
      </c>
    </row>
    <row r="186" spans="3:76">
      <c r="C186" s="62"/>
      <c r="D186" s="105"/>
      <c r="E186" s="105"/>
      <c r="F186" s="62"/>
      <c r="G186" s="62"/>
      <c r="H186" s="101"/>
      <c r="I186" s="112"/>
      <c r="J186" s="62"/>
      <c r="K186" s="62"/>
      <c r="L186" s="62"/>
      <c r="M186" s="62"/>
      <c r="N186" s="101"/>
      <c r="O186" s="63"/>
      <c r="P186" s="63"/>
      <c r="Q186" s="62"/>
      <c r="R186" s="101"/>
      <c r="S186" s="62"/>
      <c r="T186" s="62"/>
      <c r="U186" s="62"/>
      <c r="V186" s="62"/>
      <c r="BQ186" s="278"/>
      <c r="BR186" s="273">
        <f t="shared" si="36"/>
        <v>46</v>
      </c>
      <c r="BS186" s="273" t="str">
        <f t="shared" si="37"/>
        <v>15</v>
      </c>
      <c r="BT186" s="282" t="str">
        <f t="shared" si="38"/>
        <v>JEAN PAUL</v>
      </c>
      <c r="BU186" s="283" t="str">
        <f t="shared" si="39"/>
        <v>76</v>
      </c>
      <c r="BV186" s="282" t="str">
        <f t="shared" si="40"/>
        <v>AMBROISE</v>
      </c>
      <c r="BW186" s="282">
        <f t="shared" si="40"/>
        <v>0</v>
      </c>
      <c r="BX186" s="282">
        <f t="shared" si="40"/>
        <v>0</v>
      </c>
    </row>
    <row r="187" spans="3:76">
      <c r="C187" s="62"/>
      <c r="D187" s="105"/>
      <c r="E187" s="105"/>
      <c r="F187" s="62"/>
      <c r="G187" s="62"/>
      <c r="H187" s="101"/>
      <c r="I187" s="112"/>
      <c r="J187" s="62"/>
      <c r="K187" s="62"/>
      <c r="L187" s="62"/>
      <c r="M187" s="62"/>
      <c r="N187" s="101"/>
      <c r="O187" s="63"/>
      <c r="P187" s="63"/>
      <c r="Q187" s="62"/>
      <c r="R187" s="101"/>
      <c r="S187" s="62"/>
      <c r="T187" s="62"/>
      <c r="U187" s="62"/>
      <c r="V187" s="62"/>
      <c r="BQ187" s="278"/>
      <c r="BR187" s="273">
        <f t="shared" si="36"/>
        <v>47</v>
      </c>
      <c r="BS187" s="273" t="str">
        <f t="shared" si="37"/>
        <v>19</v>
      </c>
      <c r="BT187" s="282" t="str">
        <f t="shared" si="38"/>
        <v xml:space="preserve">SYLVAIN   </v>
      </c>
      <c r="BU187" s="283" t="str">
        <f t="shared" si="39"/>
        <v>60</v>
      </c>
      <c r="BV187" s="282" t="str">
        <f t="shared" si="40"/>
        <v>EDITH</v>
      </c>
      <c r="BW187" s="282">
        <f t="shared" si="40"/>
        <v>0</v>
      </c>
      <c r="BX187" s="282">
        <f t="shared" si="40"/>
        <v>0</v>
      </c>
    </row>
    <row r="188" spans="3:76">
      <c r="C188" s="62"/>
      <c r="D188" s="105"/>
      <c r="E188" s="105"/>
      <c r="F188" s="62"/>
      <c r="G188" s="62"/>
      <c r="H188" s="101"/>
      <c r="I188" s="112"/>
      <c r="J188" s="62"/>
      <c r="K188" s="62"/>
      <c r="L188" s="62"/>
      <c r="M188" s="62"/>
      <c r="N188" s="101"/>
      <c r="O188" s="63"/>
      <c r="P188" s="63"/>
      <c r="Q188" s="62"/>
      <c r="R188" s="101"/>
      <c r="S188" s="62"/>
      <c r="T188" s="62"/>
      <c r="U188" s="62"/>
      <c r="V188" s="62"/>
      <c r="BQ188" s="278"/>
      <c r="BR188" s="273">
        <f t="shared" si="36"/>
        <v>48</v>
      </c>
      <c r="BS188" s="273" t="str">
        <f t="shared" si="37"/>
        <v>71</v>
      </c>
      <c r="BT188" s="282" t="str">
        <f t="shared" si="38"/>
        <v>JIMMY</v>
      </c>
      <c r="BU188" s="283" t="str">
        <f t="shared" si="39"/>
        <v>65</v>
      </c>
      <c r="BV188" s="282" t="str">
        <f t="shared" si="40"/>
        <v>GEOFFROY</v>
      </c>
      <c r="BW188" s="282">
        <f t="shared" si="40"/>
        <v>0</v>
      </c>
      <c r="BX188" s="282">
        <f t="shared" si="40"/>
        <v>0</v>
      </c>
    </row>
    <row r="189" spans="3:76">
      <c r="C189" s="62"/>
      <c r="D189" s="105"/>
      <c r="E189" s="105"/>
      <c r="F189" s="62"/>
      <c r="G189" s="62"/>
      <c r="H189" s="101"/>
      <c r="I189" s="112"/>
      <c r="J189" s="62"/>
      <c r="K189" s="62"/>
      <c r="L189" s="62"/>
      <c r="M189" s="62"/>
      <c r="N189" s="101"/>
      <c r="O189" s="63"/>
      <c r="P189" s="63"/>
      <c r="Q189" s="62"/>
      <c r="R189" s="101"/>
      <c r="S189" s="62"/>
      <c r="T189" s="62"/>
      <c r="U189" s="62"/>
      <c r="V189" s="62"/>
      <c r="BQ189" s="278"/>
      <c r="BR189" s="273">
        <f t="shared" si="36"/>
        <v>49</v>
      </c>
      <c r="BS189" s="273" t="str">
        <f t="shared" si="37"/>
        <v>18</v>
      </c>
      <c r="BT189" s="282" t="str">
        <f t="shared" si="38"/>
        <v xml:space="preserve">CHARLES  </v>
      </c>
      <c r="BU189" s="283" t="str">
        <f t="shared" si="39"/>
        <v>23</v>
      </c>
      <c r="BV189" s="282" t="str">
        <f t="shared" si="40"/>
        <v>MARTIAL</v>
      </c>
      <c r="BW189" s="282">
        <f t="shared" si="40"/>
        <v>0</v>
      </c>
      <c r="BX189" s="282">
        <f t="shared" si="40"/>
        <v>0</v>
      </c>
    </row>
    <row r="190" spans="3:76">
      <c r="C190" s="62"/>
      <c r="D190" s="105"/>
      <c r="E190" s="105"/>
      <c r="F190" s="62"/>
      <c r="G190" s="62"/>
      <c r="H190" s="101"/>
      <c r="I190" s="112"/>
      <c r="J190" s="62"/>
      <c r="K190" s="62"/>
      <c r="L190" s="62"/>
      <c r="M190" s="62"/>
      <c r="N190" s="101"/>
      <c r="O190" s="63"/>
      <c r="P190" s="63"/>
      <c r="Q190" s="62"/>
      <c r="R190" s="101"/>
      <c r="S190" s="62"/>
      <c r="T190" s="62"/>
      <c r="U190" s="62"/>
      <c r="V190" s="62"/>
      <c r="BQ190" s="278"/>
      <c r="BR190" s="273">
        <f t="shared" si="36"/>
        <v>50</v>
      </c>
      <c r="BS190" s="273" t="str">
        <f t="shared" si="37"/>
        <v>6</v>
      </c>
      <c r="BT190" s="282" t="str">
        <f t="shared" si="38"/>
        <v>JACQUES</v>
      </c>
      <c r="BU190" s="283" t="str">
        <f t="shared" si="39"/>
        <v>8</v>
      </c>
      <c r="BV190" s="282" t="str">
        <f t="shared" si="40"/>
        <v>THIBAULT</v>
      </c>
      <c r="BW190" s="282">
        <f t="shared" si="40"/>
        <v>0</v>
      </c>
      <c r="BX190" s="282">
        <f t="shared" si="40"/>
        <v>0</v>
      </c>
    </row>
    <row r="191" spans="3:76">
      <c r="C191" s="62"/>
      <c r="D191" s="105"/>
      <c r="E191" s="105"/>
      <c r="F191" s="62"/>
      <c r="G191" s="62"/>
      <c r="H191" s="101"/>
      <c r="I191" s="112"/>
      <c r="J191" s="62"/>
      <c r="K191" s="62"/>
      <c r="L191" s="62"/>
      <c r="M191" s="62"/>
      <c r="N191" s="101"/>
      <c r="O191" s="63"/>
      <c r="P191" s="63"/>
      <c r="Q191" s="62"/>
      <c r="R191" s="101"/>
      <c r="S191" s="62"/>
      <c r="T191" s="62"/>
      <c r="U191" s="62"/>
      <c r="V191" s="62"/>
      <c r="BQ191" s="278"/>
      <c r="BR191" s="273">
        <f t="shared" si="36"/>
        <v>51</v>
      </c>
      <c r="BS191" s="273" t="str">
        <f t="shared" si="37"/>
        <v>33</v>
      </c>
      <c r="BT191" s="282" t="str">
        <f t="shared" si="38"/>
        <v xml:space="preserve">BRUNO  </v>
      </c>
      <c r="BU191" s="283" t="str">
        <f t="shared" si="39"/>
        <v>38</v>
      </c>
      <c r="BV191" s="282" t="str">
        <f t="shared" si="40"/>
        <v xml:space="preserve">ROMAIN  </v>
      </c>
      <c r="BW191" s="282">
        <f t="shared" si="40"/>
        <v>0</v>
      </c>
      <c r="BX191" s="282">
        <f t="shared" si="40"/>
        <v>0</v>
      </c>
    </row>
    <row r="192" spans="3:76">
      <c r="C192" s="62"/>
      <c r="D192" s="105"/>
      <c r="E192" s="105"/>
      <c r="F192" s="62"/>
      <c r="G192" s="62"/>
      <c r="H192" s="101"/>
      <c r="I192" s="112"/>
      <c r="J192" s="62"/>
      <c r="K192" s="62"/>
      <c r="L192" s="62"/>
      <c r="M192" s="62"/>
      <c r="N192" s="101"/>
      <c r="O192" s="63"/>
      <c r="P192" s="63"/>
      <c r="Q192" s="62"/>
      <c r="R192" s="101"/>
      <c r="S192" s="62"/>
      <c r="T192" s="62"/>
      <c r="U192" s="62"/>
      <c r="V192" s="62"/>
      <c r="BQ192" s="278"/>
      <c r="BR192" s="273">
        <f t="shared" si="36"/>
        <v>52</v>
      </c>
      <c r="BS192" s="273" t="str">
        <f t="shared" si="37"/>
        <v>109</v>
      </c>
      <c r="BT192" s="282" t="str">
        <f t="shared" si="38"/>
        <v>MARCELLIN</v>
      </c>
      <c r="BU192" s="283" t="str">
        <f t="shared" si="39"/>
        <v>34</v>
      </c>
      <c r="BV192" s="282" t="str">
        <f t="shared" si="40"/>
        <v xml:space="preserve">JOE  </v>
      </c>
      <c r="BW192" s="282">
        <f t="shared" si="40"/>
        <v>0</v>
      </c>
      <c r="BX192" s="282">
        <f t="shared" si="40"/>
        <v>0</v>
      </c>
    </row>
    <row r="193" spans="3:76">
      <c r="C193" s="62"/>
      <c r="D193" s="105"/>
      <c r="E193" s="105"/>
      <c r="F193" s="62"/>
      <c r="G193" s="62"/>
      <c r="H193" s="101"/>
      <c r="I193" s="112"/>
      <c r="J193" s="62"/>
      <c r="K193" s="62"/>
      <c r="L193" s="62"/>
      <c r="M193" s="62"/>
      <c r="N193" s="101"/>
      <c r="O193" s="63"/>
      <c r="P193" s="63"/>
      <c r="Q193" s="62"/>
      <c r="R193" s="101"/>
      <c r="S193" s="62"/>
      <c r="T193" s="62"/>
      <c r="U193" s="62"/>
      <c r="V193" s="62"/>
      <c r="BQ193" s="278"/>
      <c r="BR193" s="273">
        <f t="shared" si="36"/>
        <v>53</v>
      </c>
      <c r="BS193" s="273" t="str">
        <f t="shared" si="37"/>
        <v>104</v>
      </c>
      <c r="BT193" s="282" t="str">
        <f t="shared" si="38"/>
        <v>RODRIGUE</v>
      </c>
      <c r="BU193" s="283" t="str">
        <f t="shared" si="39"/>
        <v>16</v>
      </c>
      <c r="BV193" s="282" t="str">
        <f t="shared" si="40"/>
        <v>MICKAEL</v>
      </c>
      <c r="BW193" s="282">
        <f t="shared" si="40"/>
        <v>0</v>
      </c>
      <c r="BX193" s="282">
        <f t="shared" si="40"/>
        <v>0</v>
      </c>
    </row>
    <row r="194" spans="3:76">
      <c r="C194" s="62"/>
      <c r="D194" s="105"/>
      <c r="E194" s="105"/>
      <c r="F194" s="62"/>
      <c r="G194" s="62"/>
      <c r="H194" s="101"/>
      <c r="I194" s="112"/>
      <c r="J194" s="62"/>
      <c r="K194" s="62"/>
      <c r="L194" s="62"/>
      <c r="M194" s="62"/>
      <c r="N194" s="101"/>
      <c r="O194" s="63"/>
      <c r="P194" s="63"/>
      <c r="Q194" s="62"/>
      <c r="R194" s="101"/>
      <c r="S194" s="62"/>
      <c r="T194" s="62"/>
      <c r="U194" s="62"/>
      <c r="V194" s="62"/>
      <c r="BQ194" s="278"/>
      <c r="BR194" s="273">
        <f t="shared" si="36"/>
        <v>54</v>
      </c>
      <c r="BS194" s="273" t="str">
        <f t="shared" si="37"/>
        <v>80</v>
      </c>
      <c r="BT194" s="282" t="str">
        <f t="shared" si="38"/>
        <v>LUCIE</v>
      </c>
      <c r="BU194" s="283" t="str">
        <f t="shared" si="39"/>
        <v>61</v>
      </c>
      <c r="BV194" s="282" t="str">
        <f t="shared" si="40"/>
        <v>COME</v>
      </c>
      <c r="BW194" s="282">
        <f t="shared" si="40"/>
        <v>0</v>
      </c>
      <c r="BX194" s="282">
        <f t="shared" si="40"/>
        <v>0</v>
      </c>
    </row>
    <row r="195" spans="3:76">
      <c r="C195" s="62"/>
      <c r="D195" s="105"/>
      <c r="E195" s="105"/>
      <c r="F195" s="62"/>
      <c r="G195" s="62"/>
      <c r="H195" s="101"/>
      <c r="I195" s="112"/>
      <c r="J195" s="62"/>
      <c r="K195" s="62"/>
      <c r="L195" s="62"/>
      <c r="M195" s="62"/>
      <c r="N195" s="101"/>
      <c r="O195" s="63"/>
      <c r="P195" s="63"/>
      <c r="Q195" s="62"/>
      <c r="R195" s="101"/>
      <c r="S195" s="62"/>
      <c r="T195" s="62"/>
      <c r="U195" s="62"/>
      <c r="V195" s="62"/>
      <c r="BQ195" s="278"/>
      <c r="BR195" s="273">
        <f t="shared" si="36"/>
        <v>55</v>
      </c>
      <c r="BS195" s="273" t="str">
        <f t="shared" si="37"/>
        <v>58</v>
      </c>
      <c r="BT195" s="282" t="str">
        <f t="shared" si="38"/>
        <v>FRANCIS</v>
      </c>
      <c r="BU195" s="283" t="str">
        <f t="shared" si="39"/>
        <v>83</v>
      </c>
      <c r="BV195" s="282" t="str">
        <f t="shared" si="40"/>
        <v>ETIENNE</v>
      </c>
      <c r="BW195" s="282">
        <f t="shared" si="40"/>
        <v>0</v>
      </c>
      <c r="BX195" s="282">
        <f t="shared" si="40"/>
        <v>0</v>
      </c>
    </row>
    <row r="196" spans="3:76">
      <c r="C196" s="62"/>
      <c r="D196" s="105"/>
      <c r="E196" s="105"/>
      <c r="F196" s="62"/>
      <c r="G196" s="62"/>
      <c r="H196" s="101"/>
      <c r="I196" s="112"/>
      <c r="J196" s="62"/>
      <c r="K196" s="62"/>
      <c r="L196" s="62"/>
      <c r="M196" s="62"/>
      <c r="N196" s="101"/>
      <c r="O196" s="63"/>
      <c r="P196" s="63"/>
      <c r="Q196" s="62"/>
      <c r="R196" s="101"/>
      <c r="S196" s="62"/>
      <c r="T196" s="62"/>
      <c r="U196" s="62"/>
      <c r="V196" s="62"/>
      <c r="AP196" s="62">
        <v>15</v>
      </c>
      <c r="BQ196" s="278"/>
      <c r="BR196" s="273">
        <f t="shared" si="36"/>
        <v>56</v>
      </c>
      <c r="BS196" s="273" t="str">
        <f t="shared" si="37"/>
        <v>85</v>
      </c>
      <c r="BT196" s="282" t="str">
        <f t="shared" si="38"/>
        <v>RAYMOND</v>
      </c>
      <c r="BU196" s="283" t="str">
        <f t="shared" si="39"/>
        <v>98</v>
      </c>
      <c r="BV196" s="282" t="str">
        <f t="shared" si="40"/>
        <v>STANISLAS</v>
      </c>
      <c r="BW196" s="282">
        <f t="shared" si="40"/>
        <v>0</v>
      </c>
      <c r="BX196" s="282">
        <f t="shared" si="40"/>
        <v>0</v>
      </c>
    </row>
    <row r="197" spans="3:76">
      <c r="C197" s="62"/>
      <c r="D197" s="105"/>
      <c r="E197" s="105"/>
      <c r="F197" s="62"/>
      <c r="G197" s="62"/>
      <c r="H197" s="101"/>
      <c r="I197" s="112"/>
      <c r="J197" s="62"/>
      <c r="K197" s="62"/>
      <c r="L197" s="62"/>
      <c r="M197" s="62"/>
      <c r="N197" s="101"/>
      <c r="O197" s="63"/>
      <c r="P197" s="63"/>
      <c r="Q197" s="62"/>
      <c r="R197" s="101"/>
      <c r="S197" s="62"/>
      <c r="T197" s="62"/>
      <c r="U197" s="62"/>
      <c r="V197" s="62"/>
      <c r="AP197" s="62">
        <v>15</v>
      </c>
      <c r="BQ197" s="278"/>
      <c r="BR197" s="273">
        <f t="shared" si="36"/>
        <v>57</v>
      </c>
      <c r="BS197" s="273" t="str">
        <f t="shared" si="37"/>
        <v>108</v>
      </c>
      <c r="BT197" s="282" t="str">
        <f t="shared" si="38"/>
        <v>ISIDORE</v>
      </c>
      <c r="BU197" s="283" t="str">
        <f t="shared" si="39"/>
        <v>9</v>
      </c>
      <c r="BV197" s="282" t="str">
        <f t="shared" si="40"/>
        <v>SEBASTIEN</v>
      </c>
      <c r="BW197" s="282">
        <f t="shared" si="40"/>
        <v>0</v>
      </c>
      <c r="BX197" s="282">
        <f t="shared" si="40"/>
        <v>0</v>
      </c>
    </row>
    <row r="198" spans="3:76">
      <c r="C198" s="62"/>
      <c r="D198" s="105"/>
      <c r="E198" s="105"/>
      <c r="F198" s="62"/>
      <c r="G198" s="62"/>
      <c r="H198" s="101"/>
      <c r="I198" s="112"/>
      <c r="J198" s="62"/>
      <c r="K198" s="62"/>
      <c r="L198" s="62"/>
      <c r="M198" s="62"/>
      <c r="N198" s="101"/>
      <c r="O198" s="63"/>
      <c r="P198" s="63"/>
      <c r="Q198" s="62"/>
      <c r="R198" s="101"/>
      <c r="S198" s="62"/>
      <c r="T198" s="62"/>
      <c r="U198" s="62"/>
      <c r="V198" s="62"/>
      <c r="AP198" s="62">
        <v>15</v>
      </c>
      <c r="BQ198" s="278"/>
      <c r="BR198" s="273">
        <f t="shared" si="36"/>
        <v>58</v>
      </c>
      <c r="BS198" s="273" t="str">
        <f t="shared" si="37"/>
        <v>41</v>
      </c>
      <c r="BT198" s="282" t="str">
        <f t="shared" si="38"/>
        <v>ETIENNE</v>
      </c>
      <c r="BU198" s="283" t="str">
        <f t="shared" si="39"/>
        <v>29</v>
      </c>
      <c r="BV198" s="282" t="str">
        <f t="shared" si="40"/>
        <v xml:space="preserve">YOANN   </v>
      </c>
      <c r="BW198" s="282">
        <f t="shared" si="40"/>
        <v>0</v>
      </c>
      <c r="BX198" s="282">
        <f t="shared" si="40"/>
        <v>0</v>
      </c>
    </row>
    <row r="199" spans="3:76">
      <c r="C199" s="62"/>
      <c r="D199" s="105"/>
      <c r="E199" s="105"/>
      <c r="F199" s="62"/>
      <c r="G199" s="62"/>
      <c r="H199" s="101"/>
      <c r="I199" s="112"/>
      <c r="J199" s="62"/>
      <c r="K199" s="62"/>
      <c r="L199" s="62"/>
      <c r="M199" s="62"/>
      <c r="N199" s="101"/>
      <c r="O199" s="63"/>
      <c r="P199" s="63"/>
      <c r="Q199" s="62"/>
      <c r="R199" s="101"/>
      <c r="S199" s="62"/>
      <c r="T199" s="62"/>
      <c r="U199" s="62"/>
      <c r="V199" s="62"/>
      <c r="AP199" s="62">
        <v>15</v>
      </c>
      <c r="BQ199" s="278"/>
      <c r="BR199" s="273">
        <f t="shared" si="36"/>
        <v>59</v>
      </c>
      <c r="BS199" s="273" t="str">
        <f t="shared" si="37"/>
        <v>88</v>
      </c>
      <c r="BT199" s="282" t="str">
        <f t="shared" si="38"/>
        <v>VINCENT</v>
      </c>
      <c r="BU199" s="283" t="str">
        <f t="shared" si="39"/>
        <v>116</v>
      </c>
      <c r="BV199" s="282" t="str">
        <f t="shared" si="40"/>
        <v>ALBAN</v>
      </c>
      <c r="BW199" s="282">
        <f t="shared" si="40"/>
        <v>0</v>
      </c>
      <c r="BX199" s="282">
        <f t="shared" si="40"/>
        <v>0</v>
      </c>
    </row>
    <row r="200" spans="3:76">
      <c r="C200" s="62"/>
      <c r="D200" s="105"/>
      <c r="E200" s="105"/>
      <c r="F200" s="62"/>
      <c r="G200" s="62"/>
      <c r="H200" s="101"/>
      <c r="I200" s="112"/>
      <c r="J200" s="62"/>
      <c r="K200" s="62"/>
      <c r="L200" s="62"/>
      <c r="M200" s="62"/>
      <c r="N200" s="101"/>
      <c r="O200" s="63"/>
      <c r="P200" s="63"/>
      <c r="Q200" s="62"/>
      <c r="R200" s="101"/>
      <c r="S200" s="62"/>
      <c r="T200" s="62"/>
      <c r="U200" s="62"/>
      <c r="V200" s="62"/>
      <c r="AP200" s="62">
        <v>15</v>
      </c>
      <c r="BQ200" s="278"/>
      <c r="BR200" s="273">
        <f t="shared" si="36"/>
        <v>60</v>
      </c>
      <c r="BS200" s="273" t="str">
        <f t="shared" si="37"/>
        <v/>
      </c>
      <c r="BT200" s="282" t="str">
        <f t="shared" si="38"/>
        <v/>
      </c>
      <c r="BU200" s="283" t="str">
        <f t="shared" si="39"/>
        <v/>
      </c>
      <c r="BV200" s="282" t="str">
        <f t="shared" si="40"/>
        <v/>
      </c>
      <c r="BW200" s="282">
        <f t="shared" si="40"/>
        <v>0</v>
      </c>
      <c r="BX200" s="282">
        <f t="shared" si="40"/>
        <v>0</v>
      </c>
    </row>
    <row r="201" spans="3:76">
      <c r="C201" s="62"/>
      <c r="D201" s="105"/>
      <c r="E201" s="105"/>
      <c r="F201" s="62"/>
      <c r="G201" s="62"/>
      <c r="H201" s="101"/>
      <c r="I201" s="112"/>
      <c r="J201" s="62"/>
      <c r="K201" s="62"/>
      <c r="L201" s="62"/>
      <c r="M201" s="62"/>
      <c r="N201" s="101"/>
      <c r="O201" s="63"/>
      <c r="P201" s="63"/>
      <c r="Q201" s="62"/>
      <c r="R201" s="101"/>
      <c r="S201" s="62"/>
      <c r="T201" s="62"/>
      <c r="U201" s="62"/>
      <c r="V201" s="62"/>
      <c r="AP201" s="62">
        <v>15</v>
      </c>
      <c r="BQ201" s="278"/>
      <c r="BR201" s="273">
        <f t="shared" si="36"/>
        <v>61</v>
      </c>
      <c r="BS201" s="273" t="str">
        <f t="shared" si="37"/>
        <v/>
      </c>
      <c r="BT201" s="282" t="str">
        <f t="shared" si="38"/>
        <v/>
      </c>
      <c r="BU201" s="283" t="str">
        <f t="shared" si="39"/>
        <v/>
      </c>
      <c r="BV201" s="282" t="str">
        <f t="shared" si="40"/>
        <v/>
      </c>
      <c r="BW201" s="282">
        <f t="shared" si="40"/>
        <v>0</v>
      </c>
      <c r="BX201" s="282">
        <f t="shared" si="40"/>
        <v>0</v>
      </c>
    </row>
    <row r="202" spans="3:76">
      <c r="C202" s="62"/>
      <c r="D202" s="105"/>
      <c r="E202" s="105"/>
      <c r="F202" s="62"/>
      <c r="G202" s="62"/>
      <c r="H202" s="101"/>
      <c r="I202" s="112"/>
      <c r="J202" s="62"/>
      <c r="K202" s="62"/>
      <c r="L202" s="62"/>
      <c r="M202" s="62"/>
      <c r="N202" s="101"/>
      <c r="O202" s="63"/>
      <c r="P202" s="63"/>
      <c r="Q202" s="62"/>
      <c r="R202" s="101"/>
      <c r="S202" s="62"/>
      <c r="T202" s="62"/>
      <c r="U202" s="62"/>
      <c r="V202" s="62"/>
      <c r="AP202" s="62">
        <v>15</v>
      </c>
      <c r="BQ202" s="278"/>
      <c r="BR202" s="273">
        <f t="shared" si="36"/>
        <v>62</v>
      </c>
      <c r="BS202" s="273" t="str">
        <f t="shared" si="37"/>
        <v/>
      </c>
      <c r="BT202" s="282" t="str">
        <f t="shared" si="38"/>
        <v/>
      </c>
      <c r="BU202" s="283" t="str">
        <f t="shared" si="39"/>
        <v/>
      </c>
      <c r="BV202" s="282" t="str">
        <f t="shared" si="40"/>
        <v/>
      </c>
      <c r="BW202" s="282">
        <f t="shared" si="40"/>
        <v>0</v>
      </c>
      <c r="BX202" s="282">
        <f t="shared" si="40"/>
        <v>0</v>
      </c>
    </row>
    <row r="203" spans="3:76">
      <c r="C203" s="62"/>
      <c r="D203" s="105"/>
      <c r="E203" s="105"/>
      <c r="F203" s="62"/>
      <c r="G203" s="62"/>
      <c r="H203" s="101"/>
      <c r="I203" s="112"/>
      <c r="J203" s="62"/>
      <c r="K203" s="62"/>
      <c r="L203" s="62"/>
      <c r="M203" s="62"/>
      <c r="N203" s="101"/>
      <c r="O203" s="63"/>
      <c r="P203" s="63"/>
      <c r="Q203" s="62"/>
      <c r="R203" s="101"/>
      <c r="S203" s="62"/>
      <c r="T203" s="62"/>
      <c r="U203" s="62"/>
      <c r="V203" s="62"/>
      <c r="AP203" s="62">
        <v>15</v>
      </c>
      <c r="BQ203" s="278"/>
      <c r="BR203" s="273">
        <f t="shared" si="36"/>
        <v>63</v>
      </c>
      <c r="BS203" s="273" t="str">
        <f t="shared" si="37"/>
        <v/>
      </c>
      <c r="BT203" s="282" t="str">
        <f t="shared" si="38"/>
        <v/>
      </c>
      <c r="BU203" s="283" t="str">
        <f t="shared" si="39"/>
        <v/>
      </c>
      <c r="BV203" s="282" t="str">
        <f t="shared" si="40"/>
        <v/>
      </c>
      <c r="BW203" s="282">
        <f t="shared" si="40"/>
        <v>0</v>
      </c>
      <c r="BX203" s="282">
        <f t="shared" si="40"/>
        <v>0</v>
      </c>
    </row>
    <row r="204" spans="3:76">
      <c r="C204" s="62"/>
      <c r="D204" s="105"/>
      <c r="E204" s="105"/>
      <c r="F204" s="62"/>
      <c r="G204" s="62"/>
      <c r="H204" s="101"/>
      <c r="I204" s="112"/>
      <c r="J204" s="62"/>
      <c r="K204" s="62"/>
      <c r="L204" s="62"/>
      <c r="M204" s="62"/>
      <c r="N204" s="101"/>
      <c r="O204" s="63"/>
      <c r="P204" s="63"/>
      <c r="Q204" s="62"/>
      <c r="R204" s="101"/>
      <c r="S204" s="62"/>
      <c r="T204" s="62"/>
      <c r="U204" s="62"/>
      <c r="V204" s="62"/>
      <c r="AP204" s="62">
        <v>15</v>
      </c>
      <c r="BQ204" s="278"/>
      <c r="BR204" s="273">
        <f t="shared" si="36"/>
        <v>64</v>
      </c>
      <c r="BS204" s="273" t="str">
        <f t="shared" si="37"/>
        <v/>
      </c>
      <c r="BT204" s="282" t="str">
        <f t="shared" si="38"/>
        <v/>
      </c>
      <c r="BU204" s="283" t="str">
        <f t="shared" si="39"/>
        <v/>
      </c>
      <c r="BV204" s="282" t="str">
        <f t="shared" si="40"/>
        <v/>
      </c>
      <c r="BW204" s="282">
        <f t="shared" si="40"/>
        <v>0</v>
      </c>
      <c r="BX204" s="282">
        <f t="shared" si="40"/>
        <v>0</v>
      </c>
    </row>
    <row r="205" spans="3:76">
      <c r="C205" s="62"/>
      <c r="D205" s="105"/>
      <c r="E205" s="105"/>
      <c r="F205" s="62"/>
      <c r="G205" s="62"/>
      <c r="H205" s="101"/>
      <c r="I205" s="112"/>
      <c r="J205" s="62"/>
      <c r="K205" s="62"/>
      <c r="L205" s="62"/>
      <c r="M205" s="62"/>
      <c r="N205" s="101"/>
      <c r="O205" s="63"/>
      <c r="P205" s="63"/>
      <c r="Q205" s="62"/>
      <c r="R205" s="101"/>
      <c r="S205" s="62"/>
      <c r="T205" s="62"/>
      <c r="U205" s="62"/>
      <c r="V205" s="62"/>
      <c r="AP205" s="62">
        <v>15</v>
      </c>
      <c r="BQ205" s="279"/>
      <c r="BR205" s="280"/>
      <c r="BS205" s="280"/>
      <c r="BT205" s="281"/>
      <c r="BU205" s="280"/>
      <c r="BV205" s="281"/>
      <c r="BW205" s="280"/>
      <c r="BX205" s="280"/>
    </row>
    <row r="206" spans="3:76" ht="21" thickBot="1">
      <c r="C206" s="62"/>
      <c r="D206" s="105"/>
      <c r="E206" s="105"/>
      <c r="F206" s="62"/>
      <c r="G206" s="62"/>
      <c r="H206" s="101"/>
      <c r="I206" s="112"/>
      <c r="J206" s="62"/>
      <c r="K206" s="62"/>
      <c r="L206" s="62"/>
      <c r="M206" s="62"/>
      <c r="N206" s="101"/>
      <c r="O206" s="63"/>
      <c r="P206" s="63"/>
      <c r="Q206" s="62"/>
      <c r="R206" s="101"/>
      <c r="S206" s="62"/>
      <c r="T206" s="62"/>
      <c r="U206" s="62"/>
      <c r="V206" s="62"/>
      <c r="AP206" s="62">
        <v>15</v>
      </c>
      <c r="BQ206" s="279"/>
      <c r="BR206" s="280"/>
      <c r="BS206" s="280"/>
      <c r="BT206" s="281"/>
      <c r="BU206" s="280"/>
      <c r="BV206" s="281"/>
      <c r="BW206" s="280"/>
      <c r="BX206" s="280"/>
    </row>
    <row r="207" spans="3:76" ht="21" thickTop="1">
      <c r="C207" s="62"/>
      <c r="D207" s="105"/>
      <c r="E207" s="105"/>
      <c r="F207" s="62"/>
      <c r="G207" s="62"/>
      <c r="H207" s="101"/>
      <c r="I207" s="112"/>
      <c r="J207" s="62"/>
      <c r="K207" s="62"/>
      <c r="L207" s="62"/>
      <c r="M207" s="62"/>
      <c r="N207" s="101"/>
      <c r="O207" s="63"/>
      <c r="P207" s="63"/>
      <c r="Q207" s="62"/>
      <c r="R207" s="101"/>
      <c r="S207" s="62"/>
      <c r="T207" s="62"/>
      <c r="U207" s="62"/>
      <c r="V207" s="62"/>
      <c r="AP207" s="62">
        <v>15</v>
      </c>
      <c r="BS207" s="269" t="s">
        <v>193</v>
      </c>
      <c r="BT207" s="270"/>
      <c r="BU207" s="270"/>
      <c r="BV207" s="270"/>
      <c r="BW207" s="271" t="s">
        <v>189</v>
      </c>
      <c r="BX207" s="272"/>
    </row>
    <row r="208" spans="3:76">
      <c r="C208" s="62"/>
      <c r="D208" s="105"/>
      <c r="E208" s="105"/>
      <c r="F208" s="62"/>
      <c r="G208" s="62"/>
      <c r="H208" s="101"/>
      <c r="I208" s="112"/>
      <c r="J208" s="62"/>
      <c r="K208" s="62"/>
      <c r="L208" s="62"/>
      <c r="M208" s="62"/>
      <c r="N208" s="101"/>
      <c r="O208" s="63"/>
      <c r="P208" s="63"/>
      <c r="Q208" s="62"/>
      <c r="R208" s="101"/>
      <c r="S208" s="62"/>
      <c r="T208" s="62"/>
      <c r="U208" s="62"/>
      <c r="V208" s="62"/>
      <c r="AP208" s="62">
        <v>15</v>
      </c>
      <c r="BQ208" s="278"/>
      <c r="BR208" s="273">
        <f t="shared" ref="BR208:BR271" si="41">B6</f>
        <v>1</v>
      </c>
      <c r="BS208" s="274" t="str">
        <f t="shared" ref="BS208:BS271" si="42">AH6</f>
        <v>87</v>
      </c>
      <c r="BT208" s="275" t="str">
        <f t="shared" ref="BT208:BT271" si="43">AJ6</f>
        <v>GUILLAUME</v>
      </c>
      <c r="BU208" s="276" t="str">
        <f t="shared" ref="BU208:BU271" si="44">AL6</f>
        <v>15</v>
      </c>
      <c r="BV208" s="277" t="str">
        <f t="shared" ref="BV208:BX239" si="45">AN6</f>
        <v>JEAN PAUL</v>
      </c>
      <c r="BW208" s="273">
        <f t="shared" si="45"/>
        <v>0</v>
      </c>
      <c r="BX208" s="273">
        <f t="shared" si="45"/>
        <v>0</v>
      </c>
    </row>
    <row r="209" spans="3:76">
      <c r="C209" s="62"/>
      <c r="D209" s="105"/>
      <c r="E209" s="105"/>
      <c r="F209" s="62"/>
      <c r="G209" s="62"/>
      <c r="H209" s="101"/>
      <c r="I209" s="112"/>
      <c r="J209" s="62"/>
      <c r="K209" s="62"/>
      <c r="L209" s="62"/>
      <c r="M209" s="62"/>
      <c r="N209" s="101"/>
      <c r="O209" s="63"/>
      <c r="P209" s="63"/>
      <c r="Q209" s="62"/>
      <c r="R209" s="101"/>
      <c r="S209" s="62"/>
      <c r="T209" s="62"/>
      <c r="U209" s="62"/>
      <c r="V209" s="62"/>
      <c r="AP209" s="62">
        <v>15</v>
      </c>
      <c r="BQ209" s="278"/>
      <c r="BR209" s="273">
        <f t="shared" si="41"/>
        <v>2</v>
      </c>
      <c r="BS209" s="274" t="str">
        <f t="shared" si="42"/>
        <v>67</v>
      </c>
      <c r="BT209" s="275" t="str">
        <f t="shared" si="43"/>
        <v>YVONNICK</v>
      </c>
      <c r="BU209" s="276" t="str">
        <f t="shared" si="44"/>
        <v>100</v>
      </c>
      <c r="BV209" s="277" t="str">
        <f t="shared" si="45"/>
        <v>CONSTANTIN</v>
      </c>
      <c r="BW209" s="273">
        <f t="shared" si="45"/>
        <v>0</v>
      </c>
      <c r="BX209" s="273">
        <f t="shared" si="45"/>
        <v>0</v>
      </c>
    </row>
    <row r="210" spans="3:76">
      <c r="C210" s="62"/>
      <c r="D210" s="105"/>
      <c r="E210" s="105"/>
      <c r="F210" s="62"/>
      <c r="G210" s="62"/>
      <c r="H210" s="101"/>
      <c r="I210" s="112"/>
      <c r="J210" s="62"/>
      <c r="K210" s="62"/>
      <c r="L210" s="62"/>
      <c r="M210" s="62"/>
      <c r="N210" s="101"/>
      <c r="O210" s="63"/>
      <c r="P210" s="63"/>
      <c r="Q210" s="62"/>
      <c r="R210" s="101"/>
      <c r="S210" s="62"/>
      <c r="T210" s="62"/>
      <c r="U210" s="62"/>
      <c r="V210" s="62"/>
      <c r="AP210" s="62">
        <v>15</v>
      </c>
      <c r="BQ210" s="278"/>
      <c r="BR210" s="273">
        <f t="shared" si="41"/>
        <v>3</v>
      </c>
      <c r="BS210" s="274" t="str">
        <f t="shared" si="42"/>
        <v>103</v>
      </c>
      <c r="BT210" s="275" t="str">
        <f t="shared" si="43"/>
        <v>GERMAIN</v>
      </c>
      <c r="BU210" s="276" t="str">
        <f t="shared" si="44"/>
        <v>18</v>
      </c>
      <c r="BV210" s="277" t="str">
        <f t="shared" si="45"/>
        <v xml:space="preserve">CHARLES  </v>
      </c>
      <c r="BW210" s="273">
        <f t="shared" si="45"/>
        <v>0</v>
      </c>
      <c r="BX210" s="273">
        <f t="shared" si="45"/>
        <v>0</v>
      </c>
    </row>
    <row r="211" spans="3:76">
      <c r="C211" s="62"/>
      <c r="D211" s="105"/>
      <c r="E211" s="105"/>
      <c r="F211" s="62"/>
      <c r="G211" s="62"/>
      <c r="H211" s="101"/>
      <c r="I211" s="112"/>
      <c r="J211" s="62"/>
      <c r="K211" s="62"/>
      <c r="L211" s="62"/>
      <c r="M211" s="62"/>
      <c r="N211" s="101"/>
      <c r="O211" s="63"/>
      <c r="P211" s="63"/>
      <c r="Q211" s="62"/>
      <c r="R211" s="101"/>
      <c r="S211" s="62"/>
      <c r="T211" s="62"/>
      <c r="U211" s="62"/>
      <c r="V211" s="62"/>
      <c r="AP211" s="62">
        <v>15</v>
      </c>
      <c r="BQ211" s="278"/>
      <c r="BR211" s="273">
        <f t="shared" si="41"/>
        <v>4</v>
      </c>
      <c r="BS211" s="274" t="str">
        <f t="shared" si="42"/>
        <v>46</v>
      </c>
      <c r="BT211" s="275" t="str">
        <f t="shared" si="43"/>
        <v xml:space="preserve">SERGE  </v>
      </c>
      <c r="BU211" s="276" t="str">
        <f t="shared" si="44"/>
        <v>108</v>
      </c>
      <c r="BV211" s="277" t="str">
        <f t="shared" si="45"/>
        <v>ISIDORE</v>
      </c>
      <c r="BW211" s="273">
        <f t="shared" si="45"/>
        <v>0</v>
      </c>
      <c r="BX211" s="273">
        <f t="shared" si="45"/>
        <v>0</v>
      </c>
    </row>
    <row r="212" spans="3:76">
      <c r="C212" s="62"/>
      <c r="D212" s="105"/>
      <c r="E212" s="105"/>
      <c r="F212" s="62"/>
      <c r="G212" s="62"/>
      <c r="H212" s="101"/>
      <c r="I212" s="112"/>
      <c r="J212" s="62"/>
      <c r="K212" s="62"/>
      <c r="L212" s="62"/>
      <c r="M212" s="62"/>
      <c r="N212" s="101"/>
      <c r="O212" s="63"/>
      <c r="P212" s="63"/>
      <c r="Q212" s="62"/>
      <c r="R212" s="101"/>
      <c r="S212" s="62"/>
      <c r="T212" s="62"/>
      <c r="U212" s="62"/>
      <c r="V212" s="62"/>
      <c r="AP212" s="62">
        <v>15</v>
      </c>
      <c r="BQ212" s="278"/>
      <c r="BR212" s="273">
        <f t="shared" si="41"/>
        <v>5</v>
      </c>
      <c r="BS212" s="274" t="str">
        <f t="shared" si="42"/>
        <v>36</v>
      </c>
      <c r="BT212" s="275" t="str">
        <f t="shared" si="43"/>
        <v xml:space="preserve">ALCIDE  </v>
      </c>
      <c r="BU212" s="276" t="str">
        <f t="shared" si="44"/>
        <v>22</v>
      </c>
      <c r="BV212" s="277" t="str">
        <f t="shared" si="45"/>
        <v xml:space="preserve">LANDRY   </v>
      </c>
      <c r="BW212" s="273">
        <f t="shared" si="45"/>
        <v>0</v>
      </c>
      <c r="BX212" s="273">
        <f t="shared" si="45"/>
        <v>0</v>
      </c>
    </row>
    <row r="213" spans="3:76">
      <c r="C213" s="62"/>
      <c r="D213" s="105"/>
      <c r="E213" s="105"/>
      <c r="F213" s="62"/>
      <c r="G213" s="62"/>
      <c r="H213" s="101"/>
      <c r="I213" s="112"/>
      <c r="J213" s="62"/>
      <c r="K213" s="62"/>
      <c r="L213" s="62"/>
      <c r="M213" s="62"/>
      <c r="N213" s="101"/>
      <c r="O213" s="63"/>
      <c r="P213" s="63"/>
      <c r="Q213" s="62"/>
      <c r="R213" s="101"/>
      <c r="S213" s="62"/>
      <c r="T213" s="62"/>
      <c r="U213" s="62"/>
      <c r="V213" s="62"/>
      <c r="AP213" s="62">
        <v>15</v>
      </c>
      <c r="BQ213" s="278"/>
      <c r="BR213" s="273">
        <f t="shared" si="41"/>
        <v>6</v>
      </c>
      <c r="BS213" s="274" t="str">
        <f t="shared" si="42"/>
        <v>65</v>
      </c>
      <c r="BT213" s="275" t="str">
        <f t="shared" si="43"/>
        <v>GEOFFROY</v>
      </c>
      <c r="BU213" s="276" t="str">
        <f t="shared" si="44"/>
        <v>106</v>
      </c>
      <c r="BV213" s="277" t="str">
        <f t="shared" si="45"/>
        <v>LOUISE</v>
      </c>
      <c r="BW213" s="273">
        <f t="shared" si="45"/>
        <v>0</v>
      </c>
      <c r="BX213" s="273">
        <f t="shared" si="45"/>
        <v>0</v>
      </c>
    </row>
    <row r="214" spans="3:76">
      <c r="C214" s="62"/>
      <c r="D214" s="105"/>
      <c r="E214" s="105"/>
      <c r="F214" s="62"/>
      <c r="G214" s="62"/>
      <c r="H214" s="101"/>
      <c r="I214" s="112"/>
      <c r="J214" s="62"/>
      <c r="K214" s="62"/>
      <c r="L214" s="62"/>
      <c r="M214" s="62"/>
      <c r="N214" s="101"/>
      <c r="O214" s="63"/>
      <c r="P214" s="63"/>
      <c r="Q214" s="62"/>
      <c r="R214" s="101"/>
      <c r="S214" s="62"/>
      <c r="T214" s="62"/>
      <c r="U214" s="62"/>
      <c r="V214" s="62"/>
      <c r="AP214" s="62">
        <v>15</v>
      </c>
      <c r="BQ214" s="278"/>
      <c r="BR214" s="273">
        <f t="shared" si="41"/>
        <v>7</v>
      </c>
      <c r="BS214" s="274" t="str">
        <f t="shared" si="42"/>
        <v>32</v>
      </c>
      <c r="BT214" s="275" t="str">
        <f t="shared" si="43"/>
        <v xml:space="preserve">ADELINE  </v>
      </c>
      <c r="BU214" s="276" t="str">
        <f t="shared" si="44"/>
        <v>95</v>
      </c>
      <c r="BV214" s="277" t="str">
        <f t="shared" si="45"/>
        <v>RICHARD</v>
      </c>
      <c r="BW214" s="273">
        <f t="shared" si="45"/>
        <v>0</v>
      </c>
      <c r="BX214" s="273">
        <f t="shared" si="45"/>
        <v>0</v>
      </c>
    </row>
    <row r="215" spans="3:76">
      <c r="C215" s="62"/>
      <c r="D215" s="105"/>
      <c r="E215" s="105"/>
      <c r="F215" s="62"/>
      <c r="G215" s="62"/>
      <c r="H215" s="101"/>
      <c r="I215" s="112"/>
      <c r="J215" s="62"/>
      <c r="K215" s="62"/>
      <c r="L215" s="62"/>
      <c r="M215" s="62"/>
      <c r="N215" s="101"/>
      <c r="O215" s="63"/>
      <c r="P215" s="63"/>
      <c r="Q215" s="62"/>
      <c r="R215" s="101"/>
      <c r="S215" s="62"/>
      <c r="T215" s="62"/>
      <c r="U215" s="62"/>
      <c r="V215" s="62"/>
      <c r="AP215" s="62">
        <v>15</v>
      </c>
      <c r="BQ215" s="278"/>
      <c r="BR215" s="273">
        <f t="shared" si="41"/>
        <v>8</v>
      </c>
      <c r="BS215" s="274" t="str">
        <f t="shared" si="42"/>
        <v>64</v>
      </c>
      <c r="BT215" s="275" t="str">
        <f t="shared" si="43"/>
        <v>QUENTIN</v>
      </c>
      <c r="BU215" s="276" t="str">
        <f t="shared" si="44"/>
        <v>8</v>
      </c>
      <c r="BV215" s="277" t="str">
        <f t="shared" si="45"/>
        <v>THIBAULT</v>
      </c>
      <c r="BW215" s="273">
        <f t="shared" si="45"/>
        <v>0</v>
      </c>
      <c r="BX215" s="273">
        <f t="shared" si="45"/>
        <v>0</v>
      </c>
    </row>
    <row r="216" spans="3:76">
      <c r="C216" s="62"/>
      <c r="D216" s="105"/>
      <c r="E216" s="105"/>
      <c r="F216" s="62"/>
      <c r="G216" s="62"/>
      <c r="H216" s="101"/>
      <c r="I216" s="112"/>
      <c r="J216" s="62"/>
      <c r="K216" s="62"/>
      <c r="L216" s="62"/>
      <c r="M216" s="62"/>
      <c r="N216" s="101"/>
      <c r="O216" s="63"/>
      <c r="P216" s="63"/>
      <c r="Q216" s="62"/>
      <c r="R216" s="101"/>
      <c r="S216" s="62"/>
      <c r="T216" s="62"/>
      <c r="U216" s="62"/>
      <c r="V216" s="62"/>
      <c r="AP216" s="62">
        <v>15</v>
      </c>
      <c r="BQ216" s="278"/>
      <c r="BR216" s="273">
        <f t="shared" si="41"/>
        <v>9</v>
      </c>
      <c r="BS216" s="274" t="str">
        <f t="shared" si="42"/>
        <v>54</v>
      </c>
      <c r="BT216" s="275" t="str">
        <f t="shared" si="43"/>
        <v>DAMIEN</v>
      </c>
      <c r="BU216" s="276" t="str">
        <f t="shared" si="44"/>
        <v>73</v>
      </c>
      <c r="BV216" s="277" t="str">
        <f t="shared" si="45"/>
        <v>EDMOND</v>
      </c>
      <c r="BW216" s="273">
        <f t="shared" si="45"/>
        <v>0</v>
      </c>
      <c r="BX216" s="273">
        <f t="shared" si="45"/>
        <v>0</v>
      </c>
    </row>
    <row r="217" spans="3:76">
      <c r="C217" s="62"/>
      <c r="D217" s="105"/>
      <c r="E217" s="105"/>
      <c r="F217" s="62"/>
      <c r="G217" s="62"/>
      <c r="H217" s="101"/>
      <c r="I217" s="112"/>
      <c r="J217" s="62"/>
      <c r="K217" s="62"/>
      <c r="L217" s="62"/>
      <c r="M217" s="62"/>
      <c r="N217" s="101"/>
      <c r="O217" s="63"/>
      <c r="P217" s="63"/>
      <c r="Q217" s="62"/>
      <c r="R217" s="101"/>
      <c r="S217" s="62"/>
      <c r="T217" s="62"/>
      <c r="U217" s="62"/>
      <c r="V217" s="62"/>
      <c r="AP217" s="62">
        <v>15</v>
      </c>
      <c r="BQ217" s="278"/>
      <c r="BR217" s="273">
        <f t="shared" si="41"/>
        <v>10</v>
      </c>
      <c r="BS217" s="274" t="str">
        <f t="shared" si="42"/>
        <v>25</v>
      </c>
      <c r="BT217" s="275" t="str">
        <f t="shared" si="43"/>
        <v>AURELIEN</v>
      </c>
      <c r="BU217" s="276" t="str">
        <f t="shared" si="44"/>
        <v>101</v>
      </c>
      <c r="BV217" s="277" t="str">
        <f t="shared" si="45"/>
        <v>HONORE</v>
      </c>
      <c r="BW217" s="273">
        <f t="shared" si="45"/>
        <v>0</v>
      </c>
      <c r="BX217" s="273">
        <f t="shared" si="45"/>
        <v>0</v>
      </c>
    </row>
    <row r="218" spans="3:76">
      <c r="C218" s="62"/>
      <c r="D218" s="105"/>
      <c r="E218" s="105"/>
      <c r="F218" s="62"/>
      <c r="G218" s="62"/>
      <c r="H218" s="101"/>
      <c r="I218" s="112"/>
      <c r="J218" s="62"/>
      <c r="K218" s="62"/>
      <c r="L218" s="62"/>
      <c r="M218" s="62"/>
      <c r="N218" s="101"/>
      <c r="O218" s="63"/>
      <c r="P218" s="63"/>
      <c r="Q218" s="62"/>
      <c r="R218" s="101"/>
      <c r="S218" s="62"/>
      <c r="T218" s="62"/>
      <c r="U218" s="62"/>
      <c r="V218" s="62"/>
      <c r="AP218" s="62">
        <v>15</v>
      </c>
      <c r="BQ218" s="278"/>
      <c r="BR218" s="273">
        <f t="shared" si="41"/>
        <v>11</v>
      </c>
      <c r="BS218" s="274" t="str">
        <f t="shared" si="42"/>
        <v>118</v>
      </c>
      <c r="BT218" s="275" t="str">
        <f t="shared" si="43"/>
        <v>FERNAND</v>
      </c>
      <c r="BU218" s="276" t="str">
        <f t="shared" si="44"/>
        <v>111</v>
      </c>
      <c r="BV218" s="277" t="str">
        <f t="shared" si="45"/>
        <v>SOLANGE</v>
      </c>
      <c r="BW218" s="273">
        <f t="shared" si="45"/>
        <v>0</v>
      </c>
      <c r="BX218" s="273">
        <f t="shared" si="45"/>
        <v>0</v>
      </c>
    </row>
    <row r="219" spans="3:76">
      <c r="C219" s="62"/>
      <c r="D219" s="105"/>
      <c r="E219" s="105"/>
      <c r="F219" s="62"/>
      <c r="G219" s="62"/>
      <c r="H219" s="101"/>
      <c r="I219" s="112"/>
      <c r="J219" s="62"/>
      <c r="K219" s="62"/>
      <c r="L219" s="62"/>
      <c r="M219" s="62"/>
      <c r="N219" s="101"/>
      <c r="O219" s="63"/>
      <c r="P219" s="63"/>
      <c r="Q219" s="62"/>
      <c r="R219" s="101"/>
      <c r="S219" s="62"/>
      <c r="T219" s="62"/>
      <c r="U219" s="62"/>
      <c r="V219" s="62"/>
      <c r="BQ219" s="278"/>
      <c r="BR219" s="273">
        <f t="shared" si="41"/>
        <v>12</v>
      </c>
      <c r="BS219" s="274" t="str">
        <f t="shared" si="42"/>
        <v>76</v>
      </c>
      <c r="BT219" s="275" t="str">
        <f t="shared" si="43"/>
        <v>AMBROISE</v>
      </c>
      <c r="BU219" s="276" t="str">
        <f t="shared" si="44"/>
        <v>26</v>
      </c>
      <c r="BV219" s="277" t="str">
        <f t="shared" si="45"/>
        <v xml:space="preserve">THIERRY  </v>
      </c>
      <c r="BW219" s="273">
        <f t="shared" si="45"/>
        <v>0</v>
      </c>
      <c r="BX219" s="273">
        <f t="shared" si="45"/>
        <v>0</v>
      </c>
    </row>
    <row r="220" spans="3:76">
      <c r="C220" s="62"/>
      <c r="D220" s="105"/>
      <c r="E220" s="105"/>
      <c r="F220" s="62"/>
      <c r="G220" s="62"/>
      <c r="H220" s="101"/>
      <c r="I220" s="112"/>
      <c r="J220" s="62"/>
      <c r="K220" s="62"/>
      <c r="L220" s="62"/>
      <c r="M220" s="62"/>
      <c r="N220" s="101"/>
      <c r="O220" s="63"/>
      <c r="P220" s="63"/>
      <c r="Q220" s="62"/>
      <c r="R220" s="101"/>
      <c r="S220" s="62"/>
      <c r="T220" s="62"/>
      <c r="U220" s="62"/>
      <c r="V220" s="62"/>
      <c r="BQ220" s="278"/>
      <c r="BR220" s="273">
        <f t="shared" si="41"/>
        <v>13</v>
      </c>
      <c r="BS220" s="274" t="str">
        <f t="shared" si="42"/>
        <v>28</v>
      </c>
      <c r="BT220" s="275" t="str">
        <f t="shared" si="43"/>
        <v xml:space="preserve">RENE  </v>
      </c>
      <c r="BU220" s="276" t="str">
        <f t="shared" si="44"/>
        <v>44</v>
      </c>
      <c r="BV220" s="277" t="str">
        <f t="shared" si="45"/>
        <v>GUY JEAN</v>
      </c>
      <c r="BW220" s="273">
        <f t="shared" si="45"/>
        <v>0</v>
      </c>
      <c r="BX220" s="273">
        <f t="shared" si="45"/>
        <v>0</v>
      </c>
    </row>
    <row r="221" spans="3:76">
      <c r="C221" s="62"/>
      <c r="D221" s="105"/>
      <c r="E221" s="105"/>
      <c r="F221" s="62"/>
      <c r="G221" s="62"/>
      <c r="H221" s="101"/>
      <c r="I221" s="112"/>
      <c r="J221" s="62"/>
      <c r="K221" s="62"/>
      <c r="L221" s="62"/>
      <c r="M221" s="62"/>
      <c r="N221" s="101"/>
      <c r="O221" s="63"/>
      <c r="P221" s="63"/>
      <c r="Q221" s="62"/>
      <c r="R221" s="101"/>
      <c r="S221" s="62"/>
      <c r="T221" s="62"/>
      <c r="U221" s="62"/>
      <c r="V221" s="62"/>
      <c r="BQ221" s="278"/>
      <c r="BR221" s="273">
        <f t="shared" si="41"/>
        <v>14</v>
      </c>
      <c r="BS221" s="274" t="str">
        <f t="shared" si="42"/>
        <v>88</v>
      </c>
      <c r="BT221" s="275" t="str">
        <f t="shared" si="43"/>
        <v>VINCENT</v>
      </c>
      <c r="BU221" s="276" t="str">
        <f t="shared" si="44"/>
        <v>4</v>
      </c>
      <c r="BV221" s="277" t="str">
        <f t="shared" si="45"/>
        <v>DENISE</v>
      </c>
      <c r="BW221" s="273">
        <f t="shared" si="45"/>
        <v>0</v>
      </c>
      <c r="BX221" s="273">
        <f t="shared" si="45"/>
        <v>0</v>
      </c>
    </row>
    <row r="222" spans="3:76">
      <c r="C222" s="62"/>
      <c r="D222" s="105"/>
      <c r="E222" s="105"/>
      <c r="F222" s="62"/>
      <c r="G222" s="62"/>
      <c r="H222" s="101"/>
      <c r="I222" s="112"/>
      <c r="J222" s="62"/>
      <c r="K222" s="62"/>
      <c r="L222" s="62"/>
      <c r="M222" s="62"/>
      <c r="N222" s="101"/>
      <c r="O222" s="63"/>
      <c r="P222" s="63"/>
      <c r="Q222" s="62"/>
      <c r="R222" s="101"/>
      <c r="S222" s="62"/>
      <c r="T222" s="62"/>
      <c r="U222" s="62"/>
      <c r="V222" s="62"/>
      <c r="BQ222" s="278"/>
      <c r="BR222" s="273">
        <f t="shared" si="41"/>
        <v>15</v>
      </c>
      <c r="BS222" s="274" t="str">
        <f t="shared" si="42"/>
        <v>89</v>
      </c>
      <c r="BT222" s="275" t="str">
        <f t="shared" si="43"/>
        <v>BERNARD</v>
      </c>
      <c r="BU222" s="276" t="str">
        <f t="shared" si="44"/>
        <v>68</v>
      </c>
      <c r="BV222" s="277" t="str">
        <f t="shared" si="45"/>
        <v>BRICE</v>
      </c>
      <c r="BW222" s="273">
        <f t="shared" si="45"/>
        <v>0</v>
      </c>
      <c r="BX222" s="273">
        <f t="shared" si="45"/>
        <v>0</v>
      </c>
    </row>
    <row r="223" spans="3:76">
      <c r="C223" s="62"/>
      <c r="D223" s="105"/>
      <c r="E223" s="105"/>
      <c r="F223" s="62"/>
      <c r="G223" s="62"/>
      <c r="H223" s="101"/>
      <c r="I223" s="112"/>
      <c r="J223" s="62"/>
      <c r="K223" s="62"/>
      <c r="L223" s="62"/>
      <c r="M223" s="62"/>
      <c r="N223" s="101"/>
      <c r="O223" s="63"/>
      <c r="P223" s="63"/>
      <c r="Q223" s="62"/>
      <c r="R223" s="101"/>
      <c r="S223" s="62"/>
      <c r="T223" s="62"/>
      <c r="U223" s="62"/>
      <c r="V223" s="62"/>
      <c r="BQ223" s="278"/>
      <c r="BR223" s="273">
        <f t="shared" si="41"/>
        <v>16</v>
      </c>
      <c r="BS223" s="274" t="str">
        <f t="shared" si="42"/>
        <v>86</v>
      </c>
      <c r="BT223" s="275" t="str">
        <f t="shared" si="43"/>
        <v>LUCIEN</v>
      </c>
      <c r="BU223" s="276" t="str">
        <f t="shared" si="44"/>
        <v>113</v>
      </c>
      <c r="BV223" s="277" t="str">
        <f t="shared" si="45"/>
        <v>NORBERT</v>
      </c>
      <c r="BW223" s="273">
        <f t="shared" si="45"/>
        <v>0</v>
      </c>
      <c r="BX223" s="273">
        <f t="shared" si="45"/>
        <v>0</v>
      </c>
    </row>
    <row r="224" spans="3:76">
      <c r="C224" s="62"/>
      <c r="D224" s="105"/>
      <c r="E224" s="105"/>
      <c r="F224" s="62"/>
      <c r="G224" s="62"/>
      <c r="H224" s="101"/>
      <c r="I224" s="112"/>
      <c r="J224" s="62"/>
      <c r="K224" s="62"/>
      <c r="L224" s="62"/>
      <c r="M224" s="62"/>
      <c r="N224" s="101"/>
      <c r="O224" s="63"/>
      <c r="P224" s="63"/>
      <c r="Q224" s="62"/>
      <c r="R224" s="101"/>
      <c r="S224" s="62"/>
      <c r="T224" s="62"/>
      <c r="U224" s="62"/>
      <c r="V224" s="62"/>
      <c r="BQ224" s="278"/>
      <c r="BR224" s="273">
        <f t="shared" si="41"/>
        <v>17</v>
      </c>
      <c r="BS224" s="274" t="str">
        <f t="shared" si="42"/>
        <v>1</v>
      </c>
      <c r="BT224" s="275" t="str">
        <f t="shared" si="43"/>
        <v>PETER</v>
      </c>
      <c r="BU224" s="276" t="str">
        <f t="shared" si="44"/>
        <v>69</v>
      </c>
      <c r="BV224" s="277" t="str">
        <f t="shared" si="45"/>
        <v>ALBERT</v>
      </c>
      <c r="BW224" s="273">
        <f t="shared" si="45"/>
        <v>0</v>
      </c>
      <c r="BX224" s="273">
        <f t="shared" si="45"/>
        <v>0</v>
      </c>
    </row>
    <row r="225" spans="3:76">
      <c r="C225" s="62"/>
      <c r="D225" s="105"/>
      <c r="E225" s="105"/>
      <c r="F225" s="62"/>
      <c r="G225" s="62"/>
      <c r="H225" s="101"/>
      <c r="I225" s="112"/>
      <c r="J225" s="62"/>
      <c r="K225" s="62"/>
      <c r="L225" s="62"/>
      <c r="M225" s="62"/>
      <c r="N225" s="101"/>
      <c r="O225" s="63"/>
      <c r="P225" s="63"/>
      <c r="Q225" s="62"/>
      <c r="R225" s="101"/>
      <c r="S225" s="62"/>
      <c r="T225" s="62"/>
      <c r="U225" s="62"/>
      <c r="V225" s="62"/>
      <c r="BQ225" s="278"/>
      <c r="BR225" s="273">
        <f t="shared" si="41"/>
        <v>18</v>
      </c>
      <c r="BS225" s="274" t="str">
        <f t="shared" si="42"/>
        <v>50</v>
      </c>
      <c r="BT225" s="275" t="str">
        <f t="shared" si="43"/>
        <v>FLORENTIN</v>
      </c>
      <c r="BU225" s="276" t="str">
        <f t="shared" si="44"/>
        <v>109</v>
      </c>
      <c r="BV225" s="277" t="str">
        <f t="shared" si="45"/>
        <v>MARCELLIN</v>
      </c>
      <c r="BW225" s="273">
        <f t="shared" si="45"/>
        <v>0</v>
      </c>
      <c r="BX225" s="273">
        <f t="shared" si="45"/>
        <v>0</v>
      </c>
    </row>
    <row r="226" spans="3:76">
      <c r="C226" s="62"/>
      <c r="D226" s="105"/>
      <c r="E226" s="105"/>
      <c r="F226" s="62"/>
      <c r="G226" s="62"/>
      <c r="H226" s="101"/>
      <c r="I226" s="112"/>
      <c r="J226" s="62"/>
      <c r="K226" s="62"/>
      <c r="L226" s="62"/>
      <c r="M226" s="62"/>
      <c r="N226" s="101"/>
      <c r="O226" s="63"/>
      <c r="P226" s="63"/>
      <c r="Q226" s="62"/>
      <c r="R226" s="101"/>
      <c r="S226" s="62"/>
      <c r="T226" s="62"/>
      <c r="U226" s="62"/>
      <c r="V226" s="62"/>
      <c r="BQ226" s="278"/>
      <c r="BR226" s="273">
        <f t="shared" si="41"/>
        <v>19</v>
      </c>
      <c r="BS226" s="274" t="str">
        <f t="shared" si="42"/>
        <v>96</v>
      </c>
      <c r="BT226" s="275" t="str">
        <f t="shared" si="43"/>
        <v>GAUTIER</v>
      </c>
      <c r="BU226" s="276" t="str">
        <f t="shared" si="44"/>
        <v>77</v>
      </c>
      <c r="BV226" s="277" t="str">
        <f t="shared" si="45"/>
        <v>DANIEL</v>
      </c>
      <c r="BW226" s="273">
        <f t="shared" si="45"/>
        <v>0</v>
      </c>
      <c r="BX226" s="273">
        <f t="shared" si="45"/>
        <v>0</v>
      </c>
    </row>
    <row r="227" spans="3:76">
      <c r="C227" s="62"/>
      <c r="D227" s="105"/>
      <c r="E227" s="105"/>
      <c r="F227" s="62"/>
      <c r="G227" s="62"/>
      <c r="H227" s="101"/>
      <c r="I227" s="112"/>
      <c r="J227" s="62"/>
      <c r="K227" s="62"/>
      <c r="L227" s="62"/>
      <c r="M227" s="62"/>
      <c r="N227" s="101"/>
      <c r="O227" s="63"/>
      <c r="P227" s="63"/>
      <c r="Q227" s="62"/>
      <c r="R227" s="101"/>
      <c r="S227" s="62"/>
      <c r="T227" s="62"/>
      <c r="U227" s="62"/>
      <c r="V227" s="62"/>
      <c r="BQ227" s="278"/>
      <c r="BR227" s="273">
        <f t="shared" si="41"/>
        <v>20</v>
      </c>
      <c r="BS227" s="274" t="str">
        <f t="shared" si="42"/>
        <v>61</v>
      </c>
      <c r="BT227" s="275" t="str">
        <f t="shared" si="43"/>
        <v>COME</v>
      </c>
      <c r="BU227" s="276" t="str">
        <f t="shared" si="44"/>
        <v>115</v>
      </c>
      <c r="BV227" s="277" t="str">
        <f t="shared" si="45"/>
        <v>LEON</v>
      </c>
      <c r="BW227" s="273">
        <f t="shared" si="45"/>
        <v>0</v>
      </c>
      <c r="BX227" s="273">
        <f t="shared" si="45"/>
        <v>0</v>
      </c>
    </row>
    <row r="228" spans="3:76">
      <c r="C228" s="62"/>
      <c r="D228" s="105"/>
      <c r="E228" s="105"/>
      <c r="F228" s="62"/>
      <c r="G228" s="62"/>
      <c r="H228" s="101"/>
      <c r="I228" s="112"/>
      <c r="J228" s="62"/>
      <c r="K228" s="62"/>
      <c r="L228" s="62"/>
      <c r="M228" s="62"/>
      <c r="N228" s="101"/>
      <c r="O228" s="63"/>
      <c r="P228" s="63"/>
      <c r="Q228" s="62"/>
      <c r="R228" s="101"/>
      <c r="S228" s="62"/>
      <c r="T228" s="62"/>
      <c r="U228" s="62"/>
      <c r="V228" s="62"/>
      <c r="BQ228" s="278"/>
      <c r="BR228" s="273">
        <f t="shared" si="41"/>
        <v>21</v>
      </c>
      <c r="BS228" s="274" t="str">
        <f t="shared" si="42"/>
        <v>112</v>
      </c>
      <c r="BT228" s="275" t="str">
        <f t="shared" si="43"/>
        <v>AYMAR</v>
      </c>
      <c r="BU228" s="276" t="str">
        <f t="shared" si="44"/>
        <v>29</v>
      </c>
      <c r="BV228" s="277" t="str">
        <f t="shared" si="45"/>
        <v xml:space="preserve">YOANN   </v>
      </c>
      <c r="BW228" s="273">
        <f t="shared" si="45"/>
        <v>0</v>
      </c>
      <c r="BX228" s="273">
        <f t="shared" si="45"/>
        <v>0</v>
      </c>
    </row>
    <row r="229" spans="3:76">
      <c r="C229" s="62"/>
      <c r="D229" s="105"/>
      <c r="E229" s="105"/>
      <c r="F229" s="62"/>
      <c r="G229" s="62"/>
      <c r="H229" s="101"/>
      <c r="I229" s="112"/>
      <c r="J229" s="62"/>
      <c r="K229" s="62"/>
      <c r="L229" s="62"/>
      <c r="M229" s="62"/>
      <c r="N229" s="101"/>
      <c r="O229" s="63"/>
      <c r="P229" s="63"/>
      <c r="Q229" s="62"/>
      <c r="R229" s="101"/>
      <c r="S229" s="62"/>
      <c r="T229" s="62"/>
      <c r="U229" s="62"/>
      <c r="V229" s="62"/>
      <c r="BQ229" s="278"/>
      <c r="BR229" s="273">
        <f t="shared" si="41"/>
        <v>22</v>
      </c>
      <c r="BS229" s="274" t="str">
        <f t="shared" si="42"/>
        <v>21</v>
      </c>
      <c r="BT229" s="275" t="str">
        <f t="shared" si="43"/>
        <v>GEGE</v>
      </c>
      <c r="BU229" s="276" t="str">
        <f t="shared" si="44"/>
        <v>41</v>
      </c>
      <c r="BV229" s="277" t="str">
        <f t="shared" si="45"/>
        <v>ETIENNE</v>
      </c>
      <c r="BW229" s="273">
        <f t="shared" si="45"/>
        <v>0</v>
      </c>
      <c r="BX229" s="273">
        <f t="shared" si="45"/>
        <v>0</v>
      </c>
    </row>
    <row r="230" spans="3:76">
      <c r="C230" s="62"/>
      <c r="D230" s="105"/>
      <c r="E230" s="105"/>
      <c r="F230" s="62"/>
      <c r="G230" s="62"/>
      <c r="H230" s="101"/>
      <c r="I230" s="112"/>
      <c r="J230" s="62"/>
      <c r="K230" s="62"/>
      <c r="L230" s="62"/>
      <c r="M230" s="62"/>
      <c r="N230" s="101"/>
      <c r="O230" s="63"/>
      <c r="P230" s="63"/>
      <c r="Q230" s="62"/>
      <c r="R230" s="101"/>
      <c r="S230" s="62"/>
      <c r="T230" s="62"/>
      <c r="U230" s="62"/>
      <c r="V230" s="62"/>
      <c r="BQ230" s="278"/>
      <c r="BR230" s="273">
        <f t="shared" si="41"/>
        <v>23</v>
      </c>
      <c r="BS230" s="274" t="str">
        <f t="shared" si="42"/>
        <v>78</v>
      </c>
      <c r="BT230" s="275" t="str">
        <f t="shared" si="43"/>
        <v>GAEL</v>
      </c>
      <c r="BU230" s="276" t="str">
        <f t="shared" si="44"/>
        <v>82</v>
      </c>
      <c r="BV230" s="277" t="str">
        <f t="shared" si="45"/>
        <v>URBAIN</v>
      </c>
      <c r="BW230" s="273">
        <f t="shared" si="45"/>
        <v>0</v>
      </c>
      <c r="BX230" s="273">
        <f t="shared" si="45"/>
        <v>0</v>
      </c>
    </row>
    <row r="231" spans="3:76">
      <c r="C231" s="62"/>
      <c r="D231" s="105"/>
      <c r="E231" s="105"/>
      <c r="F231" s="62"/>
      <c r="G231" s="62"/>
      <c r="H231" s="101"/>
      <c r="I231" s="112"/>
      <c r="J231" s="62"/>
      <c r="K231" s="62"/>
      <c r="L231" s="62"/>
      <c r="M231" s="62"/>
      <c r="N231" s="101"/>
      <c r="O231" s="63"/>
      <c r="P231" s="63"/>
      <c r="Q231" s="62"/>
      <c r="R231" s="101"/>
      <c r="S231" s="62"/>
      <c r="T231" s="62"/>
      <c r="U231" s="62"/>
      <c r="V231" s="62"/>
      <c r="BQ231" s="278"/>
      <c r="BR231" s="273">
        <f t="shared" si="41"/>
        <v>24</v>
      </c>
      <c r="BS231" s="274" t="str">
        <f t="shared" si="42"/>
        <v>53</v>
      </c>
      <c r="BT231" s="275" t="str">
        <f t="shared" si="43"/>
        <v>AURELIEN</v>
      </c>
      <c r="BU231" s="276" t="str">
        <f t="shared" si="44"/>
        <v>74</v>
      </c>
      <c r="BV231" s="277" t="str">
        <f t="shared" si="45"/>
        <v>GERALD</v>
      </c>
      <c r="BW231" s="273">
        <f t="shared" si="45"/>
        <v>0</v>
      </c>
      <c r="BX231" s="273">
        <f t="shared" si="45"/>
        <v>0</v>
      </c>
    </row>
    <row r="232" spans="3:76">
      <c r="C232" s="62"/>
      <c r="D232" s="105"/>
      <c r="E232" s="105"/>
      <c r="F232" s="62"/>
      <c r="G232" s="62"/>
      <c r="H232" s="101"/>
      <c r="I232" s="112"/>
      <c r="J232" s="62"/>
      <c r="K232" s="62"/>
      <c r="L232" s="62"/>
      <c r="M232" s="62"/>
      <c r="N232" s="101"/>
      <c r="O232" s="63"/>
      <c r="P232" s="63"/>
      <c r="Q232" s="62"/>
      <c r="R232" s="101"/>
      <c r="S232" s="62"/>
      <c r="T232" s="62"/>
      <c r="U232" s="62"/>
      <c r="V232" s="62"/>
      <c r="BQ232" s="278"/>
      <c r="BR232" s="273">
        <f t="shared" si="41"/>
        <v>25</v>
      </c>
      <c r="BS232" s="274" t="str">
        <f t="shared" si="42"/>
        <v>66</v>
      </c>
      <c r="BT232" s="275" t="str">
        <f t="shared" si="43"/>
        <v>FLORIAN</v>
      </c>
      <c r="BU232" s="276" t="str">
        <f t="shared" si="44"/>
        <v>81</v>
      </c>
      <c r="BV232" s="277" t="str">
        <f t="shared" si="45"/>
        <v>THEOPHILE</v>
      </c>
      <c r="BW232" s="273">
        <f t="shared" si="45"/>
        <v>0</v>
      </c>
      <c r="BX232" s="273">
        <f t="shared" si="45"/>
        <v>0</v>
      </c>
    </row>
    <row r="233" spans="3:76">
      <c r="C233" s="62"/>
      <c r="D233" s="105"/>
      <c r="E233" s="105"/>
      <c r="F233" s="62"/>
      <c r="G233" s="62"/>
      <c r="H233" s="101"/>
      <c r="I233" s="112"/>
      <c r="J233" s="62"/>
      <c r="K233" s="62"/>
      <c r="L233" s="62"/>
      <c r="M233" s="62"/>
      <c r="N233" s="101"/>
      <c r="O233" s="63"/>
      <c r="P233" s="63"/>
      <c r="Q233" s="62"/>
      <c r="R233" s="101"/>
      <c r="S233" s="62"/>
      <c r="T233" s="62"/>
      <c r="U233" s="62"/>
      <c r="V233" s="62"/>
      <c r="BQ233" s="278"/>
      <c r="BR233" s="273">
        <f t="shared" si="41"/>
        <v>26</v>
      </c>
      <c r="BS233" s="274" t="str">
        <f t="shared" si="42"/>
        <v>14</v>
      </c>
      <c r="BT233" s="275" t="str">
        <f t="shared" si="43"/>
        <v>CHRISTOPHE</v>
      </c>
      <c r="BU233" s="276" t="str">
        <f t="shared" si="44"/>
        <v>45</v>
      </c>
      <c r="BV233" s="277" t="str">
        <f t="shared" si="45"/>
        <v>RENAUD</v>
      </c>
      <c r="BW233" s="273">
        <f t="shared" si="45"/>
        <v>0</v>
      </c>
      <c r="BX233" s="273">
        <f t="shared" si="45"/>
        <v>0</v>
      </c>
    </row>
    <row r="234" spans="3:76">
      <c r="C234" s="62"/>
      <c r="D234" s="105"/>
      <c r="E234" s="105"/>
      <c r="F234" s="62"/>
      <c r="G234" s="62"/>
      <c r="H234" s="101"/>
      <c r="I234" s="112"/>
      <c r="J234" s="62"/>
      <c r="K234" s="62"/>
      <c r="L234" s="62"/>
      <c r="M234" s="62"/>
      <c r="N234" s="101"/>
      <c r="O234" s="63"/>
      <c r="P234" s="63"/>
      <c r="Q234" s="62"/>
      <c r="R234" s="101"/>
      <c r="S234" s="62"/>
      <c r="T234" s="62"/>
      <c r="U234" s="62"/>
      <c r="V234" s="62"/>
      <c r="BQ234" s="278"/>
      <c r="BR234" s="273">
        <f t="shared" si="41"/>
        <v>27</v>
      </c>
      <c r="BS234" s="274" t="str">
        <f t="shared" si="42"/>
        <v>39</v>
      </c>
      <c r="BT234" s="275" t="str">
        <f t="shared" si="43"/>
        <v xml:space="preserve">NICO  </v>
      </c>
      <c r="BU234" s="276" t="str">
        <f t="shared" si="44"/>
        <v>13</v>
      </c>
      <c r="BV234" s="277" t="str">
        <f t="shared" si="45"/>
        <v>JEAN PIERRE</v>
      </c>
      <c r="BW234" s="273">
        <f t="shared" si="45"/>
        <v>0</v>
      </c>
      <c r="BX234" s="273">
        <f t="shared" si="45"/>
        <v>0</v>
      </c>
    </row>
    <row r="235" spans="3:76">
      <c r="C235" s="62"/>
      <c r="D235" s="105"/>
      <c r="E235" s="105"/>
      <c r="F235" s="62"/>
      <c r="G235" s="62"/>
      <c r="H235" s="101"/>
      <c r="I235" s="112"/>
      <c r="J235" s="62"/>
      <c r="K235" s="62"/>
      <c r="L235" s="62"/>
      <c r="M235" s="62"/>
      <c r="N235" s="101"/>
      <c r="O235" s="63"/>
      <c r="P235" s="63"/>
      <c r="Q235" s="62"/>
      <c r="R235" s="101"/>
      <c r="S235" s="62"/>
      <c r="T235" s="62"/>
      <c r="U235" s="62"/>
      <c r="V235" s="62"/>
      <c r="BQ235" s="278"/>
      <c r="BR235" s="273">
        <f t="shared" si="41"/>
        <v>28</v>
      </c>
      <c r="BS235" s="274" t="str">
        <f t="shared" si="42"/>
        <v>17</v>
      </c>
      <c r="BT235" s="275" t="str">
        <f t="shared" si="43"/>
        <v xml:space="preserve">LAURENT    </v>
      </c>
      <c r="BU235" s="276" t="str">
        <f t="shared" si="44"/>
        <v>90</v>
      </c>
      <c r="BV235" s="277" t="str">
        <f t="shared" si="45"/>
        <v>VALENTIN</v>
      </c>
      <c r="BW235" s="273">
        <f t="shared" si="45"/>
        <v>0</v>
      </c>
      <c r="BX235" s="273">
        <f t="shared" si="45"/>
        <v>0</v>
      </c>
    </row>
    <row r="236" spans="3:76">
      <c r="C236" s="62"/>
      <c r="D236" s="105"/>
      <c r="E236" s="105"/>
      <c r="F236" s="62"/>
      <c r="G236" s="62"/>
      <c r="H236" s="101"/>
      <c r="I236" s="112"/>
      <c r="J236" s="62"/>
      <c r="K236" s="62"/>
      <c r="L236" s="62"/>
      <c r="M236" s="62"/>
      <c r="N236" s="101"/>
      <c r="O236" s="63"/>
      <c r="P236" s="63"/>
      <c r="Q236" s="62"/>
      <c r="R236" s="101"/>
      <c r="S236" s="62"/>
      <c r="T236" s="62"/>
      <c r="U236" s="62"/>
      <c r="V236" s="62"/>
      <c r="BQ236" s="278"/>
      <c r="BR236" s="273">
        <f t="shared" si="41"/>
        <v>29</v>
      </c>
      <c r="BS236" s="274" t="str">
        <f t="shared" si="42"/>
        <v>79</v>
      </c>
      <c r="BT236" s="275" t="str">
        <f t="shared" si="43"/>
        <v>GATIEN</v>
      </c>
      <c r="BU236" s="276" t="str">
        <f t="shared" si="44"/>
        <v>94</v>
      </c>
      <c r="BV236" s="277" t="str">
        <f t="shared" si="45"/>
        <v>HUGUES</v>
      </c>
      <c r="BW236" s="273">
        <f t="shared" si="45"/>
        <v>0</v>
      </c>
      <c r="BX236" s="273">
        <f t="shared" si="45"/>
        <v>0</v>
      </c>
    </row>
    <row r="237" spans="3:76">
      <c r="C237" s="62"/>
      <c r="D237" s="105"/>
      <c r="E237" s="105"/>
      <c r="F237" s="62"/>
      <c r="G237" s="62"/>
      <c r="H237" s="101"/>
      <c r="I237" s="112"/>
      <c r="J237" s="62"/>
      <c r="K237" s="62"/>
      <c r="L237" s="62"/>
      <c r="M237" s="62"/>
      <c r="N237" s="101"/>
      <c r="O237" s="63"/>
      <c r="P237" s="63"/>
      <c r="Q237" s="62"/>
      <c r="R237" s="101"/>
      <c r="S237" s="62"/>
      <c r="T237" s="62"/>
      <c r="U237" s="62"/>
      <c r="V237" s="62"/>
      <c r="BQ237" s="278"/>
      <c r="BR237" s="273">
        <f t="shared" si="41"/>
        <v>30</v>
      </c>
      <c r="BS237" s="274" t="str">
        <f t="shared" si="42"/>
        <v>11</v>
      </c>
      <c r="BT237" s="275" t="str">
        <f t="shared" si="43"/>
        <v>JOHN</v>
      </c>
      <c r="BU237" s="276" t="str">
        <f t="shared" si="44"/>
        <v>3</v>
      </c>
      <c r="BV237" s="277" t="str">
        <f t="shared" si="45"/>
        <v>MARCO</v>
      </c>
      <c r="BW237" s="273">
        <f t="shared" si="45"/>
        <v>0</v>
      </c>
      <c r="BX237" s="273">
        <f t="shared" si="45"/>
        <v>0</v>
      </c>
    </row>
    <row r="238" spans="3:76">
      <c r="C238" s="62"/>
      <c r="D238" s="105"/>
      <c r="E238" s="105"/>
      <c r="F238" s="62"/>
      <c r="G238" s="62"/>
      <c r="H238" s="101"/>
      <c r="I238" s="112"/>
      <c r="J238" s="62"/>
      <c r="K238" s="62"/>
      <c r="L238" s="62"/>
      <c r="M238" s="62"/>
      <c r="N238" s="101"/>
      <c r="O238" s="63"/>
      <c r="P238" s="63"/>
      <c r="Q238" s="62"/>
      <c r="R238" s="101"/>
      <c r="S238" s="62"/>
      <c r="T238" s="62"/>
      <c r="U238" s="62"/>
      <c r="V238" s="62"/>
      <c r="BQ238" s="278"/>
      <c r="BR238" s="273">
        <f t="shared" si="41"/>
        <v>31</v>
      </c>
      <c r="BS238" s="274" t="str">
        <f t="shared" si="42"/>
        <v>63</v>
      </c>
      <c r="BT238" s="275" t="str">
        <f t="shared" si="43"/>
        <v>FIRMIN</v>
      </c>
      <c r="BU238" s="276" t="str">
        <f t="shared" si="44"/>
        <v>40</v>
      </c>
      <c r="BV238" s="277" t="str">
        <f t="shared" si="45"/>
        <v>VINCENT</v>
      </c>
      <c r="BW238" s="273">
        <f t="shared" si="45"/>
        <v>0</v>
      </c>
      <c r="BX238" s="273">
        <f t="shared" si="45"/>
        <v>0</v>
      </c>
    </row>
    <row r="239" spans="3:76">
      <c r="C239" s="62"/>
      <c r="D239" s="105"/>
      <c r="E239" s="105"/>
      <c r="F239" s="62"/>
      <c r="G239" s="62"/>
      <c r="H239" s="101"/>
      <c r="I239" s="112"/>
      <c r="J239" s="62"/>
      <c r="K239" s="62"/>
      <c r="L239" s="62"/>
      <c r="M239" s="62"/>
      <c r="N239" s="101"/>
      <c r="O239" s="63"/>
      <c r="P239" s="63"/>
      <c r="Q239" s="62"/>
      <c r="R239" s="101"/>
      <c r="S239" s="62"/>
      <c r="T239" s="62"/>
      <c r="U239" s="62"/>
      <c r="V239" s="62"/>
      <c r="BQ239" s="278"/>
      <c r="BR239" s="273">
        <f t="shared" si="41"/>
        <v>32</v>
      </c>
      <c r="BS239" s="274" t="str">
        <f t="shared" si="42"/>
        <v>93</v>
      </c>
      <c r="BT239" s="275" t="str">
        <f t="shared" si="43"/>
        <v>JOSEPH</v>
      </c>
      <c r="BU239" s="276" t="str">
        <f t="shared" si="44"/>
        <v>56</v>
      </c>
      <c r="BV239" s="277" t="str">
        <f t="shared" si="45"/>
        <v xml:space="preserve">RENE  </v>
      </c>
      <c r="BW239" s="273">
        <f t="shared" si="45"/>
        <v>0</v>
      </c>
      <c r="BX239" s="273">
        <f t="shared" si="45"/>
        <v>0</v>
      </c>
    </row>
    <row r="240" spans="3:76">
      <c r="C240" s="62"/>
      <c r="D240" s="105"/>
      <c r="E240" s="105"/>
      <c r="F240" s="62"/>
      <c r="G240" s="62"/>
      <c r="H240" s="101"/>
      <c r="I240" s="112"/>
      <c r="J240" s="62"/>
      <c r="K240" s="62"/>
      <c r="L240" s="62"/>
      <c r="M240" s="62"/>
      <c r="N240" s="101"/>
      <c r="O240" s="63"/>
      <c r="P240" s="63"/>
      <c r="Q240" s="62"/>
      <c r="R240" s="101"/>
      <c r="S240" s="62"/>
      <c r="T240" s="62"/>
      <c r="U240" s="62"/>
      <c r="V240" s="62"/>
      <c r="BQ240" s="278"/>
      <c r="BR240" s="273">
        <f t="shared" si="41"/>
        <v>33</v>
      </c>
      <c r="BS240" s="274" t="str">
        <f t="shared" si="42"/>
        <v>34</v>
      </c>
      <c r="BT240" s="275" t="str">
        <f t="shared" si="43"/>
        <v xml:space="preserve">JOE  </v>
      </c>
      <c r="BU240" s="276" t="str">
        <f t="shared" si="44"/>
        <v>72</v>
      </c>
      <c r="BV240" s="277" t="str">
        <f t="shared" ref="BV240:BX271" si="46">AN38</f>
        <v>DELPHINE</v>
      </c>
      <c r="BW240" s="273">
        <f t="shared" si="46"/>
        <v>0</v>
      </c>
      <c r="BX240" s="273">
        <f t="shared" si="46"/>
        <v>0</v>
      </c>
    </row>
    <row r="241" spans="3:76">
      <c r="C241" s="62"/>
      <c r="D241" s="105"/>
      <c r="E241" s="105"/>
      <c r="F241" s="62"/>
      <c r="G241" s="62"/>
      <c r="H241" s="101"/>
      <c r="I241" s="112"/>
      <c r="J241" s="62"/>
      <c r="K241" s="62"/>
      <c r="L241" s="62"/>
      <c r="M241" s="62"/>
      <c r="N241" s="101"/>
      <c r="O241" s="63"/>
      <c r="P241" s="63"/>
      <c r="Q241" s="62"/>
      <c r="R241" s="101"/>
      <c r="S241" s="62"/>
      <c r="T241" s="62"/>
      <c r="U241" s="62"/>
      <c r="V241" s="62"/>
      <c r="BQ241" s="278"/>
      <c r="BR241" s="273">
        <f t="shared" si="41"/>
        <v>34</v>
      </c>
      <c r="BS241" s="274" t="str">
        <f t="shared" si="42"/>
        <v>116</v>
      </c>
      <c r="BT241" s="275" t="str">
        <f t="shared" si="43"/>
        <v>ALBAN</v>
      </c>
      <c r="BU241" s="276" t="str">
        <f t="shared" si="44"/>
        <v>6</v>
      </c>
      <c r="BV241" s="277" t="str">
        <f t="shared" si="46"/>
        <v>JACQUES</v>
      </c>
      <c r="BW241" s="273">
        <f t="shared" si="46"/>
        <v>0</v>
      </c>
      <c r="BX241" s="273">
        <f t="shared" si="46"/>
        <v>0</v>
      </c>
    </row>
    <row r="242" spans="3:76">
      <c r="C242" s="62"/>
      <c r="D242" s="105"/>
      <c r="E242" s="105"/>
      <c r="F242" s="62"/>
      <c r="G242" s="62"/>
      <c r="H242" s="101"/>
      <c r="I242" s="112"/>
      <c r="J242" s="62"/>
      <c r="K242" s="62"/>
      <c r="L242" s="62"/>
      <c r="M242" s="62"/>
      <c r="N242" s="101"/>
      <c r="O242" s="63"/>
      <c r="P242" s="63"/>
      <c r="Q242" s="62"/>
      <c r="R242" s="101"/>
      <c r="S242" s="62"/>
      <c r="T242" s="62"/>
      <c r="U242" s="62"/>
      <c r="V242" s="62"/>
      <c r="BQ242" s="278"/>
      <c r="BR242" s="273">
        <f t="shared" si="41"/>
        <v>35</v>
      </c>
      <c r="BS242" s="274" t="str">
        <f t="shared" si="42"/>
        <v>55</v>
      </c>
      <c r="BT242" s="275" t="str">
        <f t="shared" si="43"/>
        <v>GREGOIRE</v>
      </c>
      <c r="BU242" s="276" t="str">
        <f t="shared" si="44"/>
        <v>33</v>
      </c>
      <c r="BV242" s="277" t="str">
        <f t="shared" si="46"/>
        <v xml:space="preserve">BRUNO  </v>
      </c>
      <c r="BW242" s="273">
        <f t="shared" si="46"/>
        <v>0</v>
      </c>
      <c r="BX242" s="273">
        <f t="shared" si="46"/>
        <v>0</v>
      </c>
    </row>
    <row r="243" spans="3:76">
      <c r="C243" s="62"/>
      <c r="D243" s="105"/>
      <c r="E243" s="105"/>
      <c r="F243" s="62"/>
      <c r="G243" s="62"/>
      <c r="H243" s="101"/>
      <c r="I243" s="112"/>
      <c r="J243" s="62"/>
      <c r="K243" s="62"/>
      <c r="L243" s="62"/>
      <c r="M243" s="62"/>
      <c r="N243" s="101"/>
      <c r="O243" s="63"/>
      <c r="P243" s="63"/>
      <c r="Q243" s="62"/>
      <c r="R243" s="101"/>
      <c r="S243" s="62"/>
      <c r="T243" s="62"/>
      <c r="U243" s="62"/>
      <c r="V243" s="62"/>
      <c r="BQ243" s="278"/>
      <c r="BR243" s="273">
        <f t="shared" si="41"/>
        <v>36</v>
      </c>
      <c r="BS243" s="274" t="str">
        <f t="shared" si="42"/>
        <v>97</v>
      </c>
      <c r="BT243" s="275" t="str">
        <f t="shared" si="43"/>
        <v>MATTHIAS</v>
      </c>
      <c r="BU243" s="276" t="str">
        <f t="shared" si="44"/>
        <v>114</v>
      </c>
      <c r="BV243" s="277" t="str">
        <f t="shared" si="46"/>
        <v>BARNABE</v>
      </c>
      <c r="BW243" s="273">
        <f t="shared" si="46"/>
        <v>0</v>
      </c>
      <c r="BX243" s="273">
        <f t="shared" si="46"/>
        <v>0</v>
      </c>
    </row>
    <row r="244" spans="3:76">
      <c r="C244" s="62"/>
      <c r="D244" s="105"/>
      <c r="E244" s="105"/>
      <c r="F244" s="62"/>
      <c r="G244" s="62"/>
      <c r="H244" s="101"/>
      <c r="I244" s="112"/>
      <c r="J244" s="62"/>
      <c r="K244" s="62"/>
      <c r="L244" s="62"/>
      <c r="M244" s="62"/>
      <c r="N244" s="101"/>
      <c r="O244" s="63"/>
      <c r="P244" s="63"/>
      <c r="Q244" s="62"/>
      <c r="R244" s="101"/>
      <c r="S244" s="62"/>
      <c r="T244" s="62"/>
      <c r="U244" s="62"/>
      <c r="V244" s="62"/>
      <c r="BQ244" s="278"/>
      <c r="BR244" s="273">
        <f t="shared" si="41"/>
        <v>37</v>
      </c>
      <c r="BS244" s="274" t="str">
        <f t="shared" si="42"/>
        <v>19</v>
      </c>
      <c r="BT244" s="275" t="str">
        <f t="shared" si="43"/>
        <v xml:space="preserve">SYLVAIN   </v>
      </c>
      <c r="BU244" s="276" t="str">
        <f t="shared" si="44"/>
        <v>16</v>
      </c>
      <c r="BV244" s="277" t="str">
        <f t="shared" si="46"/>
        <v>MICKAEL</v>
      </c>
      <c r="BW244" s="273">
        <f t="shared" si="46"/>
        <v>0</v>
      </c>
      <c r="BX244" s="273">
        <f t="shared" si="46"/>
        <v>0</v>
      </c>
    </row>
    <row r="245" spans="3:76">
      <c r="C245" s="62"/>
      <c r="D245" s="105"/>
      <c r="E245" s="105"/>
      <c r="F245" s="62"/>
      <c r="G245" s="62"/>
      <c r="H245" s="101"/>
      <c r="I245" s="112"/>
      <c r="J245" s="62"/>
      <c r="K245" s="62"/>
      <c r="L245" s="62"/>
      <c r="M245" s="62"/>
      <c r="N245" s="101"/>
      <c r="O245" s="63"/>
      <c r="P245" s="63"/>
      <c r="Q245" s="62"/>
      <c r="R245" s="101"/>
      <c r="S245" s="62"/>
      <c r="T245" s="62"/>
      <c r="U245" s="62"/>
      <c r="V245" s="62"/>
      <c r="BQ245" s="278"/>
      <c r="BR245" s="273">
        <f t="shared" si="41"/>
        <v>38</v>
      </c>
      <c r="BS245" s="274" t="str">
        <f t="shared" si="42"/>
        <v>80</v>
      </c>
      <c r="BT245" s="275" t="str">
        <f t="shared" si="43"/>
        <v>LUCIE</v>
      </c>
      <c r="BU245" s="276" t="str">
        <f t="shared" si="44"/>
        <v>57</v>
      </c>
      <c r="BV245" s="277" t="str">
        <f t="shared" si="46"/>
        <v>ARSENE</v>
      </c>
      <c r="BW245" s="273">
        <f t="shared" si="46"/>
        <v>0</v>
      </c>
      <c r="BX245" s="273">
        <f t="shared" si="46"/>
        <v>0</v>
      </c>
    </row>
    <row r="246" spans="3:76">
      <c r="C246" s="62"/>
      <c r="D246" s="105"/>
      <c r="E246" s="105"/>
      <c r="F246" s="62"/>
      <c r="G246" s="62"/>
      <c r="H246" s="101"/>
      <c r="I246" s="112"/>
      <c r="J246" s="62"/>
      <c r="K246" s="62"/>
      <c r="L246" s="62"/>
      <c r="M246" s="62"/>
      <c r="N246" s="101"/>
      <c r="O246" s="63"/>
      <c r="P246" s="63"/>
      <c r="Q246" s="62"/>
      <c r="R246" s="101"/>
      <c r="S246" s="62"/>
      <c r="T246" s="62"/>
      <c r="U246" s="62"/>
      <c r="V246" s="62"/>
      <c r="BQ246" s="278"/>
      <c r="BR246" s="273">
        <f t="shared" si="41"/>
        <v>39</v>
      </c>
      <c r="BS246" s="274" t="str">
        <f t="shared" si="42"/>
        <v>104</v>
      </c>
      <c r="BT246" s="275" t="str">
        <f t="shared" si="43"/>
        <v>RODRIGUE</v>
      </c>
      <c r="BU246" s="276" t="str">
        <f t="shared" si="44"/>
        <v>2</v>
      </c>
      <c r="BV246" s="277" t="str">
        <f t="shared" si="46"/>
        <v>FRANCIS</v>
      </c>
      <c r="BW246" s="273">
        <f t="shared" si="46"/>
        <v>0</v>
      </c>
      <c r="BX246" s="273">
        <f t="shared" si="46"/>
        <v>0</v>
      </c>
    </row>
    <row r="247" spans="3:76">
      <c r="C247" s="62"/>
      <c r="D247" s="105"/>
      <c r="E247" s="105"/>
      <c r="F247" s="62"/>
      <c r="G247" s="62"/>
      <c r="H247" s="101"/>
      <c r="I247" s="112"/>
      <c r="J247" s="62"/>
      <c r="K247" s="62"/>
      <c r="L247" s="62"/>
      <c r="M247" s="62"/>
      <c r="N247" s="101"/>
      <c r="O247" s="63"/>
      <c r="P247" s="63"/>
      <c r="Q247" s="62"/>
      <c r="R247" s="101"/>
      <c r="S247" s="62"/>
      <c r="T247" s="62"/>
      <c r="U247" s="62"/>
      <c r="V247" s="62"/>
      <c r="BQ247" s="278"/>
      <c r="BR247" s="273">
        <f t="shared" si="41"/>
        <v>40</v>
      </c>
      <c r="BS247" s="274" t="str">
        <f t="shared" si="42"/>
        <v>43</v>
      </c>
      <c r="BT247" s="275" t="str">
        <f t="shared" si="43"/>
        <v>ALLAIRE</v>
      </c>
      <c r="BU247" s="276" t="str">
        <f t="shared" si="44"/>
        <v>24</v>
      </c>
      <c r="BV247" s="277" t="str">
        <f t="shared" si="46"/>
        <v>JACQUES</v>
      </c>
      <c r="BW247" s="273">
        <f t="shared" si="46"/>
        <v>0</v>
      </c>
      <c r="BX247" s="273">
        <f t="shared" si="46"/>
        <v>0</v>
      </c>
    </row>
    <row r="248" spans="3:76">
      <c r="C248" s="62"/>
      <c r="D248" s="105"/>
      <c r="E248" s="105"/>
      <c r="F248" s="62"/>
      <c r="G248" s="62"/>
      <c r="H248" s="101"/>
      <c r="I248" s="112"/>
      <c r="J248" s="62"/>
      <c r="K248" s="62"/>
      <c r="L248" s="62"/>
      <c r="M248" s="62"/>
      <c r="N248" s="101"/>
      <c r="O248" s="63"/>
      <c r="P248" s="63"/>
      <c r="Q248" s="62"/>
      <c r="R248" s="101"/>
      <c r="S248" s="62"/>
      <c r="T248" s="62"/>
      <c r="U248" s="62"/>
      <c r="V248" s="62"/>
      <c r="BQ248" s="278"/>
      <c r="BR248" s="273">
        <f t="shared" si="41"/>
        <v>41</v>
      </c>
      <c r="BS248" s="274" t="str">
        <f t="shared" si="42"/>
        <v>23</v>
      </c>
      <c r="BT248" s="275" t="str">
        <f t="shared" si="43"/>
        <v>MARTIAL</v>
      </c>
      <c r="BU248" s="276" t="str">
        <f t="shared" si="44"/>
        <v>10</v>
      </c>
      <c r="BV248" s="277" t="str">
        <f t="shared" si="46"/>
        <v>PETER</v>
      </c>
      <c r="BW248" s="273">
        <f t="shared" si="46"/>
        <v>0</v>
      </c>
      <c r="BX248" s="273">
        <f t="shared" si="46"/>
        <v>0</v>
      </c>
    </row>
    <row r="249" spans="3:76">
      <c r="C249" s="62"/>
      <c r="D249" s="105"/>
      <c r="E249" s="105"/>
      <c r="F249" s="62"/>
      <c r="G249" s="62"/>
      <c r="H249" s="101"/>
      <c r="I249" s="112"/>
      <c r="J249" s="62"/>
      <c r="K249" s="62"/>
      <c r="L249" s="62"/>
      <c r="M249" s="62"/>
      <c r="N249" s="101"/>
      <c r="O249" s="63"/>
      <c r="P249" s="63"/>
      <c r="Q249" s="62"/>
      <c r="R249" s="101"/>
      <c r="S249" s="62"/>
      <c r="T249" s="62"/>
      <c r="U249" s="62"/>
      <c r="V249" s="62"/>
      <c r="BQ249" s="278"/>
      <c r="BR249" s="273">
        <f t="shared" si="41"/>
        <v>42</v>
      </c>
      <c r="BS249" s="274" t="str">
        <f t="shared" si="42"/>
        <v>60</v>
      </c>
      <c r="BT249" s="275" t="str">
        <f t="shared" si="43"/>
        <v>EDITH</v>
      </c>
      <c r="BU249" s="276" t="str">
        <f t="shared" si="44"/>
        <v>91</v>
      </c>
      <c r="BV249" s="277" t="str">
        <f t="shared" si="46"/>
        <v>VALERIE</v>
      </c>
      <c r="BW249" s="273">
        <f t="shared" si="46"/>
        <v>0</v>
      </c>
      <c r="BX249" s="273">
        <f t="shared" si="46"/>
        <v>0</v>
      </c>
    </row>
    <row r="250" spans="3:76">
      <c r="C250" s="62"/>
      <c r="D250" s="105"/>
      <c r="E250" s="105"/>
      <c r="F250" s="62"/>
      <c r="G250" s="62"/>
      <c r="H250" s="101"/>
      <c r="I250" s="112"/>
      <c r="J250" s="62"/>
      <c r="K250" s="62"/>
      <c r="L250" s="62"/>
      <c r="M250" s="62"/>
      <c r="N250" s="101"/>
      <c r="O250" s="63"/>
      <c r="P250" s="63"/>
      <c r="Q250" s="62"/>
      <c r="R250" s="101"/>
      <c r="S250" s="62"/>
      <c r="T250" s="62"/>
      <c r="U250" s="62"/>
      <c r="V250" s="62"/>
      <c r="BQ250" s="278"/>
      <c r="BR250" s="273">
        <f t="shared" si="41"/>
        <v>43</v>
      </c>
      <c r="BS250" s="274" t="str">
        <f t="shared" si="42"/>
        <v>27</v>
      </c>
      <c r="BT250" s="275" t="str">
        <f t="shared" si="43"/>
        <v xml:space="preserve">PHILIPPE  </v>
      </c>
      <c r="BU250" s="276" t="str">
        <f t="shared" si="44"/>
        <v>70</v>
      </c>
      <c r="BV250" s="277" t="str">
        <f t="shared" si="46"/>
        <v>TANGUY</v>
      </c>
      <c r="BW250" s="273">
        <f t="shared" si="46"/>
        <v>0</v>
      </c>
      <c r="BX250" s="273">
        <f t="shared" si="46"/>
        <v>0</v>
      </c>
    </row>
    <row r="251" spans="3:76">
      <c r="C251" s="62"/>
      <c r="D251" s="105"/>
      <c r="E251" s="105"/>
      <c r="F251" s="62"/>
      <c r="G251" s="62"/>
      <c r="H251" s="101"/>
      <c r="I251" s="112"/>
      <c r="J251" s="62"/>
      <c r="K251" s="62"/>
      <c r="L251" s="62"/>
      <c r="M251" s="62"/>
      <c r="N251" s="101"/>
      <c r="O251" s="63"/>
      <c r="P251" s="63"/>
      <c r="Q251" s="62"/>
      <c r="R251" s="101"/>
      <c r="S251" s="62"/>
      <c r="T251" s="62"/>
      <c r="U251" s="62"/>
      <c r="V251" s="62"/>
      <c r="BQ251" s="278"/>
      <c r="BR251" s="273">
        <f t="shared" si="41"/>
        <v>44</v>
      </c>
      <c r="BS251" s="274" t="str">
        <f t="shared" si="42"/>
        <v>52</v>
      </c>
      <c r="BT251" s="275" t="str">
        <f t="shared" si="43"/>
        <v>ABEL</v>
      </c>
      <c r="BU251" s="276" t="str">
        <f t="shared" si="44"/>
        <v>92</v>
      </c>
      <c r="BV251" s="277" t="str">
        <f t="shared" si="46"/>
        <v>ROMAIN</v>
      </c>
      <c r="BW251" s="273">
        <f t="shared" si="46"/>
        <v>0</v>
      </c>
      <c r="BX251" s="273">
        <f t="shared" si="46"/>
        <v>0</v>
      </c>
    </row>
    <row r="252" spans="3:76">
      <c r="C252" s="62"/>
      <c r="D252" s="105"/>
      <c r="E252" s="105"/>
      <c r="F252" s="62"/>
      <c r="G252" s="62"/>
      <c r="H252" s="101"/>
      <c r="I252" s="112"/>
      <c r="J252" s="62"/>
      <c r="K252" s="62"/>
      <c r="L252" s="62"/>
      <c r="M252" s="62"/>
      <c r="N252" s="101"/>
      <c r="O252" s="63"/>
      <c r="P252" s="63"/>
      <c r="Q252" s="62"/>
      <c r="R252" s="101"/>
      <c r="S252" s="62"/>
      <c r="T252" s="62"/>
      <c r="U252" s="62"/>
      <c r="V252" s="62"/>
      <c r="BQ252" s="278"/>
      <c r="BR252" s="273">
        <f t="shared" si="41"/>
        <v>45</v>
      </c>
      <c r="BS252" s="274" t="str">
        <f t="shared" si="42"/>
        <v>59</v>
      </c>
      <c r="BT252" s="275" t="str">
        <f t="shared" si="43"/>
        <v>NADEGE</v>
      </c>
      <c r="BU252" s="276" t="str">
        <f t="shared" si="44"/>
        <v>99</v>
      </c>
      <c r="BV252" s="277" t="str">
        <f t="shared" si="46"/>
        <v>ROLANDE</v>
      </c>
      <c r="BW252" s="273">
        <f t="shared" si="46"/>
        <v>0</v>
      </c>
      <c r="BX252" s="273">
        <f t="shared" si="46"/>
        <v>0</v>
      </c>
    </row>
    <row r="253" spans="3:76">
      <c r="C253" s="62"/>
      <c r="D253" s="105"/>
      <c r="E253" s="105"/>
      <c r="F253" s="62"/>
      <c r="G253" s="62"/>
      <c r="H253" s="101"/>
      <c r="I253" s="112"/>
      <c r="J253" s="62"/>
      <c r="K253" s="62"/>
      <c r="L253" s="62"/>
      <c r="M253" s="62"/>
      <c r="N253" s="101"/>
      <c r="O253" s="63"/>
      <c r="P253" s="63"/>
      <c r="Q253" s="62"/>
      <c r="R253" s="101"/>
      <c r="S253" s="62"/>
      <c r="T253" s="62"/>
      <c r="U253" s="62"/>
      <c r="V253" s="62"/>
      <c r="BQ253" s="278"/>
      <c r="BR253" s="273">
        <f t="shared" si="41"/>
        <v>46</v>
      </c>
      <c r="BS253" s="274" t="str">
        <f t="shared" si="42"/>
        <v>37</v>
      </c>
      <c r="BT253" s="275" t="str">
        <f t="shared" si="43"/>
        <v>CLEMENT</v>
      </c>
      <c r="BU253" s="276" t="str">
        <f t="shared" si="44"/>
        <v>38</v>
      </c>
      <c r="BV253" s="277" t="str">
        <f t="shared" si="46"/>
        <v xml:space="preserve">ROMAIN  </v>
      </c>
      <c r="BW253" s="273">
        <f t="shared" si="46"/>
        <v>0</v>
      </c>
      <c r="BX253" s="273">
        <f t="shared" si="46"/>
        <v>0</v>
      </c>
    </row>
    <row r="254" spans="3:76">
      <c r="C254" s="62"/>
      <c r="D254" s="105"/>
      <c r="E254" s="105"/>
      <c r="F254" s="62"/>
      <c r="G254" s="62"/>
      <c r="H254" s="101"/>
      <c r="I254" s="112"/>
      <c r="J254" s="62"/>
      <c r="K254" s="62"/>
      <c r="L254" s="62"/>
      <c r="M254" s="62"/>
      <c r="N254" s="101"/>
      <c r="O254" s="63"/>
      <c r="P254" s="63"/>
      <c r="Q254" s="62"/>
      <c r="R254" s="101"/>
      <c r="S254" s="62"/>
      <c r="T254" s="62"/>
      <c r="U254" s="62"/>
      <c r="V254" s="62"/>
      <c r="BQ254" s="278"/>
      <c r="BR254" s="273">
        <f t="shared" si="41"/>
        <v>47</v>
      </c>
      <c r="BS254" s="274" t="str">
        <f t="shared" si="42"/>
        <v>48</v>
      </c>
      <c r="BT254" s="275" t="str">
        <f t="shared" si="43"/>
        <v>LUC</v>
      </c>
      <c r="BU254" s="276" t="str">
        <f t="shared" si="44"/>
        <v>20</v>
      </c>
      <c r="BV254" s="277" t="str">
        <f t="shared" si="46"/>
        <v>JONATHAN</v>
      </c>
      <c r="BW254" s="273">
        <f t="shared" si="46"/>
        <v>0</v>
      </c>
      <c r="BX254" s="273">
        <f t="shared" si="46"/>
        <v>0</v>
      </c>
    </row>
    <row r="255" spans="3:76">
      <c r="C255" s="62"/>
      <c r="D255" s="105"/>
      <c r="E255" s="105"/>
      <c r="F255" s="62"/>
      <c r="G255" s="62"/>
      <c r="H255" s="101"/>
      <c r="I255" s="112"/>
      <c r="J255" s="62"/>
      <c r="K255" s="62"/>
      <c r="L255" s="62"/>
      <c r="M255" s="62"/>
      <c r="N255" s="101"/>
      <c r="O255" s="63"/>
      <c r="P255" s="63"/>
      <c r="Q255" s="62"/>
      <c r="R255" s="101"/>
      <c r="S255" s="62"/>
      <c r="T255" s="62"/>
      <c r="U255" s="62"/>
      <c r="V255" s="62"/>
      <c r="BQ255" s="278"/>
      <c r="BR255" s="273">
        <f t="shared" si="41"/>
        <v>48</v>
      </c>
      <c r="BS255" s="274" t="str">
        <f t="shared" si="42"/>
        <v>35</v>
      </c>
      <c r="BT255" s="275" t="str">
        <f t="shared" si="43"/>
        <v>MARTIN</v>
      </c>
      <c r="BU255" s="276" t="str">
        <f t="shared" si="44"/>
        <v>47</v>
      </c>
      <c r="BV255" s="277" t="str">
        <f t="shared" si="46"/>
        <v>HERMAN</v>
      </c>
      <c r="BW255" s="273">
        <f t="shared" si="46"/>
        <v>0</v>
      </c>
      <c r="BX255" s="273">
        <f t="shared" si="46"/>
        <v>0</v>
      </c>
    </row>
    <row r="256" spans="3:76">
      <c r="C256" s="62"/>
      <c r="D256" s="105"/>
      <c r="E256" s="105"/>
      <c r="F256" s="62"/>
      <c r="G256" s="62"/>
      <c r="H256" s="101"/>
      <c r="I256" s="112"/>
      <c r="J256" s="62"/>
      <c r="K256" s="62"/>
      <c r="L256" s="62"/>
      <c r="M256" s="62"/>
      <c r="N256" s="101"/>
      <c r="O256" s="63"/>
      <c r="P256" s="63"/>
      <c r="Q256" s="62"/>
      <c r="R256" s="101"/>
      <c r="S256" s="62"/>
      <c r="T256" s="62"/>
      <c r="U256" s="62"/>
      <c r="V256" s="62"/>
      <c r="BQ256" s="278"/>
      <c r="BR256" s="273">
        <f t="shared" si="41"/>
        <v>49</v>
      </c>
      <c r="BS256" s="274" t="str">
        <f t="shared" si="42"/>
        <v>62</v>
      </c>
      <c r="BT256" s="275" t="str">
        <f t="shared" si="43"/>
        <v>DIMITRI</v>
      </c>
      <c r="BU256" s="276" t="str">
        <f t="shared" si="44"/>
        <v>107</v>
      </c>
      <c r="BV256" s="277" t="str">
        <f t="shared" si="46"/>
        <v>GONTRAN</v>
      </c>
      <c r="BW256" s="273">
        <f t="shared" si="46"/>
        <v>0</v>
      </c>
      <c r="BX256" s="273">
        <f t="shared" si="46"/>
        <v>0</v>
      </c>
    </row>
    <row r="257" spans="3:76">
      <c r="C257" s="62"/>
      <c r="D257" s="105"/>
      <c r="E257" s="105"/>
      <c r="F257" s="62"/>
      <c r="G257" s="62"/>
      <c r="H257" s="101"/>
      <c r="I257" s="112"/>
      <c r="J257" s="62"/>
      <c r="K257" s="62"/>
      <c r="L257" s="62"/>
      <c r="M257" s="62"/>
      <c r="N257" s="101"/>
      <c r="O257" s="63"/>
      <c r="P257" s="63"/>
      <c r="Q257" s="62"/>
      <c r="R257" s="101"/>
      <c r="S257" s="62"/>
      <c r="T257" s="62"/>
      <c r="U257" s="62"/>
      <c r="V257" s="62"/>
      <c r="BQ257" s="278"/>
      <c r="BR257" s="273">
        <f t="shared" si="41"/>
        <v>50</v>
      </c>
      <c r="BS257" s="274" t="str">
        <f t="shared" si="42"/>
        <v>5</v>
      </c>
      <c r="BT257" s="275" t="str">
        <f t="shared" si="43"/>
        <v>YVON</v>
      </c>
      <c r="BU257" s="276" t="str">
        <f t="shared" si="44"/>
        <v>83</v>
      </c>
      <c r="BV257" s="277" t="str">
        <f t="shared" si="46"/>
        <v>ETIENNE</v>
      </c>
      <c r="BW257" s="273">
        <f t="shared" si="46"/>
        <v>0</v>
      </c>
      <c r="BX257" s="273">
        <f t="shared" si="46"/>
        <v>0</v>
      </c>
    </row>
    <row r="258" spans="3:76">
      <c r="C258" s="62"/>
      <c r="D258" s="105"/>
      <c r="E258" s="105"/>
      <c r="F258" s="62"/>
      <c r="G258" s="62"/>
      <c r="H258" s="101"/>
      <c r="I258" s="112"/>
      <c r="J258" s="62"/>
      <c r="K258" s="62"/>
      <c r="L258" s="62"/>
      <c r="M258" s="62"/>
      <c r="N258" s="101"/>
      <c r="O258" s="63"/>
      <c r="P258" s="63"/>
      <c r="Q258" s="62"/>
      <c r="R258" s="101"/>
      <c r="S258" s="62"/>
      <c r="T258" s="62"/>
      <c r="U258" s="62"/>
      <c r="V258" s="62"/>
      <c r="BQ258" s="278"/>
      <c r="BR258" s="273">
        <f t="shared" si="41"/>
        <v>51</v>
      </c>
      <c r="BS258" s="274" t="str">
        <f t="shared" si="42"/>
        <v>7</v>
      </c>
      <c r="BT258" s="275" t="str">
        <f t="shared" si="43"/>
        <v>PIERRE</v>
      </c>
      <c r="BU258" s="276" t="str">
        <f t="shared" si="44"/>
        <v>49</v>
      </c>
      <c r="BV258" s="277" t="str">
        <f t="shared" si="46"/>
        <v>OLIVIER</v>
      </c>
      <c r="BW258" s="273">
        <f t="shared" si="46"/>
        <v>0</v>
      </c>
      <c r="BX258" s="273">
        <f t="shared" si="46"/>
        <v>0</v>
      </c>
    </row>
    <row r="259" spans="3:76">
      <c r="C259" s="62"/>
      <c r="D259" s="105"/>
      <c r="E259" s="105"/>
      <c r="F259" s="62"/>
      <c r="G259" s="62"/>
      <c r="H259" s="101"/>
      <c r="I259" s="112"/>
      <c r="J259" s="62"/>
      <c r="K259" s="62"/>
      <c r="L259" s="62"/>
      <c r="M259" s="62"/>
      <c r="N259" s="101"/>
      <c r="O259" s="63"/>
      <c r="P259" s="63"/>
      <c r="Q259" s="62"/>
      <c r="R259" s="101"/>
      <c r="S259" s="62"/>
      <c r="T259" s="62"/>
      <c r="U259" s="62"/>
      <c r="V259" s="62"/>
      <c r="BQ259" s="278"/>
      <c r="BR259" s="273">
        <f t="shared" si="41"/>
        <v>52</v>
      </c>
      <c r="BS259" s="274" t="str">
        <f t="shared" si="42"/>
        <v>105</v>
      </c>
      <c r="BT259" s="275" t="str">
        <f t="shared" si="43"/>
        <v>CYRILL</v>
      </c>
      <c r="BU259" s="276" t="str">
        <f t="shared" si="44"/>
        <v>84</v>
      </c>
      <c r="BV259" s="277" t="str">
        <f t="shared" si="46"/>
        <v>BASILE</v>
      </c>
      <c r="BW259" s="273">
        <f t="shared" si="46"/>
        <v>0</v>
      </c>
      <c r="BX259" s="273">
        <f t="shared" si="46"/>
        <v>0</v>
      </c>
    </row>
    <row r="260" spans="3:76">
      <c r="C260" s="62"/>
      <c r="D260" s="105"/>
      <c r="E260" s="105"/>
      <c r="F260" s="62"/>
      <c r="G260" s="62"/>
      <c r="H260" s="101"/>
      <c r="I260" s="112"/>
      <c r="J260" s="62"/>
      <c r="K260" s="62"/>
      <c r="L260" s="62"/>
      <c r="M260" s="62"/>
      <c r="N260" s="101"/>
      <c r="O260" s="63"/>
      <c r="P260" s="63"/>
      <c r="Q260" s="62"/>
      <c r="R260" s="101"/>
      <c r="S260" s="62"/>
      <c r="T260" s="62"/>
      <c r="U260" s="62"/>
      <c r="V260" s="62"/>
      <c r="BQ260" s="278"/>
      <c r="BR260" s="273">
        <f t="shared" si="41"/>
        <v>53</v>
      </c>
      <c r="BS260" s="274" t="str">
        <f t="shared" si="42"/>
        <v>31</v>
      </c>
      <c r="BT260" s="275" t="str">
        <f t="shared" si="43"/>
        <v>EDOUARD</v>
      </c>
      <c r="BU260" s="276" t="str">
        <f t="shared" si="44"/>
        <v>102</v>
      </c>
      <c r="BV260" s="277" t="str">
        <f t="shared" si="46"/>
        <v>DONATIEN</v>
      </c>
      <c r="BW260" s="273">
        <f t="shared" si="46"/>
        <v>0</v>
      </c>
      <c r="BX260" s="273">
        <f t="shared" si="46"/>
        <v>0</v>
      </c>
    </row>
    <row r="261" spans="3:76">
      <c r="C261" s="62"/>
      <c r="D261" s="105"/>
      <c r="E261" s="105"/>
      <c r="F261" s="62"/>
      <c r="G261" s="62"/>
      <c r="H261" s="101"/>
      <c r="I261" s="112"/>
      <c r="J261" s="62"/>
      <c r="K261" s="62"/>
      <c r="L261" s="62"/>
      <c r="M261" s="62"/>
      <c r="N261" s="101"/>
      <c r="O261" s="63"/>
      <c r="P261" s="63"/>
      <c r="Q261" s="62"/>
      <c r="R261" s="101"/>
      <c r="S261" s="62"/>
      <c r="T261" s="62"/>
      <c r="U261" s="62"/>
      <c r="V261" s="62"/>
      <c r="BQ261" s="278"/>
      <c r="BR261" s="273">
        <f t="shared" si="41"/>
        <v>54</v>
      </c>
      <c r="BS261" s="274" t="str">
        <f t="shared" si="42"/>
        <v>42</v>
      </c>
      <c r="BT261" s="275" t="str">
        <f t="shared" si="43"/>
        <v xml:space="preserve">FREDDY  </v>
      </c>
      <c r="BU261" s="276" t="str">
        <f t="shared" si="44"/>
        <v>58</v>
      </c>
      <c r="BV261" s="277" t="str">
        <f t="shared" si="46"/>
        <v>FRANCIS</v>
      </c>
      <c r="BW261" s="273">
        <f t="shared" si="46"/>
        <v>0</v>
      </c>
      <c r="BX261" s="273">
        <f t="shared" si="46"/>
        <v>0</v>
      </c>
    </row>
    <row r="262" spans="3:76">
      <c r="C262" s="62"/>
      <c r="D262" s="105"/>
      <c r="E262" s="105"/>
      <c r="F262" s="62"/>
      <c r="G262" s="62"/>
      <c r="H262" s="101"/>
      <c r="I262" s="112"/>
      <c r="J262" s="62"/>
      <c r="K262" s="62"/>
      <c r="L262" s="62"/>
      <c r="M262" s="62"/>
      <c r="N262" s="101"/>
      <c r="O262" s="63"/>
      <c r="P262" s="63"/>
      <c r="Q262" s="62"/>
      <c r="R262" s="101"/>
      <c r="S262" s="62"/>
      <c r="T262" s="62"/>
      <c r="U262" s="62"/>
      <c r="V262" s="62"/>
      <c r="BQ262" s="278"/>
      <c r="BR262" s="273">
        <f t="shared" si="41"/>
        <v>55</v>
      </c>
      <c r="BS262" s="274" t="str">
        <f t="shared" si="42"/>
        <v>75</v>
      </c>
      <c r="BT262" s="275" t="str">
        <f t="shared" si="43"/>
        <v>NICOLAS</v>
      </c>
      <c r="BU262" s="276" t="str">
        <f t="shared" si="44"/>
        <v>98</v>
      </c>
      <c r="BV262" s="277" t="str">
        <f t="shared" si="46"/>
        <v>STANISLAS</v>
      </c>
      <c r="BW262" s="273">
        <f t="shared" si="46"/>
        <v>0</v>
      </c>
      <c r="BX262" s="273">
        <f t="shared" si="46"/>
        <v>0</v>
      </c>
    </row>
    <row r="263" spans="3:76">
      <c r="C263" s="62"/>
      <c r="D263" s="105"/>
      <c r="E263" s="105"/>
      <c r="F263" s="62"/>
      <c r="G263" s="62"/>
      <c r="H263" s="101"/>
      <c r="I263" s="112"/>
      <c r="J263" s="62"/>
      <c r="K263" s="62"/>
      <c r="L263" s="62"/>
      <c r="M263" s="62"/>
      <c r="N263" s="101"/>
      <c r="O263" s="63"/>
      <c r="P263" s="63"/>
      <c r="Q263" s="62"/>
      <c r="R263" s="101"/>
      <c r="S263" s="62"/>
      <c r="T263" s="62"/>
      <c r="U263" s="62"/>
      <c r="V263" s="62"/>
      <c r="BQ263" s="278"/>
      <c r="BR263" s="273">
        <f t="shared" si="41"/>
        <v>56</v>
      </c>
      <c r="BS263" s="274" t="str">
        <f t="shared" si="42"/>
        <v>117</v>
      </c>
      <c r="BT263" s="275" t="str">
        <f t="shared" si="43"/>
        <v>PROSPER</v>
      </c>
      <c r="BU263" s="276" t="str">
        <f t="shared" si="44"/>
        <v>71</v>
      </c>
      <c r="BV263" s="277" t="str">
        <f t="shared" si="46"/>
        <v>JIMMY</v>
      </c>
      <c r="BW263" s="273">
        <f t="shared" si="46"/>
        <v>0</v>
      </c>
      <c r="BX263" s="273">
        <f t="shared" si="46"/>
        <v>0</v>
      </c>
    </row>
    <row r="264" spans="3:76">
      <c r="C264" s="62"/>
      <c r="D264" s="105"/>
      <c r="E264" s="105"/>
      <c r="F264" s="62"/>
      <c r="G264" s="62"/>
      <c r="H264" s="101"/>
      <c r="I264" s="112"/>
      <c r="J264" s="62"/>
      <c r="K264" s="62"/>
      <c r="L264" s="62"/>
      <c r="M264" s="62"/>
      <c r="N264" s="101"/>
      <c r="O264" s="63"/>
      <c r="P264" s="63"/>
      <c r="Q264" s="62"/>
      <c r="R264" s="101"/>
      <c r="S264" s="62"/>
      <c r="T264" s="62"/>
      <c r="U264" s="62"/>
      <c r="V264" s="62"/>
      <c r="BQ264" s="278"/>
      <c r="BR264" s="273">
        <f t="shared" si="41"/>
        <v>57</v>
      </c>
      <c r="BS264" s="274" t="str">
        <f t="shared" si="42"/>
        <v>30</v>
      </c>
      <c r="BT264" s="275" t="str">
        <f t="shared" si="43"/>
        <v xml:space="preserve">PATRICK   </v>
      </c>
      <c r="BU264" s="276" t="str">
        <f t="shared" si="44"/>
        <v>110</v>
      </c>
      <c r="BV264" s="277" t="str">
        <f t="shared" si="46"/>
        <v>ANICET</v>
      </c>
      <c r="BW264" s="273">
        <f t="shared" si="46"/>
        <v>0</v>
      </c>
      <c r="BX264" s="273">
        <f t="shared" si="46"/>
        <v>0</v>
      </c>
    </row>
    <row r="265" spans="3:76">
      <c r="C265" s="62"/>
      <c r="D265" s="105"/>
      <c r="E265" s="105"/>
      <c r="F265" s="62"/>
      <c r="G265" s="62"/>
      <c r="H265" s="101"/>
      <c r="I265" s="112"/>
      <c r="J265" s="62"/>
      <c r="K265" s="62"/>
      <c r="L265" s="62"/>
      <c r="M265" s="62"/>
      <c r="N265" s="101"/>
      <c r="O265" s="63"/>
      <c r="P265" s="63"/>
      <c r="Q265" s="62"/>
      <c r="R265" s="101"/>
      <c r="S265" s="62"/>
      <c r="T265" s="62"/>
      <c r="U265" s="62"/>
      <c r="V265" s="62"/>
      <c r="BQ265" s="278"/>
      <c r="BR265" s="273">
        <f t="shared" si="41"/>
        <v>58</v>
      </c>
      <c r="BS265" s="274" t="str">
        <f t="shared" si="42"/>
        <v>9</v>
      </c>
      <c r="BT265" s="275" t="str">
        <f t="shared" si="43"/>
        <v>SEBASTIEN</v>
      </c>
      <c r="BU265" s="276" t="str">
        <f t="shared" si="44"/>
        <v>85</v>
      </c>
      <c r="BV265" s="277" t="str">
        <f t="shared" si="46"/>
        <v>RAYMOND</v>
      </c>
      <c r="BW265" s="273">
        <f t="shared" si="46"/>
        <v>0</v>
      </c>
      <c r="BX265" s="273">
        <f t="shared" si="46"/>
        <v>0</v>
      </c>
    </row>
    <row r="266" spans="3:76">
      <c r="C266" s="62"/>
      <c r="D266" s="105"/>
      <c r="E266" s="105"/>
      <c r="F266" s="62"/>
      <c r="G266" s="62"/>
      <c r="H266" s="101"/>
      <c r="I266" s="112"/>
      <c r="J266" s="62"/>
      <c r="K266" s="62"/>
      <c r="L266" s="62"/>
      <c r="M266" s="62"/>
      <c r="N266" s="101"/>
      <c r="O266" s="63"/>
      <c r="P266" s="63"/>
      <c r="Q266" s="62"/>
      <c r="R266" s="101"/>
      <c r="S266" s="62"/>
      <c r="T266" s="62"/>
      <c r="U266" s="62"/>
      <c r="V266" s="62"/>
      <c r="BQ266" s="278"/>
      <c r="BR266" s="273">
        <f t="shared" si="41"/>
        <v>59</v>
      </c>
      <c r="BS266" s="274" t="str">
        <f t="shared" si="42"/>
        <v>12</v>
      </c>
      <c r="BT266" s="275" t="str">
        <f t="shared" si="43"/>
        <v>ALAIN</v>
      </c>
      <c r="BU266" s="276" t="str">
        <f t="shared" si="44"/>
        <v>51</v>
      </c>
      <c r="BV266" s="277" t="str">
        <f t="shared" si="46"/>
        <v>BEAUDOUIN</v>
      </c>
      <c r="BW266" s="273">
        <f t="shared" si="46"/>
        <v>0</v>
      </c>
      <c r="BX266" s="273">
        <f t="shared" si="46"/>
        <v>0</v>
      </c>
    </row>
    <row r="267" spans="3:76">
      <c r="C267" s="62"/>
      <c r="D267" s="105"/>
      <c r="E267" s="105"/>
      <c r="F267" s="62"/>
      <c r="G267" s="62"/>
      <c r="H267" s="101"/>
      <c r="I267" s="112"/>
      <c r="J267" s="62"/>
      <c r="K267" s="62"/>
      <c r="L267" s="62"/>
      <c r="M267" s="62"/>
      <c r="N267" s="101"/>
      <c r="O267" s="63"/>
      <c r="P267" s="63"/>
      <c r="Q267" s="62"/>
      <c r="R267" s="101"/>
      <c r="S267" s="62"/>
      <c r="T267" s="62"/>
      <c r="U267" s="62"/>
      <c r="V267" s="62"/>
      <c r="BQ267" s="278"/>
      <c r="BR267" s="273">
        <f t="shared" si="41"/>
        <v>60</v>
      </c>
      <c r="BS267" s="274" t="str">
        <f t="shared" si="42"/>
        <v/>
      </c>
      <c r="BT267" s="275" t="str">
        <f t="shared" si="43"/>
        <v/>
      </c>
      <c r="BU267" s="276" t="str">
        <f t="shared" si="44"/>
        <v/>
      </c>
      <c r="BV267" s="277" t="str">
        <f t="shared" si="46"/>
        <v/>
      </c>
      <c r="BW267" s="273">
        <f t="shared" si="46"/>
        <v>0</v>
      </c>
      <c r="BX267" s="273">
        <f t="shared" si="46"/>
        <v>0</v>
      </c>
    </row>
    <row r="268" spans="3:76">
      <c r="C268" s="62"/>
      <c r="D268" s="105"/>
      <c r="E268" s="105"/>
      <c r="F268" s="62"/>
      <c r="G268" s="62"/>
      <c r="H268" s="101"/>
      <c r="I268" s="112"/>
      <c r="J268" s="62"/>
      <c r="K268" s="62"/>
      <c r="L268" s="62"/>
      <c r="M268" s="62"/>
      <c r="N268" s="101"/>
      <c r="O268" s="63"/>
      <c r="P268" s="63"/>
      <c r="Q268" s="62"/>
      <c r="R268" s="101"/>
      <c r="S268" s="62"/>
      <c r="T268" s="62"/>
      <c r="U268" s="62"/>
      <c r="V268" s="62"/>
      <c r="BQ268" s="278"/>
      <c r="BR268" s="273">
        <f t="shared" si="41"/>
        <v>61</v>
      </c>
      <c r="BS268" s="274" t="str">
        <f t="shared" si="42"/>
        <v/>
      </c>
      <c r="BT268" s="275" t="str">
        <f t="shared" si="43"/>
        <v/>
      </c>
      <c r="BU268" s="276" t="str">
        <f t="shared" si="44"/>
        <v/>
      </c>
      <c r="BV268" s="277" t="str">
        <f t="shared" si="46"/>
        <v/>
      </c>
      <c r="BW268" s="273">
        <f t="shared" si="46"/>
        <v>0</v>
      </c>
      <c r="BX268" s="273">
        <f t="shared" si="46"/>
        <v>0</v>
      </c>
    </row>
    <row r="269" spans="3:76">
      <c r="C269" s="62"/>
      <c r="D269" s="105"/>
      <c r="E269" s="105"/>
      <c r="F269" s="62"/>
      <c r="G269" s="62"/>
      <c r="H269" s="101"/>
      <c r="I269" s="112"/>
      <c r="J269" s="62"/>
      <c r="K269" s="62"/>
      <c r="L269" s="62"/>
      <c r="M269" s="62"/>
      <c r="N269" s="101"/>
      <c r="O269" s="63"/>
      <c r="P269" s="63"/>
      <c r="Q269" s="62"/>
      <c r="R269" s="101"/>
      <c r="S269" s="62"/>
      <c r="T269" s="62"/>
      <c r="U269" s="62"/>
      <c r="V269" s="62"/>
      <c r="BQ269" s="278"/>
      <c r="BR269" s="273">
        <f t="shared" si="41"/>
        <v>62</v>
      </c>
      <c r="BS269" s="274" t="str">
        <f t="shared" si="42"/>
        <v/>
      </c>
      <c r="BT269" s="275" t="str">
        <f t="shared" si="43"/>
        <v/>
      </c>
      <c r="BU269" s="276" t="str">
        <f t="shared" si="44"/>
        <v/>
      </c>
      <c r="BV269" s="277" t="str">
        <f t="shared" si="46"/>
        <v/>
      </c>
      <c r="BW269" s="273">
        <f t="shared" si="46"/>
        <v>0</v>
      </c>
      <c r="BX269" s="273">
        <f t="shared" si="46"/>
        <v>0</v>
      </c>
    </row>
    <row r="270" spans="3:76">
      <c r="C270" s="62"/>
      <c r="D270" s="105"/>
      <c r="E270" s="105"/>
      <c r="F270" s="62"/>
      <c r="G270" s="62"/>
      <c r="H270" s="101"/>
      <c r="I270" s="112"/>
      <c r="J270" s="62"/>
      <c r="K270" s="62"/>
      <c r="L270" s="62"/>
      <c r="M270" s="62"/>
      <c r="N270" s="101"/>
      <c r="O270" s="63"/>
      <c r="P270" s="63"/>
      <c r="Q270" s="62"/>
      <c r="R270" s="101"/>
      <c r="S270" s="62"/>
      <c r="T270" s="62"/>
      <c r="U270" s="62"/>
      <c r="V270" s="62"/>
      <c r="BQ270" s="278"/>
      <c r="BR270" s="273">
        <f t="shared" si="41"/>
        <v>63</v>
      </c>
      <c r="BS270" s="274" t="str">
        <f t="shared" si="42"/>
        <v/>
      </c>
      <c r="BT270" s="275" t="str">
        <f t="shared" si="43"/>
        <v/>
      </c>
      <c r="BU270" s="276" t="str">
        <f t="shared" si="44"/>
        <v/>
      </c>
      <c r="BV270" s="277" t="str">
        <f t="shared" si="46"/>
        <v/>
      </c>
      <c r="BW270" s="273">
        <f t="shared" si="46"/>
        <v>0</v>
      </c>
      <c r="BX270" s="273">
        <f t="shared" si="46"/>
        <v>0</v>
      </c>
    </row>
    <row r="271" spans="3:76">
      <c r="C271" s="62"/>
      <c r="D271" s="105"/>
      <c r="E271" s="105"/>
      <c r="F271" s="62"/>
      <c r="G271" s="62"/>
      <c r="H271" s="101"/>
      <c r="I271" s="112"/>
      <c r="J271" s="62"/>
      <c r="K271" s="62"/>
      <c r="L271" s="62"/>
      <c r="M271" s="62"/>
      <c r="N271" s="101"/>
      <c r="O271" s="63"/>
      <c r="P271" s="63"/>
      <c r="Q271" s="62"/>
      <c r="R271" s="101"/>
      <c r="S271" s="62"/>
      <c r="T271" s="62"/>
      <c r="U271" s="62"/>
      <c r="V271" s="62"/>
      <c r="BQ271" s="278"/>
      <c r="BR271" s="273">
        <f t="shared" si="41"/>
        <v>64</v>
      </c>
      <c r="BS271" s="274" t="str">
        <f t="shared" si="42"/>
        <v/>
      </c>
      <c r="BT271" s="275" t="str">
        <f t="shared" si="43"/>
        <v/>
      </c>
      <c r="BU271" s="276" t="str">
        <f t="shared" si="44"/>
        <v/>
      </c>
      <c r="BV271" s="277" t="str">
        <f t="shared" si="46"/>
        <v/>
      </c>
      <c r="BW271" s="273">
        <f t="shared" si="46"/>
        <v>0</v>
      </c>
      <c r="BX271" s="273">
        <f t="shared" si="46"/>
        <v>0</v>
      </c>
    </row>
    <row r="272" spans="3:76">
      <c r="C272" s="62"/>
      <c r="D272" s="105"/>
      <c r="E272" s="105"/>
      <c r="F272" s="62"/>
      <c r="G272" s="62"/>
      <c r="H272" s="101"/>
      <c r="I272" s="112"/>
      <c r="J272" s="62"/>
      <c r="K272" s="62"/>
      <c r="L272" s="62"/>
      <c r="M272" s="62"/>
      <c r="N272" s="101"/>
      <c r="O272" s="63"/>
      <c r="P272" s="63"/>
      <c r="Q272" s="62"/>
      <c r="R272" s="101"/>
      <c r="S272" s="62"/>
      <c r="T272" s="62"/>
      <c r="U272" s="62"/>
      <c r="V272" s="62"/>
      <c r="BQ272" s="102"/>
      <c r="BR272" s="280"/>
      <c r="BS272" s="280"/>
      <c r="BT272" s="284"/>
      <c r="BU272" s="63"/>
      <c r="BV272" s="284"/>
      <c r="BW272" s="63"/>
      <c r="BX272" s="63"/>
    </row>
    <row r="273" spans="3:76" ht="21" thickBot="1">
      <c r="C273" s="62"/>
      <c r="D273" s="105"/>
      <c r="E273" s="105"/>
      <c r="F273" s="62"/>
      <c r="G273" s="62"/>
      <c r="H273" s="101"/>
      <c r="I273" s="112"/>
      <c r="J273" s="62"/>
      <c r="K273" s="62"/>
      <c r="L273" s="62"/>
      <c r="M273" s="62"/>
      <c r="N273" s="101"/>
      <c r="O273" s="63"/>
      <c r="P273" s="63"/>
      <c r="Q273" s="62"/>
      <c r="R273" s="101"/>
      <c r="S273" s="62"/>
      <c r="T273" s="62"/>
      <c r="U273" s="62"/>
      <c r="V273" s="62"/>
      <c r="BQ273" s="102"/>
      <c r="BR273" s="280"/>
      <c r="BS273" s="280"/>
      <c r="BT273" s="284"/>
      <c r="BU273" s="63"/>
      <c r="BV273" s="284"/>
      <c r="BW273" s="63"/>
      <c r="BX273" s="63"/>
    </row>
    <row r="274" spans="3:76" ht="21" thickTop="1">
      <c r="C274" s="62"/>
      <c r="D274" s="105"/>
      <c r="E274" s="105"/>
      <c r="F274" s="62"/>
      <c r="G274" s="62"/>
      <c r="H274" s="101"/>
      <c r="I274" s="112"/>
      <c r="J274" s="62"/>
      <c r="K274" s="62"/>
      <c r="L274" s="62"/>
      <c r="M274" s="62"/>
      <c r="N274" s="101"/>
      <c r="O274" s="63"/>
      <c r="P274" s="63"/>
      <c r="Q274" s="62"/>
      <c r="R274" s="101"/>
      <c r="S274" s="62"/>
      <c r="T274" s="62"/>
      <c r="U274" s="62"/>
      <c r="V274" s="62"/>
      <c r="BS274" s="269" t="s">
        <v>194</v>
      </c>
      <c r="BT274" s="270"/>
      <c r="BU274" s="270"/>
      <c r="BV274" s="270"/>
      <c r="BW274" s="271" t="s">
        <v>189</v>
      </c>
      <c r="BX274" s="272"/>
    </row>
    <row r="275" spans="3:76">
      <c r="C275" s="62"/>
      <c r="D275" s="105"/>
      <c r="E275" s="105"/>
      <c r="F275" s="62"/>
      <c r="G275" s="62"/>
      <c r="H275" s="101"/>
      <c r="I275" s="112"/>
      <c r="J275" s="62"/>
      <c r="K275" s="62"/>
      <c r="L275" s="62"/>
      <c r="M275" s="62"/>
      <c r="N275" s="101"/>
      <c r="O275" s="63"/>
      <c r="P275" s="63"/>
      <c r="Q275" s="62"/>
      <c r="R275" s="101"/>
      <c r="S275" s="62"/>
      <c r="T275" s="62"/>
      <c r="U275" s="62"/>
      <c r="V275" s="62"/>
      <c r="BQ275" s="278"/>
      <c r="BR275" s="273">
        <f t="shared" ref="BR275:BR338" si="47">B6</f>
        <v>1</v>
      </c>
      <c r="BS275" s="274" t="str">
        <f t="shared" ref="BS275:BS338" si="48">AR6</f>
        <v>107</v>
      </c>
      <c r="BT275" s="275" t="str">
        <f t="shared" ref="BT275:BT338" si="49">AT6</f>
        <v>GONTRAN</v>
      </c>
      <c r="BU275" s="276" t="str">
        <f t="shared" ref="BU275:BU338" si="50">AV6</f>
        <v>73</v>
      </c>
      <c r="BV275" s="277" t="str">
        <f t="shared" ref="BV275:BX306" si="51">AX6</f>
        <v>EDMOND</v>
      </c>
      <c r="BW275" s="273">
        <f t="shared" si="51"/>
        <v>0</v>
      </c>
      <c r="BX275" s="273">
        <f t="shared" si="51"/>
        <v>0</v>
      </c>
    </row>
    <row r="276" spans="3:76">
      <c r="C276" s="62"/>
      <c r="D276" s="105"/>
      <c r="E276" s="105"/>
      <c r="F276" s="62"/>
      <c r="G276" s="62"/>
      <c r="H276" s="101"/>
      <c r="I276" s="112"/>
      <c r="J276" s="62"/>
      <c r="K276" s="62"/>
      <c r="L276" s="62"/>
      <c r="M276" s="62"/>
      <c r="N276" s="101"/>
      <c r="O276" s="63"/>
      <c r="P276" s="63"/>
      <c r="Q276" s="62"/>
      <c r="R276" s="101"/>
      <c r="S276" s="62"/>
      <c r="T276" s="62"/>
      <c r="U276" s="62"/>
      <c r="V276" s="62"/>
      <c r="BQ276" s="278"/>
      <c r="BR276" s="273">
        <f t="shared" si="47"/>
        <v>2</v>
      </c>
      <c r="BS276" s="274" t="str">
        <f t="shared" si="48"/>
        <v>44</v>
      </c>
      <c r="BT276" s="275" t="str">
        <f t="shared" si="49"/>
        <v>GUY JEAN</v>
      </c>
      <c r="BU276" s="276" t="str">
        <f t="shared" si="50"/>
        <v>103</v>
      </c>
      <c r="BV276" s="277" t="str">
        <f t="shared" si="51"/>
        <v>GERMAIN</v>
      </c>
      <c r="BW276" s="273">
        <f t="shared" si="51"/>
        <v>0</v>
      </c>
      <c r="BX276" s="273">
        <f t="shared" si="51"/>
        <v>0</v>
      </c>
    </row>
    <row r="277" spans="3:76">
      <c r="C277" s="62"/>
      <c r="D277" s="105"/>
      <c r="E277" s="105"/>
      <c r="F277" s="62"/>
      <c r="G277" s="62"/>
      <c r="H277" s="101"/>
      <c r="I277" s="112"/>
      <c r="J277" s="62"/>
      <c r="K277" s="62"/>
      <c r="L277" s="62"/>
      <c r="M277" s="62"/>
      <c r="N277" s="101"/>
      <c r="O277" s="63"/>
      <c r="P277" s="63"/>
      <c r="Q277" s="62"/>
      <c r="R277" s="101"/>
      <c r="S277" s="62"/>
      <c r="T277" s="62"/>
      <c r="U277" s="62"/>
      <c r="V277" s="62"/>
      <c r="BQ277" s="278"/>
      <c r="BR277" s="273">
        <f t="shared" si="47"/>
        <v>3</v>
      </c>
      <c r="BS277" s="274" t="str">
        <f t="shared" si="48"/>
        <v>87</v>
      </c>
      <c r="BT277" s="275" t="str">
        <f t="shared" si="49"/>
        <v>GUILLAUME</v>
      </c>
      <c r="BU277" s="276" t="str">
        <f t="shared" si="50"/>
        <v>113</v>
      </c>
      <c r="BV277" s="277" t="str">
        <f t="shared" si="51"/>
        <v>NORBERT</v>
      </c>
      <c r="BW277" s="273">
        <f t="shared" si="51"/>
        <v>0</v>
      </c>
      <c r="BX277" s="273">
        <f t="shared" si="51"/>
        <v>0</v>
      </c>
    </row>
    <row r="278" spans="3:76">
      <c r="C278" s="62"/>
      <c r="D278" s="105"/>
      <c r="E278" s="105"/>
      <c r="F278" s="62"/>
      <c r="G278" s="62"/>
      <c r="H278" s="101"/>
      <c r="I278" s="112"/>
      <c r="J278" s="62"/>
      <c r="K278" s="62"/>
      <c r="L278" s="62"/>
      <c r="M278" s="62"/>
      <c r="N278" s="101"/>
      <c r="O278" s="63"/>
      <c r="P278" s="63"/>
      <c r="Q278" s="62"/>
      <c r="R278" s="101"/>
      <c r="S278" s="62"/>
      <c r="T278" s="62"/>
      <c r="U278" s="62"/>
      <c r="V278" s="62"/>
      <c r="BQ278" s="278"/>
      <c r="BR278" s="273">
        <f t="shared" si="47"/>
        <v>4</v>
      </c>
      <c r="BS278" s="274" t="str">
        <f t="shared" si="48"/>
        <v>9</v>
      </c>
      <c r="BT278" s="275" t="str">
        <f t="shared" si="49"/>
        <v>SEBASTIEN</v>
      </c>
      <c r="BU278" s="276" t="str">
        <f t="shared" si="50"/>
        <v>101</v>
      </c>
      <c r="BV278" s="277" t="str">
        <f t="shared" si="51"/>
        <v>HONORE</v>
      </c>
      <c r="BW278" s="273">
        <f t="shared" si="51"/>
        <v>0</v>
      </c>
      <c r="BX278" s="273">
        <f t="shared" si="51"/>
        <v>0</v>
      </c>
    </row>
    <row r="279" spans="3:76">
      <c r="C279" s="62"/>
      <c r="D279" s="105"/>
      <c r="E279" s="105"/>
      <c r="F279" s="62"/>
      <c r="G279" s="62"/>
      <c r="H279" s="101"/>
      <c r="I279" s="112"/>
      <c r="J279" s="62"/>
      <c r="K279" s="62"/>
      <c r="L279" s="62"/>
      <c r="M279" s="62"/>
      <c r="N279" s="101"/>
      <c r="O279" s="63"/>
      <c r="P279" s="63"/>
      <c r="Q279" s="62"/>
      <c r="R279" s="101"/>
      <c r="S279" s="62"/>
      <c r="T279" s="62"/>
      <c r="U279" s="62"/>
      <c r="V279" s="62"/>
      <c r="BQ279" s="278"/>
      <c r="BR279" s="273">
        <f t="shared" si="47"/>
        <v>5</v>
      </c>
      <c r="BS279" s="274" t="str">
        <f t="shared" si="48"/>
        <v>93</v>
      </c>
      <c r="BT279" s="275" t="str">
        <f t="shared" si="49"/>
        <v>JOSEPH</v>
      </c>
      <c r="BU279" s="276" t="str">
        <f t="shared" si="50"/>
        <v>11</v>
      </c>
      <c r="BV279" s="277" t="str">
        <f t="shared" si="51"/>
        <v>JOHN</v>
      </c>
      <c r="BW279" s="273">
        <f t="shared" si="51"/>
        <v>0</v>
      </c>
      <c r="BX279" s="273">
        <f t="shared" si="51"/>
        <v>0</v>
      </c>
    </row>
    <row r="280" spans="3:76">
      <c r="C280" s="62"/>
      <c r="D280" s="105"/>
      <c r="E280" s="105"/>
      <c r="F280" s="62"/>
      <c r="G280" s="62"/>
      <c r="H280" s="101"/>
      <c r="I280" s="112"/>
      <c r="J280" s="62"/>
      <c r="K280" s="62"/>
      <c r="L280" s="62"/>
      <c r="M280" s="62"/>
      <c r="N280" s="101"/>
      <c r="O280" s="63"/>
      <c r="P280" s="63"/>
      <c r="Q280" s="62"/>
      <c r="R280" s="101"/>
      <c r="S280" s="62"/>
      <c r="T280" s="62"/>
      <c r="U280" s="62"/>
      <c r="V280" s="62"/>
      <c r="BQ280" s="278"/>
      <c r="BR280" s="273">
        <f t="shared" si="47"/>
        <v>6</v>
      </c>
      <c r="BS280" s="274" t="str">
        <f t="shared" si="48"/>
        <v>6</v>
      </c>
      <c r="BT280" s="275" t="str">
        <f t="shared" si="49"/>
        <v>JACQUES</v>
      </c>
      <c r="BU280" s="276" t="str">
        <f t="shared" si="50"/>
        <v>115</v>
      </c>
      <c r="BV280" s="277" t="str">
        <f t="shared" si="51"/>
        <v>LEON</v>
      </c>
      <c r="BW280" s="273">
        <f t="shared" si="51"/>
        <v>0</v>
      </c>
      <c r="BX280" s="273">
        <f t="shared" si="51"/>
        <v>0</v>
      </c>
    </row>
    <row r="281" spans="3:76">
      <c r="C281" s="62"/>
      <c r="D281" s="105"/>
      <c r="E281" s="105"/>
      <c r="F281" s="62"/>
      <c r="G281" s="62"/>
      <c r="H281" s="101"/>
      <c r="I281" s="112"/>
      <c r="J281" s="62"/>
      <c r="K281" s="62"/>
      <c r="L281" s="62"/>
      <c r="M281" s="62"/>
      <c r="N281" s="101"/>
      <c r="O281" s="63"/>
      <c r="P281" s="63"/>
      <c r="Q281" s="62"/>
      <c r="R281" s="101"/>
      <c r="S281" s="62"/>
      <c r="T281" s="62"/>
      <c r="U281" s="62"/>
      <c r="V281" s="62"/>
      <c r="BQ281" s="278"/>
      <c r="BR281" s="273">
        <f t="shared" si="47"/>
        <v>7</v>
      </c>
      <c r="BS281" s="274" t="str">
        <f t="shared" si="48"/>
        <v>59</v>
      </c>
      <c r="BT281" s="275" t="str">
        <f t="shared" si="49"/>
        <v>NADEGE</v>
      </c>
      <c r="BU281" s="276" t="str">
        <f t="shared" si="50"/>
        <v>118</v>
      </c>
      <c r="BV281" s="277" t="str">
        <f t="shared" si="51"/>
        <v>FERNAND</v>
      </c>
      <c r="BW281" s="273">
        <f t="shared" si="51"/>
        <v>0</v>
      </c>
      <c r="BX281" s="273">
        <f t="shared" si="51"/>
        <v>0</v>
      </c>
    </row>
    <row r="282" spans="3:76">
      <c r="C282" s="62"/>
      <c r="D282" s="105"/>
      <c r="E282" s="105"/>
      <c r="F282" s="62"/>
      <c r="G282" s="62"/>
      <c r="H282" s="101"/>
      <c r="I282" s="112"/>
      <c r="J282" s="62"/>
      <c r="K282" s="62"/>
      <c r="L282" s="62"/>
      <c r="M282" s="62"/>
      <c r="N282" s="101"/>
      <c r="O282" s="63"/>
      <c r="P282" s="63"/>
      <c r="Q282" s="62"/>
      <c r="R282" s="101"/>
      <c r="S282" s="62"/>
      <c r="T282" s="62"/>
      <c r="U282" s="62"/>
      <c r="V282" s="62"/>
      <c r="BQ282" s="278"/>
      <c r="BR282" s="273">
        <f t="shared" si="47"/>
        <v>8</v>
      </c>
      <c r="BS282" s="274" t="str">
        <f t="shared" si="48"/>
        <v>55</v>
      </c>
      <c r="BT282" s="275" t="str">
        <f t="shared" si="49"/>
        <v>GREGOIRE</v>
      </c>
      <c r="BU282" s="276" t="str">
        <f t="shared" si="50"/>
        <v>69</v>
      </c>
      <c r="BV282" s="277" t="str">
        <f t="shared" si="51"/>
        <v>ALBERT</v>
      </c>
      <c r="BW282" s="273">
        <f t="shared" si="51"/>
        <v>0</v>
      </c>
      <c r="BX282" s="273">
        <f t="shared" si="51"/>
        <v>0</v>
      </c>
    </row>
    <row r="283" spans="3:76">
      <c r="C283" s="62"/>
      <c r="D283" s="105"/>
      <c r="E283" s="105"/>
      <c r="F283" s="62"/>
      <c r="G283" s="62"/>
      <c r="H283" s="101"/>
      <c r="I283" s="112"/>
      <c r="J283" s="62"/>
      <c r="K283" s="62"/>
      <c r="L283" s="62"/>
      <c r="M283" s="62"/>
      <c r="N283" s="101"/>
      <c r="O283" s="63"/>
      <c r="P283" s="63"/>
      <c r="Q283" s="62"/>
      <c r="R283" s="101"/>
      <c r="S283" s="62"/>
      <c r="T283" s="62"/>
      <c r="U283" s="62"/>
      <c r="V283" s="62"/>
      <c r="BQ283" s="278"/>
      <c r="BR283" s="273">
        <f t="shared" si="47"/>
        <v>9</v>
      </c>
      <c r="BS283" s="274" t="str">
        <f t="shared" si="48"/>
        <v>57</v>
      </c>
      <c r="BT283" s="275" t="str">
        <f t="shared" si="49"/>
        <v>ARSENE</v>
      </c>
      <c r="BU283" s="276" t="str">
        <f t="shared" si="50"/>
        <v>64</v>
      </c>
      <c r="BV283" s="277" t="str">
        <f t="shared" si="51"/>
        <v>QUENTIN</v>
      </c>
      <c r="BW283" s="273">
        <f t="shared" si="51"/>
        <v>0</v>
      </c>
      <c r="BX283" s="273">
        <f t="shared" si="51"/>
        <v>0</v>
      </c>
    </row>
    <row r="284" spans="3:76">
      <c r="C284" s="62"/>
      <c r="D284" s="105"/>
      <c r="E284" s="105"/>
      <c r="F284" s="62"/>
      <c r="G284" s="62"/>
      <c r="H284" s="101"/>
      <c r="I284" s="112"/>
      <c r="J284" s="62"/>
      <c r="K284" s="62"/>
      <c r="L284" s="62"/>
      <c r="M284" s="62"/>
      <c r="N284" s="101"/>
      <c r="O284" s="63"/>
      <c r="P284" s="63"/>
      <c r="Q284" s="62"/>
      <c r="R284" s="101"/>
      <c r="S284" s="62"/>
      <c r="T284" s="62"/>
      <c r="U284" s="62"/>
      <c r="V284" s="62"/>
      <c r="BQ284" s="278"/>
      <c r="BR284" s="273">
        <f t="shared" si="47"/>
        <v>10</v>
      </c>
      <c r="BS284" s="274" t="str">
        <f t="shared" si="48"/>
        <v>50</v>
      </c>
      <c r="BT284" s="275" t="str">
        <f t="shared" si="49"/>
        <v>FLORENTIN</v>
      </c>
      <c r="BU284" s="276" t="str">
        <f t="shared" si="50"/>
        <v>96</v>
      </c>
      <c r="BV284" s="277" t="str">
        <f t="shared" si="51"/>
        <v>GAUTIER</v>
      </c>
      <c r="BW284" s="273">
        <f t="shared" si="51"/>
        <v>0</v>
      </c>
      <c r="BX284" s="273">
        <f t="shared" si="51"/>
        <v>0</v>
      </c>
    </row>
    <row r="285" spans="3:76">
      <c r="C285" s="62"/>
      <c r="D285" s="105"/>
      <c r="E285" s="105"/>
      <c r="F285" s="62"/>
      <c r="G285" s="62"/>
      <c r="H285" s="101"/>
      <c r="I285" s="112"/>
      <c r="J285" s="62"/>
      <c r="K285" s="62"/>
      <c r="L285" s="62"/>
      <c r="M285" s="62"/>
      <c r="N285" s="101"/>
      <c r="O285" s="63"/>
      <c r="P285" s="63"/>
      <c r="Q285" s="62"/>
      <c r="R285" s="101"/>
      <c r="S285" s="62"/>
      <c r="T285" s="62"/>
      <c r="U285" s="62"/>
      <c r="V285" s="62"/>
      <c r="BQ285" s="278"/>
      <c r="BR285" s="273">
        <f t="shared" si="47"/>
        <v>11</v>
      </c>
      <c r="BS285" s="274" t="str">
        <f t="shared" si="48"/>
        <v>91</v>
      </c>
      <c r="BT285" s="275" t="str">
        <f t="shared" si="49"/>
        <v>VALERIE</v>
      </c>
      <c r="BU285" s="276" t="str">
        <f t="shared" si="50"/>
        <v>74</v>
      </c>
      <c r="BV285" s="277" t="str">
        <f t="shared" si="51"/>
        <v>GERALD</v>
      </c>
      <c r="BW285" s="273">
        <f t="shared" si="51"/>
        <v>0</v>
      </c>
      <c r="BX285" s="273">
        <f t="shared" si="51"/>
        <v>0</v>
      </c>
    </row>
    <row r="286" spans="3:76">
      <c r="C286" s="62"/>
      <c r="D286" s="105"/>
      <c r="E286" s="105"/>
      <c r="F286" s="62"/>
      <c r="G286" s="62"/>
      <c r="H286" s="101"/>
      <c r="I286" s="112"/>
      <c r="J286" s="62"/>
      <c r="K286" s="62"/>
      <c r="L286" s="62"/>
      <c r="M286" s="62"/>
      <c r="N286" s="101"/>
      <c r="O286" s="63"/>
      <c r="P286" s="63"/>
      <c r="Q286" s="62"/>
      <c r="R286" s="101"/>
      <c r="S286" s="62"/>
      <c r="T286" s="62"/>
      <c r="U286" s="62"/>
      <c r="V286" s="62"/>
      <c r="BQ286" s="278"/>
      <c r="BR286" s="273">
        <f t="shared" si="47"/>
        <v>12</v>
      </c>
      <c r="BS286" s="274" t="str">
        <f t="shared" si="48"/>
        <v>5</v>
      </c>
      <c r="BT286" s="275" t="str">
        <f t="shared" si="49"/>
        <v>YVON</v>
      </c>
      <c r="BU286" s="276" t="str">
        <f t="shared" si="50"/>
        <v>26</v>
      </c>
      <c r="BV286" s="277" t="str">
        <f t="shared" si="51"/>
        <v xml:space="preserve">THIERRY  </v>
      </c>
      <c r="BW286" s="273">
        <f t="shared" si="51"/>
        <v>0</v>
      </c>
      <c r="BX286" s="273">
        <f t="shared" si="51"/>
        <v>0</v>
      </c>
    </row>
    <row r="287" spans="3:76">
      <c r="C287" s="62"/>
      <c r="D287" s="105"/>
      <c r="E287" s="105"/>
      <c r="F287" s="62"/>
      <c r="G287" s="62"/>
      <c r="H287" s="101"/>
      <c r="I287" s="112"/>
      <c r="J287" s="62"/>
      <c r="K287" s="62"/>
      <c r="L287" s="62"/>
      <c r="M287" s="62"/>
      <c r="N287" s="101"/>
      <c r="O287" s="63"/>
      <c r="P287" s="63"/>
      <c r="Q287" s="62"/>
      <c r="R287" s="101"/>
      <c r="S287" s="62"/>
      <c r="T287" s="62"/>
      <c r="U287" s="62"/>
      <c r="V287" s="62"/>
      <c r="BQ287" s="278"/>
      <c r="BR287" s="273">
        <f t="shared" si="47"/>
        <v>13</v>
      </c>
      <c r="BS287" s="274" t="str">
        <f t="shared" si="48"/>
        <v>14</v>
      </c>
      <c r="BT287" s="275" t="str">
        <f t="shared" si="49"/>
        <v>CHRISTOPHE</v>
      </c>
      <c r="BU287" s="276" t="str">
        <f t="shared" si="50"/>
        <v>10</v>
      </c>
      <c r="BV287" s="277" t="str">
        <f t="shared" si="51"/>
        <v>PETER</v>
      </c>
      <c r="BW287" s="273">
        <f t="shared" si="51"/>
        <v>0</v>
      </c>
      <c r="BX287" s="273">
        <f t="shared" si="51"/>
        <v>0</v>
      </c>
    </row>
    <row r="288" spans="3:76">
      <c r="C288" s="62"/>
      <c r="D288" s="105"/>
      <c r="E288" s="105"/>
      <c r="F288" s="62"/>
      <c r="G288" s="62"/>
      <c r="H288" s="101"/>
      <c r="I288" s="112"/>
      <c r="J288" s="62"/>
      <c r="K288" s="62"/>
      <c r="L288" s="62"/>
      <c r="M288" s="62"/>
      <c r="N288" s="101"/>
      <c r="O288" s="63"/>
      <c r="P288" s="63"/>
      <c r="Q288" s="62"/>
      <c r="R288" s="101"/>
      <c r="S288" s="62"/>
      <c r="T288" s="62"/>
      <c r="U288" s="62"/>
      <c r="V288" s="62"/>
      <c r="BQ288" s="278"/>
      <c r="BR288" s="273">
        <f t="shared" si="47"/>
        <v>14</v>
      </c>
      <c r="BS288" s="274" t="str">
        <f t="shared" si="48"/>
        <v>47</v>
      </c>
      <c r="BT288" s="275" t="str">
        <f t="shared" si="49"/>
        <v>HERMAN</v>
      </c>
      <c r="BU288" s="276" t="str">
        <f t="shared" si="50"/>
        <v>31</v>
      </c>
      <c r="BV288" s="277" t="str">
        <f t="shared" si="51"/>
        <v>EDOUARD</v>
      </c>
      <c r="BW288" s="273">
        <f t="shared" si="51"/>
        <v>0</v>
      </c>
      <c r="BX288" s="273">
        <f t="shared" si="51"/>
        <v>0</v>
      </c>
    </row>
    <row r="289" spans="3:76">
      <c r="C289" s="62"/>
      <c r="D289" s="105"/>
      <c r="E289" s="105"/>
      <c r="F289" s="62"/>
      <c r="G289" s="62"/>
      <c r="H289" s="101"/>
      <c r="I289" s="112"/>
      <c r="J289" s="62"/>
      <c r="K289" s="62"/>
      <c r="L289" s="62"/>
      <c r="M289" s="62"/>
      <c r="N289" s="101"/>
      <c r="O289" s="63"/>
      <c r="P289" s="63"/>
      <c r="Q289" s="62"/>
      <c r="R289" s="101"/>
      <c r="S289" s="62"/>
      <c r="T289" s="62"/>
      <c r="U289" s="62"/>
      <c r="V289" s="62"/>
      <c r="BQ289" s="278"/>
      <c r="BR289" s="273">
        <f t="shared" si="47"/>
        <v>15</v>
      </c>
      <c r="BS289" s="274" t="str">
        <f t="shared" si="48"/>
        <v>25</v>
      </c>
      <c r="BT289" s="275" t="str">
        <f t="shared" si="49"/>
        <v>AURELIEN</v>
      </c>
      <c r="BU289" s="276" t="str">
        <f t="shared" si="50"/>
        <v>92</v>
      </c>
      <c r="BV289" s="277" t="str">
        <f t="shared" si="51"/>
        <v>ROMAIN</v>
      </c>
      <c r="BW289" s="273">
        <f t="shared" si="51"/>
        <v>0</v>
      </c>
      <c r="BX289" s="273">
        <f t="shared" si="51"/>
        <v>0</v>
      </c>
    </row>
    <row r="290" spans="3:76">
      <c r="C290" s="62"/>
      <c r="D290" s="105"/>
      <c r="E290" s="105"/>
      <c r="F290" s="62"/>
      <c r="G290" s="62"/>
      <c r="H290" s="101"/>
      <c r="I290" s="112"/>
      <c r="J290" s="62"/>
      <c r="K290" s="62"/>
      <c r="L290" s="62"/>
      <c r="M290" s="62"/>
      <c r="N290" s="101"/>
      <c r="O290" s="63"/>
      <c r="P290" s="63"/>
      <c r="Q290" s="62"/>
      <c r="R290" s="101"/>
      <c r="S290" s="62"/>
      <c r="T290" s="62"/>
      <c r="U290" s="62"/>
      <c r="V290" s="62"/>
      <c r="BQ290" s="278"/>
      <c r="BR290" s="273">
        <f t="shared" si="47"/>
        <v>16</v>
      </c>
      <c r="BS290" s="274" t="str">
        <f t="shared" si="48"/>
        <v>97</v>
      </c>
      <c r="BT290" s="275" t="str">
        <f t="shared" si="49"/>
        <v>MATTHIAS</v>
      </c>
      <c r="BU290" s="276" t="str">
        <f t="shared" si="50"/>
        <v>70</v>
      </c>
      <c r="BV290" s="277" t="str">
        <f t="shared" si="51"/>
        <v>TANGUY</v>
      </c>
      <c r="BW290" s="273">
        <f t="shared" si="51"/>
        <v>0</v>
      </c>
      <c r="BX290" s="273">
        <f t="shared" si="51"/>
        <v>0</v>
      </c>
    </row>
    <row r="291" spans="3:76">
      <c r="C291" s="62"/>
      <c r="D291" s="105"/>
      <c r="E291" s="105"/>
      <c r="F291" s="62"/>
      <c r="G291" s="62"/>
      <c r="H291" s="101"/>
      <c r="I291" s="112"/>
      <c r="J291" s="62"/>
      <c r="K291" s="62"/>
      <c r="L291" s="62"/>
      <c r="M291" s="62"/>
      <c r="N291" s="101"/>
      <c r="O291" s="63"/>
      <c r="P291" s="63"/>
      <c r="Q291" s="62"/>
      <c r="R291" s="101"/>
      <c r="S291" s="62"/>
      <c r="T291" s="62"/>
      <c r="U291" s="62"/>
      <c r="V291" s="62"/>
      <c r="BQ291" s="278"/>
      <c r="BR291" s="273">
        <f t="shared" si="47"/>
        <v>17</v>
      </c>
      <c r="BS291" s="274" t="str">
        <f t="shared" si="48"/>
        <v>60</v>
      </c>
      <c r="BT291" s="275" t="str">
        <f t="shared" si="49"/>
        <v>EDITH</v>
      </c>
      <c r="BU291" s="276" t="str">
        <f t="shared" si="50"/>
        <v>114</v>
      </c>
      <c r="BV291" s="277" t="str">
        <f t="shared" si="51"/>
        <v>BARNABE</v>
      </c>
      <c r="BW291" s="273">
        <f t="shared" si="51"/>
        <v>0</v>
      </c>
      <c r="BX291" s="273">
        <f t="shared" si="51"/>
        <v>0</v>
      </c>
    </row>
    <row r="292" spans="3:76">
      <c r="C292" s="62"/>
      <c r="D292" s="105"/>
      <c r="E292" s="105"/>
      <c r="F292" s="62"/>
      <c r="G292" s="62"/>
      <c r="H292" s="101"/>
      <c r="I292" s="112"/>
      <c r="J292" s="62"/>
      <c r="K292" s="62"/>
      <c r="L292" s="62"/>
      <c r="M292" s="62"/>
      <c r="N292" s="101"/>
      <c r="O292" s="63"/>
      <c r="P292" s="63"/>
      <c r="Q292" s="62"/>
      <c r="R292" s="101"/>
      <c r="S292" s="62"/>
      <c r="T292" s="62"/>
      <c r="U292" s="62"/>
      <c r="V292" s="62"/>
      <c r="BQ292" s="278"/>
      <c r="BR292" s="273">
        <f t="shared" si="47"/>
        <v>18</v>
      </c>
      <c r="BS292" s="274" t="str">
        <f t="shared" si="48"/>
        <v>27</v>
      </c>
      <c r="BT292" s="275" t="str">
        <f t="shared" si="49"/>
        <v xml:space="preserve">PHILIPPE  </v>
      </c>
      <c r="BU292" s="276" t="str">
        <f t="shared" si="50"/>
        <v>77</v>
      </c>
      <c r="BV292" s="277" t="str">
        <f t="shared" si="51"/>
        <v>DANIEL</v>
      </c>
      <c r="BW292" s="273">
        <f t="shared" si="51"/>
        <v>0</v>
      </c>
      <c r="BX292" s="273">
        <f t="shared" si="51"/>
        <v>0</v>
      </c>
    </row>
    <row r="293" spans="3:76">
      <c r="C293" s="62"/>
      <c r="D293" s="105"/>
      <c r="E293" s="105"/>
      <c r="F293" s="62"/>
      <c r="G293" s="62"/>
      <c r="H293" s="101"/>
      <c r="I293" s="112"/>
      <c r="J293" s="62"/>
      <c r="K293" s="62"/>
      <c r="L293" s="62"/>
      <c r="M293" s="62"/>
      <c r="N293" s="101"/>
      <c r="O293" s="63"/>
      <c r="P293" s="63"/>
      <c r="Q293" s="62"/>
      <c r="R293" s="101"/>
      <c r="S293" s="62"/>
      <c r="T293" s="62"/>
      <c r="U293" s="62"/>
      <c r="V293" s="62"/>
      <c r="BQ293" s="278"/>
      <c r="BR293" s="273">
        <f t="shared" si="47"/>
        <v>19</v>
      </c>
      <c r="BS293" s="274" t="str">
        <f t="shared" si="48"/>
        <v>21</v>
      </c>
      <c r="BT293" s="275" t="str">
        <f t="shared" si="49"/>
        <v>GEGE</v>
      </c>
      <c r="BU293" s="276" t="str">
        <f t="shared" si="50"/>
        <v>108</v>
      </c>
      <c r="BV293" s="277" t="str">
        <f t="shared" si="51"/>
        <v>ISIDORE</v>
      </c>
      <c r="BW293" s="273">
        <f t="shared" si="51"/>
        <v>0</v>
      </c>
      <c r="BX293" s="273">
        <f t="shared" si="51"/>
        <v>0</v>
      </c>
    </row>
    <row r="294" spans="3:76">
      <c r="C294" s="62"/>
      <c r="D294" s="105"/>
      <c r="E294" s="105"/>
      <c r="F294" s="62"/>
      <c r="G294" s="62"/>
      <c r="H294" s="101"/>
      <c r="I294" s="112"/>
      <c r="J294" s="62"/>
      <c r="K294" s="62"/>
      <c r="L294" s="62"/>
      <c r="M294" s="62"/>
      <c r="N294" s="101"/>
      <c r="O294" s="63"/>
      <c r="P294" s="63"/>
      <c r="Q294" s="62"/>
      <c r="R294" s="101"/>
      <c r="S294" s="62"/>
      <c r="T294" s="62"/>
      <c r="U294" s="62"/>
      <c r="V294" s="62"/>
      <c r="BQ294" s="278"/>
      <c r="BR294" s="273">
        <f t="shared" si="47"/>
        <v>20</v>
      </c>
      <c r="BS294" s="274" t="str">
        <f t="shared" si="48"/>
        <v>82</v>
      </c>
      <c r="BT294" s="275" t="str">
        <f t="shared" si="49"/>
        <v>URBAIN</v>
      </c>
      <c r="BU294" s="276" t="str">
        <f t="shared" si="50"/>
        <v>110</v>
      </c>
      <c r="BV294" s="277" t="str">
        <f t="shared" si="51"/>
        <v>ANICET</v>
      </c>
      <c r="BW294" s="273">
        <f t="shared" si="51"/>
        <v>0</v>
      </c>
      <c r="BX294" s="273">
        <f t="shared" si="51"/>
        <v>0</v>
      </c>
    </row>
    <row r="295" spans="3:76">
      <c r="C295" s="62"/>
      <c r="D295" s="105"/>
      <c r="E295" s="105"/>
      <c r="F295" s="62"/>
      <c r="G295" s="62"/>
      <c r="H295" s="101"/>
      <c r="I295" s="112"/>
      <c r="J295" s="62"/>
      <c r="K295" s="62"/>
      <c r="L295" s="62"/>
      <c r="M295" s="62"/>
      <c r="N295" s="101"/>
      <c r="O295" s="63"/>
      <c r="P295" s="63"/>
      <c r="Q295" s="62"/>
      <c r="R295" s="101"/>
      <c r="S295" s="62"/>
      <c r="T295" s="62"/>
      <c r="U295" s="62"/>
      <c r="V295" s="62"/>
      <c r="BQ295" s="278"/>
      <c r="BR295" s="273">
        <f t="shared" si="47"/>
        <v>21</v>
      </c>
      <c r="BS295" s="274" t="str">
        <f t="shared" si="48"/>
        <v>61</v>
      </c>
      <c r="BT295" s="275" t="str">
        <f t="shared" si="49"/>
        <v>COME</v>
      </c>
      <c r="BU295" s="276" t="str">
        <f t="shared" si="50"/>
        <v>78</v>
      </c>
      <c r="BV295" s="277" t="str">
        <f t="shared" si="51"/>
        <v>GAEL</v>
      </c>
      <c r="BW295" s="273">
        <f t="shared" si="51"/>
        <v>0</v>
      </c>
      <c r="BX295" s="273">
        <f t="shared" si="51"/>
        <v>0</v>
      </c>
    </row>
    <row r="296" spans="3:76">
      <c r="C296" s="62"/>
      <c r="D296" s="105"/>
      <c r="E296" s="105"/>
      <c r="F296" s="62"/>
      <c r="G296" s="62"/>
      <c r="H296" s="101"/>
      <c r="I296" s="112"/>
      <c r="J296" s="62"/>
      <c r="K296" s="62"/>
      <c r="L296" s="62"/>
      <c r="M296" s="62"/>
      <c r="N296" s="101"/>
      <c r="O296" s="63"/>
      <c r="P296" s="63"/>
      <c r="Q296" s="62"/>
      <c r="R296" s="101"/>
      <c r="S296" s="62"/>
      <c r="T296" s="62"/>
      <c r="U296" s="62"/>
      <c r="V296" s="62"/>
      <c r="BQ296" s="278"/>
      <c r="BR296" s="273">
        <f t="shared" si="47"/>
        <v>22</v>
      </c>
      <c r="BS296" s="274" t="str">
        <f t="shared" si="48"/>
        <v>117</v>
      </c>
      <c r="BT296" s="275" t="str">
        <f t="shared" si="49"/>
        <v>PROSPER</v>
      </c>
      <c r="BU296" s="276" t="str">
        <f t="shared" si="50"/>
        <v>98</v>
      </c>
      <c r="BV296" s="277" t="str">
        <f t="shared" si="51"/>
        <v>STANISLAS</v>
      </c>
      <c r="BW296" s="273">
        <f t="shared" si="51"/>
        <v>0</v>
      </c>
      <c r="BX296" s="273">
        <f t="shared" si="51"/>
        <v>0</v>
      </c>
    </row>
    <row r="297" spans="3:76">
      <c r="C297" s="62"/>
      <c r="D297" s="105"/>
      <c r="E297" s="105"/>
      <c r="F297" s="62"/>
      <c r="G297" s="62"/>
      <c r="H297" s="101"/>
      <c r="I297" s="112"/>
      <c r="J297" s="62"/>
      <c r="K297" s="62"/>
      <c r="L297" s="62"/>
      <c r="M297" s="62"/>
      <c r="N297" s="101"/>
      <c r="O297" s="63"/>
      <c r="P297" s="63"/>
      <c r="Q297" s="62"/>
      <c r="R297" s="101"/>
      <c r="S297" s="62"/>
      <c r="T297" s="62"/>
      <c r="U297" s="62"/>
      <c r="V297" s="62"/>
      <c r="BQ297" s="278"/>
      <c r="BR297" s="273">
        <f t="shared" si="47"/>
        <v>23</v>
      </c>
      <c r="BS297" s="274" t="str">
        <f t="shared" si="48"/>
        <v>81</v>
      </c>
      <c r="BT297" s="275" t="str">
        <f t="shared" si="49"/>
        <v>THEOPHILE</v>
      </c>
      <c r="BU297" s="276" t="str">
        <f t="shared" si="50"/>
        <v>35</v>
      </c>
      <c r="BV297" s="277" t="str">
        <f t="shared" si="51"/>
        <v>MARTIN</v>
      </c>
      <c r="BW297" s="273">
        <f t="shared" si="51"/>
        <v>0</v>
      </c>
      <c r="BX297" s="273">
        <f t="shared" si="51"/>
        <v>0</v>
      </c>
    </row>
    <row r="298" spans="3:76">
      <c r="C298" s="62"/>
      <c r="D298" s="105"/>
      <c r="E298" s="105"/>
      <c r="F298" s="62"/>
      <c r="G298" s="62"/>
      <c r="H298" s="101"/>
      <c r="I298" s="112"/>
      <c r="J298" s="62"/>
      <c r="K298" s="62"/>
      <c r="L298" s="62"/>
      <c r="M298" s="62"/>
      <c r="N298" s="101"/>
      <c r="O298" s="63"/>
      <c r="P298" s="63"/>
      <c r="Q298" s="62"/>
      <c r="R298" s="101"/>
      <c r="S298" s="62"/>
      <c r="T298" s="62"/>
      <c r="U298" s="62"/>
      <c r="V298" s="62"/>
      <c r="BQ298" s="278"/>
      <c r="BR298" s="273">
        <f t="shared" si="47"/>
        <v>24</v>
      </c>
      <c r="BS298" s="274" t="str">
        <f t="shared" si="48"/>
        <v>71</v>
      </c>
      <c r="BT298" s="275" t="str">
        <f t="shared" si="49"/>
        <v>JIMMY</v>
      </c>
      <c r="BU298" s="276" t="str">
        <f t="shared" si="50"/>
        <v>28</v>
      </c>
      <c r="BV298" s="277" t="str">
        <f t="shared" si="51"/>
        <v xml:space="preserve">RENE  </v>
      </c>
      <c r="BW298" s="273">
        <f t="shared" si="51"/>
        <v>0</v>
      </c>
      <c r="BX298" s="273">
        <f t="shared" si="51"/>
        <v>0</v>
      </c>
    </row>
    <row r="299" spans="3:76">
      <c r="C299" s="62"/>
      <c r="D299" s="105"/>
      <c r="E299" s="105"/>
      <c r="F299" s="62"/>
      <c r="G299" s="62"/>
      <c r="H299" s="101"/>
      <c r="I299" s="112"/>
      <c r="J299" s="62"/>
      <c r="K299" s="62"/>
      <c r="L299" s="62"/>
      <c r="M299" s="62"/>
      <c r="N299" s="101"/>
      <c r="O299" s="63"/>
      <c r="P299" s="63"/>
      <c r="Q299" s="62"/>
      <c r="R299" s="101"/>
      <c r="S299" s="62"/>
      <c r="T299" s="62"/>
      <c r="U299" s="62"/>
      <c r="V299" s="62"/>
      <c r="BQ299" s="278"/>
      <c r="BR299" s="273">
        <f t="shared" si="47"/>
        <v>25</v>
      </c>
      <c r="BS299" s="274" t="str">
        <f t="shared" si="48"/>
        <v>49</v>
      </c>
      <c r="BT299" s="275" t="str">
        <f t="shared" si="49"/>
        <v>OLIVIER</v>
      </c>
      <c r="BU299" s="276" t="str">
        <f t="shared" si="50"/>
        <v>16</v>
      </c>
      <c r="BV299" s="277" t="str">
        <f t="shared" si="51"/>
        <v>MICKAEL</v>
      </c>
      <c r="BW299" s="273">
        <f t="shared" si="51"/>
        <v>0</v>
      </c>
      <c r="BX299" s="273">
        <f t="shared" si="51"/>
        <v>0</v>
      </c>
    </row>
    <row r="300" spans="3:76">
      <c r="C300" s="62"/>
      <c r="D300" s="105"/>
      <c r="E300" s="105"/>
      <c r="F300" s="62"/>
      <c r="G300" s="62"/>
      <c r="H300" s="101"/>
      <c r="I300" s="112"/>
      <c r="J300" s="62"/>
      <c r="K300" s="62"/>
      <c r="L300" s="62"/>
      <c r="M300" s="62"/>
      <c r="N300" s="101"/>
      <c r="O300" s="63"/>
      <c r="P300" s="63"/>
      <c r="Q300" s="62"/>
      <c r="R300" s="101"/>
      <c r="S300" s="62"/>
      <c r="T300" s="62"/>
      <c r="U300" s="62"/>
      <c r="V300" s="62"/>
      <c r="BQ300" s="278"/>
      <c r="BR300" s="273">
        <f t="shared" si="47"/>
        <v>26</v>
      </c>
      <c r="BS300" s="274" t="str">
        <f t="shared" si="48"/>
        <v>45</v>
      </c>
      <c r="BT300" s="275" t="str">
        <f t="shared" si="49"/>
        <v>RENAUD</v>
      </c>
      <c r="BU300" s="276" t="str">
        <f t="shared" si="50"/>
        <v>3</v>
      </c>
      <c r="BV300" s="277" t="str">
        <f t="shared" si="51"/>
        <v>MARCO</v>
      </c>
      <c r="BW300" s="273">
        <f t="shared" si="51"/>
        <v>0</v>
      </c>
      <c r="BX300" s="273">
        <f t="shared" si="51"/>
        <v>0</v>
      </c>
    </row>
    <row r="301" spans="3:76">
      <c r="C301" s="62"/>
      <c r="D301" s="105"/>
      <c r="E301" s="105"/>
      <c r="F301" s="62"/>
      <c r="G301" s="62"/>
      <c r="H301" s="101"/>
      <c r="I301" s="112"/>
      <c r="J301" s="62"/>
      <c r="K301" s="62"/>
      <c r="L301" s="62"/>
      <c r="M301" s="62"/>
      <c r="N301" s="101"/>
      <c r="O301" s="63"/>
      <c r="P301" s="63"/>
      <c r="Q301" s="62"/>
      <c r="R301" s="101"/>
      <c r="S301" s="62"/>
      <c r="T301" s="62"/>
      <c r="U301" s="62"/>
      <c r="V301" s="62"/>
      <c r="BQ301" s="278"/>
      <c r="BR301" s="273">
        <f t="shared" si="47"/>
        <v>27</v>
      </c>
      <c r="BS301" s="274" t="str">
        <f t="shared" si="48"/>
        <v>37</v>
      </c>
      <c r="BT301" s="275" t="str">
        <f t="shared" si="49"/>
        <v>CLEMENT</v>
      </c>
      <c r="BU301" s="276" t="str">
        <f t="shared" si="50"/>
        <v>112</v>
      </c>
      <c r="BV301" s="277" t="str">
        <f t="shared" si="51"/>
        <v>AYMAR</v>
      </c>
      <c r="BW301" s="273">
        <f t="shared" si="51"/>
        <v>0</v>
      </c>
      <c r="BX301" s="273">
        <f t="shared" si="51"/>
        <v>0</v>
      </c>
    </row>
    <row r="302" spans="3:76">
      <c r="C302" s="62"/>
      <c r="D302" s="105"/>
      <c r="E302" s="105"/>
      <c r="F302" s="62"/>
      <c r="G302" s="62"/>
      <c r="H302" s="101"/>
      <c r="I302" s="112"/>
      <c r="J302" s="62"/>
      <c r="K302" s="62"/>
      <c r="L302" s="62"/>
      <c r="M302" s="62"/>
      <c r="N302" s="101"/>
      <c r="O302" s="63"/>
      <c r="P302" s="63"/>
      <c r="Q302" s="62"/>
      <c r="R302" s="101"/>
      <c r="S302" s="62"/>
      <c r="T302" s="62"/>
      <c r="U302" s="62"/>
      <c r="V302" s="62"/>
      <c r="BQ302" s="278"/>
      <c r="BR302" s="273">
        <f t="shared" si="47"/>
        <v>28</v>
      </c>
      <c r="BS302" s="274" t="str">
        <f t="shared" si="48"/>
        <v>94</v>
      </c>
      <c r="BT302" s="275" t="str">
        <f t="shared" si="49"/>
        <v>HUGUES</v>
      </c>
      <c r="BU302" s="276" t="str">
        <f t="shared" si="50"/>
        <v>111</v>
      </c>
      <c r="BV302" s="277" t="str">
        <f t="shared" si="51"/>
        <v>SOLANGE</v>
      </c>
      <c r="BW302" s="273">
        <f t="shared" si="51"/>
        <v>0</v>
      </c>
      <c r="BX302" s="273">
        <f t="shared" si="51"/>
        <v>0</v>
      </c>
    </row>
    <row r="303" spans="3:76">
      <c r="C303" s="62"/>
      <c r="D303" s="105"/>
      <c r="E303" s="105"/>
      <c r="F303" s="62"/>
      <c r="G303" s="62"/>
      <c r="H303" s="101"/>
      <c r="I303" s="112"/>
      <c r="J303" s="62"/>
      <c r="K303" s="62"/>
      <c r="L303" s="62"/>
      <c r="M303" s="62"/>
      <c r="N303" s="101"/>
      <c r="O303" s="63"/>
      <c r="P303" s="63"/>
      <c r="Q303" s="62"/>
      <c r="R303" s="101"/>
      <c r="S303" s="62"/>
      <c r="T303" s="62"/>
      <c r="U303" s="62"/>
      <c r="V303" s="62"/>
      <c r="BQ303" s="278"/>
      <c r="BR303" s="273">
        <f t="shared" si="47"/>
        <v>29</v>
      </c>
      <c r="BS303" s="274" t="str">
        <f t="shared" si="48"/>
        <v>24</v>
      </c>
      <c r="BT303" s="275" t="str">
        <f t="shared" si="49"/>
        <v>JACQUES</v>
      </c>
      <c r="BU303" s="276" t="str">
        <f t="shared" si="50"/>
        <v>19</v>
      </c>
      <c r="BV303" s="277" t="str">
        <f t="shared" si="51"/>
        <v xml:space="preserve">SYLVAIN   </v>
      </c>
      <c r="BW303" s="273">
        <f t="shared" si="51"/>
        <v>0</v>
      </c>
      <c r="BX303" s="273">
        <f t="shared" si="51"/>
        <v>0</v>
      </c>
    </row>
    <row r="304" spans="3:76">
      <c r="C304" s="62"/>
      <c r="D304" s="105"/>
      <c r="E304" s="105"/>
      <c r="F304" s="62"/>
      <c r="G304" s="62"/>
      <c r="H304" s="101"/>
      <c r="I304" s="112"/>
      <c r="J304" s="62"/>
      <c r="K304" s="62"/>
      <c r="L304" s="62"/>
      <c r="M304" s="62"/>
      <c r="N304" s="101"/>
      <c r="O304" s="63"/>
      <c r="P304" s="63"/>
      <c r="Q304" s="62"/>
      <c r="R304" s="101"/>
      <c r="S304" s="62"/>
      <c r="T304" s="62"/>
      <c r="U304" s="62"/>
      <c r="V304" s="62"/>
      <c r="BQ304" s="278"/>
      <c r="BR304" s="273">
        <f t="shared" si="47"/>
        <v>30</v>
      </c>
      <c r="BS304" s="274" t="str">
        <f t="shared" si="48"/>
        <v>116</v>
      </c>
      <c r="BT304" s="275" t="str">
        <f t="shared" si="49"/>
        <v>ALBAN</v>
      </c>
      <c r="BU304" s="276" t="str">
        <f t="shared" si="50"/>
        <v>17</v>
      </c>
      <c r="BV304" s="277" t="str">
        <f t="shared" si="51"/>
        <v xml:space="preserve">LAURENT    </v>
      </c>
      <c r="BW304" s="273">
        <f t="shared" si="51"/>
        <v>0</v>
      </c>
      <c r="BX304" s="273">
        <f t="shared" si="51"/>
        <v>0</v>
      </c>
    </row>
    <row r="305" spans="3:76">
      <c r="C305" s="62"/>
      <c r="D305" s="105"/>
      <c r="E305" s="105"/>
      <c r="F305" s="62"/>
      <c r="G305" s="62"/>
      <c r="H305" s="101"/>
      <c r="I305" s="112"/>
      <c r="J305" s="62"/>
      <c r="K305" s="62"/>
      <c r="L305" s="62"/>
      <c r="M305" s="62"/>
      <c r="N305" s="101"/>
      <c r="O305" s="63"/>
      <c r="P305" s="63"/>
      <c r="Q305" s="62"/>
      <c r="R305" s="101"/>
      <c r="S305" s="62"/>
      <c r="T305" s="62"/>
      <c r="U305" s="62"/>
      <c r="V305" s="62"/>
      <c r="BQ305" s="278"/>
      <c r="BR305" s="273">
        <f t="shared" si="47"/>
        <v>31</v>
      </c>
      <c r="BS305" s="274" t="str">
        <f t="shared" si="48"/>
        <v>88</v>
      </c>
      <c r="BT305" s="275" t="str">
        <f t="shared" si="49"/>
        <v>VINCENT</v>
      </c>
      <c r="BU305" s="276" t="str">
        <f t="shared" si="50"/>
        <v>2</v>
      </c>
      <c r="BV305" s="277" t="str">
        <f t="shared" si="51"/>
        <v>FRANCIS</v>
      </c>
      <c r="BW305" s="273">
        <f t="shared" si="51"/>
        <v>0</v>
      </c>
      <c r="BX305" s="273">
        <f t="shared" si="51"/>
        <v>0</v>
      </c>
    </row>
    <row r="306" spans="3:76">
      <c r="C306" s="62"/>
      <c r="D306" s="105"/>
      <c r="E306" s="105"/>
      <c r="F306" s="62"/>
      <c r="G306" s="62"/>
      <c r="H306" s="101"/>
      <c r="I306" s="112"/>
      <c r="J306" s="62"/>
      <c r="K306" s="62"/>
      <c r="L306" s="62"/>
      <c r="M306" s="62"/>
      <c r="N306" s="101"/>
      <c r="O306" s="63"/>
      <c r="P306" s="63"/>
      <c r="Q306" s="62"/>
      <c r="R306" s="101"/>
      <c r="S306" s="62"/>
      <c r="T306" s="62"/>
      <c r="U306" s="62"/>
      <c r="V306" s="62"/>
      <c r="BQ306" s="278"/>
      <c r="BR306" s="273">
        <f t="shared" si="47"/>
        <v>32</v>
      </c>
      <c r="BS306" s="274" t="str">
        <f t="shared" si="48"/>
        <v>109</v>
      </c>
      <c r="BT306" s="275" t="str">
        <f t="shared" si="49"/>
        <v>MARCELLIN</v>
      </c>
      <c r="BU306" s="276" t="str">
        <f t="shared" si="50"/>
        <v>85</v>
      </c>
      <c r="BV306" s="277" t="str">
        <f t="shared" si="51"/>
        <v>RAYMOND</v>
      </c>
      <c r="BW306" s="273">
        <f t="shared" si="51"/>
        <v>0</v>
      </c>
      <c r="BX306" s="273">
        <f t="shared" si="51"/>
        <v>0</v>
      </c>
    </row>
    <row r="307" spans="3:76">
      <c r="C307" s="62"/>
      <c r="D307" s="105"/>
      <c r="E307" s="105"/>
      <c r="F307" s="62"/>
      <c r="G307" s="62"/>
      <c r="H307" s="101"/>
      <c r="I307" s="112"/>
      <c r="J307" s="62"/>
      <c r="K307" s="62"/>
      <c r="L307" s="62"/>
      <c r="M307" s="62"/>
      <c r="N307" s="101"/>
      <c r="O307" s="63"/>
      <c r="P307" s="63"/>
      <c r="Q307" s="62"/>
      <c r="R307" s="101"/>
      <c r="S307" s="62"/>
      <c r="T307" s="62"/>
      <c r="U307" s="62"/>
      <c r="V307" s="62"/>
      <c r="BQ307" s="278"/>
      <c r="BR307" s="273">
        <f t="shared" si="47"/>
        <v>33</v>
      </c>
      <c r="BS307" s="274" t="str">
        <f t="shared" si="48"/>
        <v>7</v>
      </c>
      <c r="BT307" s="275" t="str">
        <f t="shared" si="49"/>
        <v>PIERRE</v>
      </c>
      <c r="BU307" s="276" t="str">
        <f t="shared" si="50"/>
        <v>63</v>
      </c>
      <c r="BV307" s="277" t="str">
        <f t="shared" ref="BV307:BX338" si="52">AX38</f>
        <v>FIRMIN</v>
      </c>
      <c r="BW307" s="273">
        <f t="shared" si="52"/>
        <v>0</v>
      </c>
      <c r="BX307" s="273">
        <f t="shared" si="52"/>
        <v>0</v>
      </c>
    </row>
    <row r="308" spans="3:76">
      <c r="C308" s="62"/>
      <c r="D308" s="105"/>
      <c r="E308" s="105"/>
      <c r="F308" s="62"/>
      <c r="G308" s="62"/>
      <c r="H308" s="101"/>
      <c r="I308" s="112"/>
      <c r="J308" s="62"/>
      <c r="K308" s="62"/>
      <c r="L308" s="62"/>
      <c r="M308" s="62"/>
      <c r="N308" s="101"/>
      <c r="O308" s="63"/>
      <c r="P308" s="63"/>
      <c r="Q308" s="62"/>
      <c r="R308" s="101"/>
      <c r="S308" s="62"/>
      <c r="T308" s="62"/>
      <c r="U308" s="62"/>
      <c r="V308" s="62"/>
      <c r="BQ308" s="278"/>
      <c r="BR308" s="273">
        <f t="shared" si="47"/>
        <v>34</v>
      </c>
      <c r="BS308" s="274" t="str">
        <f t="shared" si="48"/>
        <v>53</v>
      </c>
      <c r="BT308" s="275" t="str">
        <f t="shared" si="49"/>
        <v>AURELIEN</v>
      </c>
      <c r="BU308" s="276" t="str">
        <f t="shared" si="50"/>
        <v>104</v>
      </c>
      <c r="BV308" s="277" t="str">
        <f t="shared" si="52"/>
        <v>RODRIGUE</v>
      </c>
      <c r="BW308" s="273">
        <f t="shared" si="52"/>
        <v>0</v>
      </c>
      <c r="BX308" s="273">
        <f t="shared" si="52"/>
        <v>0</v>
      </c>
    </row>
    <row r="309" spans="3:76">
      <c r="C309" s="62"/>
      <c r="D309" s="105"/>
      <c r="E309" s="105"/>
      <c r="F309" s="62"/>
      <c r="G309" s="62"/>
      <c r="H309" s="101"/>
      <c r="I309" s="112"/>
      <c r="J309" s="62"/>
      <c r="K309" s="62"/>
      <c r="L309" s="62"/>
      <c r="M309" s="62"/>
      <c r="N309" s="101"/>
      <c r="O309" s="63"/>
      <c r="P309" s="63"/>
      <c r="Q309" s="62"/>
      <c r="R309" s="101"/>
      <c r="S309" s="62"/>
      <c r="T309" s="62"/>
      <c r="U309" s="62"/>
      <c r="V309" s="62"/>
      <c r="BQ309" s="278"/>
      <c r="BR309" s="273">
        <f t="shared" si="47"/>
        <v>35</v>
      </c>
      <c r="BS309" s="274" t="str">
        <f t="shared" si="48"/>
        <v>39</v>
      </c>
      <c r="BT309" s="275" t="str">
        <f t="shared" si="49"/>
        <v xml:space="preserve">NICO  </v>
      </c>
      <c r="BU309" s="276" t="str">
        <f t="shared" si="50"/>
        <v>36</v>
      </c>
      <c r="BV309" s="277" t="str">
        <f t="shared" si="52"/>
        <v xml:space="preserve">ALCIDE  </v>
      </c>
      <c r="BW309" s="273">
        <f t="shared" si="52"/>
        <v>0</v>
      </c>
      <c r="BX309" s="273">
        <f t="shared" si="52"/>
        <v>0</v>
      </c>
    </row>
    <row r="310" spans="3:76">
      <c r="C310" s="62"/>
      <c r="D310" s="105"/>
      <c r="E310" s="105"/>
      <c r="F310" s="62"/>
      <c r="G310" s="62"/>
      <c r="H310" s="101"/>
      <c r="I310" s="112"/>
      <c r="J310" s="62"/>
      <c r="K310" s="62"/>
      <c r="L310" s="62"/>
      <c r="M310" s="62"/>
      <c r="N310" s="101"/>
      <c r="O310" s="63"/>
      <c r="P310" s="63"/>
      <c r="Q310" s="62"/>
      <c r="R310" s="101"/>
      <c r="S310" s="62"/>
      <c r="T310" s="62"/>
      <c r="U310" s="62"/>
      <c r="V310" s="62"/>
      <c r="BQ310" s="278"/>
      <c r="BR310" s="273">
        <f t="shared" si="47"/>
        <v>36</v>
      </c>
      <c r="BS310" s="274" t="str">
        <f t="shared" si="48"/>
        <v>29</v>
      </c>
      <c r="BT310" s="275" t="str">
        <f t="shared" si="49"/>
        <v xml:space="preserve">YOANN   </v>
      </c>
      <c r="BU310" s="276" t="str">
        <f t="shared" si="50"/>
        <v>18</v>
      </c>
      <c r="BV310" s="277" t="str">
        <f t="shared" si="52"/>
        <v xml:space="preserve">CHARLES  </v>
      </c>
      <c r="BW310" s="273">
        <f t="shared" si="52"/>
        <v>0</v>
      </c>
      <c r="BX310" s="273">
        <f t="shared" si="52"/>
        <v>0</v>
      </c>
    </row>
    <row r="311" spans="3:76">
      <c r="C311" s="62"/>
      <c r="D311" s="105"/>
      <c r="E311" s="105"/>
      <c r="F311" s="62"/>
      <c r="G311" s="62"/>
      <c r="H311" s="101"/>
      <c r="I311" s="112"/>
      <c r="J311" s="62"/>
      <c r="K311" s="62"/>
      <c r="L311" s="62"/>
      <c r="M311" s="62"/>
      <c r="N311" s="101"/>
      <c r="O311" s="63"/>
      <c r="P311" s="63"/>
      <c r="Q311" s="62"/>
      <c r="R311" s="101"/>
      <c r="S311" s="62"/>
      <c r="T311" s="62"/>
      <c r="U311" s="62"/>
      <c r="V311" s="62"/>
      <c r="BQ311" s="278"/>
      <c r="BR311" s="273">
        <f t="shared" si="47"/>
        <v>37</v>
      </c>
      <c r="BS311" s="274" t="str">
        <f t="shared" si="48"/>
        <v>41</v>
      </c>
      <c r="BT311" s="275" t="str">
        <f t="shared" si="49"/>
        <v>ETIENNE</v>
      </c>
      <c r="BU311" s="276" t="str">
        <f t="shared" si="50"/>
        <v>15</v>
      </c>
      <c r="BV311" s="277" t="str">
        <f t="shared" si="52"/>
        <v>JEAN PAUL</v>
      </c>
      <c r="BW311" s="273">
        <f t="shared" si="52"/>
        <v>0</v>
      </c>
      <c r="BX311" s="273">
        <f t="shared" si="52"/>
        <v>0</v>
      </c>
    </row>
    <row r="312" spans="3:76">
      <c r="C312" s="62"/>
      <c r="D312" s="105"/>
      <c r="E312" s="105"/>
      <c r="F312" s="62"/>
      <c r="G312" s="62"/>
      <c r="H312" s="101"/>
      <c r="I312" s="112"/>
      <c r="J312" s="62"/>
      <c r="K312" s="62"/>
      <c r="L312" s="62"/>
      <c r="M312" s="62"/>
      <c r="N312" s="101"/>
      <c r="O312" s="63"/>
      <c r="P312" s="63"/>
      <c r="Q312" s="62"/>
      <c r="R312" s="101"/>
      <c r="S312" s="62"/>
      <c r="T312" s="62"/>
      <c r="U312" s="62"/>
      <c r="V312" s="62"/>
      <c r="BQ312" s="278"/>
      <c r="BR312" s="273">
        <f t="shared" si="47"/>
        <v>38</v>
      </c>
      <c r="BS312" s="274" t="str">
        <f t="shared" si="48"/>
        <v>22</v>
      </c>
      <c r="BT312" s="275" t="str">
        <f t="shared" si="49"/>
        <v xml:space="preserve">LANDRY   </v>
      </c>
      <c r="BU312" s="276" t="str">
        <f t="shared" si="50"/>
        <v>106</v>
      </c>
      <c r="BV312" s="277" t="str">
        <f t="shared" si="52"/>
        <v>LOUISE</v>
      </c>
      <c r="BW312" s="273">
        <f t="shared" si="52"/>
        <v>0</v>
      </c>
      <c r="BX312" s="273">
        <f t="shared" si="52"/>
        <v>0</v>
      </c>
    </row>
    <row r="313" spans="3:76">
      <c r="C313" s="62"/>
      <c r="D313" s="105"/>
      <c r="E313" s="105"/>
      <c r="F313" s="62"/>
      <c r="G313" s="62"/>
      <c r="H313" s="101"/>
      <c r="I313" s="112"/>
      <c r="J313" s="62"/>
      <c r="K313" s="62"/>
      <c r="L313" s="62"/>
      <c r="M313" s="62"/>
      <c r="N313" s="101"/>
      <c r="O313" s="63"/>
      <c r="P313" s="63"/>
      <c r="Q313" s="62"/>
      <c r="R313" s="101"/>
      <c r="S313" s="62"/>
      <c r="T313" s="62"/>
      <c r="U313" s="62"/>
      <c r="V313" s="62"/>
      <c r="BQ313" s="278"/>
      <c r="BR313" s="273">
        <f t="shared" si="47"/>
        <v>39</v>
      </c>
      <c r="BS313" s="274" t="str">
        <f t="shared" si="48"/>
        <v>89</v>
      </c>
      <c r="BT313" s="275" t="str">
        <f t="shared" si="49"/>
        <v>BERNARD</v>
      </c>
      <c r="BU313" s="276" t="str">
        <f t="shared" si="50"/>
        <v>20</v>
      </c>
      <c r="BV313" s="277" t="str">
        <f t="shared" si="52"/>
        <v>JONATHAN</v>
      </c>
      <c r="BW313" s="273">
        <f t="shared" si="52"/>
        <v>0</v>
      </c>
      <c r="BX313" s="273">
        <f t="shared" si="52"/>
        <v>0</v>
      </c>
    </row>
    <row r="314" spans="3:76">
      <c r="C314" s="62"/>
      <c r="D314" s="105"/>
      <c r="E314" s="105"/>
      <c r="F314" s="62"/>
      <c r="G314" s="62"/>
      <c r="H314" s="101"/>
      <c r="I314" s="112"/>
      <c r="J314" s="62"/>
      <c r="K314" s="62"/>
      <c r="L314" s="62"/>
      <c r="M314" s="62"/>
      <c r="N314" s="101"/>
      <c r="O314" s="63"/>
      <c r="P314" s="63"/>
      <c r="Q314" s="62"/>
      <c r="R314" s="101"/>
      <c r="S314" s="62"/>
      <c r="T314" s="62"/>
      <c r="U314" s="62"/>
      <c r="V314" s="62"/>
      <c r="BQ314" s="278"/>
      <c r="BR314" s="273">
        <f t="shared" si="47"/>
        <v>40</v>
      </c>
      <c r="BS314" s="274" t="str">
        <f t="shared" si="48"/>
        <v>40</v>
      </c>
      <c r="BT314" s="275" t="str">
        <f t="shared" si="49"/>
        <v>VINCENT</v>
      </c>
      <c r="BU314" s="276" t="str">
        <f t="shared" si="50"/>
        <v>42</v>
      </c>
      <c r="BV314" s="277" t="str">
        <f t="shared" si="52"/>
        <v xml:space="preserve">FREDDY  </v>
      </c>
      <c r="BW314" s="273">
        <f t="shared" si="52"/>
        <v>0</v>
      </c>
      <c r="BX314" s="273">
        <f t="shared" si="52"/>
        <v>0</v>
      </c>
    </row>
    <row r="315" spans="3:76">
      <c r="C315" s="62"/>
      <c r="D315" s="105"/>
      <c r="E315" s="105"/>
      <c r="F315" s="62"/>
      <c r="G315" s="62"/>
      <c r="H315" s="101"/>
      <c r="I315" s="112"/>
      <c r="J315" s="62"/>
      <c r="K315" s="62"/>
      <c r="L315" s="62"/>
      <c r="M315" s="62"/>
      <c r="N315" s="101"/>
      <c r="O315" s="63"/>
      <c r="P315" s="63"/>
      <c r="Q315" s="62"/>
      <c r="R315" s="101"/>
      <c r="S315" s="62"/>
      <c r="T315" s="62"/>
      <c r="U315" s="62"/>
      <c r="V315" s="62"/>
      <c r="BQ315" s="278"/>
      <c r="BR315" s="273">
        <f t="shared" si="47"/>
        <v>41</v>
      </c>
      <c r="BS315" s="274" t="str">
        <f t="shared" si="48"/>
        <v>95</v>
      </c>
      <c r="BT315" s="275" t="str">
        <f t="shared" si="49"/>
        <v>RICHARD</v>
      </c>
      <c r="BU315" s="276" t="str">
        <f t="shared" si="50"/>
        <v>48</v>
      </c>
      <c r="BV315" s="277" t="str">
        <f t="shared" si="52"/>
        <v>LUC</v>
      </c>
      <c r="BW315" s="273">
        <f t="shared" si="52"/>
        <v>0</v>
      </c>
      <c r="BX315" s="273">
        <f t="shared" si="52"/>
        <v>0</v>
      </c>
    </row>
    <row r="316" spans="3:76">
      <c r="C316" s="62"/>
      <c r="D316" s="105"/>
      <c r="E316" s="105"/>
      <c r="F316" s="62"/>
      <c r="G316" s="62"/>
      <c r="H316" s="101"/>
      <c r="I316" s="112"/>
      <c r="J316" s="62"/>
      <c r="K316" s="62"/>
      <c r="L316" s="62"/>
      <c r="M316" s="62"/>
      <c r="N316" s="101"/>
      <c r="O316" s="63"/>
      <c r="P316" s="63"/>
      <c r="Q316" s="62"/>
      <c r="R316" s="101"/>
      <c r="S316" s="62"/>
      <c r="T316" s="62"/>
      <c r="U316" s="62"/>
      <c r="V316" s="62"/>
      <c r="BQ316" s="278"/>
      <c r="BR316" s="273">
        <f t="shared" si="47"/>
        <v>42</v>
      </c>
      <c r="BS316" s="274" t="str">
        <f t="shared" si="48"/>
        <v>43</v>
      </c>
      <c r="BT316" s="275" t="str">
        <f t="shared" si="49"/>
        <v>ALLAIRE</v>
      </c>
      <c r="BU316" s="276" t="str">
        <f t="shared" si="50"/>
        <v>38</v>
      </c>
      <c r="BV316" s="277" t="str">
        <f t="shared" si="52"/>
        <v xml:space="preserve">ROMAIN  </v>
      </c>
      <c r="BW316" s="273">
        <f t="shared" si="52"/>
        <v>0</v>
      </c>
      <c r="BX316" s="273">
        <f t="shared" si="52"/>
        <v>0</v>
      </c>
    </row>
    <row r="317" spans="3:76">
      <c r="C317" s="62"/>
      <c r="D317" s="105"/>
      <c r="E317" s="105"/>
      <c r="F317" s="62"/>
      <c r="G317" s="62"/>
      <c r="H317" s="101"/>
      <c r="I317" s="112"/>
      <c r="J317" s="62"/>
      <c r="K317" s="62"/>
      <c r="L317" s="62"/>
      <c r="M317" s="62"/>
      <c r="N317" s="101"/>
      <c r="O317" s="63"/>
      <c r="P317" s="63"/>
      <c r="Q317" s="62"/>
      <c r="R317" s="101"/>
      <c r="S317" s="62"/>
      <c r="T317" s="62"/>
      <c r="U317" s="62"/>
      <c r="V317" s="62"/>
      <c r="BQ317" s="278"/>
      <c r="BR317" s="273">
        <f t="shared" si="47"/>
        <v>43</v>
      </c>
      <c r="BS317" s="274" t="str">
        <f t="shared" si="48"/>
        <v>51</v>
      </c>
      <c r="BT317" s="275" t="str">
        <f t="shared" si="49"/>
        <v>BEAUDOUIN</v>
      </c>
      <c r="BU317" s="276" t="str">
        <f t="shared" si="50"/>
        <v>4</v>
      </c>
      <c r="BV317" s="277" t="str">
        <f t="shared" si="52"/>
        <v>DENISE</v>
      </c>
      <c r="BW317" s="273">
        <f t="shared" si="52"/>
        <v>0</v>
      </c>
      <c r="BX317" s="273">
        <f t="shared" si="52"/>
        <v>0</v>
      </c>
    </row>
    <row r="318" spans="3:76">
      <c r="C318" s="62"/>
      <c r="D318" s="105"/>
      <c r="E318" s="105"/>
      <c r="F318" s="62"/>
      <c r="G318" s="62"/>
      <c r="H318" s="101"/>
      <c r="I318" s="112"/>
      <c r="J318" s="62"/>
      <c r="K318" s="62"/>
      <c r="L318" s="62"/>
      <c r="M318" s="62"/>
      <c r="N318" s="101"/>
      <c r="O318" s="63"/>
      <c r="P318" s="63"/>
      <c r="Q318" s="62"/>
      <c r="R318" s="101"/>
      <c r="S318" s="62"/>
      <c r="T318" s="62"/>
      <c r="U318" s="62"/>
      <c r="V318" s="62"/>
      <c r="BQ318" s="278"/>
      <c r="BR318" s="273">
        <f t="shared" si="47"/>
        <v>44</v>
      </c>
      <c r="BS318" s="274" t="str">
        <f t="shared" si="48"/>
        <v>90</v>
      </c>
      <c r="BT318" s="275" t="str">
        <f t="shared" si="49"/>
        <v>VALENTIN</v>
      </c>
      <c r="BU318" s="276" t="str">
        <f t="shared" si="50"/>
        <v>84</v>
      </c>
      <c r="BV318" s="277" t="str">
        <f t="shared" si="52"/>
        <v>BASILE</v>
      </c>
      <c r="BW318" s="273">
        <f t="shared" si="52"/>
        <v>0</v>
      </c>
      <c r="BX318" s="273">
        <f t="shared" si="52"/>
        <v>0</v>
      </c>
    </row>
    <row r="319" spans="3:76">
      <c r="C319" s="62"/>
      <c r="D319" s="105"/>
      <c r="E319" s="105"/>
      <c r="F319" s="62"/>
      <c r="G319" s="62"/>
      <c r="H319" s="101"/>
      <c r="I319" s="112"/>
      <c r="J319" s="62"/>
      <c r="K319" s="62"/>
      <c r="L319" s="62"/>
      <c r="M319" s="62"/>
      <c r="N319" s="101"/>
      <c r="O319" s="63"/>
      <c r="P319" s="63"/>
      <c r="Q319" s="62"/>
      <c r="R319" s="101"/>
      <c r="S319" s="62"/>
      <c r="T319" s="62"/>
      <c r="U319" s="62"/>
      <c r="V319" s="62"/>
      <c r="BQ319" s="278"/>
      <c r="BR319" s="273">
        <f t="shared" si="47"/>
        <v>45</v>
      </c>
      <c r="BS319" s="274" t="str">
        <f t="shared" si="48"/>
        <v>1</v>
      </c>
      <c r="BT319" s="275" t="str">
        <f t="shared" si="49"/>
        <v>PETER</v>
      </c>
      <c r="BU319" s="276" t="str">
        <f t="shared" si="50"/>
        <v>23</v>
      </c>
      <c r="BV319" s="277" t="str">
        <f t="shared" si="52"/>
        <v>MARTIAL</v>
      </c>
      <c r="BW319" s="273">
        <f t="shared" si="52"/>
        <v>0</v>
      </c>
      <c r="BX319" s="273">
        <f t="shared" si="52"/>
        <v>0</v>
      </c>
    </row>
    <row r="320" spans="3:76">
      <c r="C320" s="62"/>
      <c r="D320" s="105"/>
      <c r="E320" s="105"/>
      <c r="F320" s="62"/>
      <c r="G320" s="62"/>
      <c r="H320" s="101"/>
      <c r="I320" s="112"/>
      <c r="J320" s="62"/>
      <c r="K320" s="62"/>
      <c r="L320" s="62"/>
      <c r="M320" s="62"/>
      <c r="N320" s="101"/>
      <c r="O320" s="63"/>
      <c r="P320" s="63"/>
      <c r="Q320" s="62"/>
      <c r="R320" s="101"/>
      <c r="S320" s="62"/>
      <c r="T320" s="62"/>
      <c r="U320" s="62"/>
      <c r="V320" s="62"/>
      <c r="BQ320" s="278"/>
      <c r="BR320" s="273">
        <f t="shared" si="47"/>
        <v>46</v>
      </c>
      <c r="BS320" s="274" t="str">
        <f t="shared" si="48"/>
        <v>65</v>
      </c>
      <c r="BT320" s="275" t="str">
        <f t="shared" si="49"/>
        <v>GEOFFROY</v>
      </c>
      <c r="BU320" s="276" t="str">
        <f t="shared" si="50"/>
        <v>76</v>
      </c>
      <c r="BV320" s="277" t="str">
        <f t="shared" si="52"/>
        <v>AMBROISE</v>
      </c>
      <c r="BW320" s="273">
        <f t="shared" si="52"/>
        <v>0</v>
      </c>
      <c r="BX320" s="273">
        <f t="shared" si="52"/>
        <v>0</v>
      </c>
    </row>
    <row r="321" spans="3:76">
      <c r="C321" s="62"/>
      <c r="D321" s="105"/>
      <c r="E321" s="105"/>
      <c r="F321" s="62"/>
      <c r="G321" s="62"/>
      <c r="H321" s="101"/>
      <c r="I321" s="112"/>
      <c r="J321" s="62"/>
      <c r="K321" s="62"/>
      <c r="L321" s="62"/>
      <c r="M321" s="62"/>
      <c r="N321" s="101"/>
      <c r="O321" s="63"/>
      <c r="P321" s="63"/>
      <c r="Q321" s="62"/>
      <c r="R321" s="101"/>
      <c r="S321" s="62"/>
      <c r="T321" s="62"/>
      <c r="U321" s="62"/>
      <c r="V321" s="62"/>
      <c r="BQ321" s="278"/>
      <c r="BR321" s="273">
        <f t="shared" si="47"/>
        <v>47</v>
      </c>
      <c r="BS321" s="274" t="str">
        <f t="shared" si="48"/>
        <v>33</v>
      </c>
      <c r="BT321" s="275" t="str">
        <f t="shared" si="49"/>
        <v xml:space="preserve">BRUNO  </v>
      </c>
      <c r="BU321" s="276" t="str">
        <f t="shared" si="50"/>
        <v>46</v>
      </c>
      <c r="BV321" s="277" t="str">
        <f t="shared" si="52"/>
        <v xml:space="preserve">SERGE  </v>
      </c>
      <c r="BW321" s="273">
        <f t="shared" si="52"/>
        <v>0</v>
      </c>
      <c r="BX321" s="273">
        <f t="shared" si="52"/>
        <v>0</v>
      </c>
    </row>
    <row r="322" spans="3:76">
      <c r="C322" s="62"/>
      <c r="D322" s="105"/>
      <c r="E322" s="105"/>
      <c r="F322" s="62"/>
      <c r="G322" s="62"/>
      <c r="H322" s="101"/>
      <c r="I322" s="112"/>
      <c r="J322" s="62"/>
      <c r="K322" s="62"/>
      <c r="L322" s="62"/>
      <c r="M322" s="62"/>
      <c r="N322" s="101"/>
      <c r="O322" s="63"/>
      <c r="P322" s="63"/>
      <c r="Q322" s="62"/>
      <c r="R322" s="101"/>
      <c r="S322" s="62"/>
      <c r="T322" s="62"/>
      <c r="U322" s="62"/>
      <c r="V322" s="62"/>
      <c r="BQ322" s="278"/>
      <c r="BR322" s="273">
        <f t="shared" si="47"/>
        <v>48</v>
      </c>
      <c r="BS322" s="274" t="str">
        <f t="shared" si="48"/>
        <v>62</v>
      </c>
      <c r="BT322" s="275" t="str">
        <f t="shared" si="49"/>
        <v>DIMITRI</v>
      </c>
      <c r="BU322" s="276" t="str">
        <f t="shared" si="50"/>
        <v>79</v>
      </c>
      <c r="BV322" s="277" t="str">
        <f t="shared" si="52"/>
        <v>GATIEN</v>
      </c>
      <c r="BW322" s="273">
        <f t="shared" si="52"/>
        <v>0</v>
      </c>
      <c r="BX322" s="273">
        <f t="shared" si="52"/>
        <v>0</v>
      </c>
    </row>
    <row r="323" spans="3:76">
      <c r="C323" s="62"/>
      <c r="D323" s="105"/>
      <c r="E323" s="105"/>
      <c r="F323" s="62"/>
      <c r="G323" s="62"/>
      <c r="H323" s="101"/>
      <c r="I323" s="112"/>
      <c r="J323" s="62"/>
      <c r="K323" s="62"/>
      <c r="L323" s="62"/>
      <c r="M323" s="62"/>
      <c r="N323" s="101"/>
      <c r="O323" s="63"/>
      <c r="P323" s="63"/>
      <c r="Q323" s="62"/>
      <c r="R323" s="101"/>
      <c r="S323" s="62"/>
      <c r="T323" s="62"/>
      <c r="U323" s="62"/>
      <c r="V323" s="62"/>
      <c r="BQ323" s="278"/>
      <c r="BR323" s="273">
        <f t="shared" si="47"/>
        <v>49</v>
      </c>
      <c r="BS323" s="274" t="str">
        <f t="shared" si="48"/>
        <v>52</v>
      </c>
      <c r="BT323" s="275" t="str">
        <f t="shared" si="49"/>
        <v>ABEL</v>
      </c>
      <c r="BU323" s="276" t="str">
        <f t="shared" si="50"/>
        <v>75</v>
      </c>
      <c r="BV323" s="277" t="str">
        <f t="shared" si="52"/>
        <v>NICOLAS</v>
      </c>
      <c r="BW323" s="273">
        <f t="shared" si="52"/>
        <v>0</v>
      </c>
      <c r="BX323" s="273">
        <f t="shared" si="52"/>
        <v>0</v>
      </c>
    </row>
    <row r="324" spans="3:76">
      <c r="C324" s="62"/>
      <c r="D324" s="105"/>
      <c r="E324" s="105"/>
      <c r="F324" s="62"/>
      <c r="G324" s="62"/>
      <c r="H324" s="101"/>
      <c r="I324" s="112"/>
      <c r="J324" s="62"/>
      <c r="K324" s="62"/>
      <c r="L324" s="62"/>
      <c r="M324" s="62"/>
      <c r="N324" s="101"/>
      <c r="O324" s="63"/>
      <c r="P324" s="63"/>
      <c r="Q324" s="62"/>
      <c r="R324" s="101"/>
      <c r="S324" s="62"/>
      <c r="T324" s="62"/>
      <c r="U324" s="62"/>
      <c r="V324" s="62"/>
      <c r="BQ324" s="278"/>
      <c r="BR324" s="273">
        <f t="shared" si="47"/>
        <v>50</v>
      </c>
      <c r="BS324" s="274" t="str">
        <f t="shared" si="48"/>
        <v>67</v>
      </c>
      <c r="BT324" s="275" t="str">
        <f t="shared" si="49"/>
        <v>YVONNICK</v>
      </c>
      <c r="BU324" s="276" t="str">
        <f t="shared" si="50"/>
        <v>80</v>
      </c>
      <c r="BV324" s="277" t="str">
        <f t="shared" si="52"/>
        <v>LUCIE</v>
      </c>
      <c r="BW324" s="273">
        <f t="shared" si="52"/>
        <v>0</v>
      </c>
      <c r="BX324" s="273">
        <f t="shared" si="52"/>
        <v>0</v>
      </c>
    </row>
    <row r="325" spans="3:76">
      <c r="C325" s="62"/>
      <c r="D325" s="105"/>
      <c r="E325" s="105"/>
      <c r="F325" s="62"/>
      <c r="G325" s="62"/>
      <c r="H325" s="101"/>
      <c r="I325" s="112"/>
      <c r="J325" s="62"/>
      <c r="K325" s="62"/>
      <c r="L325" s="62"/>
      <c r="M325" s="62"/>
      <c r="N325" s="101"/>
      <c r="O325" s="63"/>
      <c r="P325" s="63"/>
      <c r="Q325" s="62"/>
      <c r="R325" s="101"/>
      <c r="S325" s="62"/>
      <c r="T325" s="62"/>
      <c r="U325" s="62"/>
      <c r="V325" s="62"/>
      <c r="BQ325" s="278"/>
      <c r="BR325" s="273">
        <f t="shared" si="47"/>
        <v>51</v>
      </c>
      <c r="BS325" s="274" t="str">
        <f t="shared" si="48"/>
        <v>54</v>
      </c>
      <c r="BT325" s="275" t="str">
        <f t="shared" si="49"/>
        <v>DAMIEN</v>
      </c>
      <c r="BU325" s="276" t="str">
        <f t="shared" si="50"/>
        <v>66</v>
      </c>
      <c r="BV325" s="277" t="str">
        <f t="shared" si="52"/>
        <v>FLORIAN</v>
      </c>
      <c r="BW325" s="273">
        <f t="shared" si="52"/>
        <v>0</v>
      </c>
      <c r="BX325" s="273">
        <f t="shared" si="52"/>
        <v>0</v>
      </c>
    </row>
    <row r="326" spans="3:76">
      <c r="C326" s="62"/>
      <c r="D326" s="105"/>
      <c r="E326" s="105"/>
      <c r="F326" s="62"/>
      <c r="G326" s="62"/>
      <c r="H326" s="101"/>
      <c r="I326" s="112"/>
      <c r="J326" s="62"/>
      <c r="K326" s="62"/>
      <c r="L326" s="62"/>
      <c r="M326" s="62"/>
      <c r="N326" s="101"/>
      <c r="O326" s="63"/>
      <c r="P326" s="63"/>
      <c r="Q326" s="62"/>
      <c r="R326" s="101"/>
      <c r="S326" s="62"/>
      <c r="T326" s="62"/>
      <c r="U326" s="62"/>
      <c r="V326" s="62"/>
      <c r="BQ326" s="278"/>
      <c r="BR326" s="273">
        <f t="shared" si="47"/>
        <v>52</v>
      </c>
      <c r="BS326" s="274" t="str">
        <f t="shared" si="48"/>
        <v>34</v>
      </c>
      <c r="BT326" s="275" t="str">
        <f t="shared" si="49"/>
        <v xml:space="preserve">JOE  </v>
      </c>
      <c r="BU326" s="276" t="str">
        <f t="shared" si="50"/>
        <v>83</v>
      </c>
      <c r="BV326" s="277" t="str">
        <f t="shared" si="52"/>
        <v>ETIENNE</v>
      </c>
      <c r="BW326" s="273">
        <f t="shared" si="52"/>
        <v>0</v>
      </c>
      <c r="BX326" s="273">
        <f t="shared" si="52"/>
        <v>0</v>
      </c>
    </row>
    <row r="327" spans="3:76">
      <c r="C327" s="62"/>
      <c r="D327" s="105"/>
      <c r="E327" s="105"/>
      <c r="F327" s="62"/>
      <c r="G327" s="62"/>
      <c r="H327" s="101"/>
      <c r="I327" s="112"/>
      <c r="J327" s="62"/>
      <c r="K327" s="62"/>
      <c r="L327" s="62"/>
      <c r="M327" s="62"/>
      <c r="N327" s="101"/>
      <c r="O327" s="63"/>
      <c r="P327" s="63"/>
      <c r="Q327" s="62"/>
      <c r="R327" s="101"/>
      <c r="S327" s="62"/>
      <c r="T327" s="62"/>
      <c r="U327" s="62"/>
      <c r="V327" s="62"/>
      <c r="BQ327" s="278"/>
      <c r="BR327" s="273">
        <f t="shared" si="47"/>
        <v>53</v>
      </c>
      <c r="BS327" s="274" t="str">
        <f t="shared" si="48"/>
        <v>105</v>
      </c>
      <c r="BT327" s="275" t="str">
        <f t="shared" si="49"/>
        <v>CYRILL</v>
      </c>
      <c r="BU327" s="276" t="str">
        <f t="shared" si="50"/>
        <v>86</v>
      </c>
      <c r="BV327" s="277" t="str">
        <f t="shared" si="52"/>
        <v>LUCIEN</v>
      </c>
      <c r="BW327" s="273">
        <f t="shared" si="52"/>
        <v>0</v>
      </c>
      <c r="BX327" s="273">
        <f t="shared" si="52"/>
        <v>0</v>
      </c>
    </row>
    <row r="328" spans="3:76">
      <c r="C328" s="62"/>
      <c r="D328" s="105"/>
      <c r="E328" s="105"/>
      <c r="F328" s="62"/>
      <c r="G328" s="62"/>
      <c r="H328" s="101"/>
      <c r="I328" s="112"/>
      <c r="J328" s="62"/>
      <c r="K328" s="62"/>
      <c r="L328" s="62"/>
      <c r="M328" s="62"/>
      <c r="N328" s="101"/>
      <c r="O328" s="63"/>
      <c r="P328" s="63"/>
      <c r="Q328" s="62"/>
      <c r="R328" s="101"/>
      <c r="S328" s="62"/>
      <c r="T328" s="62"/>
      <c r="U328" s="62"/>
      <c r="V328" s="62"/>
      <c r="BQ328" s="278"/>
      <c r="BR328" s="273">
        <f t="shared" si="47"/>
        <v>54</v>
      </c>
      <c r="BS328" s="274" t="str">
        <f t="shared" si="48"/>
        <v>8</v>
      </c>
      <c r="BT328" s="275" t="str">
        <f t="shared" si="49"/>
        <v>THIBAULT</v>
      </c>
      <c r="BU328" s="276" t="str">
        <f t="shared" si="50"/>
        <v>99</v>
      </c>
      <c r="BV328" s="277" t="str">
        <f t="shared" si="52"/>
        <v>ROLANDE</v>
      </c>
      <c r="BW328" s="273">
        <f t="shared" si="52"/>
        <v>0</v>
      </c>
      <c r="BX328" s="273">
        <f t="shared" si="52"/>
        <v>0</v>
      </c>
    </row>
    <row r="329" spans="3:76">
      <c r="C329" s="62"/>
      <c r="D329" s="105"/>
      <c r="E329" s="105"/>
      <c r="F329" s="62"/>
      <c r="G329" s="62"/>
      <c r="H329" s="101"/>
      <c r="I329" s="112"/>
      <c r="J329" s="62"/>
      <c r="K329" s="62"/>
      <c r="L329" s="62"/>
      <c r="M329" s="62"/>
      <c r="N329" s="101"/>
      <c r="O329" s="63"/>
      <c r="P329" s="63"/>
      <c r="Q329" s="62"/>
      <c r="R329" s="101"/>
      <c r="S329" s="62"/>
      <c r="T329" s="62"/>
      <c r="U329" s="62"/>
      <c r="V329" s="62"/>
      <c r="BQ329" s="278"/>
      <c r="BR329" s="273">
        <f t="shared" si="47"/>
        <v>55</v>
      </c>
      <c r="BS329" s="274" t="str">
        <f t="shared" si="48"/>
        <v>30</v>
      </c>
      <c r="BT329" s="275" t="str">
        <f t="shared" si="49"/>
        <v xml:space="preserve">PATRICK   </v>
      </c>
      <c r="BU329" s="276" t="str">
        <f t="shared" si="50"/>
        <v>56</v>
      </c>
      <c r="BV329" s="277" t="str">
        <f t="shared" si="52"/>
        <v xml:space="preserve">RENE  </v>
      </c>
      <c r="BW329" s="273">
        <f t="shared" si="52"/>
        <v>0</v>
      </c>
      <c r="BX329" s="273">
        <f t="shared" si="52"/>
        <v>0</v>
      </c>
    </row>
    <row r="330" spans="3:76">
      <c r="C330" s="62"/>
      <c r="D330" s="105"/>
      <c r="E330" s="105"/>
      <c r="F330" s="62"/>
      <c r="G330" s="62"/>
      <c r="H330" s="101"/>
      <c r="I330" s="112"/>
      <c r="J330" s="62"/>
      <c r="K330" s="62"/>
      <c r="L330" s="62"/>
      <c r="M330" s="62"/>
      <c r="N330" s="101"/>
      <c r="O330" s="63"/>
      <c r="P330" s="63"/>
      <c r="Q330" s="62"/>
      <c r="R330" s="101"/>
      <c r="S330" s="62"/>
      <c r="T330" s="62"/>
      <c r="U330" s="62"/>
      <c r="V330" s="62"/>
      <c r="BQ330" s="278"/>
      <c r="BR330" s="273">
        <f t="shared" si="47"/>
        <v>56</v>
      </c>
      <c r="BS330" s="274" t="str">
        <f t="shared" si="48"/>
        <v>102</v>
      </c>
      <c r="BT330" s="275" t="str">
        <f t="shared" si="49"/>
        <v>DONATIEN</v>
      </c>
      <c r="BU330" s="276" t="str">
        <f t="shared" si="50"/>
        <v>13</v>
      </c>
      <c r="BV330" s="277" t="str">
        <f t="shared" si="52"/>
        <v>JEAN PIERRE</v>
      </c>
      <c r="BW330" s="273">
        <f t="shared" si="52"/>
        <v>0</v>
      </c>
      <c r="BX330" s="273">
        <f t="shared" si="52"/>
        <v>0</v>
      </c>
    </row>
    <row r="331" spans="3:76">
      <c r="C331" s="62"/>
      <c r="D331" s="105"/>
      <c r="E331" s="105"/>
      <c r="F331" s="62"/>
      <c r="G331" s="62"/>
      <c r="H331" s="101"/>
      <c r="I331" s="112"/>
      <c r="J331" s="62"/>
      <c r="K331" s="62"/>
      <c r="L331" s="62"/>
      <c r="M331" s="62"/>
      <c r="N331" s="101"/>
      <c r="O331" s="63"/>
      <c r="P331" s="63"/>
      <c r="Q331" s="62"/>
      <c r="R331" s="101"/>
      <c r="S331" s="62"/>
      <c r="T331" s="62"/>
      <c r="U331" s="62"/>
      <c r="V331" s="62"/>
      <c r="BQ331" s="278"/>
      <c r="BR331" s="273">
        <f t="shared" si="47"/>
        <v>57</v>
      </c>
      <c r="BS331" s="274" t="str">
        <f t="shared" si="48"/>
        <v>68</v>
      </c>
      <c r="BT331" s="275" t="str">
        <f t="shared" si="49"/>
        <v>BRICE</v>
      </c>
      <c r="BU331" s="276" t="str">
        <f t="shared" si="50"/>
        <v>72</v>
      </c>
      <c r="BV331" s="277" t="str">
        <f t="shared" si="52"/>
        <v>DELPHINE</v>
      </c>
      <c r="BW331" s="273">
        <f t="shared" si="52"/>
        <v>0</v>
      </c>
      <c r="BX331" s="273">
        <f t="shared" si="52"/>
        <v>0</v>
      </c>
    </row>
    <row r="332" spans="3:76">
      <c r="C332" s="62"/>
      <c r="D332" s="105"/>
      <c r="E332" s="105"/>
      <c r="F332" s="62"/>
      <c r="G332" s="62"/>
      <c r="H332" s="101"/>
      <c r="I332" s="112"/>
      <c r="J332" s="62"/>
      <c r="K332" s="62"/>
      <c r="L332" s="62"/>
      <c r="M332" s="62"/>
      <c r="N332" s="101"/>
      <c r="O332" s="63"/>
      <c r="P332" s="63"/>
      <c r="Q332" s="62"/>
      <c r="R332" s="101"/>
      <c r="S332" s="62"/>
      <c r="T332" s="62"/>
      <c r="U332" s="62"/>
      <c r="V332" s="62"/>
      <c r="BQ332" s="278"/>
      <c r="BR332" s="273">
        <f t="shared" si="47"/>
        <v>58</v>
      </c>
      <c r="BS332" s="274" t="str">
        <f t="shared" si="48"/>
        <v>12</v>
      </c>
      <c r="BT332" s="275" t="str">
        <f t="shared" si="49"/>
        <v>ALAIN</v>
      </c>
      <c r="BU332" s="276" t="str">
        <f t="shared" si="50"/>
        <v>58</v>
      </c>
      <c r="BV332" s="277" t="str">
        <f t="shared" si="52"/>
        <v>FRANCIS</v>
      </c>
      <c r="BW332" s="273">
        <f t="shared" si="52"/>
        <v>0</v>
      </c>
      <c r="BX332" s="273">
        <f t="shared" si="52"/>
        <v>0</v>
      </c>
    </row>
    <row r="333" spans="3:76">
      <c r="C333" s="62"/>
      <c r="D333" s="105"/>
      <c r="E333" s="105"/>
      <c r="F333" s="62"/>
      <c r="G333" s="62"/>
      <c r="H333" s="101"/>
      <c r="I333" s="112"/>
      <c r="J333" s="62"/>
      <c r="K333" s="62"/>
      <c r="L333" s="62"/>
      <c r="M333" s="62"/>
      <c r="N333" s="101"/>
      <c r="O333" s="63"/>
      <c r="P333" s="63"/>
      <c r="Q333" s="62"/>
      <c r="R333" s="101"/>
      <c r="S333" s="62"/>
      <c r="T333" s="62"/>
      <c r="U333" s="62"/>
      <c r="V333" s="62"/>
      <c r="BQ333" s="278"/>
      <c r="BR333" s="273">
        <f t="shared" si="47"/>
        <v>59</v>
      </c>
      <c r="BS333" s="274" t="str">
        <f t="shared" si="48"/>
        <v>100</v>
      </c>
      <c r="BT333" s="275" t="str">
        <f t="shared" si="49"/>
        <v>CONSTANTIN</v>
      </c>
      <c r="BU333" s="276" t="str">
        <f t="shared" si="50"/>
        <v>32</v>
      </c>
      <c r="BV333" s="277" t="str">
        <f t="shared" si="52"/>
        <v xml:space="preserve">ADELINE  </v>
      </c>
      <c r="BW333" s="273">
        <f t="shared" si="52"/>
        <v>0</v>
      </c>
      <c r="BX333" s="273">
        <f t="shared" si="52"/>
        <v>0</v>
      </c>
    </row>
    <row r="334" spans="3:76">
      <c r="C334" s="62"/>
      <c r="D334" s="105"/>
      <c r="E334" s="105"/>
      <c r="F334" s="62"/>
      <c r="G334" s="62"/>
      <c r="H334" s="101"/>
      <c r="I334" s="112"/>
      <c r="J334" s="62"/>
      <c r="K334" s="62"/>
      <c r="L334" s="62"/>
      <c r="M334" s="62"/>
      <c r="N334" s="101"/>
      <c r="O334" s="63"/>
      <c r="P334" s="63"/>
      <c r="Q334" s="62"/>
      <c r="R334" s="101"/>
      <c r="S334" s="62"/>
      <c r="T334" s="62"/>
      <c r="U334" s="62"/>
      <c r="V334" s="62"/>
      <c r="BQ334" s="278"/>
      <c r="BR334" s="273">
        <f t="shared" si="47"/>
        <v>60</v>
      </c>
      <c r="BS334" s="274" t="str">
        <f t="shared" si="48"/>
        <v/>
      </c>
      <c r="BT334" s="275" t="str">
        <f t="shared" si="49"/>
        <v/>
      </c>
      <c r="BU334" s="276" t="str">
        <f t="shared" si="50"/>
        <v/>
      </c>
      <c r="BV334" s="277" t="str">
        <f t="shared" si="52"/>
        <v/>
      </c>
      <c r="BW334" s="273">
        <f t="shared" si="52"/>
        <v>0</v>
      </c>
      <c r="BX334" s="273">
        <f t="shared" si="52"/>
        <v>0</v>
      </c>
    </row>
    <row r="335" spans="3:76">
      <c r="C335" s="62"/>
      <c r="D335" s="105"/>
      <c r="E335" s="105"/>
      <c r="F335" s="62"/>
      <c r="G335" s="62"/>
      <c r="H335" s="101"/>
      <c r="I335" s="112"/>
      <c r="J335" s="62"/>
      <c r="K335" s="62"/>
      <c r="L335" s="62"/>
      <c r="M335" s="62"/>
      <c r="N335" s="101"/>
      <c r="O335" s="63"/>
      <c r="P335" s="63"/>
      <c r="Q335" s="62"/>
      <c r="R335" s="101"/>
      <c r="S335" s="62"/>
      <c r="T335" s="62"/>
      <c r="U335" s="62"/>
      <c r="V335" s="62"/>
      <c r="BQ335" s="278"/>
      <c r="BR335" s="273">
        <f t="shared" si="47"/>
        <v>61</v>
      </c>
      <c r="BS335" s="274" t="str">
        <f t="shared" si="48"/>
        <v/>
      </c>
      <c r="BT335" s="275" t="str">
        <f t="shared" si="49"/>
        <v/>
      </c>
      <c r="BU335" s="276" t="str">
        <f t="shared" si="50"/>
        <v/>
      </c>
      <c r="BV335" s="277" t="str">
        <f t="shared" si="52"/>
        <v/>
      </c>
      <c r="BW335" s="273">
        <f t="shared" si="52"/>
        <v>0</v>
      </c>
      <c r="BX335" s="273">
        <f t="shared" si="52"/>
        <v>0</v>
      </c>
    </row>
    <row r="336" spans="3:76">
      <c r="C336" s="62"/>
      <c r="D336" s="105"/>
      <c r="E336" s="105"/>
      <c r="F336" s="62"/>
      <c r="G336" s="62"/>
      <c r="H336" s="101"/>
      <c r="I336" s="112"/>
      <c r="J336" s="62"/>
      <c r="K336" s="62"/>
      <c r="L336" s="62"/>
      <c r="M336" s="62"/>
      <c r="N336" s="101"/>
      <c r="O336" s="63"/>
      <c r="P336" s="63"/>
      <c r="Q336" s="62"/>
      <c r="R336" s="101"/>
      <c r="S336" s="62"/>
      <c r="T336" s="62"/>
      <c r="U336" s="62"/>
      <c r="V336" s="62"/>
      <c r="BQ336" s="278"/>
      <c r="BR336" s="273">
        <f t="shared" si="47"/>
        <v>62</v>
      </c>
      <c r="BS336" s="274" t="str">
        <f t="shared" si="48"/>
        <v/>
      </c>
      <c r="BT336" s="275" t="str">
        <f t="shared" si="49"/>
        <v/>
      </c>
      <c r="BU336" s="276" t="str">
        <f t="shared" si="50"/>
        <v/>
      </c>
      <c r="BV336" s="277" t="str">
        <f t="shared" si="52"/>
        <v/>
      </c>
      <c r="BW336" s="273">
        <f t="shared" si="52"/>
        <v>0</v>
      </c>
      <c r="BX336" s="273">
        <f t="shared" si="52"/>
        <v>0</v>
      </c>
    </row>
    <row r="337" spans="3:76">
      <c r="C337" s="62"/>
      <c r="D337" s="105"/>
      <c r="E337" s="105"/>
      <c r="F337" s="62"/>
      <c r="G337" s="62"/>
      <c r="H337" s="101"/>
      <c r="I337" s="112"/>
      <c r="J337" s="62"/>
      <c r="K337" s="62"/>
      <c r="L337" s="62"/>
      <c r="M337" s="62"/>
      <c r="N337" s="101"/>
      <c r="O337" s="63"/>
      <c r="P337" s="63"/>
      <c r="Q337" s="62"/>
      <c r="R337" s="101"/>
      <c r="S337" s="62"/>
      <c r="T337" s="62"/>
      <c r="U337" s="62"/>
      <c r="V337" s="62"/>
      <c r="BQ337" s="278"/>
      <c r="BR337" s="273">
        <f t="shared" si="47"/>
        <v>63</v>
      </c>
      <c r="BS337" s="274" t="str">
        <f t="shared" si="48"/>
        <v/>
      </c>
      <c r="BT337" s="275" t="str">
        <f t="shared" si="49"/>
        <v/>
      </c>
      <c r="BU337" s="276" t="str">
        <f t="shared" si="50"/>
        <v/>
      </c>
      <c r="BV337" s="277" t="str">
        <f t="shared" si="52"/>
        <v/>
      </c>
      <c r="BW337" s="273">
        <f t="shared" si="52"/>
        <v>0</v>
      </c>
      <c r="BX337" s="273">
        <f t="shared" si="52"/>
        <v>0</v>
      </c>
    </row>
    <row r="338" spans="3:76">
      <c r="C338" s="62"/>
      <c r="D338" s="105"/>
      <c r="E338" s="105"/>
      <c r="F338" s="62"/>
      <c r="G338" s="62"/>
      <c r="H338" s="101"/>
      <c r="I338" s="112"/>
      <c r="J338" s="62"/>
      <c r="K338" s="62"/>
      <c r="L338" s="62"/>
      <c r="M338" s="62"/>
      <c r="N338" s="101"/>
      <c r="O338" s="63"/>
      <c r="P338" s="63"/>
      <c r="Q338" s="62"/>
      <c r="R338" s="101"/>
      <c r="S338" s="62"/>
      <c r="T338" s="62"/>
      <c r="U338" s="62"/>
      <c r="V338" s="62"/>
      <c r="BQ338" s="278"/>
      <c r="BR338" s="273">
        <f t="shared" si="47"/>
        <v>64</v>
      </c>
      <c r="BS338" s="274" t="str">
        <f t="shared" si="48"/>
        <v/>
      </c>
      <c r="BT338" s="275" t="str">
        <f t="shared" si="49"/>
        <v/>
      </c>
      <c r="BU338" s="276" t="str">
        <f t="shared" si="50"/>
        <v/>
      </c>
      <c r="BV338" s="277" t="str">
        <f t="shared" si="52"/>
        <v/>
      </c>
      <c r="BW338" s="273">
        <f t="shared" si="52"/>
        <v>0</v>
      </c>
      <c r="BX338" s="273">
        <f t="shared" si="52"/>
        <v>0</v>
      </c>
    </row>
    <row r="339" spans="3:76">
      <c r="C339" s="62"/>
      <c r="D339" s="105"/>
      <c r="E339" s="105"/>
      <c r="F339" s="62"/>
      <c r="G339" s="62"/>
      <c r="H339" s="101"/>
      <c r="I339" s="112"/>
      <c r="J339" s="62"/>
      <c r="K339" s="62"/>
      <c r="L339" s="62"/>
      <c r="M339" s="62"/>
      <c r="N339" s="101"/>
      <c r="O339" s="63"/>
      <c r="P339" s="63"/>
      <c r="Q339" s="62"/>
      <c r="R339" s="101"/>
      <c r="S339" s="62"/>
      <c r="T339" s="62"/>
      <c r="U339" s="62"/>
      <c r="V339" s="62"/>
      <c r="BQ339" s="102"/>
      <c r="BR339" s="280"/>
      <c r="BS339" s="280"/>
      <c r="BT339" s="284"/>
      <c r="BU339" s="63"/>
      <c r="BV339" s="284"/>
      <c r="BW339" s="63"/>
      <c r="BX339" s="63"/>
    </row>
    <row r="340" spans="3:76" ht="21" thickBot="1">
      <c r="C340" s="62"/>
      <c r="D340" s="105"/>
      <c r="E340" s="105"/>
      <c r="F340" s="62"/>
      <c r="G340" s="62"/>
      <c r="H340" s="101"/>
      <c r="I340" s="112"/>
      <c r="J340" s="62"/>
      <c r="K340" s="62"/>
      <c r="L340" s="62"/>
      <c r="M340" s="62"/>
      <c r="N340" s="101"/>
      <c r="O340" s="63"/>
      <c r="P340" s="63"/>
      <c r="Q340" s="62"/>
      <c r="R340" s="101"/>
      <c r="S340" s="62"/>
      <c r="T340" s="62"/>
      <c r="U340" s="62"/>
      <c r="V340" s="62"/>
      <c r="BQ340" s="102"/>
      <c r="BR340" s="280"/>
      <c r="BS340" s="280"/>
      <c r="BT340" s="284"/>
      <c r="BU340" s="63"/>
      <c r="BV340" s="284"/>
      <c r="BW340" s="63"/>
      <c r="BX340" s="63"/>
    </row>
    <row r="341" spans="3:76" ht="21" thickTop="1">
      <c r="C341" s="62"/>
      <c r="D341" s="105"/>
      <c r="E341" s="105"/>
      <c r="F341" s="62"/>
      <c r="G341" s="62"/>
      <c r="H341" s="101"/>
      <c r="I341" s="112"/>
      <c r="J341" s="62"/>
      <c r="K341" s="62"/>
      <c r="L341" s="62"/>
      <c r="M341" s="62"/>
      <c r="N341" s="101"/>
      <c r="O341" s="63"/>
      <c r="P341" s="63"/>
      <c r="Q341" s="62"/>
      <c r="R341" s="101"/>
      <c r="S341" s="62"/>
      <c r="T341" s="62"/>
      <c r="U341" s="62"/>
      <c r="V341" s="62"/>
      <c r="BS341" s="269" t="s">
        <v>195</v>
      </c>
      <c r="BT341" s="270"/>
      <c r="BU341" s="270"/>
      <c r="BV341" s="270"/>
      <c r="BW341" s="271" t="s">
        <v>189</v>
      </c>
      <c r="BX341" s="272"/>
    </row>
    <row r="342" spans="3:76">
      <c r="C342" s="62"/>
      <c r="D342" s="105"/>
      <c r="E342" s="105"/>
      <c r="F342" s="62"/>
      <c r="G342" s="62"/>
      <c r="H342" s="101"/>
      <c r="I342" s="112"/>
      <c r="J342" s="62"/>
      <c r="K342" s="62"/>
      <c r="L342" s="62"/>
      <c r="M342" s="62"/>
      <c r="N342" s="101"/>
      <c r="O342" s="63"/>
      <c r="P342" s="63"/>
      <c r="Q342" s="62"/>
      <c r="R342" s="101"/>
      <c r="S342" s="62"/>
      <c r="T342" s="62"/>
      <c r="U342" s="62"/>
      <c r="V342" s="62"/>
      <c r="BQ342" s="278"/>
      <c r="BR342" s="273">
        <f t="shared" ref="BR342:BR405" si="53">B6</f>
        <v>1</v>
      </c>
      <c r="BS342" s="274" t="str">
        <f t="shared" ref="BS342:BS405" si="54">BB6</f>
        <v>57</v>
      </c>
      <c r="BT342" s="275" t="str">
        <f t="shared" ref="BT342:BT405" si="55">BD6</f>
        <v>ARSENE</v>
      </c>
      <c r="BU342" s="276" t="str">
        <f t="shared" ref="BU342:BU405" si="56">BF6</f>
        <v>36</v>
      </c>
      <c r="BV342" s="277" t="str">
        <f t="shared" ref="BV342:BX373" si="57">BH6</f>
        <v xml:space="preserve">ALCIDE  </v>
      </c>
      <c r="BW342" s="277">
        <f t="shared" si="57"/>
        <v>0</v>
      </c>
      <c r="BX342" s="277">
        <f t="shared" si="57"/>
        <v>0</v>
      </c>
    </row>
    <row r="343" spans="3:76">
      <c r="C343" s="62"/>
      <c r="D343" s="105"/>
      <c r="E343" s="105"/>
      <c r="F343" s="62"/>
      <c r="G343" s="62"/>
      <c r="H343" s="101"/>
      <c r="I343" s="112"/>
      <c r="J343" s="62"/>
      <c r="K343" s="62"/>
      <c r="L343" s="62"/>
      <c r="M343" s="62"/>
      <c r="N343" s="101"/>
      <c r="O343" s="63"/>
      <c r="P343" s="63"/>
      <c r="Q343" s="62"/>
      <c r="R343" s="101"/>
      <c r="S343" s="62"/>
      <c r="T343" s="62"/>
      <c r="U343" s="62"/>
      <c r="V343" s="62"/>
      <c r="BQ343" s="278"/>
      <c r="BR343" s="273">
        <f t="shared" si="53"/>
        <v>2</v>
      </c>
      <c r="BS343" s="274" t="str">
        <f t="shared" si="54"/>
        <v>100</v>
      </c>
      <c r="BT343" s="275" t="str">
        <f t="shared" si="55"/>
        <v>CONSTANTIN</v>
      </c>
      <c r="BU343" s="276" t="str">
        <f t="shared" si="56"/>
        <v>19</v>
      </c>
      <c r="BV343" s="277" t="str">
        <f t="shared" si="57"/>
        <v xml:space="preserve">SYLVAIN   </v>
      </c>
      <c r="BW343" s="277">
        <f t="shared" si="57"/>
        <v>0</v>
      </c>
      <c r="BX343" s="277">
        <f t="shared" si="57"/>
        <v>0</v>
      </c>
    </row>
    <row r="344" spans="3:76">
      <c r="C344" s="62"/>
      <c r="D344" s="105"/>
      <c r="E344" s="105"/>
      <c r="F344" s="62"/>
      <c r="G344" s="62"/>
      <c r="H344" s="101"/>
      <c r="I344" s="112"/>
      <c r="J344" s="62"/>
      <c r="K344" s="62"/>
      <c r="L344" s="62"/>
      <c r="M344" s="62"/>
      <c r="N344" s="101"/>
      <c r="O344" s="63"/>
      <c r="P344" s="63"/>
      <c r="Q344" s="62"/>
      <c r="R344" s="101"/>
      <c r="S344" s="62"/>
      <c r="T344" s="62"/>
      <c r="U344" s="62"/>
      <c r="V344" s="62"/>
      <c r="BQ344" s="278"/>
      <c r="BR344" s="273">
        <f t="shared" si="53"/>
        <v>3</v>
      </c>
      <c r="BS344" s="274" t="str">
        <f t="shared" si="54"/>
        <v>72</v>
      </c>
      <c r="BT344" s="275" t="str">
        <f t="shared" si="55"/>
        <v>DELPHINE</v>
      </c>
      <c r="BU344" s="276" t="str">
        <f t="shared" si="56"/>
        <v>59</v>
      </c>
      <c r="BV344" s="277" t="str">
        <f t="shared" si="57"/>
        <v>NADEGE</v>
      </c>
      <c r="BW344" s="277">
        <f t="shared" si="57"/>
        <v>0</v>
      </c>
      <c r="BX344" s="277">
        <f t="shared" si="57"/>
        <v>0</v>
      </c>
    </row>
    <row r="345" spans="3:76">
      <c r="C345" s="62"/>
      <c r="D345" s="105"/>
      <c r="E345" s="105"/>
      <c r="F345" s="62"/>
      <c r="G345" s="62"/>
      <c r="H345" s="101"/>
      <c r="I345" s="112"/>
      <c r="J345" s="62"/>
      <c r="K345" s="62"/>
      <c r="L345" s="62"/>
      <c r="M345" s="62"/>
      <c r="N345" s="101"/>
      <c r="O345" s="63"/>
      <c r="P345" s="63"/>
      <c r="Q345" s="62"/>
      <c r="R345" s="101"/>
      <c r="S345" s="62"/>
      <c r="T345" s="62"/>
      <c r="U345" s="62"/>
      <c r="V345" s="62"/>
      <c r="BQ345" s="278"/>
      <c r="BR345" s="273">
        <f t="shared" si="53"/>
        <v>4</v>
      </c>
      <c r="BS345" s="274" t="str">
        <f t="shared" si="54"/>
        <v>96</v>
      </c>
      <c r="BT345" s="275" t="str">
        <f t="shared" si="55"/>
        <v>GAUTIER</v>
      </c>
      <c r="BU345" s="276" t="str">
        <f t="shared" si="56"/>
        <v>101</v>
      </c>
      <c r="BV345" s="277" t="str">
        <f t="shared" si="57"/>
        <v>HONORE</v>
      </c>
      <c r="BW345" s="277">
        <f t="shared" si="57"/>
        <v>0</v>
      </c>
      <c r="BX345" s="277">
        <f t="shared" si="57"/>
        <v>0</v>
      </c>
    </row>
    <row r="346" spans="3:76">
      <c r="C346" s="62"/>
      <c r="D346" s="105"/>
      <c r="E346" s="105"/>
      <c r="F346" s="62"/>
      <c r="G346" s="62"/>
      <c r="H346" s="101"/>
      <c r="I346" s="112"/>
      <c r="J346" s="62"/>
      <c r="K346" s="62"/>
      <c r="L346" s="62"/>
      <c r="M346" s="62"/>
      <c r="N346" s="101"/>
      <c r="O346" s="63"/>
      <c r="P346" s="63"/>
      <c r="Q346" s="62"/>
      <c r="R346" s="101"/>
      <c r="S346" s="62"/>
      <c r="T346" s="62"/>
      <c r="U346" s="62"/>
      <c r="V346" s="62"/>
      <c r="BQ346" s="278"/>
      <c r="BR346" s="273">
        <f t="shared" si="53"/>
        <v>5</v>
      </c>
      <c r="BS346" s="274" t="str">
        <f t="shared" si="54"/>
        <v>113</v>
      </c>
      <c r="BT346" s="275" t="str">
        <f t="shared" si="55"/>
        <v>NORBERT</v>
      </c>
      <c r="BU346" s="276" t="str">
        <f t="shared" si="56"/>
        <v>53</v>
      </c>
      <c r="BV346" s="277" t="str">
        <f t="shared" si="57"/>
        <v>AURELIEN</v>
      </c>
      <c r="BW346" s="277">
        <f t="shared" si="57"/>
        <v>0</v>
      </c>
      <c r="BX346" s="277">
        <f t="shared" si="57"/>
        <v>0</v>
      </c>
    </row>
    <row r="347" spans="3:76">
      <c r="C347" s="62"/>
      <c r="D347" s="105"/>
      <c r="E347" s="105"/>
      <c r="F347" s="62"/>
      <c r="G347" s="62"/>
      <c r="H347" s="101"/>
      <c r="I347" s="112"/>
      <c r="J347" s="62"/>
      <c r="K347" s="62"/>
      <c r="L347" s="62"/>
      <c r="M347" s="62"/>
      <c r="N347" s="101"/>
      <c r="O347" s="63"/>
      <c r="P347" s="63"/>
      <c r="Q347" s="62"/>
      <c r="R347" s="101"/>
      <c r="S347" s="62"/>
      <c r="T347" s="62"/>
      <c r="U347" s="62"/>
      <c r="V347" s="62"/>
      <c r="BQ347" s="278"/>
      <c r="BR347" s="273">
        <f t="shared" si="53"/>
        <v>6</v>
      </c>
      <c r="BS347" s="274" t="str">
        <f t="shared" si="54"/>
        <v>35</v>
      </c>
      <c r="BT347" s="275" t="str">
        <f t="shared" si="55"/>
        <v>MARTIN</v>
      </c>
      <c r="BU347" s="276" t="str">
        <f t="shared" si="56"/>
        <v>86</v>
      </c>
      <c r="BV347" s="277" t="str">
        <f t="shared" si="57"/>
        <v>LUCIEN</v>
      </c>
      <c r="BW347" s="277">
        <f t="shared" si="57"/>
        <v>0</v>
      </c>
      <c r="BX347" s="277">
        <f t="shared" si="57"/>
        <v>0</v>
      </c>
    </row>
    <row r="348" spans="3:76">
      <c r="C348" s="62"/>
      <c r="D348" s="105"/>
      <c r="E348" s="105"/>
      <c r="F348" s="62"/>
      <c r="G348" s="62"/>
      <c r="H348" s="101"/>
      <c r="I348" s="112"/>
      <c r="J348" s="62"/>
      <c r="K348" s="62"/>
      <c r="L348" s="62"/>
      <c r="M348" s="62"/>
      <c r="N348" s="101"/>
      <c r="O348" s="63"/>
      <c r="P348" s="63"/>
      <c r="Q348" s="62"/>
      <c r="R348" s="101"/>
      <c r="S348" s="62"/>
      <c r="T348" s="62"/>
      <c r="U348" s="62"/>
      <c r="V348" s="62"/>
      <c r="BQ348" s="278"/>
      <c r="BR348" s="273">
        <f t="shared" si="53"/>
        <v>7</v>
      </c>
      <c r="BS348" s="274" t="str">
        <f t="shared" si="54"/>
        <v>81</v>
      </c>
      <c r="BT348" s="275" t="str">
        <f t="shared" si="55"/>
        <v>THEOPHILE</v>
      </c>
      <c r="BU348" s="276" t="str">
        <f t="shared" si="56"/>
        <v>111</v>
      </c>
      <c r="BV348" s="277" t="str">
        <f t="shared" si="57"/>
        <v>SOLANGE</v>
      </c>
      <c r="BW348" s="277">
        <f t="shared" si="57"/>
        <v>0</v>
      </c>
      <c r="BX348" s="277">
        <f t="shared" si="57"/>
        <v>0</v>
      </c>
    </row>
    <row r="349" spans="3:76">
      <c r="C349" s="62"/>
      <c r="D349" s="105"/>
      <c r="E349" s="105"/>
      <c r="F349" s="62"/>
      <c r="G349" s="62"/>
      <c r="H349" s="101"/>
      <c r="I349" s="112"/>
      <c r="J349" s="62"/>
      <c r="K349" s="62"/>
      <c r="L349" s="62"/>
      <c r="M349" s="62"/>
      <c r="N349" s="101"/>
      <c r="O349" s="63"/>
      <c r="P349" s="63"/>
      <c r="Q349" s="62"/>
      <c r="R349" s="101"/>
      <c r="S349" s="62"/>
      <c r="T349" s="62"/>
      <c r="U349" s="62"/>
      <c r="V349" s="62"/>
      <c r="BQ349" s="278"/>
      <c r="BR349" s="273">
        <f t="shared" si="53"/>
        <v>8</v>
      </c>
      <c r="BS349" s="274" t="str">
        <f t="shared" si="54"/>
        <v>10</v>
      </c>
      <c r="BT349" s="275" t="str">
        <f t="shared" si="55"/>
        <v>PETER</v>
      </c>
      <c r="BU349" s="276" t="str">
        <f t="shared" si="56"/>
        <v>114</v>
      </c>
      <c r="BV349" s="277" t="str">
        <f t="shared" si="57"/>
        <v>BARNABE</v>
      </c>
      <c r="BW349" s="277">
        <f t="shared" si="57"/>
        <v>0</v>
      </c>
      <c r="BX349" s="277">
        <f t="shared" si="57"/>
        <v>0</v>
      </c>
    </row>
    <row r="350" spans="3:76">
      <c r="C350" s="62"/>
      <c r="D350" s="105"/>
      <c r="E350" s="105"/>
      <c r="F350" s="62"/>
      <c r="G350" s="62"/>
      <c r="H350" s="101"/>
      <c r="I350" s="112"/>
      <c r="J350" s="62"/>
      <c r="K350" s="62"/>
      <c r="L350" s="62"/>
      <c r="M350" s="62"/>
      <c r="N350" s="101"/>
      <c r="O350" s="63"/>
      <c r="P350" s="63"/>
      <c r="Q350" s="62"/>
      <c r="R350" s="101"/>
      <c r="S350" s="62"/>
      <c r="T350" s="62"/>
      <c r="U350" s="62"/>
      <c r="V350" s="62"/>
      <c r="BQ350" s="278"/>
      <c r="BR350" s="273">
        <f t="shared" si="53"/>
        <v>9</v>
      </c>
      <c r="BS350" s="274" t="str">
        <f t="shared" si="54"/>
        <v>99</v>
      </c>
      <c r="BT350" s="275" t="str">
        <f t="shared" si="55"/>
        <v>ROLANDE</v>
      </c>
      <c r="BU350" s="276" t="str">
        <f t="shared" si="56"/>
        <v>91</v>
      </c>
      <c r="BV350" s="277" t="str">
        <f t="shared" si="57"/>
        <v>VALERIE</v>
      </c>
      <c r="BW350" s="277">
        <f t="shared" si="57"/>
        <v>0</v>
      </c>
      <c r="BX350" s="277">
        <f t="shared" si="57"/>
        <v>0</v>
      </c>
    </row>
    <row r="351" spans="3:76">
      <c r="C351" s="62"/>
      <c r="D351" s="105"/>
      <c r="E351" s="105"/>
      <c r="F351" s="62"/>
      <c r="G351" s="62"/>
      <c r="H351" s="101"/>
      <c r="I351" s="112"/>
      <c r="J351" s="62"/>
      <c r="K351" s="62"/>
      <c r="L351" s="62"/>
      <c r="M351" s="62"/>
      <c r="N351" s="101"/>
      <c r="O351" s="63"/>
      <c r="P351" s="63"/>
      <c r="Q351" s="62"/>
      <c r="R351" s="101"/>
      <c r="S351" s="62"/>
      <c r="T351" s="62"/>
      <c r="U351" s="62"/>
      <c r="V351" s="62"/>
      <c r="BQ351" s="278"/>
      <c r="BR351" s="273">
        <f t="shared" si="53"/>
        <v>10</v>
      </c>
      <c r="BS351" s="274" t="str">
        <f t="shared" si="54"/>
        <v>62</v>
      </c>
      <c r="BT351" s="275" t="str">
        <f t="shared" si="55"/>
        <v>DIMITRI</v>
      </c>
      <c r="BU351" s="276" t="str">
        <f t="shared" si="56"/>
        <v>29</v>
      </c>
      <c r="BV351" s="277" t="str">
        <f t="shared" si="57"/>
        <v xml:space="preserve">YOANN   </v>
      </c>
      <c r="BW351" s="277">
        <f t="shared" si="57"/>
        <v>0</v>
      </c>
      <c r="BX351" s="277">
        <f t="shared" si="57"/>
        <v>0</v>
      </c>
    </row>
    <row r="352" spans="3:76">
      <c r="C352" s="62"/>
      <c r="D352" s="105"/>
      <c r="E352" s="105"/>
      <c r="F352" s="62"/>
      <c r="G352" s="62"/>
      <c r="H352" s="101"/>
      <c r="I352" s="112"/>
      <c r="J352" s="62"/>
      <c r="K352" s="62"/>
      <c r="L352" s="62"/>
      <c r="M352" s="62"/>
      <c r="N352" s="101"/>
      <c r="O352" s="63"/>
      <c r="P352" s="63"/>
      <c r="Q352" s="62"/>
      <c r="R352" s="101"/>
      <c r="S352" s="62"/>
      <c r="T352" s="62"/>
      <c r="U352" s="62"/>
      <c r="V352" s="62"/>
      <c r="BQ352" s="278"/>
      <c r="BR352" s="273">
        <f t="shared" si="53"/>
        <v>11</v>
      </c>
      <c r="BS352" s="274" t="str">
        <f t="shared" si="54"/>
        <v>6</v>
      </c>
      <c r="BT352" s="275" t="str">
        <f t="shared" si="55"/>
        <v>JACQUES</v>
      </c>
      <c r="BU352" s="276" t="str">
        <f t="shared" si="56"/>
        <v>112</v>
      </c>
      <c r="BV352" s="277" t="str">
        <f t="shared" si="57"/>
        <v>AYMAR</v>
      </c>
      <c r="BW352" s="277">
        <f t="shared" si="57"/>
        <v>0</v>
      </c>
      <c r="BX352" s="277">
        <f t="shared" si="57"/>
        <v>0</v>
      </c>
    </row>
    <row r="353" spans="3:76">
      <c r="C353" s="62"/>
      <c r="D353" s="105"/>
      <c r="E353" s="105"/>
      <c r="F353" s="62"/>
      <c r="G353" s="62"/>
      <c r="H353" s="101"/>
      <c r="I353" s="112"/>
      <c r="J353" s="62"/>
      <c r="K353" s="62"/>
      <c r="L353" s="62"/>
      <c r="M353" s="62"/>
      <c r="N353" s="101"/>
      <c r="O353" s="63"/>
      <c r="P353" s="63"/>
      <c r="Q353" s="62"/>
      <c r="R353" s="101"/>
      <c r="S353" s="62"/>
      <c r="T353" s="62"/>
      <c r="U353" s="62"/>
      <c r="V353" s="62"/>
      <c r="BQ353" s="278"/>
      <c r="BR353" s="273">
        <f t="shared" si="53"/>
        <v>12</v>
      </c>
      <c r="BS353" s="274" t="str">
        <f t="shared" si="54"/>
        <v>87</v>
      </c>
      <c r="BT353" s="275" t="str">
        <f t="shared" si="55"/>
        <v>GUILLAUME</v>
      </c>
      <c r="BU353" s="276" t="str">
        <f t="shared" si="56"/>
        <v>75</v>
      </c>
      <c r="BV353" s="277" t="str">
        <f t="shared" si="57"/>
        <v>NICOLAS</v>
      </c>
      <c r="BW353" s="277">
        <f t="shared" si="57"/>
        <v>0</v>
      </c>
      <c r="BX353" s="277">
        <f t="shared" si="57"/>
        <v>0</v>
      </c>
    </row>
    <row r="354" spans="3:76">
      <c r="C354" s="62"/>
      <c r="D354" s="105"/>
      <c r="E354" s="105"/>
      <c r="F354" s="62"/>
      <c r="G354" s="62"/>
      <c r="H354" s="101"/>
      <c r="I354" s="112"/>
      <c r="J354" s="62"/>
      <c r="K354" s="62"/>
      <c r="L354" s="62"/>
      <c r="M354" s="62"/>
      <c r="N354" s="101"/>
      <c r="O354" s="63"/>
      <c r="P354" s="63"/>
      <c r="Q354" s="62"/>
      <c r="R354" s="101"/>
      <c r="S354" s="62"/>
      <c r="T354" s="62"/>
      <c r="U354" s="62"/>
      <c r="V354" s="62"/>
      <c r="BQ354" s="278"/>
      <c r="BR354" s="273">
        <f t="shared" si="53"/>
        <v>13</v>
      </c>
      <c r="BS354" s="274" t="str">
        <f t="shared" si="54"/>
        <v>8</v>
      </c>
      <c r="BT354" s="275" t="str">
        <f t="shared" si="55"/>
        <v>THIBAULT</v>
      </c>
      <c r="BU354" s="276" t="str">
        <f t="shared" si="56"/>
        <v>69</v>
      </c>
      <c r="BV354" s="277" t="str">
        <f t="shared" si="57"/>
        <v>ALBERT</v>
      </c>
      <c r="BW354" s="277">
        <f t="shared" si="57"/>
        <v>0</v>
      </c>
      <c r="BX354" s="277">
        <f t="shared" si="57"/>
        <v>0</v>
      </c>
    </row>
    <row r="355" spans="3:76">
      <c r="C355" s="62"/>
      <c r="D355" s="105"/>
      <c r="E355" s="105"/>
      <c r="F355" s="62"/>
      <c r="G355" s="62"/>
      <c r="H355" s="101"/>
      <c r="I355" s="112"/>
      <c r="J355" s="62"/>
      <c r="K355" s="62"/>
      <c r="L355" s="62"/>
      <c r="M355" s="62"/>
      <c r="N355" s="101"/>
      <c r="O355" s="63"/>
      <c r="P355" s="63"/>
      <c r="Q355" s="62"/>
      <c r="R355" s="101"/>
      <c r="S355" s="62"/>
      <c r="T355" s="62"/>
      <c r="U355" s="62"/>
      <c r="V355" s="62"/>
      <c r="BQ355" s="278"/>
      <c r="BR355" s="273">
        <f t="shared" si="53"/>
        <v>14</v>
      </c>
      <c r="BS355" s="274" t="str">
        <f t="shared" si="54"/>
        <v>4</v>
      </c>
      <c r="BT355" s="275" t="str">
        <f t="shared" si="55"/>
        <v>DENISE</v>
      </c>
      <c r="BU355" s="276" t="str">
        <f t="shared" si="56"/>
        <v>41</v>
      </c>
      <c r="BV355" s="277" t="str">
        <f t="shared" si="57"/>
        <v>ETIENNE</v>
      </c>
      <c r="BW355" s="277">
        <f t="shared" si="57"/>
        <v>0</v>
      </c>
      <c r="BX355" s="277">
        <f t="shared" si="57"/>
        <v>0</v>
      </c>
    </row>
    <row r="356" spans="3:76">
      <c r="C356" s="62"/>
      <c r="D356" s="105"/>
      <c r="E356" s="105"/>
      <c r="F356" s="62"/>
      <c r="G356" s="62"/>
      <c r="H356" s="101"/>
      <c r="I356" s="112"/>
      <c r="J356" s="62"/>
      <c r="K356" s="62"/>
      <c r="L356" s="62"/>
      <c r="M356" s="62"/>
      <c r="N356" s="101"/>
      <c r="O356" s="63"/>
      <c r="P356" s="63"/>
      <c r="Q356" s="62"/>
      <c r="R356" s="101"/>
      <c r="S356" s="62"/>
      <c r="T356" s="62"/>
      <c r="U356" s="62"/>
      <c r="V356" s="62"/>
      <c r="BQ356" s="278"/>
      <c r="BR356" s="273">
        <f t="shared" si="53"/>
        <v>15</v>
      </c>
      <c r="BS356" s="274" t="str">
        <f t="shared" si="54"/>
        <v>44</v>
      </c>
      <c r="BT356" s="275" t="str">
        <f t="shared" si="55"/>
        <v>GUY JEAN</v>
      </c>
      <c r="BU356" s="276" t="str">
        <f t="shared" si="56"/>
        <v>67</v>
      </c>
      <c r="BV356" s="277" t="str">
        <f t="shared" si="57"/>
        <v>YVONNICK</v>
      </c>
      <c r="BW356" s="277">
        <f t="shared" si="57"/>
        <v>0</v>
      </c>
      <c r="BX356" s="277">
        <f t="shared" si="57"/>
        <v>0</v>
      </c>
    </row>
    <row r="357" spans="3:76">
      <c r="C357" s="62"/>
      <c r="D357" s="105"/>
      <c r="E357" s="105"/>
      <c r="F357" s="62"/>
      <c r="G357" s="62"/>
      <c r="H357" s="101"/>
      <c r="I357" s="112"/>
      <c r="J357" s="62"/>
      <c r="K357" s="62"/>
      <c r="L357" s="62"/>
      <c r="M357" s="62"/>
      <c r="N357" s="101"/>
      <c r="O357" s="63"/>
      <c r="P357" s="63"/>
      <c r="Q357" s="62"/>
      <c r="R357" s="101"/>
      <c r="S357" s="62"/>
      <c r="T357" s="62"/>
      <c r="U357" s="62"/>
      <c r="V357" s="62"/>
      <c r="BQ357" s="278"/>
      <c r="BR357" s="273">
        <f t="shared" si="53"/>
        <v>16</v>
      </c>
      <c r="BS357" s="274" t="str">
        <f t="shared" si="54"/>
        <v>70</v>
      </c>
      <c r="BT357" s="275" t="str">
        <f t="shared" si="55"/>
        <v>TANGUY</v>
      </c>
      <c r="BU357" s="276" t="str">
        <f t="shared" si="56"/>
        <v>49</v>
      </c>
      <c r="BV357" s="277" t="str">
        <f t="shared" si="57"/>
        <v>OLIVIER</v>
      </c>
      <c r="BW357" s="277">
        <f t="shared" si="57"/>
        <v>0</v>
      </c>
      <c r="BX357" s="277">
        <f t="shared" si="57"/>
        <v>0</v>
      </c>
    </row>
    <row r="358" spans="3:76">
      <c r="C358" s="62"/>
      <c r="D358" s="105"/>
      <c r="E358" s="105"/>
      <c r="F358" s="62"/>
      <c r="G358" s="62"/>
      <c r="H358" s="101"/>
      <c r="I358" s="112"/>
      <c r="J358" s="62"/>
      <c r="K358" s="62"/>
      <c r="L358" s="62"/>
      <c r="M358" s="62"/>
      <c r="N358" s="101"/>
      <c r="O358" s="63"/>
      <c r="P358" s="63"/>
      <c r="Q358" s="62"/>
      <c r="R358" s="101"/>
      <c r="S358" s="62"/>
      <c r="T358" s="62"/>
      <c r="U358" s="62"/>
      <c r="V358" s="62"/>
      <c r="BQ358" s="278"/>
      <c r="BR358" s="273">
        <f t="shared" si="53"/>
        <v>17</v>
      </c>
      <c r="BS358" s="274" t="str">
        <f t="shared" si="54"/>
        <v>20</v>
      </c>
      <c r="BT358" s="275" t="str">
        <f t="shared" si="55"/>
        <v>JONATHAN</v>
      </c>
      <c r="BU358" s="276" t="str">
        <f t="shared" si="56"/>
        <v>47</v>
      </c>
      <c r="BV358" s="277" t="str">
        <f t="shared" si="57"/>
        <v>HERMAN</v>
      </c>
      <c r="BW358" s="277">
        <f t="shared" si="57"/>
        <v>0</v>
      </c>
      <c r="BX358" s="277">
        <f t="shared" si="57"/>
        <v>0</v>
      </c>
    </row>
    <row r="359" spans="3:76">
      <c r="C359" s="62"/>
      <c r="D359" s="105"/>
      <c r="E359" s="105"/>
      <c r="F359" s="62"/>
      <c r="G359" s="62"/>
      <c r="H359" s="101"/>
      <c r="I359" s="112"/>
      <c r="J359" s="62"/>
      <c r="K359" s="62"/>
      <c r="L359" s="62"/>
      <c r="M359" s="62"/>
      <c r="N359" s="101"/>
      <c r="O359" s="63"/>
      <c r="P359" s="63"/>
      <c r="Q359" s="62"/>
      <c r="R359" s="101"/>
      <c r="S359" s="62"/>
      <c r="T359" s="62"/>
      <c r="U359" s="62"/>
      <c r="V359" s="62"/>
      <c r="BQ359" s="278"/>
      <c r="BR359" s="273">
        <f t="shared" si="53"/>
        <v>18</v>
      </c>
      <c r="BS359" s="274" t="str">
        <f t="shared" si="54"/>
        <v>83</v>
      </c>
      <c r="BT359" s="275" t="str">
        <f t="shared" si="55"/>
        <v>ETIENNE</v>
      </c>
      <c r="BU359" s="276" t="str">
        <f t="shared" si="56"/>
        <v>33</v>
      </c>
      <c r="BV359" s="277" t="str">
        <f t="shared" si="57"/>
        <v xml:space="preserve">BRUNO  </v>
      </c>
      <c r="BW359" s="277">
        <f t="shared" si="57"/>
        <v>0</v>
      </c>
      <c r="BX359" s="277">
        <f t="shared" si="57"/>
        <v>0</v>
      </c>
    </row>
    <row r="360" spans="3:76">
      <c r="C360" s="62"/>
      <c r="D360" s="105"/>
      <c r="E360" s="105"/>
      <c r="F360" s="62"/>
      <c r="G360" s="62"/>
      <c r="H360" s="101"/>
      <c r="I360" s="112"/>
      <c r="J360" s="62"/>
      <c r="K360" s="62"/>
      <c r="L360" s="62"/>
      <c r="M360" s="62"/>
      <c r="N360" s="101"/>
      <c r="O360" s="63"/>
      <c r="P360" s="63"/>
      <c r="Q360" s="62"/>
      <c r="R360" s="101"/>
      <c r="S360" s="62"/>
      <c r="T360" s="62"/>
      <c r="U360" s="62"/>
      <c r="V360" s="62"/>
      <c r="BQ360" s="278"/>
      <c r="BR360" s="273">
        <f t="shared" si="53"/>
        <v>19</v>
      </c>
      <c r="BS360" s="274" t="str">
        <f t="shared" si="54"/>
        <v>66</v>
      </c>
      <c r="BT360" s="275" t="str">
        <f t="shared" si="55"/>
        <v>FLORIAN</v>
      </c>
      <c r="BU360" s="276" t="str">
        <f t="shared" si="56"/>
        <v>55</v>
      </c>
      <c r="BV360" s="277" t="str">
        <f t="shared" si="57"/>
        <v>GREGOIRE</v>
      </c>
      <c r="BW360" s="277">
        <f t="shared" si="57"/>
        <v>0</v>
      </c>
      <c r="BX360" s="277">
        <f t="shared" si="57"/>
        <v>0</v>
      </c>
    </row>
    <row r="361" spans="3:76">
      <c r="C361" s="62"/>
      <c r="D361" s="105"/>
      <c r="E361" s="105"/>
      <c r="F361" s="62"/>
      <c r="G361" s="62"/>
      <c r="H361" s="101"/>
      <c r="I361" s="112"/>
      <c r="J361" s="62"/>
      <c r="K361" s="62"/>
      <c r="L361" s="62"/>
      <c r="M361" s="62"/>
      <c r="N361" s="101"/>
      <c r="O361" s="63"/>
      <c r="P361" s="63"/>
      <c r="Q361" s="62"/>
      <c r="R361" s="101"/>
      <c r="S361" s="62"/>
      <c r="T361" s="62"/>
      <c r="U361" s="62"/>
      <c r="V361" s="62"/>
      <c r="BQ361" s="278"/>
      <c r="BR361" s="273">
        <f t="shared" si="53"/>
        <v>20</v>
      </c>
      <c r="BS361" s="274" t="str">
        <f t="shared" si="54"/>
        <v>23</v>
      </c>
      <c r="BT361" s="275" t="str">
        <f t="shared" si="55"/>
        <v>MARTIAL</v>
      </c>
      <c r="BU361" s="276" t="str">
        <f t="shared" si="56"/>
        <v>94</v>
      </c>
      <c r="BV361" s="277" t="str">
        <f t="shared" si="57"/>
        <v>HUGUES</v>
      </c>
      <c r="BW361" s="277">
        <f t="shared" si="57"/>
        <v>0</v>
      </c>
      <c r="BX361" s="277">
        <f t="shared" si="57"/>
        <v>0</v>
      </c>
    </row>
    <row r="362" spans="3:76">
      <c r="C362" s="62"/>
      <c r="D362" s="105"/>
      <c r="E362" s="105"/>
      <c r="F362" s="62"/>
      <c r="G362" s="62"/>
      <c r="H362" s="101"/>
      <c r="I362" s="112"/>
      <c r="J362" s="62"/>
      <c r="K362" s="62"/>
      <c r="L362" s="62"/>
      <c r="M362" s="62"/>
      <c r="N362" s="101"/>
      <c r="O362" s="63"/>
      <c r="P362" s="63"/>
      <c r="Q362" s="62"/>
      <c r="R362" s="101"/>
      <c r="S362" s="62"/>
      <c r="T362" s="62"/>
      <c r="U362" s="62"/>
      <c r="V362" s="62"/>
      <c r="BQ362" s="278"/>
      <c r="BR362" s="273">
        <f t="shared" si="53"/>
        <v>21</v>
      </c>
      <c r="BS362" s="274" t="str">
        <f t="shared" si="54"/>
        <v>1</v>
      </c>
      <c r="BT362" s="275" t="str">
        <f t="shared" si="55"/>
        <v>PETER</v>
      </c>
      <c r="BU362" s="276" t="str">
        <f t="shared" si="56"/>
        <v>97</v>
      </c>
      <c r="BV362" s="277" t="str">
        <f t="shared" si="57"/>
        <v>MATTHIAS</v>
      </c>
      <c r="BW362" s="277">
        <f t="shared" si="57"/>
        <v>0</v>
      </c>
      <c r="BX362" s="277">
        <f t="shared" si="57"/>
        <v>0</v>
      </c>
    </row>
    <row r="363" spans="3:76">
      <c r="C363" s="62"/>
      <c r="D363" s="105"/>
      <c r="E363" s="105"/>
      <c r="F363" s="62"/>
      <c r="G363" s="62"/>
      <c r="H363" s="101"/>
      <c r="I363" s="112"/>
      <c r="J363" s="62"/>
      <c r="K363" s="62"/>
      <c r="L363" s="62"/>
      <c r="M363" s="62"/>
      <c r="N363" s="101"/>
      <c r="O363" s="63"/>
      <c r="P363" s="63"/>
      <c r="Q363" s="62"/>
      <c r="R363" s="101"/>
      <c r="S363" s="62"/>
      <c r="T363" s="62"/>
      <c r="U363" s="62"/>
      <c r="V363" s="62"/>
      <c r="BQ363" s="278"/>
      <c r="BR363" s="273">
        <f t="shared" si="53"/>
        <v>22</v>
      </c>
      <c r="BS363" s="274" t="str">
        <f t="shared" si="54"/>
        <v>68</v>
      </c>
      <c r="BT363" s="275" t="str">
        <f t="shared" si="55"/>
        <v>BRICE</v>
      </c>
      <c r="BU363" s="276" t="str">
        <f t="shared" si="56"/>
        <v>93</v>
      </c>
      <c r="BV363" s="277" t="str">
        <f t="shared" si="57"/>
        <v>JOSEPH</v>
      </c>
      <c r="BW363" s="277">
        <f t="shared" si="57"/>
        <v>0</v>
      </c>
      <c r="BX363" s="277">
        <f t="shared" si="57"/>
        <v>0</v>
      </c>
    </row>
    <row r="364" spans="3:76">
      <c r="C364" s="62"/>
      <c r="D364" s="105"/>
      <c r="E364" s="105"/>
      <c r="F364" s="62"/>
      <c r="G364" s="62"/>
      <c r="H364" s="101"/>
      <c r="I364" s="112"/>
      <c r="J364" s="62"/>
      <c r="K364" s="62"/>
      <c r="L364" s="62"/>
      <c r="M364" s="62"/>
      <c r="N364" s="101"/>
      <c r="O364" s="63"/>
      <c r="P364" s="63"/>
      <c r="Q364" s="62"/>
      <c r="R364" s="101"/>
      <c r="S364" s="62"/>
      <c r="T364" s="62"/>
      <c r="U364" s="62"/>
      <c r="V364" s="62"/>
      <c r="BQ364" s="278"/>
      <c r="BR364" s="273">
        <f t="shared" si="53"/>
        <v>23</v>
      </c>
      <c r="BS364" s="274" t="str">
        <f t="shared" si="54"/>
        <v>48</v>
      </c>
      <c r="BT364" s="275" t="str">
        <f t="shared" si="55"/>
        <v>LUC</v>
      </c>
      <c r="BU364" s="276" t="str">
        <f t="shared" si="56"/>
        <v>71</v>
      </c>
      <c r="BV364" s="277" t="str">
        <f t="shared" si="57"/>
        <v>JIMMY</v>
      </c>
      <c r="BW364" s="277">
        <f t="shared" si="57"/>
        <v>0</v>
      </c>
      <c r="BX364" s="277">
        <f t="shared" si="57"/>
        <v>0</v>
      </c>
    </row>
    <row r="365" spans="3:76">
      <c r="C365" s="62"/>
      <c r="D365" s="105"/>
      <c r="E365" s="105"/>
      <c r="F365" s="62"/>
      <c r="G365" s="62"/>
      <c r="H365" s="101"/>
      <c r="I365" s="112"/>
      <c r="J365" s="62"/>
      <c r="K365" s="62"/>
      <c r="L365" s="62"/>
      <c r="M365" s="62"/>
      <c r="N365" s="101"/>
      <c r="O365" s="63"/>
      <c r="P365" s="63"/>
      <c r="Q365" s="62"/>
      <c r="R365" s="101"/>
      <c r="S365" s="62"/>
      <c r="T365" s="62"/>
      <c r="U365" s="62"/>
      <c r="V365" s="62"/>
      <c r="BQ365" s="278"/>
      <c r="BR365" s="273">
        <f t="shared" si="53"/>
        <v>24</v>
      </c>
      <c r="BS365" s="274" t="str">
        <f t="shared" si="54"/>
        <v>117</v>
      </c>
      <c r="BT365" s="275" t="str">
        <f t="shared" si="55"/>
        <v>PROSPER</v>
      </c>
      <c r="BU365" s="276" t="str">
        <f t="shared" si="56"/>
        <v>28</v>
      </c>
      <c r="BV365" s="277" t="str">
        <f t="shared" si="57"/>
        <v xml:space="preserve">RENE  </v>
      </c>
      <c r="BW365" s="277">
        <f t="shared" si="57"/>
        <v>0</v>
      </c>
      <c r="BX365" s="277">
        <f t="shared" si="57"/>
        <v>0</v>
      </c>
    </row>
    <row r="366" spans="3:76">
      <c r="C366" s="62"/>
      <c r="D366" s="105"/>
      <c r="E366" s="105"/>
      <c r="F366" s="62"/>
      <c r="G366" s="62"/>
      <c r="H366" s="101"/>
      <c r="I366" s="112"/>
      <c r="J366" s="62"/>
      <c r="K366" s="62"/>
      <c r="L366" s="62"/>
      <c r="M366" s="62"/>
      <c r="N366" s="101"/>
      <c r="O366" s="63"/>
      <c r="P366" s="63"/>
      <c r="Q366" s="62"/>
      <c r="R366" s="101"/>
      <c r="S366" s="62"/>
      <c r="T366" s="62"/>
      <c r="U366" s="62"/>
      <c r="V366" s="62"/>
      <c r="BQ366" s="278"/>
      <c r="BR366" s="273">
        <f t="shared" si="53"/>
        <v>25</v>
      </c>
      <c r="BS366" s="274" t="str">
        <f t="shared" si="54"/>
        <v>54</v>
      </c>
      <c r="BT366" s="275" t="str">
        <f t="shared" si="55"/>
        <v>DAMIEN</v>
      </c>
      <c r="BU366" s="276" t="str">
        <f t="shared" si="56"/>
        <v>42</v>
      </c>
      <c r="BV366" s="277" t="str">
        <f t="shared" si="57"/>
        <v xml:space="preserve">FREDDY  </v>
      </c>
      <c r="BW366" s="277">
        <f t="shared" si="57"/>
        <v>0</v>
      </c>
      <c r="BX366" s="277">
        <f t="shared" si="57"/>
        <v>0</v>
      </c>
    </row>
    <row r="367" spans="3:76">
      <c r="C367" s="62"/>
      <c r="D367" s="105"/>
      <c r="E367" s="105"/>
      <c r="F367" s="62"/>
      <c r="G367" s="62"/>
      <c r="H367" s="101"/>
      <c r="I367" s="112"/>
      <c r="J367" s="62"/>
      <c r="K367" s="62"/>
      <c r="L367" s="62"/>
      <c r="M367" s="62"/>
      <c r="N367" s="101"/>
      <c r="O367" s="63"/>
      <c r="P367" s="63"/>
      <c r="Q367" s="62"/>
      <c r="R367" s="101"/>
      <c r="S367" s="62"/>
      <c r="T367" s="62"/>
      <c r="U367" s="62"/>
      <c r="V367" s="62"/>
      <c r="BQ367" s="278"/>
      <c r="BR367" s="273">
        <f t="shared" si="53"/>
        <v>26</v>
      </c>
      <c r="BS367" s="274" t="str">
        <f t="shared" si="54"/>
        <v>51</v>
      </c>
      <c r="BT367" s="275" t="str">
        <f t="shared" si="55"/>
        <v>BEAUDOUIN</v>
      </c>
      <c r="BU367" s="276" t="str">
        <f t="shared" si="56"/>
        <v>64</v>
      </c>
      <c r="BV367" s="277" t="str">
        <f t="shared" si="57"/>
        <v>QUENTIN</v>
      </c>
      <c r="BW367" s="277">
        <f t="shared" si="57"/>
        <v>0</v>
      </c>
      <c r="BX367" s="277">
        <f t="shared" si="57"/>
        <v>0</v>
      </c>
    </row>
    <row r="368" spans="3:76">
      <c r="C368" s="62"/>
      <c r="D368" s="105"/>
      <c r="E368" s="105"/>
      <c r="F368" s="62"/>
      <c r="G368" s="62"/>
      <c r="H368" s="101"/>
      <c r="I368" s="112"/>
      <c r="J368" s="62"/>
      <c r="K368" s="62"/>
      <c r="L368" s="62"/>
      <c r="M368" s="62"/>
      <c r="N368" s="101"/>
      <c r="O368" s="63"/>
      <c r="P368" s="63"/>
      <c r="Q368" s="62"/>
      <c r="R368" s="101"/>
      <c r="S368" s="62"/>
      <c r="T368" s="62"/>
      <c r="U368" s="62"/>
      <c r="V368" s="62"/>
      <c r="BQ368" s="278"/>
      <c r="BR368" s="273">
        <f t="shared" si="53"/>
        <v>27</v>
      </c>
      <c r="BS368" s="274" t="str">
        <f t="shared" si="54"/>
        <v>92</v>
      </c>
      <c r="BT368" s="275" t="str">
        <f t="shared" si="55"/>
        <v>ROMAIN</v>
      </c>
      <c r="BU368" s="276" t="str">
        <f t="shared" si="56"/>
        <v>103</v>
      </c>
      <c r="BV368" s="277" t="str">
        <f t="shared" si="57"/>
        <v>GERMAIN</v>
      </c>
      <c r="BW368" s="277">
        <f t="shared" si="57"/>
        <v>0</v>
      </c>
      <c r="BX368" s="277">
        <f t="shared" si="57"/>
        <v>0</v>
      </c>
    </row>
    <row r="369" spans="3:76">
      <c r="C369" s="62"/>
      <c r="D369" s="105"/>
      <c r="E369" s="105"/>
      <c r="F369" s="62"/>
      <c r="G369" s="62"/>
      <c r="H369" s="101"/>
      <c r="I369" s="112"/>
      <c r="J369" s="62"/>
      <c r="K369" s="62"/>
      <c r="L369" s="62"/>
      <c r="M369" s="62"/>
      <c r="N369" s="101"/>
      <c r="O369" s="63"/>
      <c r="P369" s="63"/>
      <c r="Q369" s="62"/>
      <c r="R369" s="101"/>
      <c r="S369" s="62"/>
      <c r="T369" s="62"/>
      <c r="U369" s="62"/>
      <c r="V369" s="62"/>
      <c r="BQ369" s="278"/>
      <c r="BR369" s="273">
        <f t="shared" si="53"/>
        <v>28</v>
      </c>
      <c r="BS369" s="274" t="str">
        <f t="shared" si="54"/>
        <v>115</v>
      </c>
      <c r="BT369" s="275" t="str">
        <f t="shared" si="55"/>
        <v>LEON</v>
      </c>
      <c r="BU369" s="276" t="str">
        <f t="shared" si="56"/>
        <v>95</v>
      </c>
      <c r="BV369" s="277" t="str">
        <f t="shared" si="57"/>
        <v>RICHARD</v>
      </c>
      <c r="BW369" s="277">
        <f t="shared" si="57"/>
        <v>0</v>
      </c>
      <c r="BX369" s="277">
        <f t="shared" si="57"/>
        <v>0</v>
      </c>
    </row>
    <row r="370" spans="3:76">
      <c r="C370" s="62"/>
      <c r="D370" s="105"/>
      <c r="E370" s="105"/>
      <c r="F370" s="62"/>
      <c r="G370" s="62"/>
      <c r="H370" s="101"/>
      <c r="I370" s="112"/>
      <c r="J370" s="62"/>
      <c r="K370" s="62"/>
      <c r="L370" s="62"/>
      <c r="M370" s="62"/>
      <c r="N370" s="101"/>
      <c r="O370" s="63"/>
      <c r="P370" s="63"/>
      <c r="Q370" s="62"/>
      <c r="R370" s="101"/>
      <c r="S370" s="62"/>
      <c r="T370" s="62"/>
      <c r="U370" s="62"/>
      <c r="V370" s="62"/>
      <c r="BQ370" s="278"/>
      <c r="BR370" s="273">
        <f t="shared" si="53"/>
        <v>29</v>
      </c>
      <c r="BS370" s="274" t="str">
        <f t="shared" si="54"/>
        <v>39</v>
      </c>
      <c r="BT370" s="275" t="str">
        <f t="shared" si="55"/>
        <v xml:space="preserve">NICO  </v>
      </c>
      <c r="BU370" s="276" t="str">
        <f t="shared" si="56"/>
        <v>45</v>
      </c>
      <c r="BV370" s="277" t="str">
        <f t="shared" si="57"/>
        <v>RENAUD</v>
      </c>
      <c r="BW370" s="277">
        <f t="shared" si="57"/>
        <v>0</v>
      </c>
      <c r="BX370" s="277">
        <f t="shared" si="57"/>
        <v>0</v>
      </c>
    </row>
    <row r="371" spans="3:76">
      <c r="C371" s="62"/>
      <c r="D371" s="105"/>
      <c r="E371" s="105"/>
      <c r="F371" s="62"/>
      <c r="G371" s="62"/>
      <c r="H371" s="101"/>
      <c r="I371" s="112"/>
      <c r="J371" s="62"/>
      <c r="K371" s="62"/>
      <c r="L371" s="62"/>
      <c r="M371" s="62"/>
      <c r="N371" s="101"/>
      <c r="O371" s="63"/>
      <c r="P371" s="63"/>
      <c r="Q371" s="62"/>
      <c r="R371" s="101"/>
      <c r="S371" s="62"/>
      <c r="T371" s="62"/>
      <c r="U371" s="62"/>
      <c r="V371" s="62"/>
      <c r="BQ371" s="278"/>
      <c r="BR371" s="273">
        <f t="shared" si="53"/>
        <v>30</v>
      </c>
      <c r="BS371" s="274" t="str">
        <f t="shared" si="54"/>
        <v>110</v>
      </c>
      <c r="BT371" s="275" t="str">
        <f t="shared" si="55"/>
        <v>ANICET</v>
      </c>
      <c r="BU371" s="276" t="str">
        <f t="shared" si="56"/>
        <v>61</v>
      </c>
      <c r="BV371" s="277" t="str">
        <f t="shared" si="57"/>
        <v>COME</v>
      </c>
      <c r="BW371" s="277">
        <f t="shared" si="57"/>
        <v>0</v>
      </c>
      <c r="BX371" s="277">
        <f t="shared" si="57"/>
        <v>0</v>
      </c>
    </row>
    <row r="372" spans="3:76">
      <c r="C372" s="62"/>
      <c r="D372" s="105"/>
      <c r="E372" s="105"/>
      <c r="F372" s="62"/>
      <c r="G372" s="62"/>
      <c r="H372" s="101"/>
      <c r="I372" s="112"/>
      <c r="J372" s="62"/>
      <c r="K372" s="62"/>
      <c r="L372" s="62"/>
      <c r="M372" s="62"/>
      <c r="N372" s="101"/>
      <c r="O372" s="63"/>
      <c r="P372" s="63"/>
      <c r="Q372" s="62"/>
      <c r="R372" s="101"/>
      <c r="S372" s="62"/>
      <c r="T372" s="62"/>
      <c r="U372" s="62"/>
      <c r="V372" s="62"/>
      <c r="BQ372" s="278"/>
      <c r="BR372" s="273">
        <f t="shared" si="53"/>
        <v>31</v>
      </c>
      <c r="BS372" s="274" t="str">
        <f t="shared" si="54"/>
        <v>77</v>
      </c>
      <c r="BT372" s="275" t="str">
        <f t="shared" si="55"/>
        <v>DANIEL</v>
      </c>
      <c r="BU372" s="276" t="str">
        <f t="shared" si="56"/>
        <v>18</v>
      </c>
      <c r="BV372" s="277" t="str">
        <f t="shared" si="57"/>
        <v xml:space="preserve">CHARLES  </v>
      </c>
      <c r="BW372" s="277">
        <f t="shared" si="57"/>
        <v>0</v>
      </c>
      <c r="BX372" s="277">
        <f t="shared" si="57"/>
        <v>0</v>
      </c>
    </row>
    <row r="373" spans="3:76">
      <c r="C373" s="62"/>
      <c r="D373" s="105"/>
      <c r="E373" s="105"/>
      <c r="F373" s="62"/>
      <c r="G373" s="62"/>
      <c r="H373" s="101"/>
      <c r="I373" s="112"/>
      <c r="J373" s="62"/>
      <c r="K373" s="62"/>
      <c r="L373" s="62"/>
      <c r="M373" s="62"/>
      <c r="N373" s="101"/>
      <c r="O373" s="63"/>
      <c r="P373" s="63"/>
      <c r="Q373" s="62"/>
      <c r="R373" s="101"/>
      <c r="S373" s="62"/>
      <c r="T373" s="62"/>
      <c r="U373" s="62"/>
      <c r="V373" s="62"/>
      <c r="BQ373" s="278"/>
      <c r="BR373" s="273">
        <f t="shared" si="53"/>
        <v>32</v>
      </c>
      <c r="BS373" s="274" t="str">
        <f t="shared" si="54"/>
        <v>3</v>
      </c>
      <c r="BT373" s="275" t="str">
        <f t="shared" si="55"/>
        <v>MARCO</v>
      </c>
      <c r="BU373" s="276" t="str">
        <f t="shared" si="56"/>
        <v>38</v>
      </c>
      <c r="BV373" s="277" t="str">
        <f t="shared" si="57"/>
        <v xml:space="preserve">ROMAIN  </v>
      </c>
      <c r="BW373" s="277">
        <f t="shared" si="57"/>
        <v>0</v>
      </c>
      <c r="BX373" s="277">
        <f t="shared" si="57"/>
        <v>0</v>
      </c>
    </row>
    <row r="374" spans="3:76">
      <c r="C374" s="62"/>
      <c r="D374" s="105"/>
      <c r="E374" s="105"/>
      <c r="F374" s="62"/>
      <c r="G374" s="62"/>
      <c r="H374" s="101"/>
      <c r="I374" s="112"/>
      <c r="J374" s="62"/>
      <c r="K374" s="62"/>
      <c r="L374" s="62"/>
      <c r="M374" s="62"/>
      <c r="N374" s="101"/>
      <c r="O374" s="63"/>
      <c r="P374" s="63"/>
      <c r="Q374" s="62"/>
      <c r="R374" s="101"/>
      <c r="S374" s="62"/>
      <c r="T374" s="62"/>
      <c r="U374" s="62"/>
      <c r="V374" s="62"/>
      <c r="BQ374" s="278"/>
      <c r="BR374" s="273">
        <f t="shared" si="53"/>
        <v>33</v>
      </c>
      <c r="BS374" s="274" t="str">
        <f t="shared" si="54"/>
        <v>9</v>
      </c>
      <c r="BT374" s="275" t="str">
        <f t="shared" si="55"/>
        <v>SEBASTIEN</v>
      </c>
      <c r="BU374" s="276" t="str">
        <f t="shared" si="56"/>
        <v>76</v>
      </c>
      <c r="BV374" s="277" t="str">
        <f t="shared" ref="BV374:BX405" si="58">BH38</f>
        <v>AMBROISE</v>
      </c>
      <c r="BW374" s="277">
        <f t="shared" si="58"/>
        <v>0</v>
      </c>
      <c r="BX374" s="277">
        <f t="shared" si="58"/>
        <v>0</v>
      </c>
    </row>
    <row r="375" spans="3:76">
      <c r="C375" s="62"/>
      <c r="D375" s="105"/>
      <c r="E375" s="105"/>
      <c r="F375" s="62"/>
      <c r="G375" s="62"/>
      <c r="H375" s="101"/>
      <c r="I375" s="112"/>
      <c r="J375" s="62"/>
      <c r="K375" s="62"/>
      <c r="L375" s="62"/>
      <c r="M375" s="62"/>
      <c r="N375" s="101"/>
      <c r="O375" s="63"/>
      <c r="P375" s="63"/>
      <c r="Q375" s="62"/>
      <c r="R375" s="101"/>
      <c r="S375" s="62"/>
      <c r="T375" s="62"/>
      <c r="U375" s="62"/>
      <c r="V375" s="62"/>
      <c r="BQ375" s="278"/>
      <c r="BR375" s="273">
        <f t="shared" si="53"/>
        <v>34</v>
      </c>
      <c r="BS375" s="274" t="str">
        <f t="shared" si="54"/>
        <v>21</v>
      </c>
      <c r="BT375" s="275" t="str">
        <f t="shared" si="55"/>
        <v>GEGE</v>
      </c>
      <c r="BU375" s="276" t="str">
        <f t="shared" si="56"/>
        <v>46</v>
      </c>
      <c r="BV375" s="277" t="str">
        <f t="shared" si="58"/>
        <v xml:space="preserve">SERGE  </v>
      </c>
      <c r="BW375" s="277">
        <f t="shared" si="58"/>
        <v>0</v>
      </c>
      <c r="BX375" s="277">
        <f t="shared" si="58"/>
        <v>0</v>
      </c>
    </row>
    <row r="376" spans="3:76">
      <c r="C376" s="62"/>
      <c r="D376" s="105"/>
      <c r="E376" s="105"/>
      <c r="F376" s="62"/>
      <c r="G376" s="62"/>
      <c r="H376" s="101"/>
      <c r="I376" s="112"/>
      <c r="J376" s="62"/>
      <c r="K376" s="62"/>
      <c r="L376" s="62"/>
      <c r="M376" s="62"/>
      <c r="N376" s="101"/>
      <c r="O376" s="63"/>
      <c r="P376" s="63"/>
      <c r="Q376" s="62"/>
      <c r="R376" s="101"/>
      <c r="S376" s="62"/>
      <c r="T376" s="62"/>
      <c r="U376" s="62"/>
      <c r="V376" s="62"/>
      <c r="BQ376" s="278"/>
      <c r="BR376" s="273">
        <f t="shared" si="53"/>
        <v>35</v>
      </c>
      <c r="BS376" s="274" t="str">
        <f t="shared" si="54"/>
        <v>74</v>
      </c>
      <c r="BT376" s="275" t="str">
        <f t="shared" si="55"/>
        <v>GERALD</v>
      </c>
      <c r="BU376" s="276" t="str">
        <f t="shared" si="56"/>
        <v>90</v>
      </c>
      <c r="BV376" s="277" t="str">
        <f t="shared" si="58"/>
        <v>VALENTIN</v>
      </c>
      <c r="BW376" s="277">
        <f t="shared" si="58"/>
        <v>0</v>
      </c>
      <c r="BX376" s="277">
        <f t="shared" si="58"/>
        <v>0</v>
      </c>
    </row>
    <row r="377" spans="3:76">
      <c r="C377" s="62"/>
      <c r="D377" s="105"/>
      <c r="E377" s="105"/>
      <c r="F377" s="62"/>
      <c r="G377" s="62"/>
      <c r="H377" s="101"/>
      <c r="I377" s="112"/>
      <c r="J377" s="62"/>
      <c r="K377" s="62"/>
      <c r="L377" s="62"/>
      <c r="M377" s="62"/>
      <c r="N377" s="101"/>
      <c r="O377" s="63"/>
      <c r="P377" s="63"/>
      <c r="Q377" s="62"/>
      <c r="R377" s="101"/>
      <c r="S377" s="62"/>
      <c r="T377" s="62"/>
      <c r="U377" s="62"/>
      <c r="V377" s="62"/>
      <c r="BQ377" s="278"/>
      <c r="BR377" s="273">
        <f t="shared" si="53"/>
        <v>36</v>
      </c>
      <c r="BS377" s="274" t="str">
        <f t="shared" si="54"/>
        <v>89</v>
      </c>
      <c r="BT377" s="275" t="str">
        <f t="shared" si="55"/>
        <v>BERNARD</v>
      </c>
      <c r="BU377" s="276" t="str">
        <f t="shared" si="56"/>
        <v>80</v>
      </c>
      <c r="BV377" s="277" t="str">
        <f t="shared" si="58"/>
        <v>LUCIE</v>
      </c>
      <c r="BW377" s="277">
        <f t="shared" si="58"/>
        <v>0</v>
      </c>
      <c r="BX377" s="277">
        <f t="shared" si="58"/>
        <v>0</v>
      </c>
    </row>
    <row r="378" spans="3:76">
      <c r="C378" s="62"/>
      <c r="D378" s="105"/>
      <c r="E378" s="105"/>
      <c r="F378" s="62"/>
      <c r="G378" s="62"/>
      <c r="H378" s="101"/>
      <c r="I378" s="112"/>
      <c r="J378" s="62"/>
      <c r="K378" s="62"/>
      <c r="L378" s="62"/>
      <c r="M378" s="62"/>
      <c r="N378" s="101"/>
      <c r="O378" s="63"/>
      <c r="P378" s="63"/>
      <c r="Q378" s="62"/>
      <c r="R378" s="101"/>
      <c r="S378" s="62"/>
      <c r="T378" s="62"/>
      <c r="U378" s="62"/>
      <c r="V378" s="62"/>
      <c r="BQ378" s="278"/>
      <c r="BR378" s="273">
        <f t="shared" si="53"/>
        <v>37</v>
      </c>
      <c r="BS378" s="274" t="str">
        <f t="shared" si="54"/>
        <v>78</v>
      </c>
      <c r="BT378" s="275" t="str">
        <f t="shared" si="55"/>
        <v>GAEL</v>
      </c>
      <c r="BU378" s="276" t="str">
        <f t="shared" si="56"/>
        <v>7</v>
      </c>
      <c r="BV378" s="277" t="str">
        <f t="shared" si="58"/>
        <v>PIERRE</v>
      </c>
      <c r="BW378" s="277">
        <f t="shared" si="58"/>
        <v>0</v>
      </c>
      <c r="BX378" s="277">
        <f t="shared" si="58"/>
        <v>0</v>
      </c>
    </row>
    <row r="379" spans="3:76">
      <c r="C379" s="62"/>
      <c r="D379" s="105"/>
      <c r="E379" s="105"/>
      <c r="F379" s="62"/>
      <c r="G379" s="62"/>
      <c r="H379" s="101"/>
      <c r="I379" s="112"/>
      <c r="J379" s="62"/>
      <c r="K379" s="62"/>
      <c r="L379" s="62"/>
      <c r="M379" s="62"/>
      <c r="N379" s="101"/>
      <c r="O379" s="63"/>
      <c r="P379" s="63"/>
      <c r="Q379" s="62"/>
      <c r="R379" s="101"/>
      <c r="S379" s="62"/>
      <c r="T379" s="62"/>
      <c r="U379" s="62"/>
      <c r="V379" s="62"/>
      <c r="BQ379" s="278"/>
      <c r="BR379" s="273">
        <f t="shared" si="53"/>
        <v>38</v>
      </c>
      <c r="BS379" s="274" t="str">
        <f t="shared" si="54"/>
        <v>102</v>
      </c>
      <c r="BT379" s="275" t="str">
        <f t="shared" si="55"/>
        <v>DONATIEN</v>
      </c>
      <c r="BU379" s="276" t="str">
        <f t="shared" si="56"/>
        <v>14</v>
      </c>
      <c r="BV379" s="277" t="str">
        <f t="shared" si="58"/>
        <v>CHRISTOPHE</v>
      </c>
      <c r="BW379" s="277">
        <f t="shared" si="58"/>
        <v>0</v>
      </c>
      <c r="BX379" s="277">
        <f t="shared" si="58"/>
        <v>0</v>
      </c>
    </row>
    <row r="380" spans="3:76">
      <c r="C380" s="62"/>
      <c r="D380" s="105"/>
      <c r="E380" s="105"/>
      <c r="F380" s="62"/>
      <c r="G380" s="62"/>
      <c r="H380" s="101"/>
      <c r="I380" s="112"/>
      <c r="J380" s="62"/>
      <c r="K380" s="62"/>
      <c r="L380" s="62"/>
      <c r="M380" s="62"/>
      <c r="N380" s="101"/>
      <c r="O380" s="63"/>
      <c r="P380" s="63"/>
      <c r="Q380" s="62"/>
      <c r="R380" s="101"/>
      <c r="S380" s="62"/>
      <c r="T380" s="62"/>
      <c r="U380" s="62"/>
      <c r="V380" s="62"/>
      <c r="BQ380" s="278"/>
      <c r="BR380" s="273">
        <f t="shared" si="53"/>
        <v>39</v>
      </c>
      <c r="BS380" s="274" t="str">
        <f t="shared" si="54"/>
        <v>58</v>
      </c>
      <c r="BT380" s="275" t="str">
        <f t="shared" si="55"/>
        <v>FRANCIS</v>
      </c>
      <c r="BU380" s="276" t="str">
        <f t="shared" si="56"/>
        <v>24</v>
      </c>
      <c r="BV380" s="277" t="str">
        <f t="shared" si="58"/>
        <v>JACQUES</v>
      </c>
      <c r="BW380" s="277">
        <f t="shared" si="58"/>
        <v>0</v>
      </c>
      <c r="BX380" s="277">
        <f t="shared" si="58"/>
        <v>0</v>
      </c>
    </row>
    <row r="381" spans="3:76">
      <c r="C381" s="62"/>
      <c r="D381" s="105"/>
      <c r="E381" s="105"/>
      <c r="F381" s="62"/>
      <c r="G381" s="62"/>
      <c r="H381" s="101"/>
      <c r="I381" s="112"/>
      <c r="J381" s="62"/>
      <c r="K381" s="62"/>
      <c r="L381" s="62"/>
      <c r="M381" s="62"/>
      <c r="N381" s="101"/>
      <c r="O381" s="63"/>
      <c r="P381" s="63"/>
      <c r="Q381" s="62"/>
      <c r="R381" s="101"/>
      <c r="S381" s="62"/>
      <c r="T381" s="62"/>
      <c r="U381" s="62"/>
      <c r="V381" s="62"/>
      <c r="BQ381" s="278"/>
      <c r="BR381" s="273">
        <f t="shared" si="53"/>
        <v>40</v>
      </c>
      <c r="BS381" s="274" t="str">
        <f t="shared" si="54"/>
        <v>2</v>
      </c>
      <c r="BT381" s="275" t="str">
        <f t="shared" si="55"/>
        <v>FRANCIS</v>
      </c>
      <c r="BU381" s="276" t="str">
        <f t="shared" si="56"/>
        <v>60</v>
      </c>
      <c r="BV381" s="277" t="str">
        <f t="shared" si="58"/>
        <v>EDITH</v>
      </c>
      <c r="BW381" s="277">
        <f t="shared" si="58"/>
        <v>0</v>
      </c>
      <c r="BX381" s="277">
        <f t="shared" si="58"/>
        <v>0</v>
      </c>
    </row>
    <row r="382" spans="3:76">
      <c r="C382" s="62"/>
      <c r="D382" s="105"/>
      <c r="E382" s="105"/>
      <c r="F382" s="62"/>
      <c r="G382" s="62"/>
      <c r="H382" s="101"/>
      <c r="I382" s="112"/>
      <c r="J382" s="62"/>
      <c r="K382" s="62"/>
      <c r="L382" s="62"/>
      <c r="M382" s="62"/>
      <c r="N382" s="101"/>
      <c r="O382" s="63"/>
      <c r="P382" s="63"/>
      <c r="Q382" s="62"/>
      <c r="R382" s="101"/>
      <c r="S382" s="62"/>
      <c r="T382" s="62"/>
      <c r="U382" s="62"/>
      <c r="V382" s="62"/>
      <c r="BQ382" s="278"/>
      <c r="BR382" s="273">
        <f t="shared" si="53"/>
        <v>41</v>
      </c>
      <c r="BS382" s="274" t="str">
        <f t="shared" si="54"/>
        <v>16</v>
      </c>
      <c r="BT382" s="275" t="str">
        <f t="shared" si="55"/>
        <v>MICKAEL</v>
      </c>
      <c r="BU382" s="276" t="str">
        <f t="shared" si="56"/>
        <v>107</v>
      </c>
      <c r="BV382" s="277" t="str">
        <f t="shared" si="58"/>
        <v>GONTRAN</v>
      </c>
      <c r="BW382" s="277">
        <f t="shared" si="58"/>
        <v>0</v>
      </c>
      <c r="BX382" s="277">
        <f t="shared" si="58"/>
        <v>0</v>
      </c>
    </row>
    <row r="383" spans="3:76">
      <c r="C383" s="62"/>
      <c r="D383" s="105"/>
      <c r="E383" s="105"/>
      <c r="F383" s="62"/>
      <c r="G383" s="62"/>
      <c r="H383" s="101"/>
      <c r="I383" s="112"/>
      <c r="J383" s="62"/>
      <c r="K383" s="62"/>
      <c r="L383" s="62"/>
      <c r="M383" s="62"/>
      <c r="N383" s="101"/>
      <c r="O383" s="63"/>
      <c r="P383" s="63"/>
      <c r="Q383" s="62"/>
      <c r="R383" s="101"/>
      <c r="S383" s="62"/>
      <c r="T383" s="62"/>
      <c r="U383" s="62"/>
      <c r="V383" s="62"/>
      <c r="BQ383" s="278"/>
      <c r="BR383" s="273">
        <f t="shared" si="53"/>
        <v>42</v>
      </c>
      <c r="BS383" s="274" t="str">
        <f t="shared" si="54"/>
        <v>15</v>
      </c>
      <c r="BT383" s="275" t="str">
        <f t="shared" si="55"/>
        <v>JEAN PAUL</v>
      </c>
      <c r="BU383" s="276" t="str">
        <f t="shared" si="56"/>
        <v>73</v>
      </c>
      <c r="BV383" s="277" t="str">
        <f t="shared" si="58"/>
        <v>EDMOND</v>
      </c>
      <c r="BW383" s="277">
        <f t="shared" si="58"/>
        <v>0</v>
      </c>
      <c r="BX383" s="277">
        <f t="shared" si="58"/>
        <v>0</v>
      </c>
    </row>
    <row r="384" spans="3:76">
      <c r="BQ384" s="278"/>
      <c r="BR384" s="273">
        <f t="shared" si="53"/>
        <v>43</v>
      </c>
      <c r="BS384" s="274" t="str">
        <f t="shared" si="54"/>
        <v>17</v>
      </c>
      <c r="BT384" s="275" t="str">
        <f t="shared" si="55"/>
        <v xml:space="preserve">LAURENT    </v>
      </c>
      <c r="BU384" s="276" t="str">
        <f t="shared" si="56"/>
        <v>98</v>
      </c>
      <c r="BV384" s="277" t="str">
        <f t="shared" si="58"/>
        <v>STANISLAS</v>
      </c>
      <c r="BW384" s="277">
        <f t="shared" si="58"/>
        <v>0</v>
      </c>
      <c r="BX384" s="277">
        <f t="shared" si="58"/>
        <v>0</v>
      </c>
    </row>
    <row r="385" spans="69:76">
      <c r="BQ385" s="278"/>
      <c r="BR385" s="273">
        <f t="shared" si="53"/>
        <v>44</v>
      </c>
      <c r="BS385" s="274" t="str">
        <f t="shared" si="54"/>
        <v>34</v>
      </c>
      <c r="BT385" s="275" t="str">
        <f t="shared" si="55"/>
        <v xml:space="preserve">JOE  </v>
      </c>
      <c r="BU385" s="276" t="str">
        <f t="shared" si="56"/>
        <v>30</v>
      </c>
      <c r="BV385" s="277" t="str">
        <f t="shared" si="58"/>
        <v xml:space="preserve">PATRICK   </v>
      </c>
      <c r="BW385" s="277">
        <f t="shared" si="58"/>
        <v>0</v>
      </c>
      <c r="BX385" s="277">
        <f t="shared" si="58"/>
        <v>0</v>
      </c>
    </row>
    <row r="386" spans="69:76">
      <c r="BQ386" s="278"/>
      <c r="BR386" s="273">
        <f t="shared" si="53"/>
        <v>45</v>
      </c>
      <c r="BS386" s="274" t="str">
        <f t="shared" si="54"/>
        <v>40</v>
      </c>
      <c r="BT386" s="275" t="str">
        <f t="shared" si="55"/>
        <v>VINCENT</v>
      </c>
      <c r="BU386" s="276" t="str">
        <f t="shared" si="56"/>
        <v>84</v>
      </c>
      <c r="BV386" s="277" t="str">
        <f t="shared" si="58"/>
        <v>BASILE</v>
      </c>
      <c r="BW386" s="277">
        <f t="shared" si="58"/>
        <v>0</v>
      </c>
      <c r="BX386" s="277">
        <f t="shared" si="58"/>
        <v>0</v>
      </c>
    </row>
    <row r="387" spans="69:76">
      <c r="BQ387" s="278"/>
      <c r="BR387" s="273">
        <f t="shared" si="53"/>
        <v>46</v>
      </c>
      <c r="BS387" s="274" t="str">
        <f t="shared" si="54"/>
        <v>118</v>
      </c>
      <c r="BT387" s="275" t="str">
        <f t="shared" si="55"/>
        <v>FERNAND</v>
      </c>
      <c r="BU387" s="276" t="str">
        <f t="shared" si="56"/>
        <v>13</v>
      </c>
      <c r="BV387" s="277" t="str">
        <f t="shared" si="58"/>
        <v>JEAN PIERRE</v>
      </c>
      <c r="BW387" s="277">
        <f t="shared" si="58"/>
        <v>0</v>
      </c>
      <c r="BX387" s="277">
        <f t="shared" si="58"/>
        <v>0</v>
      </c>
    </row>
    <row r="388" spans="69:76">
      <c r="BQ388" s="278"/>
      <c r="BR388" s="273">
        <f t="shared" si="53"/>
        <v>47</v>
      </c>
      <c r="BS388" s="274" t="str">
        <f t="shared" si="54"/>
        <v>12</v>
      </c>
      <c r="BT388" s="275" t="str">
        <f t="shared" si="55"/>
        <v>ALAIN</v>
      </c>
      <c r="BU388" s="276" t="str">
        <f t="shared" si="56"/>
        <v>5</v>
      </c>
      <c r="BV388" s="277" t="str">
        <f t="shared" si="58"/>
        <v>YVON</v>
      </c>
      <c r="BW388" s="277">
        <f t="shared" si="58"/>
        <v>0</v>
      </c>
      <c r="BX388" s="277">
        <f t="shared" si="58"/>
        <v>0</v>
      </c>
    </row>
    <row r="389" spans="69:76">
      <c r="BQ389" s="278"/>
      <c r="BR389" s="273">
        <f t="shared" si="53"/>
        <v>48</v>
      </c>
      <c r="BS389" s="274" t="str">
        <f t="shared" si="54"/>
        <v>116</v>
      </c>
      <c r="BT389" s="275" t="str">
        <f t="shared" si="55"/>
        <v>ALBAN</v>
      </c>
      <c r="BU389" s="276" t="str">
        <f t="shared" si="56"/>
        <v>63</v>
      </c>
      <c r="BV389" s="277" t="str">
        <f t="shared" si="58"/>
        <v>FIRMIN</v>
      </c>
      <c r="BW389" s="277">
        <f t="shared" si="58"/>
        <v>0</v>
      </c>
      <c r="BX389" s="277">
        <f t="shared" si="58"/>
        <v>0</v>
      </c>
    </row>
    <row r="390" spans="69:76">
      <c r="BQ390" s="278"/>
      <c r="BR390" s="273">
        <f t="shared" si="53"/>
        <v>49</v>
      </c>
      <c r="BS390" s="274" t="str">
        <f t="shared" si="54"/>
        <v>56</v>
      </c>
      <c r="BT390" s="275" t="str">
        <f t="shared" si="55"/>
        <v xml:space="preserve">RENE  </v>
      </c>
      <c r="BU390" s="276" t="str">
        <f t="shared" si="56"/>
        <v>79</v>
      </c>
      <c r="BV390" s="277" t="str">
        <f t="shared" si="58"/>
        <v>GATIEN</v>
      </c>
      <c r="BW390" s="277">
        <f t="shared" si="58"/>
        <v>0</v>
      </c>
      <c r="BX390" s="277">
        <f t="shared" si="58"/>
        <v>0</v>
      </c>
    </row>
    <row r="391" spans="69:76">
      <c r="BQ391" s="278"/>
      <c r="BR391" s="273">
        <f t="shared" si="53"/>
        <v>50</v>
      </c>
      <c r="BS391" s="274" t="str">
        <f t="shared" si="54"/>
        <v>82</v>
      </c>
      <c r="BT391" s="275" t="str">
        <f t="shared" si="55"/>
        <v>URBAIN</v>
      </c>
      <c r="BU391" s="276" t="str">
        <f t="shared" si="56"/>
        <v>37</v>
      </c>
      <c r="BV391" s="277" t="str">
        <f t="shared" si="58"/>
        <v>CLEMENT</v>
      </c>
      <c r="BW391" s="277">
        <f t="shared" si="58"/>
        <v>0</v>
      </c>
      <c r="BX391" s="277">
        <f t="shared" si="58"/>
        <v>0</v>
      </c>
    </row>
    <row r="392" spans="69:76">
      <c r="BQ392" s="278"/>
      <c r="BR392" s="273">
        <f t="shared" si="53"/>
        <v>51</v>
      </c>
      <c r="BS392" s="274" t="str">
        <f t="shared" si="54"/>
        <v>85</v>
      </c>
      <c r="BT392" s="275" t="str">
        <f t="shared" si="55"/>
        <v>RAYMOND</v>
      </c>
      <c r="BU392" s="276" t="str">
        <f t="shared" si="56"/>
        <v>88</v>
      </c>
      <c r="BV392" s="277" t="str">
        <f t="shared" si="58"/>
        <v>VINCENT</v>
      </c>
      <c r="BW392" s="277">
        <f t="shared" si="58"/>
        <v>0</v>
      </c>
      <c r="BX392" s="277">
        <f t="shared" si="58"/>
        <v>0</v>
      </c>
    </row>
    <row r="393" spans="69:76">
      <c r="BQ393" s="278"/>
      <c r="BR393" s="273">
        <f t="shared" si="53"/>
        <v>52</v>
      </c>
      <c r="BS393" s="274" t="str">
        <f t="shared" si="54"/>
        <v>43</v>
      </c>
      <c r="BT393" s="275" t="str">
        <f t="shared" si="55"/>
        <v>ALLAIRE</v>
      </c>
      <c r="BU393" s="276" t="str">
        <f t="shared" si="56"/>
        <v>108</v>
      </c>
      <c r="BV393" s="277" t="str">
        <f t="shared" si="58"/>
        <v>ISIDORE</v>
      </c>
      <c r="BW393" s="277">
        <f t="shared" si="58"/>
        <v>0</v>
      </c>
      <c r="BX393" s="277">
        <f t="shared" si="58"/>
        <v>0</v>
      </c>
    </row>
    <row r="394" spans="69:76">
      <c r="BQ394" s="278"/>
      <c r="BR394" s="273">
        <f t="shared" si="53"/>
        <v>53</v>
      </c>
      <c r="BS394" s="274" t="str">
        <f t="shared" si="54"/>
        <v>31</v>
      </c>
      <c r="BT394" s="275" t="str">
        <f t="shared" si="55"/>
        <v>EDOUARD</v>
      </c>
      <c r="BU394" s="276" t="str">
        <f t="shared" si="56"/>
        <v>32</v>
      </c>
      <c r="BV394" s="277" t="str">
        <f t="shared" si="58"/>
        <v xml:space="preserve">ADELINE  </v>
      </c>
      <c r="BW394" s="277">
        <f t="shared" si="58"/>
        <v>0</v>
      </c>
      <c r="BX394" s="277">
        <f t="shared" si="58"/>
        <v>0</v>
      </c>
    </row>
    <row r="395" spans="69:76">
      <c r="BQ395" s="278"/>
      <c r="BR395" s="273">
        <f t="shared" si="53"/>
        <v>54</v>
      </c>
      <c r="BS395" s="274" t="str">
        <f t="shared" si="54"/>
        <v>65</v>
      </c>
      <c r="BT395" s="275" t="str">
        <f t="shared" si="55"/>
        <v>GEOFFROY</v>
      </c>
      <c r="BU395" s="276" t="str">
        <f t="shared" si="56"/>
        <v>104</v>
      </c>
      <c r="BV395" s="277" t="str">
        <f t="shared" si="58"/>
        <v>RODRIGUE</v>
      </c>
      <c r="BW395" s="277">
        <f t="shared" si="58"/>
        <v>0</v>
      </c>
      <c r="BX395" s="277">
        <f t="shared" si="58"/>
        <v>0</v>
      </c>
    </row>
    <row r="396" spans="69:76">
      <c r="BQ396" s="278"/>
      <c r="BR396" s="273">
        <f t="shared" si="53"/>
        <v>55</v>
      </c>
      <c r="BS396" s="274" t="str">
        <f t="shared" si="54"/>
        <v>25</v>
      </c>
      <c r="BT396" s="275" t="str">
        <f t="shared" si="55"/>
        <v>AURELIEN</v>
      </c>
      <c r="BU396" s="276" t="str">
        <f t="shared" si="56"/>
        <v>106</v>
      </c>
      <c r="BV396" s="277" t="str">
        <f t="shared" si="58"/>
        <v>LOUISE</v>
      </c>
      <c r="BW396" s="277">
        <f t="shared" si="58"/>
        <v>0</v>
      </c>
      <c r="BX396" s="277">
        <f t="shared" si="58"/>
        <v>0</v>
      </c>
    </row>
    <row r="397" spans="69:76">
      <c r="BQ397" s="278"/>
      <c r="BR397" s="273">
        <f t="shared" si="53"/>
        <v>56</v>
      </c>
      <c r="BS397" s="274" t="str">
        <f t="shared" si="54"/>
        <v>105</v>
      </c>
      <c r="BT397" s="275" t="str">
        <f t="shared" si="55"/>
        <v>CYRILL</v>
      </c>
      <c r="BU397" s="276" t="str">
        <f t="shared" si="56"/>
        <v>109</v>
      </c>
      <c r="BV397" s="277" t="str">
        <f t="shared" si="58"/>
        <v>MARCELLIN</v>
      </c>
      <c r="BW397" s="277">
        <f t="shared" si="58"/>
        <v>0</v>
      </c>
      <c r="BX397" s="277">
        <f t="shared" si="58"/>
        <v>0</v>
      </c>
    </row>
    <row r="398" spans="69:76">
      <c r="BQ398" s="278"/>
      <c r="BR398" s="273">
        <f t="shared" si="53"/>
        <v>57</v>
      </c>
      <c r="BS398" s="274" t="str">
        <f t="shared" si="54"/>
        <v>26</v>
      </c>
      <c r="BT398" s="275" t="str">
        <f t="shared" si="55"/>
        <v xml:space="preserve">THIERRY  </v>
      </c>
      <c r="BU398" s="276" t="str">
        <f t="shared" si="56"/>
        <v>50</v>
      </c>
      <c r="BV398" s="277" t="str">
        <f t="shared" si="58"/>
        <v>FLORENTIN</v>
      </c>
      <c r="BW398" s="277">
        <f t="shared" si="58"/>
        <v>0</v>
      </c>
      <c r="BX398" s="277">
        <f t="shared" si="58"/>
        <v>0</v>
      </c>
    </row>
    <row r="399" spans="69:76">
      <c r="BQ399" s="278"/>
      <c r="BR399" s="273">
        <f t="shared" si="53"/>
        <v>58</v>
      </c>
      <c r="BS399" s="274" t="str">
        <f t="shared" si="54"/>
        <v>11</v>
      </c>
      <c r="BT399" s="275" t="str">
        <f t="shared" si="55"/>
        <v>JOHN</v>
      </c>
      <c r="BU399" s="276" t="str">
        <f t="shared" si="56"/>
        <v>27</v>
      </c>
      <c r="BV399" s="277" t="str">
        <f t="shared" si="58"/>
        <v xml:space="preserve">PHILIPPE  </v>
      </c>
      <c r="BW399" s="277">
        <f t="shared" si="58"/>
        <v>0</v>
      </c>
      <c r="BX399" s="277">
        <f t="shared" si="58"/>
        <v>0</v>
      </c>
    </row>
    <row r="400" spans="69:76">
      <c r="BQ400" s="278"/>
      <c r="BR400" s="273">
        <f t="shared" si="53"/>
        <v>59</v>
      </c>
      <c r="BS400" s="274" t="str">
        <f t="shared" si="54"/>
        <v>52</v>
      </c>
      <c r="BT400" s="275" t="str">
        <f t="shared" si="55"/>
        <v>ABEL</v>
      </c>
      <c r="BU400" s="276" t="str">
        <f t="shared" si="56"/>
        <v>22</v>
      </c>
      <c r="BV400" s="277" t="str">
        <f t="shared" si="58"/>
        <v xml:space="preserve">LANDRY   </v>
      </c>
      <c r="BW400" s="277">
        <f t="shared" si="58"/>
        <v>0</v>
      </c>
      <c r="BX400" s="277">
        <f t="shared" si="58"/>
        <v>0</v>
      </c>
    </row>
    <row r="401" spans="69:76">
      <c r="BQ401" s="278"/>
      <c r="BR401" s="273">
        <f t="shared" si="53"/>
        <v>60</v>
      </c>
      <c r="BS401" s="274" t="str">
        <f t="shared" si="54"/>
        <v/>
      </c>
      <c r="BT401" s="275" t="str">
        <f t="shared" si="55"/>
        <v/>
      </c>
      <c r="BU401" s="276" t="str">
        <f t="shared" si="56"/>
        <v/>
      </c>
      <c r="BV401" s="277" t="str">
        <f t="shared" si="58"/>
        <v/>
      </c>
      <c r="BW401" s="277">
        <f t="shared" si="58"/>
        <v>0</v>
      </c>
      <c r="BX401" s="277">
        <f t="shared" si="58"/>
        <v>0</v>
      </c>
    </row>
    <row r="402" spans="69:76">
      <c r="BQ402" s="278"/>
      <c r="BR402" s="273">
        <f t="shared" si="53"/>
        <v>61</v>
      </c>
      <c r="BS402" s="274" t="str">
        <f t="shared" si="54"/>
        <v/>
      </c>
      <c r="BT402" s="275" t="str">
        <f t="shared" si="55"/>
        <v/>
      </c>
      <c r="BU402" s="276" t="str">
        <f t="shared" si="56"/>
        <v/>
      </c>
      <c r="BV402" s="277" t="str">
        <f t="shared" si="58"/>
        <v/>
      </c>
      <c r="BW402" s="277">
        <f t="shared" si="58"/>
        <v>0</v>
      </c>
      <c r="BX402" s="277">
        <f t="shared" si="58"/>
        <v>0</v>
      </c>
    </row>
    <row r="403" spans="69:76">
      <c r="BQ403" s="278"/>
      <c r="BR403" s="273">
        <f t="shared" si="53"/>
        <v>62</v>
      </c>
      <c r="BS403" s="274" t="str">
        <f t="shared" si="54"/>
        <v/>
      </c>
      <c r="BT403" s="275" t="str">
        <f t="shared" si="55"/>
        <v/>
      </c>
      <c r="BU403" s="276" t="str">
        <f t="shared" si="56"/>
        <v/>
      </c>
      <c r="BV403" s="277" t="str">
        <f t="shared" si="58"/>
        <v/>
      </c>
      <c r="BW403" s="277">
        <f t="shared" si="58"/>
        <v>0</v>
      </c>
      <c r="BX403" s="277">
        <f t="shared" si="58"/>
        <v>0</v>
      </c>
    </row>
    <row r="404" spans="69:76">
      <c r="BQ404" s="278"/>
      <c r="BR404" s="273">
        <f t="shared" si="53"/>
        <v>63</v>
      </c>
      <c r="BS404" s="274" t="str">
        <f t="shared" si="54"/>
        <v/>
      </c>
      <c r="BT404" s="275" t="str">
        <f t="shared" si="55"/>
        <v/>
      </c>
      <c r="BU404" s="276" t="str">
        <f t="shared" si="56"/>
        <v/>
      </c>
      <c r="BV404" s="277" t="str">
        <f t="shared" si="58"/>
        <v/>
      </c>
      <c r="BW404" s="277">
        <f t="shared" si="58"/>
        <v>0</v>
      </c>
      <c r="BX404" s="277">
        <f t="shared" si="58"/>
        <v>0</v>
      </c>
    </row>
    <row r="405" spans="69:76">
      <c r="BQ405" s="278"/>
      <c r="BR405" s="273">
        <f t="shared" si="53"/>
        <v>64</v>
      </c>
      <c r="BS405" s="274" t="str">
        <f t="shared" si="54"/>
        <v/>
      </c>
      <c r="BT405" s="275" t="str">
        <f t="shared" si="55"/>
        <v/>
      </c>
      <c r="BU405" s="276" t="str">
        <f t="shared" si="56"/>
        <v/>
      </c>
      <c r="BV405" s="277" t="str">
        <f t="shared" si="58"/>
        <v/>
      </c>
      <c r="BW405" s="277">
        <f t="shared" si="58"/>
        <v>0</v>
      </c>
      <c r="BX405" s="277">
        <f t="shared" si="58"/>
        <v>0</v>
      </c>
    </row>
  </sheetData>
  <mergeCells count="24">
    <mergeCell ref="BS207:BV207"/>
    <mergeCell ref="BW207:BX207"/>
    <mergeCell ref="BS274:BV274"/>
    <mergeCell ref="BW274:BX274"/>
    <mergeCell ref="BS341:BV341"/>
    <mergeCell ref="BW341:BX341"/>
    <mergeCell ref="BS6:BV6"/>
    <mergeCell ref="BW6:BX6"/>
    <mergeCell ref="BS73:BV73"/>
    <mergeCell ref="BW73:BX73"/>
    <mergeCell ref="BS140:BV140"/>
    <mergeCell ref="BW140:BX140"/>
    <mergeCell ref="C5:L5"/>
    <mergeCell ref="K101:L101"/>
    <mergeCell ref="K102:L102"/>
    <mergeCell ref="K103:L103"/>
    <mergeCell ref="K71:L71"/>
    <mergeCell ref="K72:L72"/>
    <mergeCell ref="K73:L73"/>
    <mergeCell ref="M5:V5"/>
    <mergeCell ref="W5:AF5"/>
    <mergeCell ref="AG5:AP5"/>
    <mergeCell ref="AQ5:AZ5"/>
    <mergeCell ref="BA5:BJ5"/>
  </mergeCells>
  <dataValidations count="5">
    <dataValidation type="whole" operator="lessThan" allowBlank="1" showInputMessage="1" showErrorMessage="1" sqref="K70:L70">
      <formula1>13</formula1>
    </dataValidation>
    <dataValidation type="whole" operator="lessThan" allowBlank="1" showInputMessage="1" showErrorMessage="1" errorTitle="Valeur non autorisée" error="Score compris ente 0 et 13" sqref="K6:L69 BP1:BQ118">
      <formula1>14</formula1>
    </dataValidation>
    <dataValidation type="whole" operator="lessThan" allowBlank="1" showInputMessage="1" showErrorMessage="1" errorTitle="Score impossible" error="Score entre 0 et 13" sqref="U6:V69 AE6:AF69 AO6:AP69">
      <formula1>14</formula1>
    </dataValidation>
    <dataValidation type="whole" operator="lessThan" allowBlank="1" showInputMessage="1" showErrorMessage="1" errorTitle="Score impossible" error="Score compris entre 0 et 13" sqref="AY6:AZ69 BI6:BJ69">
      <formula1>14</formula1>
    </dataValidation>
    <dataValidation type="custom" allowBlank="1" showInputMessage="1" showErrorMessage="1" sqref="A77:A1048576 A1:A73 BA1:BH1048576 AQ1:AX1048576 AG1:AN1048576 W1:AD1048576 M1:T1048576 C1:C1048576 E1:J1048576 D2:D1048576">
      <formula1>"x_y_z"</formula1>
    </dataValidation>
  </dataValidations>
  <pageMargins left="0.59055118110236227" right="0.11811023622047245" top="0.19685039370078741" bottom="0.19685039370078741" header="0.31496062992125984" footer="0.31496062992125984"/>
  <pageSetup paperSize="9" scale="62" fitToHeight="2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resultat</vt:lpstr>
      <vt:lpstr>22 eq</vt:lpstr>
      <vt:lpstr>66_128 eq</vt:lpstr>
      <vt:lpstr>resultat!Zone_d_impression</vt:lpstr>
    </vt:vector>
  </TitlesOfParts>
  <Company>LA POSTE - DSOI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CLENET</dc:creator>
  <cp:lastModifiedBy>brazeaupierre@gmail.com</cp:lastModifiedBy>
  <cp:lastPrinted>2018-12-18T22:46:06Z</cp:lastPrinted>
  <dcterms:created xsi:type="dcterms:W3CDTF">2008-05-19T11:41:12Z</dcterms:created>
  <dcterms:modified xsi:type="dcterms:W3CDTF">2019-01-28T13:35:33Z</dcterms:modified>
</cp:coreProperties>
</file>