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/>
  <bookViews>
    <workbookView xWindow="0" yWindow="120" windowWidth="15195" windowHeight="8700"/>
  </bookViews>
  <sheets>
    <sheet name="Analyse canalisation" sheetId="1" r:id="rId1"/>
  </sheets>
  <definedNames>
    <definedName name="solver_adj" localSheetId="0" hidden="1">'Analyse canalisation'!$C$30:$G$30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0</definedName>
    <definedName name="solver_nwt" localSheetId="0" hidden="1">1</definedName>
    <definedName name="solver_opt" localSheetId="0" hidden="1">'Analyse canalisation'!$B$2</definedName>
    <definedName name="solver_pre" localSheetId="0" hidden="1">0.000001</definedName>
    <definedName name="solver_rbv" localSheetId="0" hidden="1">1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45621"/>
</workbook>
</file>

<file path=xl/calcChain.xml><?xml version="1.0" encoding="utf-8"?>
<calcChain xmlns="http://schemas.openxmlformats.org/spreadsheetml/2006/main">
  <c r="B30" i="1" l="1"/>
  <c r="H30" i="1"/>
  <c r="B34" i="1" l="1"/>
  <c r="C30" i="1"/>
  <c r="D30" i="1" s="1"/>
  <c r="B13" i="1"/>
  <c r="M13" i="1" s="1"/>
  <c r="B36" i="1"/>
  <c r="B35" i="1"/>
  <c r="C13" i="1" l="1"/>
  <c r="J13" i="1" s="1"/>
  <c r="E30" i="1"/>
  <c r="F30" i="1" s="1"/>
  <c r="E13" i="1"/>
  <c r="D13" i="1" l="1"/>
  <c r="G30" i="1"/>
  <c r="F13" i="1"/>
  <c r="B27" i="1"/>
  <c r="B20" i="1"/>
  <c r="B14" i="1"/>
  <c r="B21" i="1"/>
  <c r="B22" i="1"/>
  <c r="B23" i="1"/>
  <c r="B24" i="1"/>
  <c r="B17" i="1"/>
  <c r="B18" i="1"/>
  <c r="B26" i="1"/>
  <c r="B15" i="1"/>
  <c r="B16" i="1"/>
  <c r="B25" i="1"/>
  <c r="B19" i="1"/>
  <c r="G13" i="1" l="1"/>
  <c r="K13" i="1" s="1"/>
  <c r="L13" i="1"/>
  <c r="C24" i="1"/>
  <c r="E24" i="1" s="1"/>
  <c r="M24" i="1"/>
  <c r="C16" i="1"/>
  <c r="J16" i="1" s="1"/>
  <c r="M16" i="1"/>
  <c r="C21" i="1"/>
  <c r="J21" i="1" s="1"/>
  <c r="M21" i="1"/>
  <c r="C19" i="1"/>
  <c r="J19" i="1" s="1"/>
  <c r="M19" i="1"/>
  <c r="C23" i="1"/>
  <c r="J23" i="1" s="1"/>
  <c r="M23" i="1"/>
  <c r="C25" i="1"/>
  <c r="D25" i="1" s="1"/>
  <c r="M25" i="1"/>
  <c r="C22" i="1"/>
  <c r="D22" i="1" s="1"/>
  <c r="M22" i="1"/>
  <c r="C15" i="1"/>
  <c r="D15" i="1" s="1"/>
  <c r="M15" i="1"/>
  <c r="C14" i="1"/>
  <c r="E14" i="1" s="1"/>
  <c r="M14" i="1"/>
  <c r="C26" i="1"/>
  <c r="E26" i="1" s="1"/>
  <c r="M26" i="1"/>
  <c r="C20" i="1"/>
  <c r="J20" i="1" s="1"/>
  <c r="M20" i="1"/>
  <c r="C18" i="1"/>
  <c r="D18" i="1" s="1"/>
  <c r="M18" i="1"/>
  <c r="C27" i="1"/>
  <c r="E27" i="1" s="1"/>
  <c r="M27" i="1"/>
  <c r="C17" i="1"/>
  <c r="D17" i="1" s="1"/>
  <c r="M17" i="1"/>
  <c r="E17" i="1"/>
  <c r="E25" i="1"/>
  <c r="B37" i="1" l="1"/>
  <c r="H13" i="1"/>
  <c r="B38" i="1" s="1"/>
  <c r="J17" i="1"/>
  <c r="E18" i="1"/>
  <c r="F18" i="1" s="1"/>
  <c r="L18" i="1" s="1"/>
  <c r="J18" i="1"/>
  <c r="D26" i="1"/>
  <c r="J15" i="1"/>
  <c r="E21" i="1"/>
  <c r="J26" i="1"/>
  <c r="J25" i="1"/>
  <c r="D23" i="1"/>
  <c r="E15" i="1"/>
  <c r="F15" i="1" s="1"/>
  <c r="L15" i="1" s="1"/>
  <c r="D24" i="1"/>
  <c r="F24" i="1" s="1"/>
  <c r="L24" i="1" s="1"/>
  <c r="J27" i="1"/>
  <c r="D20" i="1"/>
  <c r="D21" i="1"/>
  <c r="F21" i="1" s="1"/>
  <c r="L21" i="1" s="1"/>
  <c r="E23" i="1"/>
  <c r="E16" i="1"/>
  <c r="D19" i="1"/>
  <c r="J14" i="1"/>
  <c r="E22" i="1"/>
  <c r="F22" i="1" s="1"/>
  <c r="L22" i="1" s="1"/>
  <c r="D14" i="1"/>
  <c r="F14" i="1" s="1"/>
  <c r="L14" i="1" s="1"/>
  <c r="J22" i="1"/>
  <c r="J24" i="1"/>
  <c r="E19" i="1"/>
  <c r="F19" i="1" s="1"/>
  <c r="L19" i="1" s="1"/>
  <c r="D16" i="1"/>
  <c r="F16" i="1" s="1"/>
  <c r="L16" i="1" s="1"/>
  <c r="E20" i="1"/>
  <c r="D27" i="1"/>
  <c r="F27" i="1" s="1"/>
  <c r="L27" i="1" s="1"/>
  <c r="F26" i="1"/>
  <c r="L26" i="1" s="1"/>
  <c r="F25" i="1"/>
  <c r="L25" i="1" s="1"/>
  <c r="F17" i="1"/>
  <c r="L17" i="1" s="1"/>
  <c r="F23" i="1" l="1"/>
  <c r="L23" i="1" s="1"/>
  <c r="F20" i="1"/>
  <c r="G22" i="1"/>
  <c r="K22" i="1" s="1"/>
  <c r="G18" i="1"/>
  <c r="K18" i="1" s="1"/>
  <c r="G26" i="1"/>
  <c r="K26" i="1" s="1"/>
  <c r="G14" i="1"/>
  <c r="K14" i="1" s="1"/>
  <c r="G25" i="1"/>
  <c r="K25" i="1" s="1"/>
  <c r="G15" i="1"/>
  <c r="K15" i="1" s="1"/>
  <c r="G23" i="1"/>
  <c r="K23" i="1" s="1"/>
  <c r="G21" i="1"/>
  <c r="K21" i="1" s="1"/>
  <c r="G27" i="1"/>
  <c r="K27" i="1" s="1"/>
  <c r="G17" i="1"/>
  <c r="K17" i="1" s="1"/>
  <c r="G16" i="1"/>
  <c r="K16" i="1" s="1"/>
  <c r="G19" i="1"/>
  <c r="K19" i="1" s="1"/>
  <c r="G24" i="1"/>
  <c r="K24" i="1" s="1"/>
  <c r="I13" i="1"/>
  <c r="G20" i="1" l="1"/>
  <c r="K20" i="1" s="1"/>
  <c r="L20" i="1"/>
  <c r="H24" i="1"/>
  <c r="I24" i="1" s="1"/>
  <c r="H22" i="1"/>
  <c r="I22" i="1" s="1"/>
  <c r="H19" i="1"/>
  <c r="I19" i="1" s="1"/>
  <c r="H23" i="1"/>
  <c r="I23" i="1" s="1"/>
  <c r="H26" i="1"/>
  <c r="I26" i="1" s="1"/>
  <c r="H15" i="1"/>
  <c r="I15" i="1" s="1"/>
  <c r="H18" i="1"/>
  <c r="I18" i="1" s="1"/>
  <c r="H14" i="1"/>
  <c r="I14" i="1" s="1"/>
  <c r="H17" i="1"/>
  <c r="I17" i="1" s="1"/>
  <c r="H21" i="1"/>
  <c r="I21" i="1" s="1"/>
  <c r="H16" i="1"/>
  <c r="I16" i="1" s="1"/>
  <c r="H27" i="1"/>
  <c r="I27" i="1" s="1"/>
  <c r="H25" i="1"/>
  <c r="I25" i="1" s="1"/>
  <c r="H20" i="1" l="1"/>
  <c r="I20" i="1" s="1"/>
</calcChain>
</file>

<file path=xl/sharedStrings.xml><?xml version="1.0" encoding="utf-8"?>
<sst xmlns="http://schemas.openxmlformats.org/spreadsheetml/2006/main" count="77" uniqueCount="70">
  <si>
    <t>Qmax</t>
  </si>
  <si>
    <t>Is</t>
  </si>
  <si>
    <t>kB</t>
  </si>
  <si>
    <t>DN</t>
  </si>
  <si>
    <t>g</t>
  </si>
  <si>
    <t>ν</t>
  </si>
  <si>
    <t>gravité</t>
  </si>
  <si>
    <t>viscosité cinématique</t>
  </si>
  <si>
    <t>h1</t>
  </si>
  <si>
    <t>h2</t>
  </si>
  <si>
    <t>h3</t>
  </si>
  <si>
    <t>h4</t>
  </si>
  <si>
    <t>h5</t>
  </si>
  <si>
    <t>h6</t>
  </si>
  <si>
    <t>h7</t>
  </si>
  <si>
    <t>h8</t>
  </si>
  <si>
    <t>h9</t>
  </si>
  <si>
    <t>h10</t>
  </si>
  <si>
    <t>h11</t>
  </si>
  <si>
    <t>h12</t>
  </si>
  <si>
    <t>h13</t>
  </si>
  <si>
    <t>h14</t>
  </si>
  <si>
    <t>h15</t>
  </si>
  <si>
    <t>ht</t>
  </si>
  <si>
    <t>θ</t>
  </si>
  <si>
    <t>[m]</t>
  </si>
  <si>
    <t>[rad]</t>
  </si>
  <si>
    <t>[m2]</t>
  </si>
  <si>
    <t>Sm</t>
  </si>
  <si>
    <t>Pm</t>
  </si>
  <si>
    <t>Rh</t>
  </si>
  <si>
    <t>m/s2</t>
  </si>
  <si>
    <t>m2/s</t>
  </si>
  <si>
    <t>v</t>
  </si>
  <si>
    <t>[m/s]</t>
  </si>
  <si>
    <t>Q</t>
  </si>
  <si>
    <t>[m3/s]</t>
  </si>
  <si>
    <t>vitesse d'écoulement</t>
  </si>
  <si>
    <t>[‰]</t>
  </si>
  <si>
    <t>mm</t>
  </si>
  <si>
    <t>Pour calculer la vitesse dans le tuyau, il utilise la formule de Prandtl-Colebrook et non avec le coefficient de Strickler</t>
  </si>
  <si>
    <t>Prandtl-colebrook</t>
  </si>
  <si>
    <t>Strickler</t>
  </si>
  <si>
    <t>d</t>
  </si>
  <si>
    <t>diam minimal</t>
  </si>
  <si>
    <t>Av</t>
  </si>
  <si>
    <t>Uv</t>
  </si>
  <si>
    <t>Vv</t>
  </si>
  <si>
    <t>Qv</t>
  </si>
  <si>
    <t>m2</t>
  </si>
  <si>
    <t>m</t>
  </si>
  <si>
    <t>m/s</t>
  </si>
  <si>
    <t>m3/s</t>
  </si>
  <si>
    <t>périmètre du tuyau</t>
  </si>
  <si>
    <t>vitesse quand le tuyau est plein</t>
  </si>
  <si>
    <t>débit de l'eau quand le tuyau est plein</t>
  </si>
  <si>
    <t>Qt/Qv</t>
  </si>
  <si>
    <t>-</t>
  </si>
  <si>
    <t>bsp</t>
  </si>
  <si>
    <t>calcul de bsp</t>
  </si>
  <si>
    <t>Energie-höhe</t>
  </si>
  <si>
    <t>Charge hydraulique</t>
  </si>
  <si>
    <t>déterminer un diamètre minimal avec juste les éléments de base</t>
  </si>
  <si>
    <t>&lt;=</t>
  </si>
  <si>
    <t>Charge hydraulique= u^2/(2*g)+ht</t>
  </si>
  <si>
    <t>[N/m2]</t>
  </si>
  <si>
    <t>Contrainte de cisaillement</t>
  </si>
  <si>
    <t>Wandschubspannung</t>
  </si>
  <si>
    <t>Ø</t>
  </si>
  <si>
    <t>Ht/Hv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</si>
</sst>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"/>
  </numFmts>
  <fonts count="6" x14ac:knownFonts="1">
    <font>
      <sz val="10"/>
      <name val="Arial"/>
    </font>
    <font>
      <sz val="8"/>
      <name val="Arial"/>
      <family val="2"/>
    </font>
    <font>
      <sz val="10"/>
      <name val="Arial"/>
      <family val="2"/>
    </font>
    <font>
      <sz val="10"/>
      <name val="Calibri"/>
      <family val="2"/>
    </font>
    <font>
      <sz val="10"/>
      <color rgb="FFFF0000"/>
      <name val="Arial"/>
      <family val="2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0" xfId="0" applyFont="1"/>
    <xf numFmtId="0" fontId="0" fillId="2" borderId="0" xfId="0" applyFill="1"/>
    <xf numFmtId="0" fontId="3" fillId="0" borderId="0" xfId="0" applyFont="1"/>
    <xf numFmtId="11" fontId="2" fillId="0" borderId="0" xfId="0" applyNumberFormat="1" applyFont="1"/>
    <xf numFmtId="0" fontId="2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165" fontId="0" fillId="0" borderId="0" xfId="0" applyNumberFormat="1" applyAlignment="1">
      <alignment horizontal="center"/>
    </xf>
    <xf numFmtId="0" fontId="2" fillId="0" borderId="0" xfId="0" applyNumberFormat="1" applyFont="1"/>
    <xf numFmtId="0" fontId="4" fillId="0" borderId="0" xfId="0" applyFont="1"/>
    <xf numFmtId="164" fontId="2" fillId="0" borderId="0" xfId="0" applyNumberFormat="1" applyFont="1" applyAlignment="1">
      <alignment horizontal="center"/>
    </xf>
    <xf numFmtId="164" fontId="0" fillId="4" borderId="0" xfId="0" applyNumberFormat="1" applyFill="1"/>
    <xf numFmtId="2" fontId="0" fillId="0" borderId="0" xfId="0" applyNumberFormat="1" applyAlignment="1">
      <alignment horizontal="center"/>
    </xf>
    <xf numFmtId="2" fontId="2" fillId="0" borderId="0" xfId="0" applyNumberFormat="1" applyFont="1" applyAlignment="1">
      <alignment horizontal="center"/>
    </xf>
    <xf numFmtId="164" fontId="0" fillId="3" borderId="0" xfId="0" applyNumberFormat="1" applyFill="1" applyAlignment="1">
      <alignment horizontal="center"/>
    </xf>
    <xf numFmtId="0" fontId="0" fillId="5" borderId="0" xfId="0" applyFill="1"/>
    <xf numFmtId="164" fontId="0" fillId="0" borderId="0" xfId="0" applyNumberFormat="1" applyFill="1" applyAlignment="1">
      <alignment horizontal="center"/>
    </xf>
    <xf numFmtId="2" fontId="0" fillId="0" borderId="0" xfId="0" applyNumberFormat="1"/>
    <xf numFmtId="0" fontId="2" fillId="0" borderId="0" xfId="0" applyFont="1" applyFill="1"/>
    <xf numFmtId="164" fontId="0" fillId="0" borderId="0" xfId="0" applyNumberFormat="1"/>
    <xf numFmtId="0" fontId="3" fillId="5" borderId="0" xfId="0" applyFont="1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B2B2B2"/>
      <rgbColor rgb="00F07CA0"/>
      <rgbColor rgb="00965096"/>
      <rgbColor rgb="00BADA8A"/>
      <rgbColor rgb="00E6E6E6"/>
      <rgbColor rgb="00F9C795"/>
      <rgbColor rgb="00808080"/>
      <rgbColor rgb="00A02864"/>
      <rgbColor rgb="006E376E"/>
      <rgbColor rgb="006EB946"/>
      <rgbColor rgb="00FFFFFF"/>
      <rgbColor rgb="00EB6932"/>
      <rgbColor rgb="00E6E6E6"/>
      <rgbColor rgb="00808080"/>
      <rgbColor rgb="0082C3EB"/>
      <rgbColor rgb="0050AAE1"/>
      <rgbColor rgb="00A0CD5F"/>
      <rgbColor rgb="006EB946"/>
      <rgbColor rgb="00E62864"/>
      <rgbColor rgb="00A02864"/>
      <rgbColor rgb="00F5A04B"/>
      <rgbColor rgb="00EB6932"/>
      <rgbColor rgb="00B46EAF"/>
      <rgbColor rgb="00965096"/>
      <rgbColor rgb="00327DAA"/>
      <rgbColor rgb="004B873C"/>
      <rgbColor rgb="0069194B"/>
      <rgbColor rgb="00D2412D"/>
      <rgbColor rgb="006E376E"/>
      <rgbColor rgb="00000000"/>
      <rgbColor rgb="00D1A7CE"/>
      <rgbColor rgb="00FCE0C4"/>
      <rgbColor rgb="00F8BED0"/>
      <rgbColor rgb="00D2E7B3"/>
      <rgbColor rgb="00EAD6E9"/>
      <rgbColor rgb="00FFFFFF"/>
      <rgbColor rgb="00FFFFFF"/>
      <rgbColor rgb="00D4EAF8"/>
      <rgbColor rgb="00B46EAF"/>
      <rgbColor rgb="00F5A04B"/>
      <rgbColor rgb="00A0CD5F"/>
      <rgbColor rgb="00B7DCF3"/>
      <rgbColor rgb="0082C3EB"/>
      <rgbColor rgb="0050AAE1"/>
      <rgbColor rgb="00FFFFFF"/>
      <rgbColor rgb="00B2B2B2"/>
      <rgbColor rgb="00D2412D"/>
      <rgbColor rgb="00E62864"/>
      <rgbColor rgb="0069194B"/>
      <rgbColor rgb="004B873C"/>
      <rgbColor rgb="00327DAA"/>
      <rgbColor rgb="00FFFFFF"/>
      <rgbColor rgb="00FFFFFF"/>
      <rgbColor rgb="00000000"/>
    </indexedColors>
    <mruColors>
      <color rgb="FFFFFFCC"/>
      <color rgb="FF99CC00"/>
      <color rgb="FFCC99FF"/>
      <color rgb="FF33CCCC"/>
      <color rgb="FFFF9900"/>
      <color rgb="FFCCFFFF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openxmlformats.org/officeDocument/2006/relationships/customXml" Target="../customXml/item4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85725</xdr:colOff>
      <xdr:row>4</xdr:row>
      <xdr:rowOff>104775</xdr:rowOff>
    </xdr:from>
    <xdr:to>
      <xdr:col>13</xdr:col>
      <xdr:colOff>153115</xdr:colOff>
      <xdr:row>6</xdr:row>
      <xdr:rowOff>114258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705725" y="752475"/>
          <a:ext cx="3238095" cy="333333"/>
        </a:xfrm>
        <a:prstGeom prst="rect">
          <a:avLst/>
        </a:prstGeom>
      </xdr:spPr>
    </xdr:pic>
    <xdr:clientData/>
  </xdr:twoCellAnchor>
  <xdr:twoCellAnchor editAs="oneCell">
    <xdr:from>
      <xdr:col>10</xdr:col>
      <xdr:colOff>19050</xdr:colOff>
      <xdr:row>7</xdr:row>
      <xdr:rowOff>9525</xdr:rowOff>
    </xdr:from>
    <xdr:to>
      <xdr:col>11</xdr:col>
      <xdr:colOff>599907</xdr:colOff>
      <xdr:row>8</xdr:row>
      <xdr:rowOff>152362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639050" y="1143000"/>
          <a:ext cx="1342857" cy="304762"/>
        </a:xfrm>
        <a:prstGeom prst="rect">
          <a:avLst/>
        </a:prstGeom>
      </xdr:spPr>
    </xdr:pic>
    <xdr:clientData/>
  </xdr:twoCellAnchor>
  <xdr:twoCellAnchor editAs="oneCell">
    <xdr:from>
      <xdr:col>17</xdr:col>
      <xdr:colOff>190499</xdr:colOff>
      <xdr:row>7</xdr:row>
      <xdr:rowOff>149679</xdr:rowOff>
    </xdr:from>
    <xdr:to>
      <xdr:col>18</xdr:col>
      <xdr:colOff>723737</xdr:colOff>
      <xdr:row>16</xdr:row>
      <xdr:rowOff>71945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3212535" y="1292679"/>
          <a:ext cx="1295238" cy="1391837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2</xdr:row>
          <xdr:rowOff>57150</xdr:rowOff>
        </xdr:from>
        <xdr:to>
          <xdr:col>8</xdr:col>
          <xdr:colOff>76200</xdr:colOff>
          <xdr:row>5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de-CH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Diamètre minimal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Larissa">
  <a:themeElements>
    <a:clrScheme name="Diagramme_BH">
      <a:dk1>
        <a:sysClr val="windowText" lastClr="000000"/>
      </a:dk1>
      <a:lt1>
        <a:sysClr val="window" lastClr="FFFFFF"/>
      </a:lt1>
      <a:dk2>
        <a:srgbClr val="F5A04B"/>
      </a:dk2>
      <a:lt2>
        <a:srgbClr val="EB6932"/>
      </a:lt2>
      <a:accent1>
        <a:srgbClr val="82C3EB"/>
      </a:accent1>
      <a:accent2>
        <a:srgbClr val="50AAE1"/>
      </a:accent2>
      <a:accent3>
        <a:srgbClr val="A0CD5F"/>
      </a:accent3>
      <a:accent4>
        <a:srgbClr val="6EB946"/>
      </a:accent4>
      <a:accent5>
        <a:srgbClr val="E62864"/>
      </a:accent5>
      <a:accent6>
        <a:srgbClr val="A02864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T40"/>
  <sheetViews>
    <sheetView tabSelected="1" zoomScale="85" zoomScaleNormal="85" workbookViewId="0">
      <selection activeCell="L48" sqref="L48"/>
    </sheetView>
  </sheetViews>
  <sheetFormatPr baseColWidth="10" defaultRowHeight="12.75" x14ac:dyDescent="0.2"/>
  <cols>
    <col min="5" max="5" width="11.42578125" customWidth="1"/>
    <col min="12" max="12" width="22.7109375" bestFit="1" customWidth="1"/>
    <col min="13" max="13" width="13.42578125" customWidth="1"/>
  </cols>
  <sheetData>
    <row r="1" spans="1:20" x14ac:dyDescent="0.2">
      <c r="G1" s="22"/>
    </row>
    <row r="2" spans="1:20" x14ac:dyDescent="0.2">
      <c r="A2" s="1" t="s">
        <v>0</v>
      </c>
      <c r="B2" s="2">
        <v>0.2</v>
      </c>
      <c r="C2" s="1" t="s">
        <v>36</v>
      </c>
    </row>
    <row r="3" spans="1:20" x14ac:dyDescent="0.2">
      <c r="A3" s="1" t="s">
        <v>1</v>
      </c>
      <c r="B3" s="2">
        <v>24</v>
      </c>
      <c r="C3" s="3" t="s">
        <v>38</v>
      </c>
      <c r="E3" s="19"/>
    </row>
    <row r="4" spans="1:20" x14ac:dyDescent="0.2">
      <c r="A4" s="1" t="s">
        <v>2</v>
      </c>
      <c r="B4" s="2">
        <v>1.5</v>
      </c>
      <c r="C4" s="1" t="s">
        <v>39</v>
      </c>
      <c r="K4" s="10" t="s">
        <v>40</v>
      </c>
    </row>
    <row r="5" spans="1:20" x14ac:dyDescent="0.2">
      <c r="A5" s="1" t="s">
        <v>3</v>
      </c>
      <c r="B5" s="22">
        <v>300</v>
      </c>
      <c r="C5" s="1" t="s">
        <v>39</v>
      </c>
    </row>
    <row r="6" spans="1:20" x14ac:dyDescent="0.2">
      <c r="O6" s="1" t="s">
        <v>41</v>
      </c>
    </row>
    <row r="7" spans="1:20" x14ac:dyDescent="0.2">
      <c r="A7" s="1" t="s">
        <v>4</v>
      </c>
      <c r="B7">
        <v>9.81</v>
      </c>
      <c r="C7" s="1" t="s">
        <v>31</v>
      </c>
      <c r="D7" s="1" t="s">
        <v>6</v>
      </c>
    </row>
    <row r="8" spans="1:20" x14ac:dyDescent="0.2">
      <c r="A8" s="3" t="s">
        <v>5</v>
      </c>
      <c r="B8" s="4">
        <v>1.31E-6</v>
      </c>
      <c r="C8" s="1" t="s">
        <v>32</v>
      </c>
      <c r="D8" s="1" t="s">
        <v>7</v>
      </c>
      <c r="M8" s="1" t="s">
        <v>42</v>
      </c>
    </row>
    <row r="9" spans="1:20" x14ac:dyDescent="0.2">
      <c r="A9" s="3"/>
      <c r="B9" s="9"/>
      <c r="C9" s="1"/>
      <c r="D9" s="1"/>
    </row>
    <row r="10" spans="1:20" x14ac:dyDescent="0.2">
      <c r="G10" s="1" t="s">
        <v>37</v>
      </c>
      <c r="K10" t="s">
        <v>61</v>
      </c>
      <c r="L10" t="s">
        <v>66</v>
      </c>
      <c r="O10" t="s">
        <v>64</v>
      </c>
    </row>
    <row r="11" spans="1:20" x14ac:dyDescent="0.2">
      <c r="B11" s="5" t="s">
        <v>23</v>
      </c>
      <c r="C11" s="7" t="s">
        <v>24</v>
      </c>
      <c r="D11" s="5" t="s">
        <v>28</v>
      </c>
      <c r="E11" s="5" t="s">
        <v>29</v>
      </c>
      <c r="F11" s="5" t="s">
        <v>30</v>
      </c>
      <c r="G11" s="5" t="s">
        <v>33</v>
      </c>
      <c r="H11" s="5" t="s">
        <v>35</v>
      </c>
      <c r="I11" s="5" t="s">
        <v>56</v>
      </c>
      <c r="J11" s="5" t="s">
        <v>58</v>
      </c>
      <c r="K11" s="5" t="s">
        <v>60</v>
      </c>
      <c r="L11" s="5" t="s">
        <v>67</v>
      </c>
      <c r="M11" s="5" t="s">
        <v>69</v>
      </c>
    </row>
    <row r="12" spans="1:20" x14ac:dyDescent="0.2">
      <c r="B12" s="5" t="s">
        <v>25</v>
      </c>
      <c r="C12" s="5" t="s">
        <v>26</v>
      </c>
      <c r="D12" s="5" t="s">
        <v>27</v>
      </c>
      <c r="E12" s="5" t="s">
        <v>25</v>
      </c>
      <c r="F12" s="5" t="s">
        <v>25</v>
      </c>
      <c r="G12" s="5" t="s">
        <v>34</v>
      </c>
      <c r="H12" s="5" t="s">
        <v>36</v>
      </c>
      <c r="I12" s="5" t="s">
        <v>57</v>
      </c>
      <c r="J12" s="5" t="s">
        <v>50</v>
      </c>
      <c r="K12" s="5" t="s">
        <v>50</v>
      </c>
      <c r="L12" s="5" t="s">
        <v>65</v>
      </c>
      <c r="T12" t="s">
        <v>59</v>
      </c>
    </row>
    <row r="13" spans="1:20" x14ac:dyDescent="0.2">
      <c r="A13" s="1" t="s">
        <v>8</v>
      </c>
      <c r="B13" s="6">
        <f>B5*0.001</f>
        <v>0.3</v>
      </c>
      <c r="C13" s="8">
        <f>2*ACOS(1-(2*B13/($B$5*0.001)))</f>
        <v>6.2831853071795862</v>
      </c>
      <c r="D13" s="6">
        <f>(($B$5*0.001)^2/8)*(C13-SIN(C13))</f>
        <v>7.0685834705770348E-2</v>
      </c>
      <c r="E13" s="6">
        <f>1/2*C13*($B$5*0.001)</f>
        <v>0.94247779607693793</v>
      </c>
      <c r="F13" s="6">
        <f>D13/E13</f>
        <v>7.4999999999999997E-2</v>
      </c>
      <c r="G13" s="11">
        <f t="shared" ref="G13:G27" si="0">ABS(2*((8*$B$7*F13*($B$3/1000))^0.5)*LOG((($B$4/1000)/(3.71*4*F13))+((2.51*$B$8)/(4*F13*(8*$B$7*F13*($B$3/1000))^0.5))))</f>
        <v>2.1507000333418653</v>
      </c>
      <c r="H13" s="6">
        <f t="shared" ref="H13:H27" si="1">D13*G13</f>
        <v>0.15202402705849788</v>
      </c>
      <c r="I13" s="13">
        <f>H13/$B$38</f>
        <v>1</v>
      </c>
      <c r="J13" s="14">
        <f t="shared" ref="J13:J27" si="2">(SIN(C13/2)*($B$5/1000))</f>
        <v>3.67544536472586E-17</v>
      </c>
      <c r="K13" s="17">
        <f t="shared" ref="K13:K27" si="3">(G13^2/(2*$B$7))+B13</f>
        <v>0.5357548742821967</v>
      </c>
      <c r="L13" s="13">
        <f t="shared" ref="L13:L27" si="4">1000*9.81*$B$3/1000*F13</f>
        <v>17.657999999999998</v>
      </c>
      <c r="M13" s="13">
        <f t="shared" ref="M13:M27" si="5">B13/($B$5/1000)</f>
        <v>1</v>
      </c>
    </row>
    <row r="14" spans="1:20" x14ac:dyDescent="0.2">
      <c r="A14" s="1" t="s">
        <v>9</v>
      </c>
      <c r="B14" s="6">
        <f>$B$13-(($B$13-0)/15)*1</f>
        <v>0.27999999999999997</v>
      </c>
      <c r="C14" s="8">
        <f t="shared" ref="C14:C27" si="6">2*ACOS(1-(2*B14/($B$5*0.001)))</f>
        <v>5.2385556635674888</v>
      </c>
      <c r="D14" s="6">
        <f>(($B$5*0.001)^2/8)*(C14-SIN(C14))</f>
        <v>6.8662060420746504E-2</v>
      </c>
      <c r="E14" s="6">
        <f t="shared" ref="E14:E27" si="7">1/2*C14*($B$5*0.001)</f>
        <v>0.7857833495351233</v>
      </c>
      <c r="F14" s="6">
        <f t="shared" ref="F14:F27" si="8">D14/E14</f>
        <v>8.7380396214004299E-2</v>
      </c>
      <c r="G14" s="11">
        <f t="shared" si="0"/>
        <v>2.3758196634420514</v>
      </c>
      <c r="H14" s="6">
        <f t="shared" si="1"/>
        <v>0.16312867328005576</v>
      </c>
      <c r="I14" s="13">
        <f t="shared" ref="I14:I27" si="9">H14/$B$38</f>
        <v>1.0730453365591011</v>
      </c>
      <c r="J14" s="14">
        <f t="shared" si="2"/>
        <v>0.14966629547095769</v>
      </c>
      <c r="K14" s="17">
        <f t="shared" si="3"/>
        <v>0.56769210362884315</v>
      </c>
      <c r="L14" s="13">
        <f t="shared" si="4"/>
        <v>20.572840484625171</v>
      </c>
      <c r="M14" s="13">
        <f t="shared" si="5"/>
        <v>0.93333333333333324</v>
      </c>
    </row>
    <row r="15" spans="1:20" x14ac:dyDescent="0.2">
      <c r="A15" s="1" t="s">
        <v>10</v>
      </c>
      <c r="B15" s="6">
        <f>$B$13-(($B$13-0)/15)*2</f>
        <v>0.26</v>
      </c>
      <c r="C15" s="8">
        <f t="shared" si="6"/>
        <v>4.7880166078415449</v>
      </c>
      <c r="D15" s="6">
        <f t="shared" ref="D15:D27" si="10">(($B$5*0.001)^2/8)*(C15-SIN(C15))</f>
        <v>6.5083029768121511E-2</v>
      </c>
      <c r="E15" s="6">
        <f t="shared" si="7"/>
        <v>0.71820249117623169</v>
      </c>
      <c r="F15" s="6">
        <f t="shared" si="8"/>
        <v>9.0619331689496346E-2</v>
      </c>
      <c r="G15" s="11">
        <f t="shared" si="0"/>
        <v>2.432639386545095</v>
      </c>
      <c r="H15" s="6">
        <f t="shared" si="1"/>
        <v>0.15832354160961928</v>
      </c>
      <c r="I15" s="13">
        <f t="shared" si="9"/>
        <v>1.0414376245190333</v>
      </c>
      <c r="J15" s="14">
        <f t="shared" si="2"/>
        <v>0.20396078054371139</v>
      </c>
      <c r="K15" s="17">
        <f t="shared" si="3"/>
        <v>0.56161745081399062</v>
      </c>
      <c r="L15" s="13">
        <f t="shared" si="4"/>
        <v>21.33541545297502</v>
      </c>
      <c r="M15" s="13">
        <f t="shared" si="5"/>
        <v>0.8666666666666667</v>
      </c>
    </row>
    <row r="16" spans="1:20" x14ac:dyDescent="0.2">
      <c r="A16" s="1" t="s">
        <v>11</v>
      </c>
      <c r="B16" s="6">
        <f>$B$13-(($B$13-0)/15)*3</f>
        <v>0.24</v>
      </c>
      <c r="C16" s="8">
        <f t="shared" si="6"/>
        <v>4.4285948711763616</v>
      </c>
      <c r="D16" s="6">
        <f t="shared" si="10"/>
        <v>6.0621692300734067E-2</v>
      </c>
      <c r="E16" s="6">
        <f t="shared" si="7"/>
        <v>0.66428923067645418</v>
      </c>
      <c r="F16" s="6">
        <f t="shared" si="8"/>
        <v>9.1257978454659314E-2</v>
      </c>
      <c r="G16" s="11">
        <f t="shared" si="0"/>
        <v>2.44374981265429</v>
      </c>
      <c r="H16" s="6">
        <f t="shared" si="1"/>
        <v>0.14814424920270489</v>
      </c>
      <c r="I16" s="13">
        <f t="shared" si="9"/>
        <v>0.97447917983188226</v>
      </c>
      <c r="J16" s="14">
        <f t="shared" si="2"/>
        <v>0.24000000000000005</v>
      </c>
      <c r="K16" s="17">
        <f t="shared" si="3"/>
        <v>0.54437885559877053</v>
      </c>
      <c r="L16" s="13">
        <f t="shared" si="4"/>
        <v>21.485778447364989</v>
      </c>
      <c r="M16" s="13">
        <f t="shared" si="5"/>
        <v>0.8</v>
      </c>
    </row>
    <row r="17" spans="1:13" x14ac:dyDescent="0.2">
      <c r="A17" s="1" t="s">
        <v>12</v>
      </c>
      <c r="B17" s="6">
        <f>$B$13-(($B$13-0)/15)*4</f>
        <v>0.21999999999999997</v>
      </c>
      <c r="C17" s="8">
        <f t="shared" si="6"/>
        <v>4.1126288981809749</v>
      </c>
      <c r="D17" s="6">
        <f t="shared" si="10"/>
        <v>5.5553624517531076E-2</v>
      </c>
      <c r="E17" s="6">
        <f t="shared" si="7"/>
        <v>0.61689433472714617</v>
      </c>
      <c r="F17" s="6">
        <f t="shared" si="8"/>
        <v>9.0053711616759416E-2</v>
      </c>
      <c r="G17" s="11">
        <f t="shared" si="0"/>
        <v>2.4227741086725683</v>
      </c>
      <c r="H17" s="6">
        <f t="shared" si="1"/>
        <v>0.1345938831239919</v>
      </c>
      <c r="I17" s="13">
        <f t="shared" si="9"/>
        <v>0.88534612408472135</v>
      </c>
      <c r="J17" s="14">
        <f t="shared" si="2"/>
        <v>0.26532998322843199</v>
      </c>
      <c r="K17" s="17">
        <f t="shared" si="3"/>
        <v>0.51917606430449315</v>
      </c>
      <c r="L17" s="13">
        <f t="shared" si="4"/>
        <v>21.202245863049836</v>
      </c>
      <c r="M17" s="13">
        <f t="shared" si="5"/>
        <v>0.73333333333333328</v>
      </c>
    </row>
    <row r="18" spans="1:13" x14ac:dyDescent="0.2">
      <c r="A18" s="1" t="s">
        <v>13</v>
      </c>
      <c r="B18" s="6">
        <f>$B$13-(($B$13-0)/15)*5</f>
        <v>0.19999999999999998</v>
      </c>
      <c r="C18" s="8">
        <f t="shared" si="6"/>
        <v>3.8212664724980367</v>
      </c>
      <c r="D18" s="6">
        <f t="shared" si="10"/>
        <v>5.0060315627468384E-2</v>
      </c>
      <c r="E18" s="6">
        <f t="shared" si="7"/>
        <v>0.57318997087470547</v>
      </c>
      <c r="F18" s="6">
        <f t="shared" si="8"/>
        <v>8.7336342523709559E-2</v>
      </c>
      <c r="G18" s="11">
        <f t="shared" si="0"/>
        <v>2.3750412916930466</v>
      </c>
      <c r="H18" s="6">
        <f t="shared" si="1"/>
        <v>0.11889531669042412</v>
      </c>
      <c r="I18" s="13">
        <f t="shared" si="9"/>
        <v>0.78208240493901637</v>
      </c>
      <c r="J18" s="14">
        <f t="shared" si="2"/>
        <v>0.28284271247461901</v>
      </c>
      <c r="K18" s="17">
        <f t="shared" si="3"/>
        <v>0.48750362575162975</v>
      </c>
      <c r="L18" s="13">
        <f t="shared" si="4"/>
        <v>20.56246848378218</v>
      </c>
      <c r="M18" s="13">
        <f t="shared" si="5"/>
        <v>0.66666666666666663</v>
      </c>
    </row>
    <row r="19" spans="1:13" x14ac:dyDescent="0.2">
      <c r="A19" s="1" t="s">
        <v>14</v>
      </c>
      <c r="B19" s="6">
        <f>$B$13-(($B$13-0)/15)*6</f>
        <v>0.18</v>
      </c>
      <c r="C19" s="8">
        <f t="shared" si="6"/>
        <v>3.5443084951704549</v>
      </c>
      <c r="D19" s="6">
        <f t="shared" si="10"/>
        <v>4.4282552107677335E-2</v>
      </c>
      <c r="E19" s="6">
        <f t="shared" si="7"/>
        <v>0.53164627427556821</v>
      </c>
      <c r="F19" s="6">
        <f t="shared" si="8"/>
        <v>8.3293261422771409E-2</v>
      </c>
      <c r="G19" s="11">
        <f t="shared" si="0"/>
        <v>2.3029465909964024</v>
      </c>
      <c r="H19" s="6">
        <f t="shared" si="1"/>
        <v>0.10198035241699607</v>
      </c>
      <c r="I19" s="13">
        <f t="shared" si="9"/>
        <v>0.67081733322164061</v>
      </c>
      <c r="J19" s="14">
        <f t="shared" si="2"/>
        <v>0.29393876913398137</v>
      </c>
      <c r="K19" s="17">
        <f t="shared" si="3"/>
        <v>0.45031411829673551</v>
      </c>
      <c r="L19" s="13">
        <f t="shared" si="4"/>
        <v>19.610565469377299</v>
      </c>
      <c r="M19" s="13">
        <f t="shared" si="5"/>
        <v>0.6</v>
      </c>
    </row>
    <row r="20" spans="1:13" x14ac:dyDescent="0.2">
      <c r="A20" s="1" t="s">
        <v>15</v>
      </c>
      <c r="B20" s="6">
        <f>$B$13-(($B$13-0)/15)*7</f>
        <v>0.15999999999999998</v>
      </c>
      <c r="C20" s="8">
        <f t="shared" si="6"/>
        <v>3.2750249504102436</v>
      </c>
      <c r="D20" s="6">
        <f t="shared" si="10"/>
        <v>3.8340693646824811E-2</v>
      </c>
      <c r="E20" s="6">
        <f t="shared" si="7"/>
        <v>0.49125374256153653</v>
      </c>
      <c r="F20" s="6">
        <f t="shared" si="8"/>
        <v>7.8046618936490023E-2</v>
      </c>
      <c r="G20" s="11">
        <f t="shared" si="0"/>
        <v>2.2073471460266325</v>
      </c>
      <c r="H20" s="6">
        <f t="shared" si="1"/>
        <v>8.4631220698000192E-2</v>
      </c>
      <c r="I20" s="13">
        <f t="shared" si="9"/>
        <v>0.55669634817287561</v>
      </c>
      <c r="J20" s="14">
        <f t="shared" si="2"/>
        <v>0.29933259094191533</v>
      </c>
      <c r="K20" s="17">
        <f t="shared" si="3"/>
        <v>0.40833748333699893</v>
      </c>
      <c r="L20" s="13">
        <f t="shared" si="4"/>
        <v>18.375295962407211</v>
      </c>
      <c r="M20" s="13">
        <f t="shared" si="5"/>
        <v>0.53333333333333333</v>
      </c>
    </row>
    <row r="21" spans="1:13" x14ac:dyDescent="0.2">
      <c r="A21" s="1" t="s">
        <v>16</v>
      </c>
      <c r="B21" s="6">
        <f>$B$13-(($B$13-0)/15)*8</f>
        <v>0.13999999999999999</v>
      </c>
      <c r="C21" s="8">
        <f t="shared" si="6"/>
        <v>3.0081603567693422</v>
      </c>
      <c r="D21" s="6">
        <f t="shared" si="10"/>
        <v>3.2345141058945516E-2</v>
      </c>
      <c r="E21" s="6">
        <f t="shared" si="7"/>
        <v>0.45122405351540129</v>
      </c>
      <c r="F21" s="6">
        <f t="shared" si="8"/>
        <v>7.1683104672613615E-2</v>
      </c>
      <c r="G21" s="11">
        <f t="shared" si="0"/>
        <v>2.0880134785840805</v>
      </c>
      <c r="H21" s="6">
        <f t="shared" si="1"/>
        <v>6.7537090497781602E-2</v>
      </c>
      <c r="I21" s="13">
        <f t="shared" si="9"/>
        <v>0.44425273954750427</v>
      </c>
      <c r="J21" s="14">
        <f t="shared" si="2"/>
        <v>0.29933259094191533</v>
      </c>
      <c r="K21" s="17">
        <f t="shared" si="3"/>
        <v>0.36221204315743083</v>
      </c>
      <c r="L21" s="13">
        <f t="shared" si="4"/>
        <v>16.877070164120148</v>
      </c>
      <c r="M21" s="13">
        <f t="shared" si="5"/>
        <v>0.46666666666666662</v>
      </c>
    </row>
    <row r="22" spans="1:13" x14ac:dyDescent="0.2">
      <c r="A22" s="1" t="s">
        <v>17</v>
      </c>
      <c r="B22" s="6">
        <f>$B$13-(($B$13-0)/15)*9</f>
        <v>0.12</v>
      </c>
      <c r="C22" s="8">
        <f t="shared" si="6"/>
        <v>2.7388768120091314</v>
      </c>
      <c r="D22" s="6">
        <f t="shared" si="10"/>
        <v>2.6403282598093006E-2</v>
      </c>
      <c r="E22" s="6">
        <f t="shared" si="7"/>
        <v>0.41083152180136967</v>
      </c>
      <c r="F22" s="6">
        <f t="shared" si="8"/>
        <v>6.4267908368673229E-2</v>
      </c>
      <c r="G22" s="11">
        <f t="shared" si="0"/>
        <v>1.9437039240884766</v>
      </c>
      <c r="H22" s="6">
        <f t="shared" si="1"/>
        <v>5.1320163994730363E-2</v>
      </c>
      <c r="I22" s="13">
        <f t="shared" si="9"/>
        <v>0.33757929577133677</v>
      </c>
      <c r="J22" s="14">
        <f t="shared" si="2"/>
        <v>0.29393876913398137</v>
      </c>
      <c r="K22" s="17">
        <f t="shared" si="3"/>
        <v>0.31255784630565453</v>
      </c>
      <c r="L22" s="13">
        <f t="shared" si="4"/>
        <v>15.131236346320424</v>
      </c>
      <c r="M22" s="13">
        <f t="shared" si="5"/>
        <v>0.4</v>
      </c>
    </row>
    <row r="23" spans="1:13" x14ac:dyDescent="0.2">
      <c r="A23" s="1" t="s">
        <v>18</v>
      </c>
      <c r="B23" s="6">
        <f>$B$13-(($B$13-0)/15)*10</f>
        <v>9.9999999999999978E-2</v>
      </c>
      <c r="C23" s="8">
        <f t="shared" si="6"/>
        <v>2.461918834681549</v>
      </c>
      <c r="D23" s="6">
        <f t="shared" si="10"/>
        <v>2.0625519078301947E-2</v>
      </c>
      <c r="E23" s="6">
        <f t="shared" si="7"/>
        <v>0.36928782520223236</v>
      </c>
      <c r="F23" s="6">
        <f t="shared" si="8"/>
        <v>5.5852150194788674E-2</v>
      </c>
      <c r="G23" s="11">
        <f t="shared" si="0"/>
        <v>1.7719706086234064</v>
      </c>
      <c r="H23" s="6">
        <f t="shared" si="1"/>
        <v>3.6547813594352378E-2</v>
      </c>
      <c r="I23" s="13">
        <f t="shared" si="9"/>
        <v>0.24040814009149364</v>
      </c>
      <c r="J23" s="14">
        <f t="shared" si="2"/>
        <v>0.28284271247461901</v>
      </c>
      <c r="K23" s="17">
        <f t="shared" si="3"/>
        <v>0.26003465024593297</v>
      </c>
      <c r="L23" s="13">
        <f t="shared" si="4"/>
        <v>13.149830241861045</v>
      </c>
      <c r="M23" s="13">
        <f t="shared" si="5"/>
        <v>0.33333333333333326</v>
      </c>
    </row>
    <row r="24" spans="1:13" x14ac:dyDescent="0.2">
      <c r="A24" s="1" t="s">
        <v>19</v>
      </c>
      <c r="B24" s="6">
        <f>$B$13-(($B$13-0)/15)*11</f>
        <v>7.9999999999999988E-2</v>
      </c>
      <c r="C24" s="8">
        <f t="shared" si="6"/>
        <v>2.1705564089986109</v>
      </c>
      <c r="D24" s="6">
        <f t="shared" si="10"/>
        <v>1.5132210188239252E-2</v>
      </c>
      <c r="E24" s="6">
        <f t="shared" si="7"/>
        <v>0.3255834613497916</v>
      </c>
      <c r="F24" s="6">
        <f t="shared" si="8"/>
        <v>4.6477207796442446E-2</v>
      </c>
      <c r="G24" s="11">
        <f t="shared" si="0"/>
        <v>1.5686033897703175</v>
      </c>
      <c r="H24" s="6">
        <f t="shared" si="1"/>
        <v>2.3736436195989027E-2</v>
      </c>
      <c r="I24" s="13">
        <f t="shared" si="9"/>
        <v>0.15613608358667802</v>
      </c>
      <c r="J24" s="14">
        <f t="shared" si="2"/>
        <v>0.26532998322843199</v>
      </c>
      <c r="K24" s="17">
        <f t="shared" si="3"/>
        <v>0.2054085929866937</v>
      </c>
      <c r="L24" s="13">
        <f t="shared" si="4"/>
        <v>10.942593803594409</v>
      </c>
      <c r="M24" s="13">
        <f t="shared" si="5"/>
        <v>0.26666666666666666</v>
      </c>
    </row>
    <row r="25" spans="1:13" x14ac:dyDescent="0.2">
      <c r="A25" s="1" t="s">
        <v>20</v>
      </c>
      <c r="B25" s="6">
        <f>$B$13-(($B$13-0)/15)*12</f>
        <v>0.06</v>
      </c>
      <c r="C25" s="8">
        <f t="shared" si="6"/>
        <v>1.8545904360032244</v>
      </c>
      <c r="D25" s="6">
        <f t="shared" si="10"/>
        <v>1.0064142405036273E-2</v>
      </c>
      <c r="E25" s="6">
        <f t="shared" si="7"/>
        <v>0.27818856540048365</v>
      </c>
      <c r="F25" s="6">
        <f t="shared" si="8"/>
        <v>3.6177412218751016E-2</v>
      </c>
      <c r="G25" s="11">
        <f t="shared" si="0"/>
        <v>1.3263116762909353</v>
      </c>
      <c r="H25" s="6">
        <f t="shared" si="1"/>
        <v>1.3348189583654345E-2</v>
      </c>
      <c r="I25" s="13">
        <f t="shared" si="9"/>
        <v>8.7803157447724017E-2</v>
      </c>
      <c r="J25" s="14">
        <f t="shared" si="2"/>
        <v>0.23999999999999996</v>
      </c>
      <c r="K25" s="17">
        <f t="shared" si="3"/>
        <v>0.14965864743453977</v>
      </c>
      <c r="L25" s="13">
        <f t="shared" si="4"/>
        <v>8.5176099327827384</v>
      </c>
      <c r="M25" s="13">
        <f t="shared" si="5"/>
        <v>0.2</v>
      </c>
    </row>
    <row r="26" spans="1:13" x14ac:dyDescent="0.2">
      <c r="A26" s="1" t="s">
        <v>21</v>
      </c>
      <c r="B26" s="6">
        <f>$B$13-(($B$13-0)/15)*13</f>
        <v>3.999999999999998E-2</v>
      </c>
      <c r="C26" s="8">
        <f t="shared" si="6"/>
        <v>1.4951686993380413</v>
      </c>
      <c r="D26" s="6">
        <f t="shared" si="10"/>
        <v>5.6028049376488382E-3</v>
      </c>
      <c r="E26" s="6">
        <f t="shared" si="7"/>
        <v>0.22427530490070618</v>
      </c>
      <c r="F26" s="6">
        <f t="shared" si="8"/>
        <v>2.4981818395607033E-2</v>
      </c>
      <c r="G26" s="11">
        <f t="shared" si="0"/>
        <v>1.0312241406072524</v>
      </c>
      <c r="H26" s="6">
        <f t="shared" si="1"/>
        <v>5.7777477068169936E-3</v>
      </c>
      <c r="I26" s="13">
        <f t="shared" si="9"/>
        <v>3.8005490438651209E-2</v>
      </c>
      <c r="J26" s="14">
        <f t="shared" si="2"/>
        <v>0.20396078054371133</v>
      </c>
      <c r="K26" s="17">
        <f t="shared" si="3"/>
        <v>9.4200980029111425E-2</v>
      </c>
      <c r="L26" s="13">
        <f t="shared" si="4"/>
        <v>5.88171932306172</v>
      </c>
      <c r="M26" s="13">
        <f t="shared" si="5"/>
        <v>0.13333333333333328</v>
      </c>
    </row>
    <row r="27" spans="1:13" x14ac:dyDescent="0.2">
      <c r="A27" s="1" t="s">
        <v>22</v>
      </c>
      <c r="B27" s="6">
        <f>$B$13-(($B$13-0)/15)*14</f>
        <v>1.9999999999999962E-2</v>
      </c>
      <c r="C27" s="8">
        <f t="shared" si="6"/>
        <v>1.0446296436120961</v>
      </c>
      <c r="D27" s="6">
        <f t="shared" si="10"/>
        <v>2.0237742850238404E-3</v>
      </c>
      <c r="E27" s="6">
        <f t="shared" si="7"/>
        <v>0.15669444654181441</v>
      </c>
      <c r="F27" s="6">
        <f t="shared" si="8"/>
        <v>1.2915418061633663E-2</v>
      </c>
      <c r="G27" s="11">
        <f t="shared" si="0"/>
        <v>0.6501978997244644</v>
      </c>
      <c r="H27" s="6">
        <f t="shared" si="1"/>
        <v>1.3158537896388806E-3</v>
      </c>
      <c r="I27" s="13">
        <f t="shared" si="9"/>
        <v>8.6555646176413176E-3</v>
      </c>
      <c r="J27" s="14">
        <f t="shared" si="2"/>
        <v>0.1496662954709575</v>
      </c>
      <c r="K27" s="17">
        <f t="shared" si="3"/>
        <v>4.1547263445774918E-2</v>
      </c>
      <c r="L27" s="13">
        <f t="shared" si="4"/>
        <v>3.0408060284310294</v>
      </c>
      <c r="M27" s="13">
        <f t="shared" si="5"/>
        <v>6.6666666666666541E-2</v>
      </c>
    </row>
    <row r="28" spans="1:13" x14ac:dyDescent="0.2">
      <c r="A28" s="1"/>
      <c r="B28" s="6"/>
      <c r="C28" s="8"/>
      <c r="D28" s="6"/>
      <c r="E28" s="6"/>
      <c r="F28" s="6"/>
      <c r="G28" s="11"/>
      <c r="H28" s="6"/>
      <c r="I28" s="13"/>
      <c r="J28" s="14"/>
      <c r="K28" s="17"/>
      <c r="L28" s="17"/>
      <c r="M28" s="13"/>
    </row>
    <row r="29" spans="1:13" x14ac:dyDescent="0.2">
      <c r="A29" s="3" t="s">
        <v>68</v>
      </c>
      <c r="B29" s="6"/>
      <c r="C29" s="8"/>
      <c r="D29" s="6"/>
      <c r="E29" s="6"/>
      <c r="F29" s="6"/>
      <c r="G29" s="11"/>
      <c r="H29" s="6"/>
      <c r="I29" s="13"/>
      <c r="J29" s="14"/>
      <c r="K29" s="22"/>
    </row>
    <row r="30" spans="1:13" x14ac:dyDescent="0.2">
      <c r="A30" s="21">
        <v>277.02829800950764</v>
      </c>
      <c r="B30" s="17">
        <f>A30/1000*0.7</f>
        <v>0.19391980860665534</v>
      </c>
      <c r="C30" s="8">
        <f>2*ACOS(1-(2*(A30/1000*0.7)/(A30*0.001)))</f>
        <v>3.9646263457247688</v>
      </c>
      <c r="D30" s="6">
        <f>((A30*0.001)^2/8)*(C30-SIN(C30))</f>
        <v>4.5066762399149474E-2</v>
      </c>
      <c r="E30" s="6">
        <f>1/2*C30*(A30*0.001)</f>
        <v>0.54915684439989321</v>
      </c>
      <c r="F30" s="6">
        <f>D30/E30</f>
        <v>8.2065375054002035E-2</v>
      </c>
      <c r="G30" s="11">
        <f>ABS(2*((8*$B$7*F30*($B$3/1000))^0.5)*LOG((($B$4/1000)/(3.71*4*F30))+((2.51*$B$8)/(4*F30*(8*$B$7*F30*($B$3/1000))^0.5))))</f>
        <v>2.2807860158140079</v>
      </c>
      <c r="H30" s="15">
        <f>(((A30*0.001)^2/8)*((2*ACOS(1-(2*(A30/1000*0.7)/(A30*0.001))))-SIN(2*ACOS(1-(2*(A30/1000*0.7)/(A30*0.001))))))*(ABS(2*((8*$B$7*((((A30*0.001)^2/8)*((2*ACOS(1-(2*(A30/1000*0.7)/(A30*0.001))))-SIN((2*ACOS(1-(2*(A30/1000*0.7)/(A30*0.001)))))))/(1/2*(2*ACOS(1-(2*(A30/1000*0.7)/(A30*0.001))))*(A30*0.001)))*($B$3/1000))^0.5)*LOG((($B$4/1000)/(3.71*4*((((A30*0.001)^2/8)*((2*ACOS(1-(2*(A30/1000*0.7)/(A30*0.001))))-SIN((2*ACOS(1-(2*(A30/1000*0.7)/(A30*0.001)))))))/(1/2*(2*ACOS(1-(2*(A30/1000*0.7)/(A30*0.001))))*(A30*0.001)))))+((2.51*$B$8)/(4*((((A30*0.001)^2/8)*((2*ACOS(1-(2*(A30/1000*0.7)/(A30*0.001))))-SIN((2*ACOS(1-(2*(A30/1000*0.7)/(A30*0.001)))))))/(1/2*(2*ACOS(1-(2*(A30/1000*0.7)/(A30*0.001))))*(A30*0.001)))*(8*$B$7*((((A30*0.001)^2/8)*((2*ACOS(1-(2*(A30/1000*0.7)/(A30*0.001))))-SIN((2*ACOS(1-(2*(A30/1000*0.7)/(A30*0.001)))))))/(1/2*(2*ACOS(1-(2*(A30/1000*0.7)/(A30*0.001))))*(A30*0.001)))*($B$3/1000))^0.5)))))</f>
        <v>0.10278764145799267</v>
      </c>
      <c r="I30" s="13"/>
      <c r="J30" s="14"/>
    </row>
    <row r="31" spans="1:13" x14ac:dyDescent="0.2">
      <c r="A31" s="3"/>
      <c r="B31" s="17"/>
      <c r="C31" s="8"/>
      <c r="D31" s="6"/>
      <c r="E31" s="6"/>
      <c r="F31" s="6"/>
      <c r="G31" s="11"/>
      <c r="H31" s="6"/>
      <c r="I31" s="13"/>
      <c r="J31" s="14"/>
    </row>
    <row r="32" spans="1:13" x14ac:dyDescent="0.2">
      <c r="A32" s="3"/>
      <c r="B32" s="17"/>
      <c r="C32" s="8"/>
      <c r="D32" s="6"/>
      <c r="E32" s="6"/>
      <c r="F32" s="6"/>
      <c r="G32" s="11"/>
      <c r="H32" s="6"/>
      <c r="I32" s="13"/>
      <c r="J32" s="14"/>
    </row>
    <row r="33" spans="1:13" x14ac:dyDescent="0.2">
      <c r="M33" s="20"/>
    </row>
    <row r="34" spans="1:13" x14ac:dyDescent="0.2">
      <c r="A34" s="1" t="s">
        <v>43</v>
      </c>
      <c r="B34" s="16">
        <f>A30</f>
        <v>277.02829800950764</v>
      </c>
      <c r="C34" s="1" t="s">
        <v>39</v>
      </c>
      <c r="D34" s="1" t="s">
        <v>44</v>
      </c>
      <c r="E34" s="1" t="s">
        <v>63</v>
      </c>
      <c r="F34" t="s">
        <v>62</v>
      </c>
    </row>
    <row r="35" spans="1:13" x14ac:dyDescent="0.2">
      <c r="A35" s="1" t="s">
        <v>45</v>
      </c>
      <c r="B35" s="12">
        <f>PI()*((B5/1000)/2)^2</f>
        <v>7.0685834705770348E-2</v>
      </c>
      <c r="C35" s="1" t="s">
        <v>49</v>
      </c>
    </row>
    <row r="36" spans="1:13" x14ac:dyDescent="0.2">
      <c r="A36" s="1" t="s">
        <v>46</v>
      </c>
      <c r="B36" s="12">
        <f>2*PI()*(B5/1000)/2</f>
        <v>0.94247779607693793</v>
      </c>
      <c r="C36" s="1" t="s">
        <v>50</v>
      </c>
      <c r="D36" s="1" t="s">
        <v>53</v>
      </c>
    </row>
    <row r="37" spans="1:13" x14ac:dyDescent="0.2">
      <c r="A37" s="1" t="s">
        <v>47</v>
      </c>
      <c r="B37" s="12">
        <f>G13</f>
        <v>2.1507000333418653</v>
      </c>
      <c r="C37" s="1" t="s">
        <v>51</v>
      </c>
      <c r="D37" s="1" t="s">
        <v>54</v>
      </c>
    </row>
    <row r="38" spans="1:13" x14ac:dyDescent="0.2">
      <c r="A38" s="1" t="s">
        <v>48</v>
      </c>
      <c r="B38" s="12">
        <f>H13</f>
        <v>0.15202402705849788</v>
      </c>
      <c r="C38" s="1" t="s">
        <v>52</v>
      </c>
      <c r="D38" s="1" t="s">
        <v>55</v>
      </c>
      <c r="L38" s="18"/>
    </row>
    <row r="39" spans="1:13" x14ac:dyDescent="0.2">
      <c r="J39" s="20"/>
      <c r="L39" s="20"/>
    </row>
    <row r="40" spans="1:13" x14ac:dyDescent="0.2">
      <c r="L40" s="18"/>
    </row>
  </sheetData>
  <phoneticPr fontId="1" type="noConversion"/>
  <pageMargins left="0.78740157480314965" right="0.78740157480314965" top="1.1811023622047245" bottom="0.78740157480314965" header="0.51181102362204722" footer="0.39370078740157483"/>
  <pageSetup paperSize="9"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Diamminimal">
                <anchor moveWithCells="1" sizeWithCells="1">
                  <from>
                    <xdr:col>6</xdr:col>
                    <xdr:colOff>238125</xdr:colOff>
                    <xdr:row>2</xdr:row>
                    <xdr:rowOff>57150</xdr:rowOff>
                  </from>
                  <to>
                    <xdr:col>8</xdr:col>
                    <xdr:colOff>76200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spe:Receivers xmlns:spe="http://schemas.microsoft.com/sharepoint/events">
  <Receiver>
    <Name>Document ID Generator</Name>
    <Synchronization>Synchronous</Synchronization>
    <Type>10001</Type>
    <SequenceNumber>1000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10002</Type>
    <SequenceNumber>1001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10004</Type>
    <SequenceNumber>1002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10006</Type>
    <SequenceNumber>1003</SequenceNumber>
    <Url/>
    <Assembly>Microsoft.Office.DocumentManagement, Version=16.0.0.0, Culture=neutral, PublicKeyToken=71e9bce111e9429c</Assembly>
    <Class>Microsoft.Office.DocumentManagement.Internal.DocIdHandler</Class>
    <Data/>
    <Filter/>
  </Receiver>
</spe:Receiver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dlc_DocId xmlns="c082528e-74f8-4784-9acd-e6c9caf01c0b">TQTRC2YFRHPP-61375689-88526</_dlc_DocId>
    <_dlc_DocIdUrl xmlns="c082528e-74f8-4784-9acd-e6c9caf01c0b">
      <Url>http://intranetbe.baslerhofmann.ch/unternehmen/_layouts/15/DocIdRedir.aspx?ID=TQTRC2YFRHPP-61375689-88526</Url>
      <Description>TQTRC2YFRHPP-61375689-88526</Description>
    </_dlc_DocIdUrl>
  </documentManagement>
</p:properties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Dokument" ma:contentTypeID="0x01010046CE157DE400D24B9D51E55A2A999873" ma:contentTypeVersion="1" ma:contentTypeDescription="Ein neues Dokument erstellen." ma:contentTypeScope="" ma:versionID="7b9010903e4cce2300b51df24699b75e">
  <xsd:schema xmlns:xsd="http://www.w3.org/2001/XMLSchema" xmlns:xs="http://www.w3.org/2001/XMLSchema" xmlns:p="http://schemas.microsoft.com/office/2006/metadata/properties" xmlns:ns2="c082528e-74f8-4784-9acd-e6c9caf01c0b" targetNamespace="http://schemas.microsoft.com/office/2006/metadata/properties" ma:root="true" ma:fieldsID="2c0197210516106234e9985d26a3f218" ns2:_="">
    <xsd:import namespace="c082528e-74f8-4784-9acd-e6c9caf01c0b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_dlc_DocId" minOccurs="0"/>
                <xsd:element ref="ns2:_dlc_DocIdUrl" minOccurs="0"/>
                <xsd:element ref="ns2:_dlc_DocIdPersistId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082528e-74f8-4784-9acd-e6c9caf01c0b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Freigegeben für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_dlc_DocId" ma:index="9" nillable="true" ma:displayName="Wert der Dokument-ID" ma:description="Der Wert der diesem Element zugewiesenen Dokument-ID." ma:internalName="_dlc_DocId" ma:readOnly="true">
      <xsd:simpleType>
        <xsd:restriction base="dms:Text"/>
      </xsd:simpleType>
    </xsd:element>
    <xsd:element name="_dlc_DocIdUrl" ma:index="10" nillable="true" ma:displayName="Dokument-ID" ma:description="Permanenter Hyperlink zu diesem Dokument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11" nillable="true" ma:displayName="Persist ID" ma:description="Keep ID on add." ma:hidden="true" ma:internalName="_dlc_DocIdPersistId" ma:readOnly="true">
      <xsd:simpleType>
        <xsd:restriction base="dms:Boolea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Inhaltstyp"/>
        <xsd:element ref="dc:title" minOccurs="0" maxOccurs="1" ma:index="4" ma:displayName="Titel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C29DA3F9-9002-4F69-97C5-954C7DFC2086}">
  <ds:schemaRefs>
    <ds:schemaRef ds:uri="http://schemas.microsoft.com/sharepoint/events"/>
  </ds:schemaRefs>
</ds:datastoreItem>
</file>

<file path=customXml/itemProps2.xml><?xml version="1.0" encoding="utf-8"?>
<ds:datastoreItem xmlns:ds="http://schemas.openxmlformats.org/officeDocument/2006/customXml" ds:itemID="{9E6BBE50-173C-4F48-A83C-2BE6C3AF311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F62C096D-A012-4CCD-BDE2-AFCE6EAEBF46}">
  <ds:schemaRefs>
    <ds:schemaRef ds:uri="http://schemas.microsoft.com/office/2006/documentManagement/types"/>
    <ds:schemaRef ds:uri="http://schemas.microsoft.com/office/2006/metadata/properties"/>
    <ds:schemaRef ds:uri="http://purl.org/dc/elements/1.1/"/>
    <ds:schemaRef ds:uri="http://schemas.openxmlformats.org/package/2006/metadata/core-properties"/>
    <ds:schemaRef ds:uri="http://purl.org/dc/terms/"/>
    <ds:schemaRef ds:uri="c082528e-74f8-4784-9acd-e6c9caf01c0b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customXml/itemProps4.xml><?xml version="1.0" encoding="utf-8"?>
<ds:datastoreItem xmlns:ds="http://schemas.openxmlformats.org/officeDocument/2006/customXml" ds:itemID="{7AF086CC-37FB-4957-BE9B-9CEC86D1CD5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082528e-74f8-4784-9acd-e6c9caf01c0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Analyse canalisation</vt:lpstr>
    </vt:vector>
  </TitlesOfParts>
  <Company>KUHN INFORMATIK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Pillonel Benjamin</dc:creator>
  <cp:lastModifiedBy>Pillonel Benjamin</cp:lastModifiedBy>
  <cp:lastPrinted>2018-11-07T08:35:55Z</cp:lastPrinted>
  <dcterms:created xsi:type="dcterms:W3CDTF">2009-11-25T16:41:49Z</dcterms:created>
  <dcterms:modified xsi:type="dcterms:W3CDTF">2018-11-07T09:16:24Z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0x01010046CE157DE400D24B9D51E55A2A999873</vt:lpwstr>
  </property>
  <property fmtid="{D5CDD505-2E9C-101B-9397-08002B2CF9AE}" pid="3" name="_dlc_DocIdItemGuid">
    <vt:lpwstr>ac232440-197d-4145-bafd-73d8b7e32dba</vt:lpwstr>
  </property>
</Properties>
</file>