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Soutenance_entreprise\"/>
    </mc:Choice>
  </mc:AlternateContent>
  <bookViews>
    <workbookView xWindow="0" yWindow="0" windowWidth="15330" windowHeight="9315" activeTab="1"/>
  </bookViews>
  <sheets>
    <sheet name="cout projet réel" sheetId="1" r:id="rId1"/>
    <sheet name="graphique radar" sheetId="2" r:id="rId2"/>
  </sheets>
  <calcPr calcId="171027"/>
</workbook>
</file>

<file path=xl/calcChain.xml><?xml version="1.0" encoding="utf-8"?>
<calcChain xmlns="http://schemas.openxmlformats.org/spreadsheetml/2006/main">
  <c r="O26" i="1" l="1"/>
  <c r="N26" i="1"/>
  <c r="M26" i="1"/>
  <c r="P26" i="1" s="1"/>
  <c r="O25" i="1"/>
  <c r="N25" i="1"/>
  <c r="M25" i="1"/>
  <c r="P25" i="1" s="1"/>
  <c r="O24" i="1"/>
  <c r="N24" i="1"/>
  <c r="N22" i="1" s="1"/>
  <c r="M24" i="1"/>
  <c r="P24" i="1" s="1"/>
  <c r="O23" i="1"/>
  <c r="N23" i="1"/>
  <c r="M23" i="1"/>
  <c r="P23" i="1" s="1"/>
  <c r="O21" i="1"/>
  <c r="N21" i="1"/>
  <c r="M21" i="1"/>
  <c r="P21" i="1" s="1"/>
  <c r="O20" i="1"/>
  <c r="N20" i="1"/>
  <c r="M20" i="1"/>
  <c r="P20" i="1" s="1"/>
  <c r="O19" i="1"/>
  <c r="N19" i="1"/>
  <c r="M19" i="1"/>
  <c r="P19" i="1" s="1"/>
  <c r="O18" i="1"/>
  <c r="N18" i="1"/>
  <c r="M18" i="1"/>
  <c r="P18" i="1" s="1"/>
  <c r="O17" i="1"/>
  <c r="N17" i="1"/>
  <c r="M17" i="1"/>
  <c r="P17" i="1" s="1"/>
  <c r="O16" i="1"/>
  <c r="N16" i="1"/>
  <c r="M16" i="1"/>
  <c r="P16" i="1" s="1"/>
  <c r="O15" i="1"/>
  <c r="N15" i="1"/>
  <c r="M15" i="1"/>
  <c r="P15" i="1" s="1"/>
  <c r="O14" i="1"/>
  <c r="N14" i="1"/>
  <c r="M14" i="1"/>
  <c r="P14" i="1" s="1"/>
  <c r="O11" i="1"/>
  <c r="N11" i="1"/>
  <c r="M11" i="1"/>
  <c r="P11" i="1" s="1"/>
  <c r="O10" i="1"/>
  <c r="N10" i="1"/>
  <c r="M10" i="1"/>
  <c r="P10" i="1" s="1"/>
  <c r="O9" i="1"/>
  <c r="N9" i="1"/>
  <c r="M9" i="1"/>
  <c r="P9" i="1" s="1"/>
  <c r="O8" i="1"/>
  <c r="N8" i="1"/>
  <c r="M8" i="1"/>
  <c r="P8" i="1" s="1"/>
  <c r="O7" i="1"/>
  <c r="N7" i="1"/>
  <c r="M7" i="1"/>
  <c r="P7" i="1" s="1"/>
  <c r="O6" i="1"/>
  <c r="N6" i="1"/>
  <c r="M6" i="1"/>
  <c r="P6" i="1" s="1"/>
  <c r="O22" i="1" l="1"/>
  <c r="O13" i="1"/>
  <c r="N5" i="1"/>
  <c r="O5" i="1"/>
  <c r="N13" i="1"/>
  <c r="N12" i="1" s="1"/>
  <c r="N4" i="1" s="1"/>
  <c r="M5" i="1"/>
  <c r="M13" i="1"/>
  <c r="M22" i="1"/>
  <c r="P22" i="1" s="1"/>
  <c r="O12" i="1" l="1"/>
  <c r="O4" i="1" s="1"/>
  <c r="M12" i="1"/>
  <c r="P12" i="1" s="1"/>
  <c r="P13" i="1"/>
  <c r="P5" i="1"/>
  <c r="M4" i="1" l="1"/>
  <c r="P4" i="1" s="1"/>
</calcChain>
</file>

<file path=xl/sharedStrings.xml><?xml version="1.0" encoding="utf-8"?>
<sst xmlns="http://schemas.openxmlformats.org/spreadsheetml/2006/main" count="244" uniqueCount="129">
  <si>
    <t>FAI</t>
  </si>
  <si>
    <t/>
  </si>
  <si>
    <t>Nom</t>
  </si>
  <si>
    <t>Début</t>
  </si>
  <si>
    <t>Fin</t>
  </si>
  <si>
    <t>Durée</t>
  </si>
  <si>
    <t>Prédécesseurs</t>
  </si>
  <si>
    <t>Progression</t>
  </si>
  <si>
    <t>Priorité</t>
  </si>
  <si>
    <t>Ressources</t>
  </si>
  <si>
    <t>Travail</t>
  </si>
  <si>
    <t>Travail réel</t>
  </si>
  <si>
    <t>Travail restant</t>
  </si>
  <si>
    <t>Coût</t>
  </si>
  <si>
    <t>Coût réel</t>
  </si>
  <si>
    <t>Coût restant</t>
  </si>
  <si>
    <t>somme projet</t>
  </si>
  <si>
    <t>1</t>
  </si>
  <si>
    <t>ﾠ</t>
  </si>
  <si>
    <t>Projet Système FAI</t>
  </si>
  <si>
    <t>263 jours</t>
  </si>
  <si>
    <t>1696 h</t>
  </si>
  <si>
    <t>904 h</t>
  </si>
  <si>
    <t>792 h</t>
  </si>
  <si>
    <t>2</t>
  </si>
  <si>
    <t>1ﾠ</t>
  </si>
  <si>
    <t>Réorganisation projet</t>
  </si>
  <si>
    <t>63 jours</t>
  </si>
  <si>
    <t>344 h</t>
  </si>
  <si>
    <t>0 h</t>
  </si>
  <si>
    <t>3</t>
  </si>
  <si>
    <t>1.1ﾠ</t>
  </si>
  <si>
    <t>13 jours</t>
  </si>
  <si>
    <t>104 h</t>
  </si>
  <si>
    <t>4</t>
  </si>
  <si>
    <t>1.2ﾠ</t>
  </si>
  <si>
    <t>Jalon 1</t>
  </si>
  <si>
    <t>0 jours</t>
  </si>
  <si>
    <t>5</t>
  </si>
  <si>
    <t>1.3ﾠ</t>
  </si>
  <si>
    <t>10 jours</t>
  </si>
  <si>
    <t>3FD+10 jours</t>
  </si>
  <si>
    <t>80 h</t>
  </si>
  <si>
    <t>6</t>
  </si>
  <si>
    <t>1.4ﾠ</t>
  </si>
  <si>
    <t>Jalon 2</t>
  </si>
  <si>
    <t>7</t>
  </si>
  <si>
    <t>1.5ﾠ</t>
  </si>
  <si>
    <t>20 jours</t>
  </si>
  <si>
    <t>5FD+10 jours</t>
  </si>
  <si>
    <t>160 h</t>
  </si>
  <si>
    <t>8</t>
  </si>
  <si>
    <t>1.6ﾠ</t>
  </si>
  <si>
    <t>Jalon 3</t>
  </si>
  <si>
    <t>9</t>
  </si>
  <si>
    <t>2ﾠ</t>
  </si>
  <si>
    <t>Nouveau Système FAI</t>
  </si>
  <si>
    <t>190 jours</t>
  </si>
  <si>
    <t>1352 h</t>
  </si>
  <si>
    <t>560 h</t>
  </si>
  <si>
    <t>10</t>
  </si>
  <si>
    <t>2.1ﾠ</t>
  </si>
  <si>
    <t>Préparations</t>
  </si>
  <si>
    <t>90 jours</t>
  </si>
  <si>
    <t>480 h</t>
  </si>
  <si>
    <t>11</t>
  </si>
  <si>
    <t>2.1.1ﾠ</t>
  </si>
  <si>
    <t>Étude système FAI</t>
  </si>
  <si>
    <t>7FD+10 jours</t>
  </si>
  <si>
    <t>12</t>
  </si>
  <si>
    <t>2.1.2ﾠ</t>
  </si>
  <si>
    <t>Jalon 4</t>
  </si>
  <si>
    <t>13</t>
  </si>
  <si>
    <t>2.1.3ﾠ</t>
  </si>
  <si>
    <t>11FD+10 jours</t>
  </si>
  <si>
    <t>14</t>
  </si>
  <si>
    <t>2.1.4ﾠ</t>
  </si>
  <si>
    <t>Jalon 5</t>
  </si>
  <si>
    <t>15</t>
  </si>
  <si>
    <t>2.1.5ﾠ</t>
  </si>
  <si>
    <t>15 jours</t>
  </si>
  <si>
    <t>13FD+10 jours</t>
  </si>
  <si>
    <t>120 h</t>
  </si>
  <si>
    <t>16</t>
  </si>
  <si>
    <t>2.1.6ﾠ</t>
  </si>
  <si>
    <t>Jalon 6</t>
  </si>
  <si>
    <t>17</t>
  </si>
  <si>
    <t>2.1.7ﾠ</t>
  </si>
  <si>
    <t>15FD+10 jours</t>
  </si>
  <si>
    <t>18</t>
  </si>
  <si>
    <t>2.1.8ﾠ</t>
  </si>
  <si>
    <t>Jalon 7</t>
  </si>
  <si>
    <t>19</t>
  </si>
  <si>
    <t>2.2ﾠ</t>
  </si>
  <si>
    <t>Viabilité du système</t>
  </si>
  <si>
    <t>84 jours</t>
  </si>
  <si>
    <t>872 h</t>
  </si>
  <si>
    <t>20</t>
  </si>
  <si>
    <t>2.2.1ﾠ</t>
  </si>
  <si>
    <t>Choix du fournisseur</t>
  </si>
  <si>
    <t>17FD+16 jours</t>
  </si>
  <si>
    <t>21</t>
  </si>
  <si>
    <t>2.2.2ﾠ</t>
  </si>
  <si>
    <t>Installation</t>
  </si>
  <si>
    <t>5 jours</t>
  </si>
  <si>
    <t>40 h</t>
  </si>
  <si>
    <t>22</t>
  </si>
  <si>
    <t>2.2.3ﾠ</t>
  </si>
  <si>
    <t>Formations + améliorations</t>
  </si>
  <si>
    <t>59 jours</t>
  </si>
  <si>
    <t>672 h</t>
  </si>
  <si>
    <t>23</t>
  </si>
  <si>
    <t>2.2.4ﾠ</t>
  </si>
  <si>
    <t>Fin apprentissage</t>
  </si>
  <si>
    <t>COSTIOU Annabelle</t>
  </si>
  <si>
    <t>Légende</t>
  </si>
  <si>
    <t>Constantes</t>
  </si>
  <si>
    <t>VANOOSTHUYSE Maxime</t>
  </si>
  <si>
    <t>Réel</t>
  </si>
  <si>
    <t>Côut pré-étude</t>
  </si>
  <si>
    <t>Délais (mois)</t>
  </si>
  <si>
    <t>Bénéfices</t>
  </si>
  <si>
    <t>Prévisonnel</t>
  </si>
  <si>
    <t xml:space="preserve">FAI </t>
  </si>
  <si>
    <t>Prix global projet</t>
  </si>
  <si>
    <t>Libellés</t>
  </si>
  <si>
    <t>zone verte</t>
  </si>
  <si>
    <t>zone rouge</t>
  </si>
  <si>
    <t>Personne en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</si>
</sst>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&quot; €/h&quot;"/>
    <numFmt numFmtId="165" formatCode="_-* #,##0\ &quot;€&quot;_-;\-* #,##0\ &quot;€&quot;_-;_-* &quot;-&quot;??\ &quot;€&quot;_-;_-@_-"/>
    <numFmt numFmtId="166" formatCode="_-* #,##0\ [$€-40C]_-;\-* #,##0\ [$€-40C]_-;_-* &quot;-&quot;??\ [$€-40C]_-;_-@_-"/>
    <numFmt numFmtId="167" formatCode="_-* #,##0\ _€_-;\-* #,##0\ _€_-;_-* &quot;-&quot;??\ _€_-;_-@_-"/>
  </numFmts>
  <fonts count="32" x14ac:knownFonts="1"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16"/>
      <name val="Calibri"/>
      <family val="2"/>
    </font>
    <font>
      <b/>
      <sz val="15"/>
      <color indexed="62"/>
      <name val="Calibri"/>
      <family val="2"/>
    </font>
    <font>
      <sz val="11"/>
      <color indexed="10"/>
      <name val="Calibri"/>
      <family val="2"/>
    </font>
    <font>
      <sz val="11"/>
      <color indexed="8"/>
      <name val="Arial"/>
      <family val="2"/>
    </font>
    <font>
      <sz val="20"/>
      <color indexed="9"/>
      <name val="Arial"/>
      <family val="2"/>
    </font>
    <font>
      <b/>
      <sz val="11"/>
      <color indexed="9"/>
      <name val="Arial"/>
      <family val="2"/>
    </font>
    <font>
      <sz val="11"/>
      <color indexed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sz val="9"/>
      <color indexed="23"/>
      <name val="Arial"/>
      <family val="2"/>
    </font>
    <font>
      <sz val="11"/>
      <color indexed="8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</fonts>
  <fills count="4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7CE"/>
        <bgColor indexed="64"/>
      </patternFill>
    </fill>
    <fill>
      <patternFill patternType="lightUp">
        <fgColor rgb="FFA5A5A5"/>
        <bgColor rgb="FF808080"/>
      </patternFill>
    </fill>
    <fill>
      <patternFill patternType="solid">
        <fgColor rgb="FFFF66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7" tint="0.59999389629810485"/>
      </patternFill>
    </fill>
    <fill>
      <patternFill patternType="solid">
        <fgColor rgb="FFFF5050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rgb="FF4F81BD"/>
      </bottom>
      <diagonal/>
    </border>
    <border>
      <left/>
      <right/>
      <top/>
      <bottom style="medium">
        <color rgb="FFFF6600"/>
      </bottom>
      <diagonal/>
    </border>
    <border>
      <left/>
      <right/>
      <top/>
      <bottom style="thin">
        <color rgb="FFFFFFFF"/>
      </bottom>
      <diagonal/>
    </border>
    <border>
      <left/>
      <right/>
      <top/>
      <bottom style="thin">
        <color rgb="FFBFBFB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BFBFBF"/>
      </top>
      <bottom style="thin">
        <color rgb="FFBFBFBF"/>
      </bottom>
      <diagonal/>
    </border>
    <border>
      <left/>
      <right/>
      <top/>
      <bottom style="thick">
        <color rgb="FFBFBFBF"/>
      </bottom>
      <diagonal/>
    </border>
    <border>
      <left style="thin">
        <color auto="1"/>
      </left>
      <right style="thin">
        <color rgb="FFFFFFFF"/>
      </right>
      <top style="thin">
        <color auto="1"/>
      </top>
      <bottom/>
      <diagonal/>
    </border>
    <border>
      <left style="thin">
        <color rgb="FFFFFFFF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auto="1"/>
      </right>
      <top style="thin">
        <color rgb="FFFFFFFF"/>
      </top>
      <bottom style="thin">
        <color rgb="FFFFFFFF"/>
      </bottom>
      <diagonal/>
    </border>
    <border>
      <left style="thin">
        <color auto="1"/>
      </left>
      <right style="thin">
        <color rgb="FFFFFFFF"/>
      </right>
      <top style="thin">
        <color rgb="FFFFFFFF"/>
      </top>
      <bottom/>
      <diagonal/>
    </border>
    <border>
      <left/>
      <right style="thin">
        <color auto="1"/>
      </right>
      <top style="thin">
        <color rgb="FFFFFFFF"/>
      </top>
      <bottom/>
      <diagonal/>
    </border>
    <border>
      <left style="thin">
        <color auto="1"/>
      </left>
      <right style="thin">
        <color rgb="FFFFFFFF"/>
      </right>
      <top style="thin">
        <color rgb="FFFFFFFF"/>
      </top>
      <bottom style="thin">
        <color indexed="64"/>
      </bottom>
      <diagonal/>
    </border>
    <border>
      <left/>
      <right style="thin">
        <color auto="1"/>
      </right>
      <top style="thin">
        <color rgb="FFFFFFFF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33" borderId="0" applyNumberFormat="0" applyBorder="0" applyAlignment="0" applyProtection="0"/>
    <xf numFmtId="0" fontId="19" fillId="0" borderId="10" applyNumberFormat="0" applyFill="0" applyAlignment="0" applyProtection="0"/>
    <xf numFmtId="0" fontId="20" fillId="0" borderId="0" applyNumberFormat="0" applyFill="0" applyBorder="0" applyAlignment="0" applyProtection="0"/>
    <xf numFmtId="44" fontId="29" fillId="0" borderId="0" applyFont="0" applyFill="0" applyBorder="0" applyAlignment="0" applyProtection="0"/>
    <xf numFmtId="43" fontId="29" fillId="0" borderId="0" applyFont="0" applyFill="0" applyBorder="0" applyAlignment="0" applyProtection="0"/>
  </cellStyleXfs>
  <cellXfs count="66">
    <xf numFmtId="0" fontId="0" fillId="0" borderId="0" xfId="0"/>
    <xf numFmtId="0" fontId="21" fillId="0" borderId="0" xfId="0" applyFont="1"/>
    <xf numFmtId="0" fontId="21" fillId="0" borderId="0" xfId="0" applyFont="1" applyBorder="1"/>
    <xf numFmtId="0" fontId="22" fillId="34" borderId="11" xfId="43" applyFont="1" applyFill="1" applyBorder="1"/>
    <xf numFmtId="0" fontId="21" fillId="0" borderId="0" xfId="0" applyFont="1" applyFill="1"/>
    <xf numFmtId="0" fontId="21" fillId="0" borderId="0" xfId="0" applyFont="1" applyBorder="1" applyAlignment="1">
      <alignment vertical="center"/>
    </xf>
    <xf numFmtId="0" fontId="23" fillId="35" borderId="12" xfId="0" applyFont="1" applyFill="1" applyBorder="1" applyAlignment="1">
      <alignment vertical="center"/>
    </xf>
    <xf numFmtId="0" fontId="23" fillId="35" borderId="12" xfId="42" applyFont="1" applyFill="1" applyBorder="1" applyAlignment="1">
      <alignment vertical="center"/>
    </xf>
    <xf numFmtId="0" fontId="24" fillId="0" borderId="0" xfId="44" applyFont="1" applyBorder="1"/>
    <xf numFmtId="0" fontId="25" fillId="36" borderId="0" xfId="0" applyNumberFormat="1" applyFont="1" applyFill="1" applyBorder="1" applyAlignment="1" applyProtection="1"/>
    <xf numFmtId="0" fontId="25" fillId="37" borderId="12" xfId="0" applyNumberFormat="1" applyFont="1" applyFill="1" applyBorder="1" applyAlignment="1" applyProtection="1"/>
    <xf numFmtId="0" fontId="25" fillId="38" borderId="12" xfId="0" applyNumberFormat="1" applyFont="1" applyFill="1" applyBorder="1" applyAlignment="1" applyProtection="1"/>
    <xf numFmtId="14" fontId="25" fillId="39" borderId="13" xfId="0" applyNumberFormat="1" applyFont="1" applyFill="1" applyBorder="1"/>
    <xf numFmtId="0" fontId="25" fillId="39" borderId="13" xfId="0" applyFont="1" applyFill="1" applyBorder="1"/>
    <xf numFmtId="0" fontId="25" fillId="36" borderId="14" xfId="0" applyFont="1" applyFill="1" applyBorder="1"/>
    <xf numFmtId="0" fontId="25" fillId="37" borderId="14" xfId="0" applyFont="1" applyFill="1" applyBorder="1"/>
    <xf numFmtId="0" fontId="25" fillId="38" borderId="14" xfId="0" applyFont="1" applyFill="1" applyBorder="1" applyAlignment="1">
      <alignment horizontal="left" indent="1"/>
    </xf>
    <xf numFmtId="14" fontId="25" fillId="39" borderId="15" xfId="0" applyNumberFormat="1" applyFont="1" applyFill="1" applyBorder="1"/>
    <xf numFmtId="0" fontId="25" fillId="39" borderId="15" xfId="0" applyFont="1" applyFill="1" applyBorder="1"/>
    <xf numFmtId="0" fontId="26" fillId="36" borderId="14" xfId="0" applyFont="1" applyFill="1" applyBorder="1"/>
    <xf numFmtId="0" fontId="26" fillId="37" borderId="14" xfId="0" applyFont="1" applyFill="1" applyBorder="1"/>
    <xf numFmtId="0" fontId="26" fillId="38" borderId="14" xfId="0" applyFont="1" applyFill="1" applyBorder="1" applyAlignment="1">
      <alignment horizontal="left" indent="2"/>
    </xf>
    <xf numFmtId="14" fontId="26" fillId="39" borderId="15" xfId="0" applyNumberFormat="1" applyFont="1" applyFill="1" applyBorder="1"/>
    <xf numFmtId="0" fontId="26" fillId="39" borderId="15" xfId="0" applyFont="1" applyFill="1" applyBorder="1"/>
    <xf numFmtId="0" fontId="27" fillId="38" borderId="14" xfId="0" applyFont="1" applyFill="1" applyBorder="1" applyAlignment="1">
      <alignment horizontal="left" indent="3"/>
    </xf>
    <xf numFmtId="0" fontId="21" fillId="0" borderId="16" xfId="0" applyFont="1" applyBorder="1"/>
    <xf numFmtId="1" fontId="21" fillId="0" borderId="0" xfId="0" applyNumberFormat="1" applyFont="1"/>
    <xf numFmtId="0" fontId="28" fillId="0" borderId="0" xfId="0" applyFont="1" applyBorder="1"/>
    <xf numFmtId="0" fontId="23" fillId="40" borderId="17" xfId="0" applyFont="1" applyFill="1" applyBorder="1" applyAlignment="1">
      <alignment vertical="center"/>
    </xf>
    <xf numFmtId="0" fontId="23" fillId="40" borderId="18" xfId="0" applyFont="1" applyFill="1" applyBorder="1" applyAlignment="1">
      <alignment vertical="center"/>
    </xf>
    <xf numFmtId="0" fontId="27" fillId="36" borderId="19" xfId="0" applyNumberFormat="1" applyFont="1" applyFill="1" applyBorder="1" applyAlignment="1" applyProtection="1"/>
    <xf numFmtId="0" fontId="25" fillId="36" borderId="20" xfId="0" applyNumberFormat="1" applyFont="1" applyFill="1" applyBorder="1" applyAlignment="1" applyProtection="1"/>
    <xf numFmtId="0" fontId="25" fillId="36" borderId="19" xfId="0" applyNumberFormat="1" applyFont="1" applyFill="1" applyBorder="1" applyAlignment="1" applyProtection="1"/>
    <xf numFmtId="0" fontId="26" fillId="36" borderId="21" xfId="0" applyNumberFormat="1" applyFont="1" applyFill="1" applyBorder="1" applyAlignment="1" applyProtection="1"/>
    <xf numFmtId="164" fontId="26" fillId="36" borderId="22" xfId="0" applyNumberFormat="1" applyFont="1" applyFill="1" applyBorder="1" applyAlignment="1" applyProtection="1"/>
    <xf numFmtId="0" fontId="26" fillId="36" borderId="23" xfId="0" applyNumberFormat="1" applyFont="1" applyFill="1" applyBorder="1" applyAlignment="1" applyProtection="1"/>
    <xf numFmtId="164" fontId="26" fillId="36" borderId="24" xfId="0" applyNumberFormat="1" applyFont="1" applyFill="1" applyBorder="1" applyAlignment="1" applyProtection="1"/>
    <xf numFmtId="165" fontId="25" fillId="39" borderId="13" xfId="45" applyNumberFormat="1" applyFont="1" applyFill="1" applyBorder="1"/>
    <xf numFmtId="165" fontId="25" fillId="39" borderId="15" xfId="45" applyNumberFormat="1" applyFont="1" applyFill="1" applyBorder="1"/>
    <xf numFmtId="165" fontId="26" fillId="39" borderId="15" xfId="45" applyNumberFormat="1" applyFont="1" applyFill="1" applyBorder="1"/>
    <xf numFmtId="0" fontId="31" fillId="42" borderId="31" xfId="0" applyFont="1" applyFill="1" applyBorder="1"/>
    <xf numFmtId="0" fontId="31" fillId="42" borderId="32" xfId="0" applyFont="1" applyFill="1" applyBorder="1"/>
    <xf numFmtId="0" fontId="31" fillId="42" borderId="33" xfId="0" applyFont="1" applyFill="1" applyBorder="1"/>
    <xf numFmtId="0" fontId="30" fillId="41" borderId="26" xfId="0" applyFont="1" applyFill="1" applyBorder="1"/>
    <xf numFmtId="6" fontId="0" fillId="0" borderId="0" xfId="0" applyNumberFormat="1"/>
    <xf numFmtId="6" fontId="0" fillId="41" borderId="28" xfId="0" applyNumberFormat="1" applyFont="1" applyFill="1" applyBorder="1"/>
    <xf numFmtId="165" fontId="24" fillId="0" borderId="0" xfId="44" applyNumberFormat="1" applyFont="1" applyBorder="1"/>
    <xf numFmtId="166" fontId="0" fillId="0" borderId="0" xfId="0" applyNumberFormat="1"/>
    <xf numFmtId="166" fontId="30" fillId="41" borderId="28" xfId="0" applyNumberFormat="1" applyFont="1" applyFill="1" applyBorder="1"/>
    <xf numFmtId="166" fontId="30" fillId="41" borderId="30" xfId="0" applyNumberFormat="1" applyFont="1" applyFill="1" applyBorder="1"/>
    <xf numFmtId="0" fontId="30" fillId="43" borderId="25" xfId="0" applyFont="1" applyFill="1" applyBorder="1"/>
    <xf numFmtId="0" fontId="30" fillId="43" borderId="27" xfId="0" applyFont="1" applyFill="1" applyBorder="1"/>
    <xf numFmtId="166" fontId="30" fillId="43" borderId="27" xfId="0" applyNumberFormat="1" applyFont="1" applyFill="1" applyBorder="1"/>
    <xf numFmtId="166" fontId="30" fillId="43" borderId="29" xfId="0" applyNumberFormat="1" applyFont="1" applyFill="1" applyBorder="1"/>
    <xf numFmtId="0" fontId="0" fillId="44" borderId="0" xfId="0" applyFill="1"/>
    <xf numFmtId="6" fontId="0" fillId="45" borderId="28" xfId="0" applyNumberFormat="1" applyFont="1" applyFill="1" applyBorder="1"/>
    <xf numFmtId="0" fontId="0" fillId="46" borderId="0" xfId="0" applyFill="1"/>
    <xf numFmtId="6" fontId="0" fillId="46" borderId="0" xfId="0" applyNumberFormat="1" applyFill="1"/>
    <xf numFmtId="0" fontId="0" fillId="0" borderId="0" xfId="0" applyNumberFormat="1"/>
    <xf numFmtId="167" fontId="30" fillId="41" borderId="28" xfId="46" applyNumberFormat="1" applyFont="1" applyFill="1" applyBorder="1"/>
    <xf numFmtId="0" fontId="31" fillId="42" borderId="32" xfId="0" applyFont="1" applyFill="1" applyBorder="1" applyAlignment="1">
      <alignment wrapText="1"/>
    </xf>
    <xf numFmtId="0" fontId="30" fillId="43" borderId="27" xfId="0" applyFont="1" applyFill="1" applyBorder="1" applyAlignment="1">
      <alignment horizontal="right" vertical="center"/>
    </xf>
    <xf numFmtId="167" fontId="30" fillId="41" borderId="28" xfId="46" applyNumberFormat="1" applyFont="1" applyFill="1" applyBorder="1" applyAlignment="1">
      <alignment horizontal="center" vertical="center"/>
    </xf>
    <xf numFmtId="0" fontId="0" fillId="0" borderId="0" xfId="0" applyFill="1"/>
    <xf numFmtId="167" fontId="0" fillId="0" borderId="28" xfId="46" applyNumberFormat="1" applyFont="1" applyFill="1" applyBorder="1"/>
    <xf numFmtId="167" fontId="0" fillId="0" borderId="0" xfId="46" applyNumberFormat="1" applyFont="1" applyFill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Bad" xfId="42"/>
    <cellStyle name="Calcul" xfId="11" builtinId="22" customBuiltin="1"/>
    <cellStyle name="Cellule liée" xfId="12" builtinId="24" customBuiltin="1"/>
    <cellStyle name="Entrée" xfId="9" builtinId="20" customBuiltin="1"/>
    <cellStyle name="Heading 1" xfId="43"/>
    <cellStyle name="Insatisfaisant" xfId="7" builtinId="27" customBuiltin="1"/>
    <cellStyle name="Milliers" xfId="46" builtinId="3"/>
    <cellStyle name="Monétaire" xfId="45" builtinId="4"/>
    <cellStyle name="Neutre" xfId="8" builtinId="28" customBuiltin="1"/>
    <cellStyle name="Normal" xfId="0" builtinId="0" customBuiltin="1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  <cellStyle name="Warning Text" xfId="44"/>
  </cellStyles>
  <dxfs count="0"/>
  <tableStyles count="0" defaultTableStyle="TableStyleMedium2" defaultPivotStyle="PivotStyleLight16"/>
  <colors>
    <mruColors>
      <color rgb="FFFF5050"/>
      <color rgb="FF33CC33"/>
      <color rgb="FFA5A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filled"/>
        <c:varyColors val="0"/>
        <c:ser>
          <c:idx val="0"/>
          <c:order val="0"/>
          <c:tx>
            <c:v>zone rouge</c:v>
          </c:tx>
          <c:spPr>
            <a:solidFill>
              <a:srgbClr val="FF5050">
                <a:alpha val="50000"/>
              </a:srgbClr>
            </a:solidFill>
            <a:ln w="25400">
              <a:solidFill>
                <a:srgbClr val="FF5050"/>
              </a:solidFill>
              <a:prstDash val="sysDot"/>
            </a:ln>
            <a:effectLst>
              <a:outerShdw blurRad="50800" dist="50800" dir="5400000" algn="ctr" rotWithShape="0">
                <a:srgbClr val="000000">
                  <a:alpha val="0"/>
                </a:srgbClr>
              </a:outerShdw>
            </a:effectLst>
          </c:spPr>
          <c:val>
            <c:numRef>
              <c:f>'graphique radar'!$F$8:$F$10</c:f>
              <c:numCache>
                <c:formatCode>"€"#,##0_);[Red]\("€"#,##0\)</c:formatCode>
                <c:ptCount val="3"/>
                <c:pt idx="0">
                  <c:v>93000</c:v>
                </c:pt>
                <c:pt idx="1">
                  <c:v>93000</c:v>
                </c:pt>
                <c:pt idx="2">
                  <c:v>93000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975-4E4E-AD22-DA086E62028D}"/>
            </c:ext>
          </c:extLst>
        </c:ser>
        <c:ser>
          <c:idx val="1"/>
          <c:order val="1"/>
          <c:tx>
            <c:v>Zone verte</c:v>
          </c:tx>
          <c:spPr>
            <a:solidFill>
              <a:srgbClr val="92D050">
                <a:alpha val="60000"/>
              </a:srgbClr>
            </a:solidFill>
            <a:ln w="25400">
              <a:solidFill>
                <a:srgbClr val="92D050"/>
              </a:solidFill>
              <a:prstDash val="sysDot"/>
            </a:ln>
            <a:effectLst/>
          </c:spPr>
          <c:val>
            <c:numRef>
              <c:f>'graphique radar'!$E$8:$E$10</c:f>
              <c:numCache>
                <c:formatCode>"€"#,##0_);[Red]\("€"#,##0\)</c:formatCode>
                <c:ptCount val="3"/>
                <c:pt idx="0">
                  <c:v>70000</c:v>
                </c:pt>
                <c:pt idx="1">
                  <c:v>70000</c:v>
                </c:pt>
                <c:pt idx="2">
                  <c:v>70000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975-4E4E-AD22-DA086E6202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4321632"/>
        <c:axId val="1098054048"/>
        <c:extLst/>
      </c:radarChart>
      <c:radarChart>
        <c:radarStyle val="marker"/>
        <c:varyColors val="0"/>
        <c:ser>
          <c:idx val="2"/>
          <c:order val="2"/>
          <c:tx>
            <c:v>Prévisionnel</c:v>
          </c:tx>
          <c:spPr>
            <a:ln w="25400" cap="rnd" cmpd="sng" algn="ctr">
              <a:solidFill>
                <a:srgbClr val="33CC33"/>
              </a:solidFill>
              <a:prstDash val="solid"/>
              <a:round/>
            </a:ln>
            <a:effectLst/>
          </c:spPr>
          <c:marker>
            <c:symbol val="none"/>
          </c:marker>
          <c:val>
            <c:numRef>
              <c:f>'graphique radar'!$C$8:$C$10</c:f>
              <c:numCache>
                <c:formatCode>_-* #\ ##0\ [$€-40C]_-;\-* #\ ##0\ [$€-40C]_-;_-* "-"??\ [$€-40C]_-;_-@_-</c:formatCode>
                <c:ptCount val="3"/>
                <c:pt idx="0" formatCode="&quot;€&quot;#,##0_);[Red]\(&quot;€&quot;#,##0\)">
                  <c:v>48144</c:v>
                </c:pt>
                <c:pt idx="1">
                  <c:v>10398</c:v>
                </c:pt>
                <c:pt idx="2">
                  <c:v>69488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975-4E4E-AD22-DA086E62028D}"/>
            </c:ext>
          </c:extLst>
        </c:ser>
        <c:ser>
          <c:idx val="3"/>
          <c:order val="3"/>
          <c:tx>
            <c:v>Réel</c:v>
          </c:tx>
          <c:spPr>
            <a:ln w="25400" cap="rnd" cmpd="sng" algn="ctr">
              <a:solidFill>
                <a:srgbClr val="FF0000"/>
              </a:solidFill>
              <a:prstDash val="solid"/>
              <a:round/>
            </a:ln>
            <a:effectLst/>
          </c:spPr>
          <c:marker>
            <c:symbol val="none"/>
          </c:marker>
          <c:val>
            <c:numRef>
              <c:f>'graphique radar'!$D$8:$D$10</c:f>
              <c:numCache>
                <c:formatCode>_-* #\ ##0\ [$€-40C]_-;\-* #\ ##0\ [$€-40C]_-;_-* "-"??\ [$€-40C]_-;_-@_-</c:formatCode>
                <c:ptCount val="3"/>
                <c:pt idx="0">
                  <c:v>81312</c:v>
                </c:pt>
                <c:pt idx="1">
                  <c:v>26630.32</c:v>
                </c:pt>
                <c:pt idx="2">
                  <c:v>92632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8-D975-4E4E-AD22-DA086E6202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0762127"/>
        <c:axId val="477747967"/>
      </c:radarChart>
      <c:valAx>
        <c:axId val="1098054048"/>
        <c:scaling>
          <c:orientation val="minMax"/>
          <c:max val="930000"/>
          <c:min val="0"/>
        </c:scaling>
        <c:delete val="1"/>
        <c:axPos val="l"/>
        <c:majorGridlines>
          <c:spPr>
            <a:ln w="317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&quot;€&quot;#,##0_);[Red]\(&quot;€&quot;#,##0\)" sourceLinked="1"/>
        <c:majorTickMark val="none"/>
        <c:minorTickMark val="none"/>
        <c:tickLblPos val="nextTo"/>
        <c:crossAx val="1094321632"/>
        <c:crosses val="autoZero"/>
        <c:crossBetween val="between"/>
      </c:valAx>
      <c:catAx>
        <c:axId val="10943216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8054048"/>
        <c:crosses val="autoZero"/>
        <c:auto val="1"/>
        <c:lblAlgn val="ctr"/>
        <c:lblOffset val="100"/>
        <c:noMultiLvlLbl val="0"/>
      </c:catAx>
      <c:valAx>
        <c:axId val="477747967"/>
        <c:scaling>
          <c:orientation val="minMax"/>
          <c:max val="93000"/>
          <c:min val="0"/>
        </c:scaling>
        <c:delete val="0"/>
        <c:axPos val="l"/>
        <c:numFmt formatCode="&quot;€&quot;#,##0_);[Red]\(&quot;€&quot;#,##0\)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762127"/>
        <c:crossBetween val="between"/>
      </c:valAx>
      <c:catAx>
        <c:axId val="49076212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7747967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/>
      </a:solidFill>
      <a:round/>
    </a:ln>
    <a:effectLst>
      <a:outerShdw blurRad="50800" dist="50800" dir="5400000" algn="ctr" rotWithShape="0">
        <a:schemeClr val="bg1">
          <a:alpha val="52000"/>
        </a:scheme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Visualisation des différences prévisionnel/Réel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'graphique radar'!$C$40</c:f>
              <c:strCache>
                <c:ptCount val="1"/>
                <c:pt idx="0">
                  <c:v>Prévisonnel</c:v>
                </c:pt>
              </c:strCache>
            </c:strRef>
          </c:tx>
          <c:spPr>
            <a:ln w="25400" cap="rnd" cmpd="sng" algn="ctr">
              <a:solidFill>
                <a:schemeClr val="accent1"/>
              </a:solidFill>
              <a:prstDash val="solid"/>
              <a:round/>
            </a:ln>
            <a:effectLst/>
          </c:spPr>
          <c:marker>
            <c:symbol val="none"/>
          </c:marker>
          <c:cat>
            <c:strRef>
              <c:f>'graphique radar'!$B$41:$B$43</c:f>
              <c:strCache>
                <c:ptCount val="3"/>
                <c:pt idx="0">
                  <c:v>FAI</c:v>
                </c:pt>
                <c:pt idx="1">
                  <c:v>Délais (mois)</c:v>
                </c:pt>
                <c:pt idx="2">
                  <c:v>Personne en formation</c:v>
                </c:pt>
              </c:strCache>
            </c:strRef>
          </c:cat>
          <c:val>
            <c:numRef>
              <c:f>'graphique radar'!$C$41:$C$43</c:f>
              <c:numCache>
                <c:formatCode>_-* #\ ##0\ _€_-;\-* #\ ##0\ _€_-;_-* "-"??\ _€_-;_-@_-</c:formatCode>
                <c:ptCount val="3"/>
                <c:pt idx="0">
                  <c:v>213</c:v>
                </c:pt>
                <c:pt idx="1">
                  <c:v>6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AB2-4DC1-9E8B-F8582F4F1EEB}"/>
            </c:ext>
          </c:extLst>
        </c:ser>
        <c:ser>
          <c:idx val="1"/>
          <c:order val="1"/>
          <c:tx>
            <c:strRef>
              <c:f>'graphique radar'!$D$40</c:f>
              <c:strCache>
                <c:ptCount val="1"/>
                <c:pt idx="0">
                  <c:v>Réel</c:v>
                </c:pt>
              </c:strCache>
            </c:strRef>
          </c:tx>
          <c:spPr>
            <a:ln w="25400" cap="rnd" cmpd="sng" algn="ctr">
              <a:solidFill>
                <a:schemeClr val="accent2"/>
              </a:solidFill>
              <a:prstDash val="solid"/>
              <a:round/>
            </a:ln>
            <a:effectLst/>
          </c:spPr>
          <c:marker>
            <c:symbol val="none"/>
          </c:marker>
          <c:cat>
            <c:strRef>
              <c:f>'graphique radar'!$B$41:$B$43</c:f>
              <c:strCache>
                <c:ptCount val="3"/>
                <c:pt idx="0">
                  <c:v>FAI</c:v>
                </c:pt>
                <c:pt idx="1">
                  <c:v>Délais (mois)</c:v>
                </c:pt>
                <c:pt idx="2">
                  <c:v>Personne en formation</c:v>
                </c:pt>
              </c:strCache>
            </c:strRef>
          </c:cat>
          <c:val>
            <c:numRef>
              <c:f>'graphique radar'!$D$41:$D$43</c:f>
              <c:numCache>
                <c:formatCode>General</c:formatCode>
                <c:ptCount val="3"/>
                <c:pt idx="0">
                  <c:v>382</c:v>
                </c:pt>
                <c:pt idx="1">
                  <c:v>12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AB2-4DC1-9E8B-F8582F4F1E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9411567"/>
        <c:axId val="477744943"/>
      </c:radarChart>
      <c:catAx>
        <c:axId val="4694115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7744943"/>
        <c:crosses val="autoZero"/>
        <c:auto val="1"/>
        <c:lblAlgn val="ctr"/>
        <c:lblOffset val="100"/>
        <c:noMultiLvlLbl val="0"/>
      </c:catAx>
      <c:valAx>
        <c:axId val="477744943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bg2">
                  <a:lumMod val="75000"/>
                </a:schemeClr>
              </a:solidFill>
              <a:round/>
            </a:ln>
            <a:effectLst/>
          </c:spPr>
        </c:majorGridlines>
        <c:numFmt formatCode="_-* #\ ##0\ _€_-;\-* #\ ##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411567"/>
        <c:crosses val="autoZero"/>
        <c:crossBetween val="between"/>
        <c:minorUnit val="1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0" i="0" baseline="0">
                <a:effectLst/>
              </a:rPr>
              <a:t>Visualisation des différences prévisionnel/Réel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2"/>
          <c:order val="0"/>
          <c:tx>
            <c:v>zone verte</c:v>
          </c:tx>
          <c:spPr>
            <a:solidFill>
              <a:srgbClr val="92D050">
                <a:alpha val="60000"/>
              </a:srgbClr>
            </a:solidFill>
            <a:ln w="25400">
              <a:solidFill>
                <a:srgbClr val="92D050">
                  <a:alpha val="60000"/>
                </a:srgbClr>
              </a:solidFill>
              <a:prstDash val="sysDot"/>
            </a:ln>
            <a:effectLst/>
          </c:spPr>
          <c:val>
            <c:numRef>
              <c:f>'graphique radar'!$E$8:$E$10</c:f>
              <c:numCache>
                <c:formatCode>"€"#,##0_);[Red]\("€"#,##0\)</c:formatCode>
                <c:ptCount val="3"/>
                <c:pt idx="0">
                  <c:v>70000</c:v>
                </c:pt>
                <c:pt idx="1">
                  <c:v>70000</c:v>
                </c:pt>
                <c:pt idx="2">
                  <c:v>70000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AB9-45A0-A980-A1EBF8E593E3}"/>
            </c:ext>
          </c:extLst>
        </c:ser>
        <c:ser>
          <c:idx val="3"/>
          <c:order val="1"/>
          <c:tx>
            <c:v>Zone rouge</c:v>
          </c:tx>
          <c:spPr>
            <a:solidFill>
              <a:srgbClr val="FF5050">
                <a:alpha val="50000"/>
              </a:srgbClr>
            </a:solidFill>
            <a:ln w="25400">
              <a:solidFill>
                <a:srgbClr val="FF5050">
                  <a:alpha val="50000"/>
                </a:srgbClr>
              </a:solidFill>
              <a:prstDash val="sysDot"/>
            </a:ln>
            <a:effectLst/>
          </c:spPr>
          <c:val>
            <c:numRef>
              <c:f>'graphique radar'!$F$8:$F$10</c:f>
              <c:numCache>
                <c:formatCode>"€"#,##0_);[Red]\("€"#,##0\)</c:formatCode>
                <c:ptCount val="3"/>
                <c:pt idx="0">
                  <c:v>93000</c:v>
                </c:pt>
                <c:pt idx="1">
                  <c:v>93000</c:v>
                </c:pt>
                <c:pt idx="2">
                  <c:v>93000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AB9-45A0-A980-A1EBF8E593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8923007"/>
        <c:axId val="477756607"/>
      </c:radarChart>
      <c:radarChart>
        <c:radarStyle val="marker"/>
        <c:varyColors val="0"/>
        <c:ser>
          <c:idx val="0"/>
          <c:order val="2"/>
          <c:tx>
            <c:strRef>
              <c:f>'graphique radar'!$C$7</c:f>
              <c:strCache>
                <c:ptCount val="1"/>
                <c:pt idx="0">
                  <c:v>Prévisonnel</c:v>
                </c:pt>
              </c:strCache>
            </c:strRef>
          </c:tx>
          <c:spPr>
            <a:ln w="25400" cap="rnd" cmpd="sng" algn="ctr">
              <a:solidFill>
                <a:srgbClr val="33CC33"/>
              </a:solidFill>
              <a:prstDash val="solid"/>
              <a:round/>
            </a:ln>
            <a:effectLst/>
          </c:spPr>
          <c:marker>
            <c:symbol val="none"/>
          </c:marker>
          <c:cat>
            <c:strRef>
              <c:f>'graphique radar'!$B$8:$B$10</c:f>
              <c:strCache>
                <c:ptCount val="3"/>
                <c:pt idx="0">
                  <c:v>Côut pré-étude</c:v>
                </c:pt>
                <c:pt idx="1">
                  <c:v>Bénéfices</c:v>
                </c:pt>
                <c:pt idx="2">
                  <c:v>Prix global projet</c:v>
                </c:pt>
              </c:strCache>
            </c:strRef>
          </c:cat>
          <c:val>
            <c:numRef>
              <c:f>'graphique radar'!$C$8:$C$10</c:f>
              <c:numCache>
                <c:formatCode>_-* #\ ##0\ [$€-40C]_-;\-* #\ ##0\ [$€-40C]_-;_-* "-"??\ [$€-40C]_-;_-@_-</c:formatCode>
                <c:ptCount val="3"/>
                <c:pt idx="0" formatCode="&quot;€&quot;#,##0_);[Red]\(&quot;€&quot;#,##0\)">
                  <c:v>48144</c:v>
                </c:pt>
                <c:pt idx="1">
                  <c:v>10398</c:v>
                </c:pt>
                <c:pt idx="2">
                  <c:v>69488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AB9-45A0-A980-A1EBF8E593E3}"/>
            </c:ext>
          </c:extLst>
        </c:ser>
        <c:ser>
          <c:idx val="1"/>
          <c:order val="3"/>
          <c:tx>
            <c:strRef>
              <c:f>'graphique radar'!$D$7</c:f>
              <c:strCache>
                <c:ptCount val="1"/>
                <c:pt idx="0">
                  <c:v>Réel</c:v>
                </c:pt>
              </c:strCache>
            </c:strRef>
          </c:tx>
          <c:spPr>
            <a:ln w="25400" cap="rnd" cmpd="sng" algn="ctr">
              <a:solidFill>
                <a:srgbClr val="FF0000"/>
              </a:solidFill>
              <a:prstDash val="solid"/>
              <a:round/>
            </a:ln>
            <a:effectLst/>
          </c:spPr>
          <c:marker>
            <c:symbol val="none"/>
          </c:marker>
          <c:cat>
            <c:strRef>
              <c:f>'graphique radar'!$B$8:$B$10</c:f>
              <c:strCache>
                <c:ptCount val="3"/>
                <c:pt idx="0">
                  <c:v>Côut pré-étude</c:v>
                </c:pt>
                <c:pt idx="1">
                  <c:v>Bénéfices</c:v>
                </c:pt>
                <c:pt idx="2">
                  <c:v>Prix global projet</c:v>
                </c:pt>
              </c:strCache>
            </c:strRef>
          </c:cat>
          <c:val>
            <c:numRef>
              <c:f>'graphique radar'!$D$8:$D$10</c:f>
              <c:numCache>
                <c:formatCode>_-* #\ ##0\ [$€-40C]_-;\-* #\ ##0\ [$€-40C]_-;_-* "-"??\ [$€-40C]_-;_-@_-</c:formatCode>
                <c:ptCount val="3"/>
                <c:pt idx="0">
                  <c:v>81312</c:v>
                </c:pt>
                <c:pt idx="1">
                  <c:v>26630.32</c:v>
                </c:pt>
                <c:pt idx="2">
                  <c:v>92632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AB9-45A0-A980-A1EBF8E593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2095295"/>
        <c:axId val="536265999"/>
      </c:radarChart>
      <c:catAx>
        <c:axId val="31892300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7756607"/>
        <c:crosses val="autoZero"/>
        <c:auto val="1"/>
        <c:lblAlgn val="ctr"/>
        <c:lblOffset val="100"/>
        <c:noMultiLvlLbl val="0"/>
      </c:catAx>
      <c:valAx>
        <c:axId val="477756607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€&quot;#,##0_);[Red]\(&quot;€&quot;#,##0\)" sourceLinked="1"/>
        <c:majorTickMark val="none"/>
        <c:minorTickMark val="none"/>
        <c:tickLblPos val="nextTo"/>
        <c:crossAx val="318923007"/>
        <c:crosses val="autoZero"/>
        <c:crossBetween val="between"/>
      </c:valAx>
      <c:valAx>
        <c:axId val="536265999"/>
        <c:scaling>
          <c:orientation val="minMax"/>
        </c:scaling>
        <c:delete val="0"/>
        <c:axPos val="l"/>
        <c:numFmt formatCode="&quot;€&quot;#,##0_);[Red]\(&quot;€&quot;#,##0\)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2095295"/>
        <c:crossBetween val="between"/>
      </c:valAx>
      <c:catAx>
        <c:axId val="49209529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6265999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5400" cap="rnd" cmpd="sng" algn="ctr">
        <a:solidFill>
          <a:schemeClr val="phClr"/>
        </a:solidFill>
        <a:prstDash val="sysDot"/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1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5400" cap="rnd" cmpd="sng" algn="ctr">
        <a:solidFill>
          <a:schemeClr val="phClr"/>
        </a:solidFill>
        <a:prstDash val="sysDot"/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1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5400" cap="rnd" cmpd="sng" algn="ctr">
        <a:solidFill>
          <a:schemeClr val="phClr"/>
        </a:solidFill>
        <a:prstDash val="sysDot"/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403118</xdr:colOff>
      <xdr:row>11</xdr:row>
      <xdr:rowOff>17582</xdr:rowOff>
    </xdr:from>
    <xdr:to>
      <xdr:col>6</xdr:col>
      <xdr:colOff>574568</xdr:colOff>
      <xdr:row>33</xdr:row>
      <xdr:rowOff>27107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83C95710-970C-4EEC-B67D-36645E94BDF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656166</xdr:colOff>
      <xdr:row>45</xdr:row>
      <xdr:rowOff>173566</xdr:rowOff>
    </xdr:from>
    <xdr:to>
      <xdr:col>8</xdr:col>
      <xdr:colOff>52916</xdr:colOff>
      <xdr:row>67</xdr:row>
      <xdr:rowOff>127000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AFD4630-AA96-4060-AD79-EF6F1ACA1ED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148167</xdr:colOff>
      <xdr:row>11</xdr:row>
      <xdr:rowOff>14814</xdr:rowOff>
    </xdr:from>
    <xdr:to>
      <xdr:col>11</xdr:col>
      <xdr:colOff>232833</xdr:colOff>
      <xdr:row>36</xdr:row>
      <xdr:rowOff>179915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C19382A-D870-4EA5-8F21-CD1A8D2DB76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2:G4" totalsRowShown="0">
  <tableColumns count="6">
    <tableColumn id="1" name="Libellés"/>
    <tableColumn id="2" name="Côut pré-étude"/>
    <tableColumn id="3" name="Délais (mois)"/>
    <tableColumn id="4" name="Bénéfices"/>
    <tableColumn id="5" name="FAI "/>
    <tableColumn id="6" name="Prix global projet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A1:Q36"/>
  <sheetViews>
    <sheetView topLeftCell="D1" workbookViewId="0">
      <selection activeCell="Q4" sqref="Q4"/>
    </sheetView>
  </sheetViews>
  <sheetFormatPr baseColWidth="10" defaultRowHeight="15" customHeight="1" outlineLevelRow="2" x14ac:dyDescent="0.2"/>
  <cols>
    <col min="1" max="1" width="4.7109375" style="1" customWidth="1"/>
    <col min="2" max="2" width="8.7109375" style="1" bestFit="1" customWidth="1"/>
    <col min="3" max="3" width="28.42578125" style="1" bestFit="1" customWidth="1"/>
    <col min="4" max="5" width="10.140625" style="1" bestFit="1" customWidth="1"/>
    <col min="6" max="6" width="9" style="1" bestFit="1" customWidth="1"/>
    <col min="7" max="7" width="16.5703125" style="1" bestFit="1" customWidth="1"/>
    <col min="8" max="8" width="13.42578125" style="1" bestFit="1" customWidth="1"/>
    <col min="9" max="9" width="8.5703125" style="1" bestFit="1" customWidth="1"/>
    <col min="10" max="10" width="8" style="1" bestFit="1" customWidth="1"/>
    <col min="11" max="11" width="12.5703125" style="1" bestFit="1" customWidth="1"/>
    <col min="12" max="12" width="15.7109375" style="1" bestFit="1" customWidth="1"/>
    <col min="13" max="14" width="11.85546875" style="1" bestFit="1" customWidth="1"/>
    <col min="15" max="15" width="13.7109375" style="1" bestFit="1" customWidth="1"/>
    <col min="16" max="16" width="14.7109375" style="1" bestFit="1" customWidth="1"/>
    <col min="17" max="16384" width="11.42578125" style="1"/>
  </cols>
  <sheetData>
    <row r="1" spans="1:17" s="2" customFormat="1" ht="30" customHeight="1" thickBot="1" x14ac:dyDescent="0.4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7" ht="21" customHeight="1" x14ac:dyDescent="0.2">
      <c r="A2" s="4"/>
      <c r="B2" s="4"/>
      <c r="C2" s="4"/>
      <c r="D2" s="4"/>
    </row>
    <row r="3" spans="1:17" s="5" customFormat="1" ht="18.75" customHeight="1" x14ac:dyDescent="0.25">
      <c r="A3" s="6" t="s">
        <v>1</v>
      </c>
      <c r="B3" s="7" t="s">
        <v>1</v>
      </c>
      <c r="C3" s="6" t="s">
        <v>2</v>
      </c>
      <c r="D3" s="7" t="s">
        <v>3</v>
      </c>
      <c r="E3" s="7" t="s">
        <v>4</v>
      </c>
      <c r="F3" s="7" t="s">
        <v>5</v>
      </c>
      <c r="G3" s="7" t="s">
        <v>6</v>
      </c>
      <c r="H3" s="7" t="s">
        <v>7</v>
      </c>
      <c r="I3" s="7" t="s">
        <v>8</v>
      </c>
      <c r="J3" s="7" t="s">
        <v>10</v>
      </c>
      <c r="K3" s="7" t="s">
        <v>11</v>
      </c>
      <c r="L3" s="7" t="s">
        <v>12</v>
      </c>
      <c r="M3" s="7" t="s">
        <v>13</v>
      </c>
      <c r="N3" s="7" t="s">
        <v>14</v>
      </c>
      <c r="O3" s="7" t="s">
        <v>15</v>
      </c>
      <c r="P3" s="7" t="s">
        <v>16</v>
      </c>
    </row>
    <row r="4" spans="1:17" s="8" customFormat="1" ht="17.25" customHeight="1" x14ac:dyDescent="0.2">
      <c r="A4" s="9" t="s">
        <v>17</v>
      </c>
      <c r="B4" s="10" t="s">
        <v>18</v>
      </c>
      <c r="C4" s="11" t="s">
        <v>19</v>
      </c>
      <c r="D4" s="12">
        <v>42662.333333333336</v>
      </c>
      <c r="E4" s="12">
        <v>43028.75</v>
      </c>
      <c r="F4" s="13" t="s">
        <v>20</v>
      </c>
      <c r="G4" s="13" t="s">
        <v>1</v>
      </c>
      <c r="H4" s="13">
        <v>60</v>
      </c>
      <c r="I4" s="13">
        <v>500</v>
      </c>
      <c r="J4" s="13" t="s">
        <v>21</v>
      </c>
      <c r="K4" s="13" t="s">
        <v>22</v>
      </c>
      <c r="L4" s="13" t="s">
        <v>23</v>
      </c>
      <c r="M4" s="37">
        <f>SUM(M5,M12)</f>
        <v>56004</v>
      </c>
      <c r="N4" s="37">
        <f>SUM(N5,N12)</f>
        <v>30696</v>
      </c>
      <c r="O4" s="37">
        <f>SUM(O5,O12)</f>
        <v>25308</v>
      </c>
      <c r="P4" s="37">
        <f t="shared" ref="P4:P26" si="0">M4</f>
        <v>56004</v>
      </c>
      <c r="Q4" s="46"/>
    </row>
    <row r="5" spans="1:17" ht="15" customHeight="1" x14ac:dyDescent="0.2">
      <c r="A5" s="14" t="s">
        <v>24</v>
      </c>
      <c r="B5" s="15" t="s">
        <v>25</v>
      </c>
      <c r="C5" s="16" t="s">
        <v>26</v>
      </c>
      <c r="D5" s="17">
        <v>42662.333333333336</v>
      </c>
      <c r="E5" s="17">
        <v>42748.75</v>
      </c>
      <c r="F5" s="18" t="s">
        <v>27</v>
      </c>
      <c r="G5" s="18" t="s">
        <v>1</v>
      </c>
      <c r="H5" s="18">
        <v>100</v>
      </c>
      <c r="I5" s="18">
        <v>500</v>
      </c>
      <c r="J5" s="18" t="s">
        <v>28</v>
      </c>
      <c r="K5" s="18" t="s">
        <v>28</v>
      </c>
      <c r="L5" s="18" t="s">
        <v>29</v>
      </c>
      <c r="M5" s="38">
        <f>SUM(M6,M7,M8,M9,M10,M11)</f>
        <v>10836</v>
      </c>
      <c r="N5" s="38">
        <f>SUM(N6,N7,N8,N9,N10,N11)</f>
        <v>10836</v>
      </c>
      <c r="O5" s="38">
        <f>SUM(O6,O7,O8,O9,O10,O11)</f>
        <v>0</v>
      </c>
      <c r="P5" s="38">
        <f t="shared" si="0"/>
        <v>10836</v>
      </c>
    </row>
    <row r="6" spans="1:17" ht="15" customHeight="1" outlineLevel="1" x14ac:dyDescent="0.2">
      <c r="A6" s="19" t="s">
        <v>30</v>
      </c>
      <c r="B6" s="20" t="s">
        <v>31</v>
      </c>
      <c r="C6" s="21" t="s">
        <v>0</v>
      </c>
      <c r="D6" s="22">
        <v>42662.333333333336</v>
      </c>
      <c r="E6" s="22">
        <v>42678.75</v>
      </c>
      <c r="F6" s="23" t="s">
        <v>32</v>
      </c>
      <c r="G6" s="23" t="s">
        <v>1</v>
      </c>
      <c r="H6" s="23">
        <v>100</v>
      </c>
      <c r="I6" s="23">
        <v>500</v>
      </c>
      <c r="J6" s="23" t="s">
        <v>33</v>
      </c>
      <c r="K6" s="23" t="s">
        <v>33</v>
      </c>
      <c r="L6" s="23" t="s">
        <v>29</v>
      </c>
      <c r="M6" s="39">
        <f>10.4*D34+93.6*D33</f>
        <v>3276</v>
      </c>
      <c r="N6" s="39">
        <f>(10.4*D34+93.6*D33)*H6/100</f>
        <v>3276</v>
      </c>
      <c r="O6" s="39">
        <f>10.4*D34+93.6*D33 - (10.4*D34+93.6*D33)*H6/100</f>
        <v>0</v>
      </c>
      <c r="P6" s="39">
        <f t="shared" si="0"/>
        <v>3276</v>
      </c>
    </row>
    <row r="7" spans="1:17" ht="15" customHeight="1" outlineLevel="1" x14ac:dyDescent="0.2">
      <c r="A7" s="19" t="s">
        <v>34</v>
      </c>
      <c r="B7" s="20" t="s">
        <v>35</v>
      </c>
      <c r="C7" s="21" t="s">
        <v>36</v>
      </c>
      <c r="D7" s="22">
        <v>42678.333333333336</v>
      </c>
      <c r="E7" s="22">
        <v>42678.333333333336</v>
      </c>
      <c r="F7" s="23" t="s">
        <v>37</v>
      </c>
      <c r="G7" s="23" t="s">
        <v>30</v>
      </c>
      <c r="H7" s="23">
        <v>100</v>
      </c>
      <c r="I7" s="23">
        <v>500</v>
      </c>
      <c r="J7" s="23" t="s">
        <v>29</v>
      </c>
      <c r="K7" s="23" t="s">
        <v>29</v>
      </c>
      <c r="L7" s="23" t="s">
        <v>29</v>
      </c>
      <c r="M7" s="39">
        <f>0*D34+0*D33</f>
        <v>0</v>
      </c>
      <c r="N7" s="39">
        <f>(0*D34+0*D33)*H7/100</f>
        <v>0</v>
      </c>
      <c r="O7" s="39">
        <f>0*D34+0*D33 - (0*D34+0*D33)*H7/100</f>
        <v>0</v>
      </c>
      <c r="P7" s="39">
        <f t="shared" si="0"/>
        <v>0</v>
      </c>
    </row>
    <row r="8" spans="1:17" ht="15" customHeight="1" outlineLevel="1" x14ac:dyDescent="0.2">
      <c r="A8" s="19" t="s">
        <v>38</v>
      </c>
      <c r="B8" s="20" t="s">
        <v>39</v>
      </c>
      <c r="C8" s="21" t="s">
        <v>0</v>
      </c>
      <c r="D8" s="22">
        <v>42695.333333333336</v>
      </c>
      <c r="E8" s="22">
        <v>42706.708333333336</v>
      </c>
      <c r="F8" s="23" t="s">
        <v>40</v>
      </c>
      <c r="G8" s="23" t="s">
        <v>41</v>
      </c>
      <c r="H8" s="23">
        <v>100</v>
      </c>
      <c r="I8" s="23">
        <v>500</v>
      </c>
      <c r="J8" s="23" t="s">
        <v>42</v>
      </c>
      <c r="K8" s="23" t="s">
        <v>42</v>
      </c>
      <c r="L8" s="23" t="s">
        <v>29</v>
      </c>
      <c r="M8" s="39">
        <f>8*D34+72*D33</f>
        <v>2520</v>
      </c>
      <c r="N8" s="39">
        <f>(8*D34+72*D33)*H8/100</f>
        <v>2520</v>
      </c>
      <c r="O8" s="39">
        <f>8*D34+72*D33 - (8*D34+72*D33)*H8/100</f>
        <v>0</v>
      </c>
      <c r="P8" s="39">
        <f t="shared" si="0"/>
        <v>2520</v>
      </c>
    </row>
    <row r="9" spans="1:17" ht="15" customHeight="1" outlineLevel="1" x14ac:dyDescent="0.2">
      <c r="A9" s="19" t="s">
        <v>43</v>
      </c>
      <c r="B9" s="20" t="s">
        <v>44</v>
      </c>
      <c r="C9" s="21" t="s">
        <v>45</v>
      </c>
      <c r="D9" s="22">
        <v>42706.333333333336</v>
      </c>
      <c r="E9" s="22">
        <v>42706.333333333336</v>
      </c>
      <c r="F9" s="23" t="s">
        <v>37</v>
      </c>
      <c r="G9" s="23" t="s">
        <v>38</v>
      </c>
      <c r="H9" s="23">
        <v>100</v>
      </c>
      <c r="I9" s="23">
        <v>500</v>
      </c>
      <c r="J9" s="23" t="s">
        <v>29</v>
      </c>
      <c r="K9" s="23" t="s">
        <v>29</v>
      </c>
      <c r="L9" s="23" t="s">
        <v>29</v>
      </c>
      <c r="M9" s="39">
        <f>0*D34+0*D33</f>
        <v>0</v>
      </c>
      <c r="N9" s="39">
        <f>(0*D34+0*D33)*H9/100</f>
        <v>0</v>
      </c>
      <c r="O9" s="39">
        <f>0*D34+0*D33 - (0*D34+0*D33)*H9/100</f>
        <v>0</v>
      </c>
      <c r="P9" s="39">
        <f t="shared" si="0"/>
        <v>0</v>
      </c>
    </row>
    <row r="10" spans="1:17" ht="15" customHeight="1" outlineLevel="1" x14ac:dyDescent="0.2">
      <c r="A10" s="19" t="s">
        <v>46</v>
      </c>
      <c r="B10" s="20" t="s">
        <v>47</v>
      </c>
      <c r="C10" s="21" t="s">
        <v>0</v>
      </c>
      <c r="D10" s="22">
        <v>42723.333333333336</v>
      </c>
      <c r="E10" s="22">
        <v>42748.708333333336</v>
      </c>
      <c r="F10" s="23" t="s">
        <v>48</v>
      </c>
      <c r="G10" s="23" t="s">
        <v>49</v>
      </c>
      <c r="H10" s="23">
        <v>100</v>
      </c>
      <c r="I10" s="23">
        <v>500</v>
      </c>
      <c r="J10" s="23" t="s">
        <v>50</v>
      </c>
      <c r="K10" s="23" t="s">
        <v>50</v>
      </c>
      <c r="L10" s="23" t="s">
        <v>29</v>
      </c>
      <c r="M10" s="39">
        <f>16*D34+144*D33</f>
        <v>5040</v>
      </c>
      <c r="N10" s="39">
        <f>(16*D34+144*D33)*H10/100</f>
        <v>5040</v>
      </c>
      <c r="O10" s="39">
        <f>16*D34+144*D33 - (16*D34+144*D33)*H10/100</f>
        <v>0</v>
      </c>
      <c r="P10" s="39">
        <f t="shared" si="0"/>
        <v>5040</v>
      </c>
    </row>
    <row r="11" spans="1:17" ht="15" customHeight="1" outlineLevel="1" x14ac:dyDescent="0.2">
      <c r="A11" s="19" t="s">
        <v>51</v>
      </c>
      <c r="B11" s="20" t="s">
        <v>52</v>
      </c>
      <c r="C11" s="21" t="s">
        <v>53</v>
      </c>
      <c r="D11" s="22">
        <v>42748.333333333336</v>
      </c>
      <c r="E11" s="22">
        <v>42748.333333333336</v>
      </c>
      <c r="F11" s="23" t="s">
        <v>37</v>
      </c>
      <c r="G11" s="23" t="s">
        <v>46</v>
      </c>
      <c r="H11" s="23">
        <v>100</v>
      </c>
      <c r="I11" s="23">
        <v>500</v>
      </c>
      <c r="J11" s="23" t="s">
        <v>29</v>
      </c>
      <c r="K11" s="23" t="s">
        <v>29</v>
      </c>
      <c r="L11" s="23" t="s">
        <v>29</v>
      </c>
      <c r="M11" s="39">
        <f>0*D34+0*D33</f>
        <v>0</v>
      </c>
      <c r="N11" s="39">
        <f>(0*D34+0*D33)*H11/100</f>
        <v>0</v>
      </c>
      <c r="O11" s="39">
        <f>0*D34+0*D33 - (0*D34+0*D33)*H11/100</f>
        <v>0</v>
      </c>
      <c r="P11" s="39">
        <f t="shared" si="0"/>
        <v>0</v>
      </c>
    </row>
    <row r="12" spans="1:17" ht="15" customHeight="1" x14ac:dyDescent="0.2">
      <c r="A12" s="14" t="s">
        <v>54</v>
      </c>
      <c r="B12" s="15" t="s">
        <v>55</v>
      </c>
      <c r="C12" s="16" t="s">
        <v>56</v>
      </c>
      <c r="D12" s="17">
        <v>42765.333333333336</v>
      </c>
      <c r="E12" s="17">
        <v>43028.75</v>
      </c>
      <c r="F12" s="18" t="s">
        <v>57</v>
      </c>
      <c r="G12" s="18" t="s">
        <v>1</v>
      </c>
      <c r="H12" s="18">
        <v>49</v>
      </c>
      <c r="I12" s="18">
        <v>500</v>
      </c>
      <c r="J12" s="18" t="s">
        <v>58</v>
      </c>
      <c r="K12" s="18" t="s">
        <v>59</v>
      </c>
      <c r="L12" s="18" t="s">
        <v>23</v>
      </c>
      <c r="M12" s="38">
        <f>SUM(M13,M22)</f>
        <v>45168</v>
      </c>
      <c r="N12" s="38">
        <f>SUM(N13,N22)</f>
        <v>19860</v>
      </c>
      <c r="O12" s="38">
        <f>SUM(O13,O22)</f>
        <v>25308</v>
      </c>
      <c r="P12" s="38">
        <f t="shared" si="0"/>
        <v>45168</v>
      </c>
    </row>
    <row r="13" spans="1:17" ht="15" customHeight="1" outlineLevel="1" x14ac:dyDescent="0.2">
      <c r="A13" s="19" t="s">
        <v>60</v>
      </c>
      <c r="B13" s="20" t="s">
        <v>61</v>
      </c>
      <c r="C13" s="21" t="s">
        <v>62</v>
      </c>
      <c r="D13" s="22">
        <v>42765.333333333336</v>
      </c>
      <c r="E13" s="22">
        <v>42888.75</v>
      </c>
      <c r="F13" s="23" t="s">
        <v>63</v>
      </c>
      <c r="G13" s="23" t="s">
        <v>1</v>
      </c>
      <c r="H13" s="23">
        <v>100</v>
      </c>
      <c r="I13" s="23">
        <v>500</v>
      </c>
      <c r="J13" s="23" t="s">
        <v>64</v>
      </c>
      <c r="K13" s="23" t="s">
        <v>64</v>
      </c>
      <c r="L13" s="23" t="s">
        <v>29</v>
      </c>
      <c r="M13" s="39">
        <f>SUM(M14,M15,M16,M17,M18,M19,M20,M21)</f>
        <v>17220</v>
      </c>
      <c r="N13" s="39">
        <f>SUM(N14,N15,N16,N17,N18,N19,N20,N21)</f>
        <v>17220</v>
      </c>
      <c r="O13" s="39">
        <f>SUM(O14,O15,O16,O17,O18,O19,O20,O21)</f>
        <v>0</v>
      </c>
      <c r="P13" s="39">
        <f t="shared" si="0"/>
        <v>17220</v>
      </c>
    </row>
    <row r="14" spans="1:17" ht="15" customHeight="1" outlineLevel="2" x14ac:dyDescent="0.2">
      <c r="A14" s="19" t="s">
        <v>65</v>
      </c>
      <c r="B14" s="20" t="s">
        <v>66</v>
      </c>
      <c r="C14" s="24" t="s">
        <v>67</v>
      </c>
      <c r="D14" s="22">
        <v>42765.333333333336</v>
      </c>
      <c r="E14" s="22">
        <v>42790.708333333336</v>
      </c>
      <c r="F14" s="23" t="s">
        <v>48</v>
      </c>
      <c r="G14" s="23" t="s">
        <v>68</v>
      </c>
      <c r="H14" s="23">
        <v>100</v>
      </c>
      <c r="I14" s="23">
        <v>500</v>
      </c>
      <c r="J14" s="23" t="s">
        <v>50</v>
      </c>
      <c r="K14" s="23" t="s">
        <v>50</v>
      </c>
      <c r="L14" s="23" t="s">
        <v>29</v>
      </c>
      <c r="M14" s="39">
        <f>16*D34+144*D33</f>
        <v>5040</v>
      </c>
      <c r="N14" s="39">
        <f>(16*D34+144*D33)*H14/100</f>
        <v>5040</v>
      </c>
      <c r="O14" s="39">
        <f>16*D34+144*D33 - (16*D34+144*D33)*H14/100</f>
        <v>0</v>
      </c>
      <c r="P14" s="39">
        <f t="shared" si="0"/>
        <v>5040</v>
      </c>
    </row>
    <row r="15" spans="1:17" ht="15" customHeight="1" outlineLevel="2" x14ac:dyDescent="0.2">
      <c r="A15" s="19" t="s">
        <v>69</v>
      </c>
      <c r="B15" s="20" t="s">
        <v>70</v>
      </c>
      <c r="C15" s="24" t="s">
        <v>71</v>
      </c>
      <c r="D15" s="22">
        <v>42790.333333333336</v>
      </c>
      <c r="E15" s="22">
        <v>42790.333333333336</v>
      </c>
      <c r="F15" s="23" t="s">
        <v>37</v>
      </c>
      <c r="G15" s="23" t="s">
        <v>65</v>
      </c>
      <c r="H15" s="23">
        <v>100</v>
      </c>
      <c r="I15" s="23">
        <v>500</v>
      </c>
      <c r="J15" s="23" t="s">
        <v>29</v>
      </c>
      <c r="K15" s="23" t="s">
        <v>29</v>
      </c>
      <c r="L15" s="23" t="s">
        <v>29</v>
      </c>
      <c r="M15" s="39">
        <f>0*D34+0*D33</f>
        <v>0</v>
      </c>
      <c r="N15" s="39">
        <f>(0*D34+0*D33)*H15/100</f>
        <v>0</v>
      </c>
      <c r="O15" s="39">
        <f>0*D34+0*D33 - (0*D34+0*D33)*H15/100</f>
        <v>0</v>
      </c>
      <c r="P15" s="39">
        <f t="shared" si="0"/>
        <v>0</v>
      </c>
    </row>
    <row r="16" spans="1:17" ht="15" customHeight="1" outlineLevel="2" x14ac:dyDescent="0.2">
      <c r="A16" s="19" t="s">
        <v>72</v>
      </c>
      <c r="B16" s="20" t="s">
        <v>73</v>
      </c>
      <c r="C16" s="24" t="s">
        <v>0</v>
      </c>
      <c r="D16" s="22">
        <v>42807.333333333336</v>
      </c>
      <c r="E16" s="22">
        <v>42818.708333333336</v>
      </c>
      <c r="F16" s="23" t="s">
        <v>40</v>
      </c>
      <c r="G16" s="23" t="s">
        <v>74</v>
      </c>
      <c r="H16" s="23">
        <v>100</v>
      </c>
      <c r="I16" s="23">
        <v>500</v>
      </c>
      <c r="J16" s="23" t="s">
        <v>42</v>
      </c>
      <c r="K16" s="23" t="s">
        <v>42</v>
      </c>
      <c r="L16" s="23" t="s">
        <v>29</v>
      </c>
      <c r="M16" s="39">
        <f>16*D34+64*D33</f>
        <v>2640</v>
      </c>
      <c r="N16" s="39">
        <f>(16*D34+64*D33)*H16/100</f>
        <v>2640</v>
      </c>
      <c r="O16" s="39">
        <f>16*D34+64*D33 - (16*D34+64*D33)*H16/100</f>
        <v>0</v>
      </c>
      <c r="P16" s="39">
        <f t="shared" si="0"/>
        <v>2640</v>
      </c>
    </row>
    <row r="17" spans="1:16" ht="15" customHeight="1" outlineLevel="2" x14ac:dyDescent="0.2">
      <c r="A17" s="19" t="s">
        <v>75</v>
      </c>
      <c r="B17" s="20" t="s">
        <v>76</v>
      </c>
      <c r="C17" s="24" t="s">
        <v>77</v>
      </c>
      <c r="D17" s="22">
        <v>42818.333333333336</v>
      </c>
      <c r="E17" s="22">
        <v>42818.333333333336</v>
      </c>
      <c r="F17" s="23" t="s">
        <v>37</v>
      </c>
      <c r="G17" s="23" t="s">
        <v>72</v>
      </c>
      <c r="H17" s="23">
        <v>100</v>
      </c>
      <c r="I17" s="23">
        <v>500</v>
      </c>
      <c r="J17" s="23" t="s">
        <v>29</v>
      </c>
      <c r="K17" s="23" t="s">
        <v>29</v>
      </c>
      <c r="L17" s="23" t="s">
        <v>29</v>
      </c>
      <c r="M17" s="39">
        <f>0*D34+0*D33</f>
        <v>0</v>
      </c>
      <c r="N17" s="39">
        <f>(0*D34+0*D33)*H17/100</f>
        <v>0</v>
      </c>
      <c r="O17" s="39">
        <f>0*D34+0*D33 - (0*D34+0*D33)*H17/100</f>
        <v>0</v>
      </c>
      <c r="P17" s="39">
        <f t="shared" si="0"/>
        <v>0</v>
      </c>
    </row>
    <row r="18" spans="1:16" ht="15" customHeight="1" outlineLevel="2" x14ac:dyDescent="0.2">
      <c r="A18" s="19" t="s">
        <v>78</v>
      </c>
      <c r="B18" s="20" t="s">
        <v>79</v>
      </c>
      <c r="C18" s="24" t="s">
        <v>0</v>
      </c>
      <c r="D18" s="22">
        <v>42835.333333333336</v>
      </c>
      <c r="E18" s="22">
        <v>42853.708333333336</v>
      </c>
      <c r="F18" s="23" t="s">
        <v>80</v>
      </c>
      <c r="G18" s="23" t="s">
        <v>81</v>
      </c>
      <c r="H18" s="23">
        <v>100</v>
      </c>
      <c r="I18" s="23">
        <v>500</v>
      </c>
      <c r="J18" s="23" t="s">
        <v>82</v>
      </c>
      <c r="K18" s="23" t="s">
        <v>82</v>
      </c>
      <c r="L18" s="23" t="s">
        <v>29</v>
      </c>
      <c r="M18" s="39">
        <f>36*D34+84*D33</f>
        <v>4140</v>
      </c>
      <c r="N18" s="39">
        <f>(36*D34+84*D33)*H18/100</f>
        <v>4140</v>
      </c>
      <c r="O18" s="39">
        <f>36*D34+84*D33 - (36*D34+84*D33)*H18/100</f>
        <v>0</v>
      </c>
      <c r="P18" s="39">
        <f t="shared" si="0"/>
        <v>4140</v>
      </c>
    </row>
    <row r="19" spans="1:16" ht="15" customHeight="1" outlineLevel="2" x14ac:dyDescent="0.2">
      <c r="A19" s="19" t="s">
        <v>83</v>
      </c>
      <c r="B19" s="20" t="s">
        <v>84</v>
      </c>
      <c r="C19" s="24" t="s">
        <v>85</v>
      </c>
      <c r="D19" s="22">
        <v>42853.333333333336</v>
      </c>
      <c r="E19" s="22">
        <v>42853.333333333336</v>
      </c>
      <c r="F19" s="23" t="s">
        <v>37</v>
      </c>
      <c r="G19" s="23" t="s">
        <v>78</v>
      </c>
      <c r="H19" s="23">
        <v>100</v>
      </c>
      <c r="I19" s="23">
        <v>500</v>
      </c>
      <c r="J19" s="23" t="s">
        <v>29</v>
      </c>
      <c r="K19" s="23" t="s">
        <v>29</v>
      </c>
      <c r="L19" s="23" t="s">
        <v>29</v>
      </c>
      <c r="M19" s="39">
        <f>0*D34+0*D33</f>
        <v>0</v>
      </c>
      <c r="N19" s="39">
        <f>(0*D34+0*D33)*H19/100</f>
        <v>0</v>
      </c>
      <c r="O19" s="39">
        <f>0*D34+0*D33 - (0*D34+0*D33)*H19/100</f>
        <v>0</v>
      </c>
      <c r="P19" s="39">
        <f t="shared" si="0"/>
        <v>0</v>
      </c>
    </row>
    <row r="20" spans="1:16" ht="15" customHeight="1" outlineLevel="2" x14ac:dyDescent="0.2">
      <c r="A20" s="19" t="s">
        <v>86</v>
      </c>
      <c r="B20" s="20" t="s">
        <v>87</v>
      </c>
      <c r="C20" s="24" t="s">
        <v>0</v>
      </c>
      <c r="D20" s="22">
        <v>42870.333333333336</v>
      </c>
      <c r="E20" s="22">
        <v>42888.708333333336</v>
      </c>
      <c r="F20" s="23" t="s">
        <v>80</v>
      </c>
      <c r="G20" s="23" t="s">
        <v>88</v>
      </c>
      <c r="H20" s="23">
        <v>100</v>
      </c>
      <c r="I20" s="23">
        <v>500</v>
      </c>
      <c r="J20" s="23" t="s">
        <v>82</v>
      </c>
      <c r="K20" s="23" t="s">
        <v>82</v>
      </c>
      <c r="L20" s="23" t="s">
        <v>29</v>
      </c>
      <c r="M20" s="39">
        <f>120*D34+0*D33</f>
        <v>5400</v>
      </c>
      <c r="N20" s="39">
        <f>(120*D34+0*D33)*H20/100</f>
        <v>5400</v>
      </c>
      <c r="O20" s="39">
        <f>120*D34+0*D33 - (120*D34+0*D33)*H20/100</f>
        <v>0</v>
      </c>
      <c r="P20" s="39">
        <f t="shared" si="0"/>
        <v>5400</v>
      </c>
    </row>
    <row r="21" spans="1:16" ht="15" customHeight="1" outlineLevel="2" x14ac:dyDescent="0.2">
      <c r="A21" s="19" t="s">
        <v>89</v>
      </c>
      <c r="B21" s="20" t="s">
        <v>90</v>
      </c>
      <c r="C21" s="24" t="s">
        <v>91</v>
      </c>
      <c r="D21" s="22">
        <v>42888.333333333336</v>
      </c>
      <c r="E21" s="22">
        <v>42888.333333333336</v>
      </c>
      <c r="F21" s="23" t="s">
        <v>37</v>
      </c>
      <c r="G21" s="23" t="s">
        <v>86</v>
      </c>
      <c r="H21" s="23">
        <v>100</v>
      </c>
      <c r="I21" s="23">
        <v>500</v>
      </c>
      <c r="J21" s="23" t="s">
        <v>29</v>
      </c>
      <c r="K21" s="23" t="s">
        <v>29</v>
      </c>
      <c r="L21" s="23" t="s">
        <v>29</v>
      </c>
      <c r="M21" s="39">
        <f>0*D34+0*D33</f>
        <v>0</v>
      </c>
      <c r="N21" s="39">
        <f>(0*D34+0*D33)*H21/100</f>
        <v>0</v>
      </c>
      <c r="O21" s="39">
        <f>0*D34+0*D33 - (0*D34+0*D33)*H21/100</f>
        <v>0</v>
      </c>
      <c r="P21" s="39">
        <f t="shared" si="0"/>
        <v>0</v>
      </c>
    </row>
    <row r="22" spans="1:16" ht="15" customHeight="1" x14ac:dyDescent="0.2">
      <c r="A22" s="19" t="s">
        <v>92</v>
      </c>
      <c r="B22" s="20" t="s">
        <v>93</v>
      </c>
      <c r="C22" s="21" t="s">
        <v>94</v>
      </c>
      <c r="D22" s="22">
        <v>42912.333333333336</v>
      </c>
      <c r="E22" s="22">
        <v>43027.75</v>
      </c>
      <c r="F22" s="23" t="s">
        <v>95</v>
      </c>
      <c r="G22" s="23" t="s">
        <v>1</v>
      </c>
      <c r="H22" s="23">
        <v>12</v>
      </c>
      <c r="I22" s="23">
        <v>500</v>
      </c>
      <c r="J22" s="23" t="s">
        <v>96</v>
      </c>
      <c r="K22" s="23" t="s">
        <v>42</v>
      </c>
      <c r="L22" s="23" t="s">
        <v>23</v>
      </c>
      <c r="M22" s="39">
        <f>SUM(M23,M24,M25,M26)</f>
        <v>27948</v>
      </c>
      <c r="N22" s="39">
        <f>SUM(N23,N24,N25,N26)</f>
        <v>2640</v>
      </c>
      <c r="O22" s="39">
        <f>SUM(O23,O24,O25,O26)</f>
        <v>25308</v>
      </c>
      <c r="P22" s="39">
        <f t="shared" si="0"/>
        <v>27948</v>
      </c>
    </row>
    <row r="23" spans="1:16" ht="15" customHeight="1" outlineLevel="1" x14ac:dyDescent="0.2">
      <c r="A23" s="19" t="s">
        <v>97</v>
      </c>
      <c r="B23" s="20" t="s">
        <v>98</v>
      </c>
      <c r="C23" s="24" t="s">
        <v>99</v>
      </c>
      <c r="D23" s="22">
        <v>42913.333333333336</v>
      </c>
      <c r="E23" s="22">
        <v>42940.708333333336</v>
      </c>
      <c r="F23" s="23" t="s">
        <v>48</v>
      </c>
      <c r="G23" s="23" t="s">
        <v>100</v>
      </c>
      <c r="H23" s="23">
        <v>50</v>
      </c>
      <c r="I23" s="23">
        <v>500</v>
      </c>
      <c r="J23" s="23" t="s">
        <v>50</v>
      </c>
      <c r="K23" s="23" t="s">
        <v>42</v>
      </c>
      <c r="L23" s="23" t="s">
        <v>42</v>
      </c>
      <c r="M23" s="39">
        <f>32*D34+128*D33</f>
        <v>5280</v>
      </c>
      <c r="N23" s="39">
        <f>(32*D34+128*D33)*H23/100</f>
        <v>2640</v>
      </c>
      <c r="O23" s="39">
        <f>32*D34+128*D33 - (32*D34+128*D33)*H23/100</f>
        <v>2640</v>
      </c>
      <c r="P23" s="39">
        <f t="shared" si="0"/>
        <v>5280</v>
      </c>
    </row>
    <row r="24" spans="1:16" ht="15" customHeight="1" outlineLevel="1" x14ac:dyDescent="0.2">
      <c r="A24" s="19" t="s">
        <v>101</v>
      </c>
      <c r="B24" s="20" t="s">
        <v>102</v>
      </c>
      <c r="C24" s="24" t="s">
        <v>103</v>
      </c>
      <c r="D24" s="22">
        <v>42937.75</v>
      </c>
      <c r="E24" s="22">
        <v>42944.75</v>
      </c>
      <c r="F24" s="23" t="s">
        <v>104</v>
      </c>
      <c r="G24" s="23" t="s">
        <v>97</v>
      </c>
      <c r="H24" s="23">
        <v>0</v>
      </c>
      <c r="I24" s="23">
        <v>500</v>
      </c>
      <c r="J24" s="23" t="s">
        <v>105</v>
      </c>
      <c r="K24" s="23" t="s">
        <v>29</v>
      </c>
      <c r="L24" s="23" t="s">
        <v>105</v>
      </c>
      <c r="M24" s="39">
        <f>20*D34+20*D33</f>
        <v>1500</v>
      </c>
      <c r="N24" s="39">
        <f>(20*D34+20*D33)*H24/100</f>
        <v>0</v>
      </c>
      <c r="O24" s="39">
        <f>20*D34+20*D33 - (20*D34+20*D33)*H24/100</f>
        <v>1500</v>
      </c>
      <c r="P24" s="39">
        <f t="shared" si="0"/>
        <v>1500</v>
      </c>
    </row>
    <row r="25" spans="1:16" ht="15" customHeight="1" outlineLevel="1" x14ac:dyDescent="0.2">
      <c r="A25" s="19" t="s">
        <v>106</v>
      </c>
      <c r="B25" s="20" t="s">
        <v>107</v>
      </c>
      <c r="C25" s="24" t="s">
        <v>108</v>
      </c>
      <c r="D25" s="22">
        <v>42944.75</v>
      </c>
      <c r="E25" s="22">
        <v>43027.75</v>
      </c>
      <c r="F25" s="23" t="s">
        <v>109</v>
      </c>
      <c r="G25" s="23" t="s">
        <v>101</v>
      </c>
      <c r="H25" s="23">
        <v>0</v>
      </c>
      <c r="I25" s="23">
        <v>500</v>
      </c>
      <c r="J25" s="23" t="s">
        <v>110</v>
      </c>
      <c r="K25" s="23" t="s">
        <v>29</v>
      </c>
      <c r="L25" s="23" t="s">
        <v>110</v>
      </c>
      <c r="M25" s="39">
        <f>67.2*D34+604.8*D33</f>
        <v>21168</v>
      </c>
      <c r="N25" s="39">
        <f>(67.2*D34+604.8*D33)*H25/100</f>
        <v>0</v>
      </c>
      <c r="O25" s="39">
        <f>67.2*D34+604.8*D33 - (67.2*D34+604.8*D33)*H25/100</f>
        <v>21168</v>
      </c>
      <c r="P25" s="39">
        <f t="shared" si="0"/>
        <v>21168</v>
      </c>
    </row>
    <row r="26" spans="1:16" ht="15" customHeight="1" outlineLevel="1" x14ac:dyDescent="0.2">
      <c r="A26" s="19" t="s">
        <v>111</v>
      </c>
      <c r="B26" s="20" t="s">
        <v>112</v>
      </c>
      <c r="C26" s="24" t="s">
        <v>113</v>
      </c>
      <c r="D26" s="22">
        <v>43027.75</v>
      </c>
      <c r="E26" s="22">
        <v>43027.75</v>
      </c>
      <c r="F26" s="23" t="s">
        <v>37</v>
      </c>
      <c r="G26" s="23" t="s">
        <v>106</v>
      </c>
      <c r="H26" s="23">
        <v>0</v>
      </c>
      <c r="I26" s="23">
        <v>500</v>
      </c>
      <c r="J26" s="23" t="s">
        <v>29</v>
      </c>
      <c r="K26" s="23" t="s">
        <v>29</v>
      </c>
      <c r="L26" s="23" t="s">
        <v>29</v>
      </c>
      <c r="M26" s="39">
        <f>0*D33</f>
        <v>0</v>
      </c>
      <c r="N26" s="39">
        <f>(0*D33)*H26/100</f>
        <v>0</v>
      </c>
      <c r="O26" s="39">
        <f>0*D33 - (0*D33)*H26/100</f>
        <v>0</v>
      </c>
      <c r="P26" s="39">
        <f t="shared" si="0"/>
        <v>0</v>
      </c>
    </row>
    <row r="27" spans="1:16" ht="15" customHeight="1" thickBot="1" x14ac:dyDescent="0.25">
      <c r="A27" s="25" t="s">
        <v>1</v>
      </c>
      <c r="B27" s="25" t="s">
        <v>1</v>
      </c>
      <c r="C27" s="25" t="s">
        <v>1</v>
      </c>
      <c r="D27" s="25" t="s">
        <v>1</v>
      </c>
      <c r="E27" s="25" t="s">
        <v>1</v>
      </c>
      <c r="F27" s="25" t="s">
        <v>1</v>
      </c>
      <c r="G27" s="25" t="s">
        <v>1</v>
      </c>
      <c r="H27" s="25" t="s">
        <v>1</v>
      </c>
      <c r="I27" s="25" t="s">
        <v>1</v>
      </c>
      <c r="J27" s="25" t="s">
        <v>1</v>
      </c>
      <c r="K27" s="25" t="s">
        <v>1</v>
      </c>
      <c r="L27" s="25" t="s">
        <v>1</v>
      </c>
      <c r="M27" s="25" t="s">
        <v>1</v>
      </c>
      <c r="N27" s="25" t="s">
        <v>1</v>
      </c>
      <c r="O27" s="25" t="s">
        <v>1</v>
      </c>
    </row>
    <row r="28" spans="1:16" ht="15" customHeight="1" thickTop="1" x14ac:dyDescent="0.2">
      <c r="A28" s="1" t="s">
        <v>1</v>
      </c>
      <c r="B28" s="26"/>
    </row>
    <row r="29" spans="1:16" ht="15" customHeight="1" x14ac:dyDescent="0.2">
      <c r="A29" s="27"/>
      <c r="C29" s="28" t="s">
        <v>115</v>
      </c>
      <c r="D29" s="29"/>
    </row>
    <row r="30" spans="1:16" ht="15" customHeight="1" x14ac:dyDescent="0.2">
      <c r="C30" s="30" t="s">
        <v>116</v>
      </c>
      <c r="D30" s="31"/>
    </row>
    <row r="31" spans="1:16" ht="15" customHeight="1" x14ac:dyDescent="0.2">
      <c r="C31" s="32"/>
      <c r="D31" s="31"/>
    </row>
    <row r="32" spans="1:16" ht="15" customHeight="1" x14ac:dyDescent="0.2">
      <c r="C32" s="30" t="s">
        <v>9</v>
      </c>
      <c r="D32" s="31"/>
    </row>
    <row r="33" spans="1:4" ht="15" customHeight="1" x14ac:dyDescent="0.2">
      <c r="C33" s="33" t="s">
        <v>114</v>
      </c>
      <c r="D33" s="34">
        <v>30</v>
      </c>
    </row>
    <row r="34" spans="1:4" ht="15" customHeight="1" x14ac:dyDescent="0.2">
      <c r="C34" s="35" t="s">
        <v>117</v>
      </c>
      <c r="D34" s="36">
        <v>45</v>
      </c>
    </row>
    <row r="36" spans="1:4" ht="15" customHeight="1" x14ac:dyDescent="0.2">
      <c r="A36" s="2"/>
      <c r="B36" s="2"/>
    </row>
  </sheetData>
  <pageMargins left="0.7" right="0.7" top="0.75" bottom="0.75" header="0.3" footer="0.3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44"/>
  <sheetViews>
    <sheetView tabSelected="1" topLeftCell="A13" zoomScale="90" zoomScaleNormal="90" workbookViewId="0">
      <selection activeCell="D37" sqref="D37"/>
    </sheetView>
  </sheetViews>
  <sheetFormatPr baseColWidth="10" defaultRowHeight="15" x14ac:dyDescent="0.25"/>
  <cols>
    <col min="2" max="2" width="16.42578125" customWidth="1"/>
    <col min="3" max="3" width="17.85546875" customWidth="1"/>
    <col min="4" max="4" width="15.42578125" customWidth="1"/>
    <col min="5" max="5" width="14.28515625" customWidth="1"/>
    <col min="6" max="6" width="11.5703125" customWidth="1"/>
    <col min="7" max="7" width="20.42578125" customWidth="1"/>
    <col min="8" max="8" width="21.7109375" bestFit="1" customWidth="1"/>
    <col min="9" max="9" width="14.85546875" bestFit="1" customWidth="1"/>
    <col min="10" max="10" width="20.42578125" bestFit="1" customWidth="1"/>
    <col min="11" max="11" width="20.85546875" bestFit="1" customWidth="1"/>
  </cols>
  <sheetData>
    <row r="2" spans="2:7" x14ac:dyDescent="0.25">
      <c r="B2" t="s">
        <v>125</v>
      </c>
      <c r="C2" t="s">
        <v>119</v>
      </c>
      <c r="D2" t="s">
        <v>120</v>
      </c>
      <c r="E2" t="s">
        <v>121</v>
      </c>
      <c r="F2" t="s">
        <v>123</v>
      </c>
      <c r="G2" t="s">
        <v>124</v>
      </c>
    </row>
    <row r="3" spans="2:7" x14ac:dyDescent="0.25">
      <c r="B3" t="s">
        <v>122</v>
      </c>
      <c r="C3" s="44">
        <v>48144</v>
      </c>
      <c r="D3">
        <v>6</v>
      </c>
      <c r="E3" s="47">
        <v>10398</v>
      </c>
      <c r="F3">
        <v>213</v>
      </c>
      <c r="G3" s="47">
        <v>69488</v>
      </c>
    </row>
    <row r="4" spans="2:7" x14ac:dyDescent="0.25">
      <c r="B4" t="s">
        <v>118</v>
      </c>
      <c r="C4" s="47">
        <v>81312</v>
      </c>
      <c r="D4">
        <v>12</v>
      </c>
      <c r="E4" s="47">
        <v>26630.32</v>
      </c>
      <c r="F4">
        <v>382</v>
      </c>
      <c r="G4" s="47">
        <v>92632</v>
      </c>
    </row>
    <row r="7" spans="2:7" ht="15.75" thickBot="1" x14ac:dyDescent="0.3">
      <c r="B7" s="40" t="s">
        <v>125</v>
      </c>
      <c r="C7" s="43" t="s">
        <v>122</v>
      </c>
      <c r="D7" s="50" t="s">
        <v>118</v>
      </c>
      <c r="E7" s="54" t="s">
        <v>126</v>
      </c>
      <c r="F7" s="56" t="s">
        <v>127</v>
      </c>
    </row>
    <row r="8" spans="2:7" ht="16.5" thickTop="1" thickBot="1" x14ac:dyDescent="0.3">
      <c r="B8" s="41" t="s">
        <v>119</v>
      </c>
      <c r="C8" s="45">
        <v>48144</v>
      </c>
      <c r="D8" s="52">
        <v>81312</v>
      </c>
      <c r="E8" s="55">
        <v>70000</v>
      </c>
      <c r="F8" s="57">
        <v>93000</v>
      </c>
    </row>
    <row r="9" spans="2:7" ht="16.5" thickTop="1" thickBot="1" x14ac:dyDescent="0.3">
      <c r="B9" s="41" t="s">
        <v>121</v>
      </c>
      <c r="C9" s="48">
        <v>10398</v>
      </c>
      <c r="D9" s="52">
        <v>26630.32</v>
      </c>
      <c r="E9" s="55">
        <v>70000</v>
      </c>
      <c r="F9" s="57">
        <v>93000</v>
      </c>
    </row>
    <row r="10" spans="2:7" ht="16.5" thickTop="1" thickBot="1" x14ac:dyDescent="0.3">
      <c r="B10" s="42" t="s">
        <v>124</v>
      </c>
      <c r="C10" s="49">
        <v>69488</v>
      </c>
      <c r="D10" s="53">
        <v>92632</v>
      </c>
      <c r="E10" s="55">
        <v>70000</v>
      </c>
      <c r="F10" s="57">
        <v>93000</v>
      </c>
    </row>
    <row r="11" spans="2:7" ht="15.75" thickTop="1" x14ac:dyDescent="0.25"/>
    <row r="20" spans="8:11" x14ac:dyDescent="0.25">
      <c r="H20" s="58"/>
      <c r="I20" s="58"/>
      <c r="J20" s="58"/>
      <c r="K20" s="58"/>
    </row>
    <row r="40" spans="2:6" ht="15.75" thickBot="1" x14ac:dyDescent="0.3">
      <c r="B40" s="40" t="s">
        <v>125</v>
      </c>
      <c r="C40" s="43" t="s">
        <v>122</v>
      </c>
      <c r="D40" s="50" t="s">
        <v>118</v>
      </c>
      <c r="E40" s="63"/>
      <c r="F40" s="63"/>
    </row>
    <row r="41" spans="2:6" ht="16.5" thickTop="1" thickBot="1" x14ac:dyDescent="0.3">
      <c r="B41" s="41" t="s">
        <v>0</v>
      </c>
      <c r="C41" s="59">
        <v>213</v>
      </c>
      <c r="D41" s="51">
        <v>382</v>
      </c>
      <c r="E41" s="64"/>
      <c r="F41" s="65"/>
    </row>
    <row r="42" spans="2:6" ht="16.5" thickTop="1" thickBot="1" x14ac:dyDescent="0.3">
      <c r="B42" s="41" t="s">
        <v>120</v>
      </c>
      <c r="C42" s="59">
        <v>6</v>
      </c>
      <c r="D42" s="51">
        <v>12</v>
      </c>
      <c r="E42" s="64"/>
      <c r="F42" s="65"/>
    </row>
    <row r="43" spans="2:6" ht="31.5" thickTop="1" thickBot="1" x14ac:dyDescent="0.3">
      <c r="B43" s="60" t="s">
        <v>128</v>
      </c>
      <c r="C43" s="62">
        <v>5</v>
      </c>
      <c r="D43" s="61">
        <v>3</v>
      </c>
      <c r="E43" s="64"/>
      <c r="F43" s="65"/>
    </row>
    <row r="44" spans="2:6" ht="15.75" thickTop="1" x14ac:dyDescent="0.25"/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cout projet réel</vt:lpstr>
      <vt:lpstr>graphique radar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annabelle costiou</dc:creator>
  <cp:lastModifiedBy>annabelle costiou</cp:lastModifiedBy>
  <dcterms:created xsi:type="dcterms:W3CDTF">2017-07-20T17:24:01Z</dcterms:created>
  <dcterms:modified xsi:type="dcterms:W3CDTF">2017-07-28T07:53:40Z</dcterms:modified>
</cp:coreProperties>
</file>