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25" yWindow="315" windowWidth="24720" windowHeight="11220"/>
  </bookViews>
  <sheets>
    <sheet name="NameDB" sheetId="6" r:id="rId1"/>
    <sheet name="SubCat" sheetId="23" r:id="rId2"/>
    <sheet name="NameCheck" sheetId="20" r:id="rId3"/>
    <sheet name="DailyDB" sheetId="7" r:id="rId4"/>
    <sheet name="PermitDB" sheetId="8" r:id="rId5"/>
    <sheet name="ProgressDB" sheetId="2" r:id="rId6"/>
    <sheet name="Logistic Process DB" sheetId="17" r:id="rId7"/>
    <sheet name="PTW Process DB" sheetId="18" r:id="rId8"/>
    <sheet name="Daily Activity DB" sheetId="19" r:id="rId9"/>
  </sheets>
  <definedNames>
    <definedName name="_xlnm._FilterDatabase" localSheetId="2" hidden="1">NameCheck!$A$1:$I$20</definedName>
    <definedName name="_xlnm._FilterDatabase" localSheetId="0" hidden="1">NameDB!$A:$AE</definedName>
    <definedName name="Activity" comment="Mob, Demob...">OFFSET(SubCat!$H$2,,,COUNTA(SubCat!$H:$H)-1)</definedName>
    <definedName name="Cat" comment="Non Prod &amp; Prod">OFFSET(SubCat!$B$2,,,COUNTA(SubCat!$B:$B)-1)</definedName>
    <definedName name="Cpy" comment="Ponticelli, SPIE...">OFFSET(SubCat!$D$2,,,COUNTA(SubCat!$D:$D)-1)</definedName>
    <definedName name="FullName1">OFFSET(NameDB!$A$2,,,COUNTA(NameDB!$A:$A)-1)</definedName>
    <definedName name="name">OFFSET(NameDB!$B$2,,,COUNTA(NameDB!$B:$B)-1)</definedName>
    <definedName name="Nom">OFFSET(NameCheck!$B$2,,,COUNTA(NameCheck!$B:$B)-1)</definedName>
    <definedName name="Origin" comment="Local, Expat, TCN">OFFSET(SubCat!$C$2,,,COUNTA(SubCat!$C:$C)-1)</definedName>
    <definedName name="Prenom">OFFSET(NameCheck!$C$2,,,COUNTA(NameCheck!$C:$C)-1)</definedName>
    <definedName name="PTW">OFFSET(NameDB!$L$2,,,COUNTA(NameDB!$L:$L)-1)</definedName>
    <definedName name="Scope" comment="Sow, Rework...">OFFSET(SubCat!$I$2,,,COUNTA(SubCat!$I:$I)-1)</definedName>
    <definedName name="Shift">OFFSET(SubCat!$A$2,,,COUNTA(SubCat!$A:$A)-1)</definedName>
    <definedName name="SubCat1" comment="Mngt, HSE, QC...">OFFSET(SubCat!$E$2,,,COUNTA(SubCat!$E:$E)-1)</definedName>
    <definedName name="SubCat2" comment="Discipline Prod.">OFFSET(SubCat!$F$2,,,COUNTA(SubCat!$F:$F)-1)</definedName>
    <definedName name="Trade1">OFFSET(SubCat!$J$2,,,COUNTA(SubCat!$J:$J)-1)</definedName>
    <definedName name="Trade10" comment="E&amp;I worker list">OFFSET(SubCat!$S$2,,,COUNTA(SubCat!$S:$S)-1)</definedName>
    <definedName name="Trade11" comment="ICSS worker list">OFFSET(SubCat!$T$2,,,COUNTA(SubCat!$T:$T)-1)</definedName>
    <definedName name="Trade12" comment="Scaffold worker list">OFFSET(SubCat!$U$2,,,COUNTA(SubCat!$U:$U)-1)</definedName>
    <definedName name="Trade13" comment="Coating worker list">OFFSET(SubCat!$V$2,,,COUNTA(SubCat!$V:$V)-1)</definedName>
    <definedName name="Trade14" comment="Mechanical worker list">OFFSET(SubCat!$W$2,,,COUNTA(SubCat!$W:$W)-1)</definedName>
    <definedName name="Trade15" comment="HVAC worker list">OFFSET(SubCat!$X$2,,,COUNTA(SubCat!$X:$X)-1)</definedName>
    <definedName name="Trade16" comment="Other Productive workers">OFFSET(SubCat!$Y$2,,,COUNTA(SubCat!$Y:$Y)-1)</definedName>
    <definedName name="Trade2" comment="HSE personnel list">OFFSET(SubCat!$K$2,,,COUNTA(SubCat!$K:$K)-1)</definedName>
    <definedName name="Trade3" comment="Preparation &amp; Follow-up personnel">OFFSET(SubCat!$L$2,,,COUNTA(SubCat!$L:$L)-1)</definedName>
    <definedName name="Trade4" comment="QC personnel list">OFFSET(SubCat!$M$2,,,COUNTA(SubCat!$M:$M)-1)</definedName>
    <definedName name="Trade5" comment="NDT personnel list">OFFSET(SubCat!$N$2,,,COUNTA(SubCat!$N:$N)-1)</definedName>
    <definedName name="Trade6" comment="PCC personnel list">OFFSET(SubCat!$O$2,,,COUNTA(SubCat!$O:$O)-1)</definedName>
    <definedName name="Trade7" comment="Other Non-Prod. personnel list">OFFSET(SubCat!$P$2,,,COUNTA(SubCat!$P:$P)-1)</definedName>
    <definedName name="Trade8" comment="PVV worker list">OFFSET(SubCat!$Q$2,,,COUNTA(SubCat!$Q:$Q)-1)</definedName>
    <definedName name="Trade9" comment="STR worker list">OFFSET(SubCat!$R$2,,,COUNTA(SubCat!$R:$R)-1)</definedName>
  </definedNames>
  <calcPr calcId="125725"/>
  <pivotCaches>
    <pivotCache cacheId="0" r:id="rId10"/>
    <pivotCache cacheId="1" r:id="rId11"/>
  </pivotCaches>
</workbook>
</file>

<file path=xl/calcChain.xml><?xml version="1.0" encoding="utf-8"?>
<calcChain xmlns="http://schemas.openxmlformats.org/spreadsheetml/2006/main">
  <c r="AE15" i="6"/>
  <c r="T15"/>
  <c r="O15"/>
  <c r="A15"/>
  <c r="AE14"/>
  <c r="T14"/>
  <c r="O14"/>
  <c r="A14"/>
  <c r="AE13"/>
  <c r="T13"/>
  <c r="O13"/>
  <c r="A13"/>
  <c r="AE12"/>
  <c r="T12"/>
  <c r="O12"/>
  <c r="A12"/>
  <c r="AE11"/>
  <c r="T11"/>
  <c r="O11"/>
  <c r="A11"/>
  <c r="AE10"/>
  <c r="T10"/>
  <c r="O10"/>
  <c r="A10"/>
  <c r="AE9"/>
  <c r="T9"/>
  <c r="O9"/>
  <c r="A9"/>
  <c r="AE8"/>
  <c r="T8"/>
  <c r="O8"/>
  <c r="A8"/>
  <c r="N2"/>
  <c r="O2" s="1"/>
  <c r="T2"/>
  <c r="AE2" s="1"/>
  <c r="T7"/>
  <c r="AE7" s="1"/>
  <c r="O7"/>
  <c r="A7"/>
  <c r="T6"/>
  <c r="AE6" s="1"/>
  <c r="O6"/>
  <c r="A6"/>
  <c r="T5"/>
  <c r="AE5" s="1"/>
  <c r="O5"/>
  <c r="A5"/>
  <c r="T4"/>
  <c r="AE4" s="1"/>
  <c r="O4"/>
  <c r="A4"/>
  <c r="T3"/>
  <c r="AE3" s="1"/>
  <c r="O3"/>
  <c r="A3"/>
  <c r="A2"/>
  <c r="A2" i="20" l="1" a="1"/>
  <c r="A2" s="1"/>
  <c r="AG1" i="18"/>
  <c r="AH1" s="1"/>
  <c r="AI1" s="1"/>
  <c r="AL1"/>
  <c r="AK3" i="19"/>
  <c r="AK17" s="1"/>
  <c r="AJ3"/>
  <c r="AJ5" s="1"/>
  <c r="AI3"/>
  <c r="AI14" s="1"/>
  <c r="AH3"/>
  <c r="AH6" s="1"/>
  <c r="AG3"/>
  <c r="AG15" s="1"/>
  <c r="AF3"/>
  <c r="AF15" s="1"/>
  <c r="K4"/>
  <c r="Q4"/>
  <c r="AB4" s="1"/>
  <c r="K5"/>
  <c r="Q5"/>
  <c r="AB5"/>
  <c r="K6"/>
  <c r="Q6"/>
  <c r="AB6" s="1"/>
  <c r="K7"/>
  <c r="Q7"/>
  <c r="AB7" s="1"/>
  <c r="K8"/>
  <c r="Q8"/>
  <c r="AB8" s="1"/>
  <c r="K9"/>
  <c r="Q9"/>
  <c r="AB9" s="1"/>
  <c r="K10"/>
  <c r="Q10"/>
  <c r="AB10" s="1"/>
  <c r="K11"/>
  <c r="Q11"/>
  <c r="AB11" s="1"/>
  <c r="K12"/>
  <c r="Q12"/>
  <c r="AB12" s="1"/>
  <c r="K13"/>
  <c r="Q13"/>
  <c r="AB13" s="1"/>
  <c r="K14"/>
  <c r="Q14"/>
  <c r="AB14" s="1"/>
  <c r="K15"/>
  <c r="Q15"/>
  <c r="AB15" s="1"/>
  <c r="K16"/>
  <c r="Q16"/>
  <c r="AB16" s="1"/>
  <c r="K17"/>
  <c r="Q17"/>
  <c r="AB17"/>
  <c r="K18"/>
  <c r="Q18"/>
  <c r="AB18" s="1"/>
  <c r="K19"/>
  <c r="Q19"/>
  <c r="AB19" s="1"/>
  <c r="K20"/>
  <c r="Q20"/>
  <c r="AB20" s="1"/>
  <c r="K21"/>
  <c r="Q21"/>
  <c r="AB21" s="1"/>
  <c r="K22"/>
  <c r="Q22"/>
  <c r="AB22" s="1"/>
  <c r="K23"/>
  <c r="Q23"/>
  <c r="AB23" s="1"/>
  <c r="K24"/>
  <c r="Q24"/>
  <c r="AB24" s="1"/>
  <c r="K25"/>
  <c r="Q25"/>
  <c r="AB25" s="1"/>
  <c r="K26"/>
  <c r="Q26"/>
  <c r="AB26" s="1"/>
  <c r="A3" i="20" l="1" a="1"/>
  <c r="A3" s="1"/>
  <c r="B2"/>
  <c r="C2"/>
  <c r="AH2" i="18"/>
  <c r="AL3"/>
  <c r="AM3" s="1"/>
  <c r="AN3" s="1"/>
  <c r="AO3" s="1"/>
  <c r="AP3" s="1"/>
  <c r="AQ3" s="1"/>
  <c r="AJ6" i="19"/>
  <c r="AJ4"/>
  <c r="AK4"/>
  <c r="AK7"/>
  <c r="AK19" s="1"/>
  <c r="AK11"/>
  <c r="AK15"/>
  <c r="AK6"/>
  <c r="AK10"/>
  <c r="AK14"/>
  <c r="AK5"/>
  <c r="AK8"/>
  <c r="AK12"/>
  <c r="AK16"/>
  <c r="AK9"/>
  <c r="AK13"/>
  <c r="AJ17"/>
  <c r="AI5"/>
  <c r="AI9"/>
  <c r="AI13"/>
  <c r="AI17"/>
  <c r="AI4"/>
  <c r="AI8"/>
  <c r="AI12"/>
  <c r="AI16"/>
  <c r="AI7"/>
  <c r="AI11"/>
  <c r="AI15"/>
  <c r="AI6"/>
  <c r="AI10"/>
  <c r="AH4"/>
  <c r="AH7"/>
  <c r="AH9"/>
  <c r="AH11"/>
  <c r="AH13"/>
  <c r="AH15"/>
  <c r="AH17"/>
  <c r="AH5"/>
  <c r="AH8"/>
  <c r="AH10"/>
  <c r="AH12"/>
  <c r="AH14"/>
  <c r="AH16"/>
  <c r="AG9"/>
  <c r="AG13"/>
  <c r="AG17"/>
  <c r="AG8"/>
  <c r="AG16"/>
  <c r="AG10"/>
  <c r="AG14"/>
  <c r="AG12"/>
  <c r="AG4"/>
  <c r="AG5"/>
  <c r="AG6"/>
  <c r="AG7"/>
  <c r="AG11"/>
  <c r="AJ7"/>
  <c r="AJ8"/>
  <c r="AJ9"/>
  <c r="AJ10"/>
  <c r="AJ11"/>
  <c r="AJ12"/>
  <c r="AJ13"/>
  <c r="AJ14"/>
  <c r="AJ15"/>
  <c r="AJ16"/>
  <c r="AF5"/>
  <c r="AF9"/>
  <c r="AF13"/>
  <c r="AF17"/>
  <c r="AF6"/>
  <c r="AF10"/>
  <c r="AF14"/>
  <c r="AF4"/>
  <c r="AF8"/>
  <c r="AF12"/>
  <c r="AF16"/>
  <c r="AF7"/>
  <c r="AF11"/>
  <c r="AR25" i="18"/>
  <c r="AR26"/>
  <c r="AR24"/>
  <c r="AL9"/>
  <c r="AM9"/>
  <c r="AN9"/>
  <c r="AO9"/>
  <c r="AP9"/>
  <c r="AQ9"/>
  <c r="AL15"/>
  <c r="AM15"/>
  <c r="AN15"/>
  <c r="AO15"/>
  <c r="AP15"/>
  <c r="AQ15"/>
  <c r="AL21"/>
  <c r="AM21"/>
  <c r="AN21"/>
  <c r="AO21"/>
  <c r="AP21"/>
  <c r="AQ21"/>
  <c r="AL27"/>
  <c r="AM27"/>
  <c r="AN27"/>
  <c r="AO27"/>
  <c r="AP27"/>
  <c r="AQ27"/>
  <c r="R20" i="17"/>
  <c r="R16"/>
  <c r="R12"/>
  <c r="R8"/>
  <c r="R27"/>
  <c r="R26"/>
  <c r="R25"/>
  <c r="R24"/>
  <c r="R23"/>
  <c r="R22"/>
  <c r="R21"/>
  <c r="R19"/>
  <c r="R18"/>
  <c r="R17"/>
  <c r="R15"/>
  <c r="R14"/>
  <c r="R13"/>
  <c r="R11"/>
  <c r="R10"/>
  <c r="R9"/>
  <c r="R7"/>
  <c r="R6"/>
  <c r="R5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R4"/>
  <c r="P4"/>
  <c r="A4" i="20" l="1" a="1"/>
  <c r="A4" s="1"/>
  <c r="A5" s="1" a="1"/>
  <c r="A5" s="1"/>
  <c r="B3"/>
  <c r="C3"/>
  <c r="AG19" i="19"/>
  <c r="AH19"/>
  <c r="AJ19"/>
  <c r="AE17"/>
  <c r="AE9"/>
  <c r="AD9" s="1"/>
  <c r="AI19"/>
  <c r="AE6"/>
  <c r="AD6" s="1"/>
  <c r="AE5"/>
  <c r="AD5" s="1"/>
  <c r="AE10"/>
  <c r="AD10" s="1"/>
  <c r="AE13"/>
  <c r="AD13" s="1"/>
  <c r="AE15"/>
  <c r="AD15" s="1"/>
  <c r="AE4"/>
  <c r="AD4" s="1"/>
  <c r="AE12"/>
  <c r="AD12" s="1"/>
  <c r="AE16"/>
  <c r="AD16" s="1"/>
  <c r="AE14"/>
  <c r="AD14" s="1"/>
  <c r="AE8"/>
  <c r="AD8" s="1"/>
  <c r="AE7"/>
  <c r="AD7" s="1"/>
  <c r="AE11"/>
  <c r="AD11" s="1"/>
  <c r="AF19"/>
  <c r="A6" i="20" l="1" a="1"/>
  <c r="A6" s="1"/>
  <c r="B4"/>
  <c r="C4"/>
  <c r="Q8" i="8"/>
  <c r="P8"/>
  <c r="N8"/>
  <c r="Q7"/>
  <c r="P7"/>
  <c r="N7"/>
  <c r="Q6"/>
  <c r="P6"/>
  <c r="N6"/>
  <c r="Q5"/>
  <c r="P5"/>
  <c r="N5"/>
  <c r="Q4"/>
  <c r="P4"/>
  <c r="N4"/>
  <c r="Q3"/>
  <c r="S3" s="1"/>
  <c r="P3"/>
  <c r="N3"/>
  <c r="W8" i="7"/>
  <c r="G8"/>
  <c r="W7"/>
  <c r="G7"/>
  <c r="W6"/>
  <c r="G6"/>
  <c r="W5"/>
  <c r="G5"/>
  <c r="W4"/>
  <c r="G4"/>
  <c r="W3"/>
  <c r="G3"/>
  <c r="A7" i="20" l="1" a="1"/>
  <c r="A7" s="1"/>
  <c r="B5"/>
  <c r="C5"/>
  <c r="S8" i="2"/>
  <c r="S7"/>
  <c r="S6"/>
  <c r="S5"/>
  <c r="S4"/>
  <c r="S3"/>
  <c r="U4"/>
  <c r="V8"/>
  <c r="V7"/>
  <c r="U5"/>
  <c r="U6"/>
  <c r="V6" s="1"/>
  <c r="A8" i="20" l="1" a="1"/>
  <c r="A8" s="1"/>
  <c r="B6"/>
  <c r="C6"/>
  <c r="V5" i="2"/>
  <c r="V4"/>
  <c r="V3"/>
  <c r="A9" i="20" l="1" a="1"/>
  <c r="A9" s="1"/>
  <c r="A10" s="1" a="1"/>
  <c r="A10" s="1"/>
  <c r="B7"/>
  <c r="C7"/>
  <c r="A11" l="1" a="1"/>
  <c r="A11" s="1"/>
  <c r="A12" s="1" a="1"/>
  <c r="A12" s="1"/>
  <c r="A13" s="1" a="1"/>
  <c r="A13" s="1"/>
  <c r="A14" s="1" a="1"/>
  <c r="A14" s="1"/>
  <c r="A15" s="1" a="1"/>
  <c r="A15" s="1"/>
  <c r="B8"/>
  <c r="C8"/>
  <c r="A16" l="1" a="1"/>
  <c r="A16" s="1"/>
  <c r="A17" s="1" a="1"/>
  <c r="A17" s="1"/>
  <c r="A18" s="1" a="1"/>
  <c r="A18" s="1"/>
  <c r="A19" s="1" a="1"/>
  <c r="A19" s="1"/>
  <c r="A20" s="1" a="1"/>
  <c r="A20" s="1"/>
  <c r="B9"/>
  <c r="C9"/>
  <c r="B10" l="1"/>
  <c r="C10"/>
  <c r="B11" l="1"/>
  <c r="C11"/>
  <c r="B12" l="1"/>
  <c r="C12"/>
  <c r="B13" l="1"/>
  <c r="C13"/>
  <c r="B14" l="1"/>
  <c r="C14"/>
  <c r="B15" l="1"/>
  <c r="C15"/>
  <c r="B16" l="1"/>
  <c r="C16"/>
  <c r="B17" l="1"/>
  <c r="C17"/>
  <c r="B18" l="1"/>
  <c r="C18"/>
  <c r="B19" l="1"/>
  <c r="C19"/>
  <c r="B20" l="1"/>
  <c r="C20"/>
</calcChain>
</file>

<file path=xl/sharedStrings.xml><?xml version="1.0" encoding="utf-8"?>
<sst xmlns="http://schemas.openxmlformats.org/spreadsheetml/2006/main" count="1579" uniqueCount="658">
  <si>
    <t>PTW</t>
  </si>
  <si>
    <t>Disc</t>
  </si>
  <si>
    <t>Date</t>
  </si>
  <si>
    <t>Week</t>
  </si>
  <si>
    <t>Activity</t>
  </si>
  <si>
    <t>Rework</t>
  </si>
  <si>
    <t>Carry Over</t>
  </si>
  <si>
    <t>PVV</t>
  </si>
  <si>
    <t>STR</t>
  </si>
  <si>
    <t>ELE</t>
  </si>
  <si>
    <t>INS</t>
  </si>
  <si>
    <t>ICSS</t>
  </si>
  <si>
    <t>PFP</t>
  </si>
  <si>
    <t>Service</t>
  </si>
  <si>
    <t>Rigging</t>
  </si>
  <si>
    <t>Fit-up</t>
  </si>
  <si>
    <t>Bolting</t>
  </si>
  <si>
    <t>Welding</t>
  </si>
  <si>
    <t>NDT</t>
  </si>
  <si>
    <t>Hydrotest</t>
  </si>
  <si>
    <t>Flushing</t>
  </si>
  <si>
    <t>Support</t>
  </si>
  <si>
    <t>Pre-Com</t>
  </si>
  <si>
    <t>Painting</t>
  </si>
  <si>
    <t>Gas Lift</t>
  </si>
  <si>
    <t>Umbilical</t>
  </si>
  <si>
    <t>EHT</t>
  </si>
  <si>
    <t>Water Inj.</t>
  </si>
  <si>
    <t>Phase</t>
  </si>
  <si>
    <t>3a</t>
  </si>
  <si>
    <t>3b</t>
  </si>
  <si>
    <t>4a</t>
  </si>
  <si>
    <t>4b</t>
  </si>
  <si>
    <t>Start-up</t>
  </si>
  <si>
    <t>Insulation</t>
  </si>
  <si>
    <t>State</t>
  </si>
  <si>
    <t>Dismantling</t>
  </si>
  <si>
    <t>Decommissioning</t>
  </si>
  <si>
    <t>Reinstatement</t>
  </si>
  <si>
    <t>Scaffolding</t>
  </si>
  <si>
    <t>Pulling</t>
  </si>
  <si>
    <t>Connection</t>
  </si>
  <si>
    <t>Test</t>
  </si>
  <si>
    <t>001</t>
  </si>
  <si>
    <t>002</t>
  </si>
  <si>
    <t>003</t>
  </si>
  <si>
    <t>004</t>
  </si>
  <si>
    <t>005</t>
  </si>
  <si>
    <t>006</t>
  </si>
  <si>
    <t>Piping Foreman</t>
  </si>
  <si>
    <t>Fiber Glass Piping</t>
  </si>
  <si>
    <t>Pipe Fitter</t>
  </si>
  <si>
    <t>Rigging / Lifting Foreman</t>
  </si>
  <si>
    <t>Helper</t>
  </si>
  <si>
    <t>Structure Foreman</t>
  </si>
  <si>
    <t>Structure Fitter</t>
  </si>
  <si>
    <t>Mechanic Foreman</t>
  </si>
  <si>
    <t>Mechanic</t>
  </si>
  <si>
    <t>Mechanic Helper</t>
  </si>
  <si>
    <t>PWHT Operator</t>
  </si>
  <si>
    <t>Foreman E&amp;I</t>
  </si>
  <si>
    <t>E&amp;I Helper</t>
  </si>
  <si>
    <t>Scaffolder</t>
  </si>
  <si>
    <t>Foreman Painter</t>
  </si>
  <si>
    <t>Painter</t>
  </si>
  <si>
    <t>Load Testing Technician</t>
  </si>
  <si>
    <t>Torquing</t>
  </si>
  <si>
    <t>Leak Testing</t>
  </si>
  <si>
    <t>Fork-lift Operator</t>
  </si>
  <si>
    <t>CS Piping Welder</t>
  </si>
  <si>
    <t xml:space="preserve">SS Piping Welder </t>
  </si>
  <si>
    <t>Eqp. Install</t>
  </si>
  <si>
    <t>007</t>
  </si>
  <si>
    <t>009</t>
  </si>
  <si>
    <t>010</t>
  </si>
  <si>
    <t>011</t>
  </si>
  <si>
    <t>012</t>
  </si>
  <si>
    <t>013</t>
  </si>
  <si>
    <t>014</t>
  </si>
  <si>
    <t>Change by CPY</t>
  </si>
  <si>
    <t>Extra Work</t>
  </si>
  <si>
    <t>Tubing</t>
  </si>
  <si>
    <t>Category</t>
  </si>
  <si>
    <t>TEL</t>
  </si>
  <si>
    <t>Fit-up/Install</t>
  </si>
  <si>
    <t>Download</t>
  </si>
  <si>
    <t>PFP Foreman</t>
  </si>
  <si>
    <t>Cable Pulling</t>
  </si>
  <si>
    <t>Base Scope</t>
  </si>
  <si>
    <t>System</t>
  </si>
  <si>
    <t>Sub-System</t>
  </si>
  <si>
    <t>PID</t>
  </si>
  <si>
    <t>ND</t>
  </si>
  <si>
    <t>Fluid</t>
  </si>
  <si>
    <t>Seq.</t>
  </si>
  <si>
    <t>Class</t>
  </si>
  <si>
    <t>Syst.</t>
  </si>
  <si>
    <t>Tag</t>
  </si>
  <si>
    <t>Worker Trade</t>
  </si>
  <si>
    <t>Worker Name</t>
  </si>
  <si>
    <t>Prod. Direct</t>
  </si>
  <si>
    <t>Discipline</t>
  </si>
  <si>
    <t>PIP</t>
  </si>
  <si>
    <t>SCF</t>
  </si>
  <si>
    <t>Electrician Tech.</t>
  </si>
  <si>
    <t>Instrum. Tech.</t>
  </si>
  <si>
    <t>E&amp;I Assistant/Labor</t>
  </si>
  <si>
    <t>Rope Access/RAT</t>
  </si>
  <si>
    <t>NDT Assistant</t>
  </si>
  <si>
    <t>HU Manager</t>
  </si>
  <si>
    <t>E&amp;I Manager</t>
  </si>
  <si>
    <t>HSE Spdt</t>
  </si>
  <si>
    <t>HSE Officer</t>
  </si>
  <si>
    <t>Fire Watch</t>
  </si>
  <si>
    <t>MNGT</t>
  </si>
  <si>
    <t>HSE</t>
  </si>
  <si>
    <t>QC</t>
  </si>
  <si>
    <t>Prep.</t>
  </si>
  <si>
    <t>Clé</t>
  </si>
  <si>
    <t>NPT12 Event</t>
  </si>
  <si>
    <t>Quantity Surveyor</t>
  </si>
  <si>
    <t>Doc Control</t>
  </si>
  <si>
    <t>Work Permit Officer</t>
  </si>
  <si>
    <t>Work Preparation</t>
  </si>
  <si>
    <t>Job Cards Officer</t>
  </si>
  <si>
    <t>Follow-up Leader</t>
  </si>
  <si>
    <t>Mec Preparator</t>
  </si>
  <si>
    <t>Admin. Officer</t>
  </si>
  <si>
    <t>Material Controler</t>
  </si>
  <si>
    <t>E&amp;I Material Controler</t>
  </si>
  <si>
    <t>Mec Storekeeper</t>
  </si>
  <si>
    <t>E&amp;I Storekeeper</t>
  </si>
  <si>
    <t>Field Engineer</t>
  </si>
  <si>
    <t>Lifting/Rigging Supervisor</t>
  </si>
  <si>
    <t>QC Superintendant</t>
  </si>
  <si>
    <t>PFP Applicator</t>
  </si>
  <si>
    <t>PFP Helper</t>
  </si>
  <si>
    <t>Insulator</t>
  </si>
  <si>
    <t>QC Inspector</t>
  </si>
  <si>
    <t>QC E&amp;I Inspector</t>
  </si>
  <si>
    <t>QC Painting/PFP</t>
  </si>
  <si>
    <t>NDT Inspector</t>
  </si>
  <si>
    <t>Pre-Comm Manager</t>
  </si>
  <si>
    <t>Origin</t>
  </si>
  <si>
    <t>Local</t>
  </si>
  <si>
    <t>Expat.</t>
  </si>
  <si>
    <t>Auto</t>
  </si>
  <si>
    <t>input</t>
  </si>
  <si>
    <t>combolist sur colonne</t>
  </si>
  <si>
    <t>Cat</t>
  </si>
  <si>
    <t>Combobox based on Discipline on "Codes List"</t>
  </si>
  <si>
    <t>L001</t>
  </si>
  <si>
    <t>Non Prod</t>
  </si>
  <si>
    <t>Christophe MOREL</t>
  </si>
  <si>
    <t>none</t>
  </si>
  <si>
    <t>Crew Change In</t>
  </si>
  <si>
    <t>Crew Change Out</t>
  </si>
  <si>
    <t>L0X1</t>
  </si>
  <si>
    <t>L0X2</t>
  </si>
  <si>
    <t>L0X3</t>
  </si>
  <si>
    <t>L0X4</t>
  </si>
  <si>
    <t>L0X5</t>
  </si>
  <si>
    <t>AAA</t>
  </si>
  <si>
    <t>BBB</t>
  </si>
  <si>
    <t>CCC</t>
  </si>
  <si>
    <t>DDD</t>
  </si>
  <si>
    <t>EEE</t>
  </si>
  <si>
    <t>Input</t>
  </si>
  <si>
    <t>STR-001</t>
  </si>
  <si>
    <t>STR-003</t>
  </si>
  <si>
    <t>STR-004</t>
  </si>
  <si>
    <t>STR-005</t>
  </si>
  <si>
    <t>PIP-004</t>
  </si>
  <si>
    <t>???</t>
  </si>
  <si>
    <t>Formule</t>
  </si>
  <si>
    <t>RechercheV</t>
  </si>
  <si>
    <t>P0X1</t>
  </si>
  <si>
    <t>P0X4</t>
  </si>
  <si>
    <t>P0X5</t>
  </si>
  <si>
    <t>P0X6</t>
  </si>
  <si>
    <t>Number</t>
  </si>
  <si>
    <t>PIP-001</t>
  </si>
  <si>
    <t>PIP-002</t>
  </si>
  <si>
    <t>Type</t>
  </si>
  <si>
    <t>A</t>
  </si>
  <si>
    <t>B</t>
  </si>
  <si>
    <t>C</t>
  </si>
  <si>
    <t>Combolist</t>
  </si>
  <si>
    <t>Rout.</t>
  </si>
  <si>
    <t>xxx</t>
  </si>
  <si>
    <t>yyy</t>
  </si>
  <si>
    <t>zzz</t>
  </si>
  <si>
    <t>xx</t>
  </si>
  <si>
    <t>Habitat</t>
  </si>
  <si>
    <t>Man Power</t>
  </si>
  <si>
    <t>Rigger</t>
  </si>
  <si>
    <t>Foreman</t>
  </si>
  <si>
    <t>Fitter</t>
  </si>
  <si>
    <t>Welder</t>
  </si>
  <si>
    <t>Assistant/Labor</t>
  </si>
  <si>
    <t>Assistant / Labor</t>
  </si>
  <si>
    <t>Submission Date</t>
  </si>
  <si>
    <t>Validation Date</t>
  </si>
  <si>
    <t>Rejection Date</t>
  </si>
  <si>
    <t>Submission Week</t>
  </si>
  <si>
    <t>Validation Week</t>
  </si>
  <si>
    <t>PTW #</t>
  </si>
  <si>
    <t>PERMIT TO WORK PROCESS MONITORING - CODE LIST</t>
  </si>
  <si>
    <t>PERMIT TO WORK PROCESS MONITORING (Daily Input by Permit) - Data Base</t>
  </si>
  <si>
    <t>DAILY PERSONNEL MONITORING (Based on Productive Personnel List) - Data Base</t>
  </si>
  <si>
    <t>Total Hours per day</t>
  </si>
  <si>
    <t>D Date</t>
  </si>
  <si>
    <t>SPIE</t>
  </si>
  <si>
    <t>NPT1
Tool Box</t>
  </si>
  <si>
    <t>NPT2
WP Open</t>
  </si>
  <si>
    <t>NPT3
Tea Breaks</t>
  </si>
  <si>
    <t>NPT4
Lunch Break</t>
  </si>
  <si>
    <t>NPT5
Transfer</t>
  </si>
  <si>
    <t>NPT6
Gangway</t>
  </si>
  <si>
    <t>NPT7
Drills</t>
  </si>
  <si>
    <t>NPT8
Weather</t>
  </si>
  <si>
    <t>NPT9
CPY Stand-by</t>
  </si>
  <si>
    <t>NPT12
Slack Period</t>
  </si>
  <si>
    <t>NPT10
Induction</t>
  </si>
  <si>
    <t>NPT10
Sunday Safety
(5.75 h)</t>
  </si>
  <si>
    <t>Planned Duration
(h)</t>
  </si>
  <si>
    <t>Warning Validation</t>
  </si>
  <si>
    <t>Item Type</t>
  </si>
  <si>
    <t>Weight
(kg)</t>
  </si>
  <si>
    <t>Spool</t>
  </si>
  <si>
    <t>rigging</t>
  </si>
  <si>
    <t>fit-up</t>
  </si>
  <si>
    <t>weld/bolt</t>
  </si>
  <si>
    <t>NDT/joint</t>
  </si>
  <si>
    <t>valve</t>
  </si>
  <si>
    <t>PHYSICAL PROGRESS MONITORING (Daily Input) - Data Base</t>
  </si>
  <si>
    <t>Disc. Progress
(on item)</t>
  </si>
  <si>
    <t>Step</t>
  </si>
  <si>
    <t>Erection Progress
(on step)</t>
  </si>
  <si>
    <t>PHYSICAL PROGRESS - CODE LIST</t>
  </si>
  <si>
    <t>Sector</t>
  </si>
  <si>
    <t>TO</t>
  </si>
  <si>
    <t>HU</t>
  </si>
  <si>
    <t>BI</t>
  </si>
  <si>
    <t>CD</t>
  </si>
  <si>
    <t>CI</t>
  </si>
  <si>
    <t>DE</t>
  </si>
  <si>
    <t>FC</t>
  </si>
  <si>
    <t>FH</t>
  </si>
  <si>
    <t>HC</t>
  </si>
  <si>
    <t>HG</t>
  </si>
  <si>
    <t>HI</t>
  </si>
  <si>
    <t>HL</t>
  </si>
  <si>
    <t>ME</t>
  </si>
  <si>
    <t>OD</t>
  </si>
  <si>
    <t>SI</t>
  </si>
  <si>
    <t>SW</t>
  </si>
  <si>
    <t>XX</t>
  </si>
  <si>
    <t>000</t>
  </si>
  <si>
    <t>B01</t>
  </si>
  <si>
    <t>B03</t>
  </si>
  <si>
    <t>B23</t>
  </si>
  <si>
    <t>B49</t>
  </si>
  <si>
    <t>B91</t>
  </si>
  <si>
    <t>D50</t>
  </si>
  <si>
    <t>F50</t>
  </si>
  <si>
    <t>H03Z</t>
  </si>
  <si>
    <t>H21P</t>
  </si>
  <si>
    <t>H21Z</t>
  </si>
  <si>
    <t>J03P</t>
  </si>
  <si>
    <t>J03Z</t>
  </si>
  <si>
    <t>J49Z</t>
  </si>
  <si>
    <t>J50Z</t>
  </si>
  <si>
    <t>Instrum.</t>
  </si>
  <si>
    <t>Cable</t>
  </si>
  <si>
    <t>Equipment</t>
  </si>
  <si>
    <t>Cabinet</t>
  </si>
  <si>
    <t>Weld/Bolt</t>
  </si>
  <si>
    <t>NDT/Joint</t>
  </si>
  <si>
    <t>Hydro Test</t>
  </si>
  <si>
    <t>Air Leak Test</t>
  </si>
  <si>
    <t>Int. Chem. Cleaning</t>
  </si>
  <si>
    <t>Step Spool</t>
  </si>
  <si>
    <t>Scale Spool</t>
  </si>
  <si>
    <t>Rigging Handling</t>
  </si>
  <si>
    <t>Fit-up / Pos.</t>
  </si>
  <si>
    <t>Pre-Com Check</t>
  </si>
  <si>
    <t>Punch List Cleared</t>
  </si>
  <si>
    <t>RFC Signed</t>
  </si>
  <si>
    <t>Step Valve</t>
  </si>
  <si>
    <t>Ass. Complt.</t>
  </si>
  <si>
    <t>PVV Scale</t>
  </si>
  <si>
    <t>STR item</t>
  </si>
  <si>
    <t>STR Scale</t>
  </si>
  <si>
    <t>All</t>
  </si>
  <si>
    <t>PVV item</t>
  </si>
  <si>
    <t>ELE item</t>
  </si>
  <si>
    <t>Trays &amp; Supports</t>
  </si>
  <si>
    <t>ELE Scale</t>
  </si>
  <si>
    <t>Scale Trays</t>
  </si>
  <si>
    <t>Step Trays</t>
  </si>
  <si>
    <t>Support Comp.</t>
  </si>
  <si>
    <t>Trays Inst.</t>
  </si>
  <si>
    <t>Earthing</t>
  </si>
  <si>
    <t>Covers Inst.</t>
  </si>
  <si>
    <t>Step Pre-Com</t>
  </si>
  <si>
    <t>Scale Pre-Com</t>
  </si>
  <si>
    <t>Scale Valve</t>
  </si>
  <si>
    <t>Step Struct.</t>
  </si>
  <si>
    <t>Scale Struct.</t>
  </si>
  <si>
    <t>Step Cable</t>
  </si>
  <si>
    <t>Scale Cable</t>
  </si>
  <si>
    <t>Pulled</t>
  </si>
  <si>
    <t>JB Inst.</t>
  </si>
  <si>
    <t>Connected</t>
  </si>
  <si>
    <t>Tightened</t>
  </si>
  <si>
    <t>Step Eqp.</t>
  </si>
  <si>
    <t>Scale Eqp.</t>
  </si>
  <si>
    <t>Rigging
Install</t>
  </si>
  <si>
    <t>Ass. Completed</t>
  </si>
  <si>
    <t>INS Scale</t>
  </si>
  <si>
    <t>Step Instrum.</t>
  </si>
  <si>
    <t>Scale Instrum.</t>
  </si>
  <si>
    <t>INS item</t>
  </si>
  <si>
    <t>Instruments</t>
  </si>
  <si>
    <t>Auto. Valve</t>
  </si>
  <si>
    <t>Install.</t>
  </si>
  <si>
    <t>Process Connect.</t>
  </si>
  <si>
    <t>Calibration</t>
  </si>
  <si>
    <t>Step Cabinet</t>
  </si>
  <si>
    <t>Scale Cabinet</t>
  </si>
  <si>
    <t>Support Compl.</t>
  </si>
  <si>
    <t>Install</t>
  </si>
  <si>
    <t>Control Panel</t>
  </si>
  <si>
    <t>Air Manifold</t>
  </si>
  <si>
    <t>Leak Test</t>
  </si>
  <si>
    <t>TAG ITEM - CODE LIST</t>
  </si>
  <si>
    <t>Manual Valve</t>
  </si>
  <si>
    <t>W0X1</t>
  </si>
  <si>
    <t>W0X2</t>
  </si>
  <si>
    <t>W0X3</t>
  </si>
  <si>
    <t>W0X4</t>
  </si>
  <si>
    <t>W0X5</t>
  </si>
  <si>
    <t>W0X6</t>
  </si>
  <si>
    <t>Valid up to
(+48h)</t>
  </si>
  <si>
    <t>PVV Activity</t>
  </si>
  <si>
    <t>STR Activity</t>
  </si>
  <si>
    <t>E&amp;I Activity</t>
  </si>
  <si>
    <t>ICSS Activity</t>
  </si>
  <si>
    <t>Valve/PSV</t>
  </si>
  <si>
    <t>COM Assist.</t>
  </si>
  <si>
    <t>SURF Assist.</t>
  </si>
  <si>
    <t>CPY Request</t>
  </si>
  <si>
    <t>FPSO Request</t>
  </si>
  <si>
    <t>Description</t>
  </si>
  <si>
    <t>PERSONNEL</t>
  </si>
  <si>
    <t>Occupation</t>
  </si>
  <si>
    <t>Company</t>
  </si>
  <si>
    <t>Name</t>
  </si>
  <si>
    <t>Mob date</t>
  </si>
  <si>
    <t>Demob date</t>
  </si>
  <si>
    <t>Sub-Category</t>
  </si>
  <si>
    <t>Prod Direct</t>
  </si>
  <si>
    <t>Prod Indirect</t>
  </si>
  <si>
    <t>Management</t>
  </si>
  <si>
    <t>Preparation</t>
  </si>
  <si>
    <t>QC &amp; NDT</t>
  </si>
  <si>
    <t>Ponticelli</t>
  </si>
  <si>
    <t>Prezioso</t>
  </si>
  <si>
    <t>…..</t>
  </si>
  <si>
    <t>Expat</t>
  </si>
  <si>
    <t>(Prod Direct, Prod Indirect….)</t>
  </si>
  <si>
    <t>(worker discipline list)</t>
  </si>
  <si>
    <t>Supervision</t>
  </si>
  <si>
    <t>Logistic</t>
  </si>
  <si>
    <t>(worker function list)</t>
  </si>
  <si>
    <t>cpy</t>
  </si>
  <si>
    <t>(Ponticelli, SPIE, Prezioso…)</t>
  </si>
  <si>
    <t>(Local, TCN, Expat)</t>
  </si>
  <si>
    <t>saisie</t>
  </si>
  <si>
    <t>Mob Date</t>
  </si>
  <si>
    <t>Mob Week</t>
  </si>
  <si>
    <t>Demob Date</t>
  </si>
  <si>
    <t>Demob Week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</si>
  <si>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</si>
  <si>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</si>
  <si>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</si>
  <si>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</si>
  <si>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</si>
  <si>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</si>
  <si>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</si>
  <si>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</si>
  <si>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</si>
  <si>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</si>
  <si>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</si>
  <si>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HU Leader</t>
  </si>
  <si>
    <t>E&amp;I HU Leader</t>
  </si>
  <si>
    <t>QQQ</t>
  </si>
  <si>
    <t>RRR</t>
  </si>
  <si>
    <t>SSS</t>
  </si>
  <si>
    <t>TTT</t>
  </si>
  <si>
    <t>UUU</t>
  </si>
  <si>
    <t>VVV</t>
  </si>
  <si>
    <t>WWW</t>
  </si>
  <si>
    <t>XXX</t>
  </si>
  <si>
    <t>Fire watch</t>
  </si>
  <si>
    <t>WP Coordinator</t>
  </si>
  <si>
    <t>Materiel Logistic</t>
  </si>
  <si>
    <t>E&amp;I Materiel Logistic</t>
  </si>
  <si>
    <t>Welding Chief</t>
  </si>
  <si>
    <t>Pre-Com Leader</t>
  </si>
  <si>
    <t>Supervisor E&amp;I</t>
  </si>
  <si>
    <t>Spdt Mechanical</t>
  </si>
  <si>
    <t>Piping Supervisor</t>
  </si>
  <si>
    <t>Cs Welder</t>
  </si>
  <si>
    <t>SS Welder</t>
  </si>
  <si>
    <t>Instrum Techn.</t>
  </si>
  <si>
    <t>E&amp;I</t>
  </si>
  <si>
    <t>EXAMPLE PERSONNEL LOGISTIC DATA BASE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</si>
  <si>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</si>
  <si>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</si>
  <si>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</si>
  <si>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</si>
  <si>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</si>
  <si>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</si>
  <si>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</si>
  <si>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</si>
  <si>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</si>
  <si>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</si>
  <si>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</si>
  <si>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</si>
  <si>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</si>
  <si>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</si>
  <si>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</si>
  <si>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</si>
  <si>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</si>
  <si>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</si>
  <si>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</si>
  <si>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</si>
  <si>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</si>
  <si>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</si>
  <si>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</si>
  <si>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</si>
  <si>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(Tous)</t>
  </si>
  <si>
    <t>Total POB</t>
  </si>
  <si>
    <t>POB per Day</t>
  </si>
  <si>
    <t>Days</t>
  </si>
  <si>
    <t>POB by Category</t>
  </si>
  <si>
    <t>Categories</t>
  </si>
  <si>
    <t>PTW Validation Process</t>
  </si>
  <si>
    <t>Weight</t>
  </si>
  <si>
    <t>Planned Duration</t>
  </si>
  <si>
    <t>Review Date</t>
  </si>
  <si>
    <t>Submit Date</t>
  </si>
  <si>
    <t>Return Date</t>
  </si>
  <si>
    <t>Return Status</t>
  </si>
  <si>
    <t>PTW type</t>
  </si>
  <si>
    <t>(type A, type B, Cold)</t>
  </si>
  <si>
    <t>Offshore Phase</t>
  </si>
  <si>
    <t>(1, 2, 3a, 3b, 4a, 4b, 5)</t>
  </si>
  <si>
    <t>(Water Inj., Gas Lift, Chemical, EHT…)</t>
  </si>
  <si>
    <t>(20, 27, 28, 29, 31, 54, 71, 75))</t>
  </si>
  <si>
    <t>to be defined with commissioning team</t>
  </si>
  <si>
    <t>(PIP, STR, ELE, INS, ICSS, PAI, SCF...)</t>
  </si>
  <si>
    <t>Item Data</t>
  </si>
  <si>
    <t>(Refer to Data Base "Tag &amp; Weight")</t>
  </si>
  <si>
    <t>PERSONNEL LOGISTIC DATA BASE - TABLES &amp; RELATIONS</t>
  </si>
  <si>
    <t>PTW Validation Process DATA BASE - TABLES &amp; RELATIONS</t>
  </si>
  <si>
    <t>Duration</t>
  </si>
  <si>
    <t>Status</t>
  </si>
  <si>
    <t>EXAMPLE of PTW Validation Process DATA BASE</t>
  </si>
  <si>
    <t>Review Week</t>
  </si>
  <si>
    <t>Return Week</t>
  </si>
  <si>
    <t>Submit Week</t>
  </si>
  <si>
    <t>under review</t>
  </si>
  <si>
    <t>Submitted</t>
  </si>
  <si>
    <t>Accepted</t>
  </si>
  <si>
    <t>PTW-001</t>
  </si>
  <si>
    <t>PTW-002</t>
  </si>
  <si>
    <t>PTW-003</t>
  </si>
  <si>
    <t>PTW-004</t>
  </si>
  <si>
    <t>PTW-005</t>
  </si>
  <si>
    <t>PTW-006</t>
  </si>
  <si>
    <t>PTW-007</t>
  </si>
  <si>
    <t>PTW-008</t>
  </si>
  <si>
    <t>PTW-009</t>
  </si>
  <si>
    <t>PTW-010</t>
  </si>
  <si>
    <t>PTW-011</t>
  </si>
  <si>
    <t>PTW-012</t>
  </si>
  <si>
    <t>Open Date</t>
  </si>
  <si>
    <t>Open Week</t>
  </si>
  <si>
    <t>Scope</t>
  </si>
  <si>
    <t>CTR stand-by</t>
  </si>
  <si>
    <t>Base sow</t>
  </si>
  <si>
    <t>xxxxxxxxxxx</t>
  </si>
  <si>
    <t>scaffold</t>
  </si>
  <si>
    <t>cable trays install</t>
  </si>
  <si>
    <t>cable pulling</t>
  </si>
  <si>
    <t>habitacle</t>
  </si>
  <si>
    <t>piping penetration</t>
  </si>
  <si>
    <t>spool erection</t>
  </si>
  <si>
    <t>support</t>
  </si>
  <si>
    <t>Quantity</t>
  </si>
  <si>
    <t>WEEK</t>
  </si>
  <si>
    <t>PTW under review with CONTRACTOR</t>
  </si>
  <si>
    <t>Type A (Hot Work Naked Flame)</t>
  </si>
  <si>
    <t>Type B (Hot Work)</t>
  </si>
  <si>
    <t>Type C (Cold Work)</t>
  </si>
  <si>
    <t>Total PTW under Review</t>
  </si>
  <si>
    <t>PTW submitted to FPSO</t>
  </si>
  <si>
    <t>Total PTW submitted</t>
  </si>
  <si>
    <t>PTW validated</t>
  </si>
  <si>
    <t>Total validated</t>
  </si>
  <si>
    <t>PTW open</t>
  </si>
  <si>
    <t>Total open</t>
  </si>
  <si>
    <t>Type A</t>
  </si>
  <si>
    <t>Type B</t>
  </si>
  <si>
    <t>Type C</t>
  </si>
  <si>
    <t>EXAMPLE of PTW Validation Process Reporting per Day and Week</t>
  </si>
  <si>
    <t>EXAMPLE PERSONNEL LOGISTIC Reporting per Day and Week</t>
  </si>
  <si>
    <t>By Occupation / Trade</t>
  </si>
  <si>
    <t>NPT Time</t>
  </si>
  <si>
    <t>PTW Number</t>
  </si>
  <si>
    <t>NPT1</t>
  </si>
  <si>
    <t>NPT2</t>
  </si>
  <si>
    <t>NPT3</t>
  </si>
  <si>
    <t>NPT4</t>
  </si>
  <si>
    <t>NPT5</t>
  </si>
  <si>
    <t>NPT6</t>
  </si>
  <si>
    <t>NPT7</t>
  </si>
  <si>
    <t>NPT8</t>
  </si>
  <si>
    <t>NPT9</t>
  </si>
  <si>
    <t>NPT10</t>
  </si>
  <si>
    <t>NPT11</t>
  </si>
  <si>
    <t>NPT12</t>
  </si>
  <si>
    <t>NPT13</t>
  </si>
  <si>
    <t>Week Number</t>
  </si>
  <si>
    <t>NPT Time DATA BASE - TABLES &amp; RELATIONS</t>
  </si>
  <si>
    <t>EXAMPLE of NPT Time DATA BASE</t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</si>
  <si>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Name01</t>
    </r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</si>
  <si>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Name02</t>
    </r>
    <r>
      <rPr>
        <sz val="10"/>
        <color theme="1"/>
        <rFont val="Arial"/>
        <family val="2"/>
      </rPr>
      <t/>
    </r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</si>
  <si>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Name03</t>
    </r>
    <r>
      <rPr>
        <sz val="10"/>
        <color theme="1"/>
        <rFont val="Arial"/>
        <family val="2"/>
      </rPr>
      <t/>
    </r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</si>
  <si>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Name04</t>
    </r>
    <r>
      <rPr>
        <sz val="10"/>
        <color theme="1"/>
        <rFont val="Arial"/>
        <family val="2"/>
      </rPr>
      <t/>
    </r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</si>
  <si>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Name05</t>
    </r>
    <r>
      <rPr>
        <sz val="10"/>
        <color theme="1"/>
        <rFont val="Arial"/>
        <family val="2"/>
      </rPr>
      <t/>
    </r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</si>
  <si>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Name06</t>
    </r>
    <r>
      <rPr>
        <sz val="10"/>
        <color theme="1"/>
        <rFont val="Arial"/>
        <family val="2"/>
      </rPr>
      <t/>
    </r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</si>
  <si>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Name07</t>
    </r>
    <r>
      <rPr>
        <sz val="10"/>
        <color theme="1"/>
        <rFont val="Arial"/>
        <family val="2"/>
      </rPr>
      <t/>
    </r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</si>
  <si>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Name08</t>
    </r>
    <r>
      <rPr>
        <sz val="10"/>
        <color theme="1"/>
        <rFont val="Arial"/>
        <family val="2"/>
      </rPr>
      <t/>
    </r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</si>
  <si>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Name09</t>
    </r>
    <r>
      <rPr>
        <sz val="10"/>
        <color theme="1"/>
        <rFont val="Arial"/>
        <family val="2"/>
      </rPr>
      <t/>
    </r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</si>
  <si>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PTW-01</t>
    </r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</si>
  <si>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PTW-02</t>
    </r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</si>
  <si>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PTW-03</t>
    </r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</si>
  <si>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PTW-04</t>
    </r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</si>
  <si>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Name10</t>
    </r>
    <r>
      <rPr>
        <sz val="10"/>
        <color theme="1"/>
        <rFont val="Arial"/>
        <family val="2"/>
      </rPr>
      <t/>
    </r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</si>
  <si>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Name11</t>
    </r>
    <r>
      <rPr>
        <sz val="10"/>
        <color theme="1"/>
        <rFont val="Arial"/>
        <family val="2"/>
      </rPr>
      <t/>
    </r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</si>
  <si>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Name12</t>
    </r>
    <r>
      <rPr>
        <sz val="10"/>
        <color theme="1"/>
        <rFont val="Arial"/>
        <family val="2"/>
      </rPr>
      <t/>
    </r>
  </si>
  <si>
    <t>NPT3am</t>
  </si>
  <si>
    <t>NPT3pm</t>
  </si>
  <si>
    <t>No</t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</si>
  <si>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Name13</t>
    </r>
    <r>
      <rPr>
        <sz val="10"/>
        <color theme="1"/>
        <rFont val="Arial"/>
        <family val="2"/>
      </rPr>
      <t/>
    </r>
  </si>
  <si>
    <r>
      <rPr>
        <sz val="9"/>
        <color theme="1"/>
        <rFont val="MS Outlook"/>
        <charset val="2"/>
      </rPr>
      <t>B</t>
    </r>
    <r>
      <rPr>
        <sz val="9"/>
        <color theme="1"/>
        <rFont val="Arial"/>
        <family val="2"/>
      </rPr>
      <t xml:space="preserve"> Name14</t>
    </r>
    <r>
      <rPr>
        <sz val="10"/>
        <color theme="1"/>
        <rFont val="Arial"/>
        <family val="2"/>
      </rPr>
      <t/>
    </r>
  </si>
  <si>
    <t>Worked</t>
  </si>
  <si>
    <t>PTW Type</t>
  </si>
  <si>
    <t>available information:</t>
  </si>
  <si>
    <t>PTW Data</t>
  </si>
  <si>
    <t>Name Data</t>
  </si>
  <si>
    <t>Worked Hours</t>
  </si>
  <si>
    <t>Total NPT per day</t>
  </si>
  <si>
    <t>Année =</t>
  </si>
  <si>
    <t>année</t>
  </si>
  <si>
    <t>format</t>
  </si>
  <si>
    <t>jj</t>
  </si>
  <si>
    <t>jjjj</t>
  </si>
  <si>
    <t>nombre</t>
  </si>
  <si>
    <t>SoW</t>
  </si>
  <si>
    <t>Scaffold</t>
  </si>
  <si>
    <t>PWHT Assistant</t>
  </si>
  <si>
    <t>PCC</t>
  </si>
  <si>
    <t>MEC</t>
  </si>
  <si>
    <t>Welding Spdt</t>
  </si>
  <si>
    <t>E&amp;I Preparator</t>
  </si>
  <si>
    <t>PCC Officer</t>
  </si>
  <si>
    <t>E&amp;I PCC Officer</t>
  </si>
  <si>
    <t>TCN</t>
  </si>
  <si>
    <t>Actemium</t>
  </si>
  <si>
    <t>Yokogawa</t>
  </si>
  <si>
    <t>Cpy</t>
  </si>
  <si>
    <t>Surname</t>
  </si>
  <si>
    <t>NPT3a</t>
  </si>
  <si>
    <t>NPT3p</t>
  </si>
  <si>
    <t>Mob</t>
  </si>
  <si>
    <t>Crew Change</t>
  </si>
  <si>
    <t>Demob</t>
  </si>
  <si>
    <t>CTR Stand-by</t>
  </si>
  <si>
    <t>Com Assist.</t>
  </si>
  <si>
    <t>Shift</t>
  </si>
  <si>
    <t>Vendor</t>
  </si>
  <si>
    <t>Sickness</t>
  </si>
  <si>
    <t>HVAC</t>
  </si>
  <si>
    <t>QC Assistant</t>
  </si>
  <si>
    <t>PCC Assistant</t>
  </si>
  <si>
    <t>NPTs</t>
  </si>
  <si>
    <t>Check</t>
  </si>
  <si>
    <t>Full Name</t>
  </si>
  <si>
    <t>Technician</t>
  </si>
  <si>
    <t>Assistant</t>
  </si>
  <si>
    <t>Engineer</t>
  </si>
  <si>
    <t>Check Date</t>
  </si>
  <si>
    <t>Chemical</t>
  </si>
  <si>
    <t>TTH</t>
  </si>
  <si>
    <t>Chem. Cleaning</t>
  </si>
  <si>
    <t>Tray</t>
  </si>
  <si>
    <t>PREP</t>
  </si>
  <si>
    <t>Hold</t>
  </si>
  <si>
    <t>Coating</t>
  </si>
  <si>
    <t>Supervisor</t>
  </si>
  <si>
    <t>HSE
Trade2</t>
  </si>
  <si>
    <t>Management
Trade1</t>
  </si>
  <si>
    <t>Preparation
Trade3</t>
  </si>
  <si>
    <t>QC
Trade4</t>
  </si>
  <si>
    <t>PCC
Trade6</t>
  </si>
  <si>
    <t>NDT
Trade5</t>
  </si>
  <si>
    <t>Other
Trade7</t>
  </si>
  <si>
    <t>PVV
Trade8</t>
  </si>
  <si>
    <t>STR
Trade9</t>
  </si>
  <si>
    <t>E&amp;I
Trade10</t>
  </si>
  <si>
    <t>ICSS
Trade11</t>
  </si>
  <si>
    <t>Scaffold
Trade12</t>
  </si>
  <si>
    <t>Coating
Trade13</t>
  </si>
  <si>
    <t>MEC
Trade14</t>
  </si>
  <si>
    <t>HVAC
Trade15</t>
  </si>
  <si>
    <t>Other Prod
Trade16</t>
  </si>
  <si>
    <t>Non Prod List
SubCat1</t>
  </si>
  <si>
    <t>SubCat</t>
  </si>
  <si>
    <t>Other</t>
  </si>
  <si>
    <t>Other_NP</t>
  </si>
  <si>
    <t>Day</t>
  </si>
  <si>
    <t>Night</t>
  </si>
  <si>
    <t>Mob
Demob</t>
  </si>
  <si>
    <t>aaa</t>
  </si>
  <si>
    <t>POB</t>
  </si>
  <si>
    <t>in</t>
  </si>
  <si>
    <t>WP 02</t>
  </si>
  <si>
    <t>WP 03</t>
  </si>
  <si>
    <t>WP 04</t>
  </si>
  <si>
    <t>WP 05</t>
  </si>
  <si>
    <t>WP 06</t>
  </si>
  <si>
    <t>222</t>
  </si>
  <si>
    <t>0</t>
  </si>
  <si>
    <t>30</t>
  </si>
  <si>
    <t>65</t>
  </si>
  <si>
    <t>Prod Direct List
SubCat2</t>
  </si>
  <si>
    <t>Prod Indirect List
SubCat3</t>
  </si>
  <si>
    <t/>
  </si>
  <si>
    <t>25</t>
  </si>
  <si>
    <t>60</t>
  </si>
  <si>
    <t>333</t>
  </si>
  <si>
    <t>111</t>
  </si>
  <si>
    <t>75</t>
  </si>
</sst>
</file>

<file path=xl/styles.xml><?xml version="1.0" encoding="utf-8"?>
<styleSheet xmlns="http://schemas.openxmlformats.org/spreadsheetml/2006/main">
  <numFmts count="7">
    <numFmt numFmtId="43" formatCode="_-* #,##0.00\ _€_-;\-* #,##0.00\ _€_-;_-* &quot;-&quot;??\ _€_-;_-@_-"/>
    <numFmt numFmtId="164" formatCode="0&quot; m3&quot;"/>
    <numFmt numFmtId="165" formatCode="0&quot; ml&quot;"/>
    <numFmt numFmtId="166" formatCode="0&quot; kg&quot;"/>
    <numFmt numFmtId="167" formatCode="[$-40C]d\-mmm;@"/>
    <numFmt numFmtId="168" formatCode="dd"/>
    <numFmt numFmtId="169" formatCode="dddd"/>
  </numFmts>
  <fonts count="17">
    <font>
      <sz val="10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sz val="12"/>
      <color theme="1"/>
      <name val="Arial Black"/>
      <family val="2"/>
    </font>
    <font>
      <sz val="8"/>
      <color theme="1"/>
      <name val="Arial"/>
      <family val="2"/>
    </font>
    <font>
      <sz val="10"/>
      <color theme="1"/>
      <name val="Arial Black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u/>
      <sz val="10"/>
      <color theme="1"/>
      <name val="Arial"/>
      <family val="2"/>
    </font>
    <font>
      <i/>
      <u/>
      <sz val="10"/>
      <color theme="1"/>
      <name val="Arial Black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u/>
      <sz val="10"/>
      <color theme="1"/>
      <name val="Arial"/>
      <family val="2"/>
    </font>
    <font>
      <sz val="10"/>
      <color theme="1"/>
      <name val="MS Outlook"/>
      <charset val="2"/>
    </font>
    <font>
      <sz val="9"/>
      <color theme="1"/>
      <name val="MS Outlook"/>
      <charset val="2"/>
    </font>
    <font>
      <b/>
      <sz val="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24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5" fontId="5" fillId="0" borderId="2" xfId="0" applyNumberFormat="1" applyFont="1" applyBorder="1" applyAlignment="1">
      <alignment horizontal="center" vertical="center" wrapText="1"/>
    </xf>
    <xf numFmtId="0" fontId="2" fillId="0" borderId="6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15" fontId="5" fillId="4" borderId="2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5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5" fontId="5" fillId="0" borderId="2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0" fillId="0" borderId="0" xfId="0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" fontId="5" fillId="4" borderId="2" xfId="0" applyNumberFormat="1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2" fontId="5" fillId="4" borderId="11" xfId="3" applyNumberFormat="1" applyFont="1" applyFill="1" applyBorder="1" applyAlignment="1">
      <alignment horizontal="center" vertical="center" wrapText="1"/>
    </xf>
    <xf numFmtId="2" fontId="5" fillId="4" borderId="1" xfId="3" applyNumberFormat="1" applyFont="1" applyFill="1" applyBorder="1" applyAlignment="1">
      <alignment horizontal="center" vertical="center" wrapText="1"/>
    </xf>
    <xf numFmtId="2" fontId="5" fillId="2" borderId="11" xfId="3" applyNumberFormat="1" applyFont="1" applyFill="1" applyBorder="1" applyAlignment="1">
      <alignment horizontal="center" vertical="center" wrapText="1"/>
    </xf>
    <xf numFmtId="2" fontId="5" fillId="2" borderId="2" xfId="3" applyNumberFormat="1" applyFont="1" applyFill="1" applyBorder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 vertical="center" wrapText="1"/>
    </xf>
    <xf numFmtId="2" fontId="5" fillId="2" borderId="1" xfId="3" applyNumberFormat="1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15" fontId="5" fillId="0" borderId="26" xfId="0" applyNumberFormat="1" applyFont="1" applyBorder="1" applyAlignment="1">
      <alignment horizontal="center" vertical="center" wrapText="1"/>
    </xf>
    <xf numFmtId="15" fontId="5" fillId="0" borderId="23" xfId="0" applyNumberFormat="1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2" fontId="5" fillId="2" borderId="24" xfId="4" applyNumberFormat="1" applyFont="1" applyFill="1" applyBorder="1" applyAlignment="1">
      <alignment horizontal="center" vertical="center" wrapText="1"/>
    </xf>
    <xf numFmtId="9" fontId="5" fillId="2" borderId="24" xfId="4" applyFont="1" applyFill="1" applyBorder="1" applyAlignment="1">
      <alignment horizontal="center" vertical="center" wrapText="1"/>
    </xf>
    <xf numFmtId="15" fontId="5" fillId="2" borderId="24" xfId="0" applyNumberFormat="1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49" fontId="5" fillId="4" borderId="6" xfId="4" applyNumberFormat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9" fontId="5" fillId="0" borderId="1" xfId="4" applyFon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9" fontId="5" fillId="0" borderId="23" xfId="4" applyFont="1" applyBorder="1" applyAlignment="1">
      <alignment horizontal="center" vertical="center"/>
    </xf>
    <xf numFmtId="9" fontId="5" fillId="0" borderId="22" xfId="4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9" fontId="5" fillId="0" borderId="12" xfId="4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2" fontId="5" fillId="0" borderId="22" xfId="0" quotePrefix="1" applyNumberFormat="1" applyFont="1" applyBorder="1" applyAlignment="1">
      <alignment horizontal="center" vertical="center"/>
    </xf>
    <xf numFmtId="0" fontId="5" fillId="0" borderId="22" xfId="0" quotePrefix="1" applyFont="1" applyBorder="1" applyAlignment="1">
      <alignment horizontal="center" vertical="center"/>
    </xf>
    <xf numFmtId="0" fontId="5" fillId="0" borderId="22" xfId="0" quotePrefix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0" fillId="0" borderId="0" xfId="0" applyAlignment="1">
      <alignment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0" xfId="0" applyFill="1"/>
    <xf numFmtId="15" fontId="5" fillId="0" borderId="0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0" fillId="0" borderId="38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39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3" fillId="7" borderId="17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0" fillId="0" borderId="1" xfId="0" pivotButton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3" fillId="0" borderId="1" xfId="0" pivotButton="1" applyFont="1" applyBorder="1" applyAlignment="1">
      <alignment horizontal="center" vertical="center"/>
    </xf>
    <xf numFmtId="0" fontId="3" fillId="0" borderId="1" xfId="0" pivotButton="1" applyFon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0" fontId="0" fillId="0" borderId="38" xfId="0" applyBorder="1" applyAlignment="1">
      <alignment horizontal="left" vertical="center" indent="1"/>
    </xf>
    <xf numFmtId="0" fontId="0" fillId="0" borderId="39" xfId="0" applyBorder="1" applyAlignment="1">
      <alignment horizontal="left" vertical="center" indent="1"/>
    </xf>
    <xf numFmtId="0" fontId="0" fillId="0" borderId="11" xfId="0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indent="1"/>
    </xf>
    <xf numFmtId="0" fontId="0" fillId="0" borderId="2" xfId="0" applyBorder="1" applyAlignment="1">
      <alignment horizontal="left" vertical="center" indent="1"/>
    </xf>
    <xf numFmtId="49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indent="1"/>
    </xf>
    <xf numFmtId="1" fontId="11" fillId="0" borderId="2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16" fontId="11" fillId="0" borderId="2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2" fillId="7" borderId="17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8" borderId="4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/>
    </xf>
    <xf numFmtId="0" fontId="8" fillId="9" borderId="17" xfId="0" applyFont="1" applyFill="1" applyBorder="1" applyAlignment="1">
      <alignment horizontal="center" vertical="center"/>
    </xf>
    <xf numFmtId="16" fontId="0" fillId="9" borderId="3" xfId="0" applyNumberFormat="1" applyFill="1" applyBorder="1" applyAlignment="1">
      <alignment horizontal="center" vertical="center"/>
    </xf>
    <xf numFmtId="16" fontId="0" fillId="9" borderId="4" xfId="0" applyNumberFormat="1" applyFill="1" applyBorder="1" applyAlignment="1">
      <alignment horizontal="center" vertical="center"/>
    </xf>
    <xf numFmtId="16" fontId="0" fillId="9" borderId="16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3" fillId="0" borderId="1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13" fillId="0" borderId="5" xfId="0" applyFont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0" fontId="3" fillId="4" borderId="7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left" vertical="center" indent="1"/>
    </xf>
    <xf numFmtId="0" fontId="14" fillId="0" borderId="0" xfId="0" applyFont="1" applyAlignment="1">
      <alignment vertical="center" wrapText="1"/>
    </xf>
    <xf numFmtId="16" fontId="1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 indent="2"/>
    </xf>
    <xf numFmtId="0" fontId="12" fillId="1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indent="1"/>
    </xf>
    <xf numFmtId="0" fontId="11" fillId="4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" vertical="center"/>
    </xf>
    <xf numFmtId="16" fontId="0" fillId="9" borderId="19" xfId="0" applyNumberFormat="1" applyFill="1" applyBorder="1" applyAlignment="1">
      <alignment horizontal="center" vertical="center"/>
    </xf>
    <xf numFmtId="0" fontId="0" fillId="0" borderId="37" xfId="0" applyFill="1" applyBorder="1" applyAlignment="1">
      <alignment horizontal="left" vertical="center" indent="1"/>
    </xf>
    <xf numFmtId="0" fontId="0" fillId="0" borderId="40" xfId="0" applyFill="1" applyBorder="1" applyAlignment="1">
      <alignment horizontal="left" vertical="center" indent="1"/>
    </xf>
    <xf numFmtId="0" fontId="0" fillId="0" borderId="34" xfId="0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indent="2"/>
    </xf>
    <xf numFmtId="2" fontId="0" fillId="0" borderId="7" xfId="0" applyNumberFormat="1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 wrapText="1"/>
    </xf>
    <xf numFmtId="2" fontId="11" fillId="11" borderId="2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0" fontId="0" fillId="0" borderId="1" xfId="0" applyBorder="1" applyAlignment="1">
      <alignment horizontal="right" vertical="center"/>
    </xf>
    <xf numFmtId="1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0" fontId="0" fillId="0" borderId="5" xfId="0" applyFont="1" applyBorder="1" applyAlignment="1">
      <alignment horizontal="left" vertical="center" inden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indent="1"/>
    </xf>
    <xf numFmtId="167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vertical="center"/>
    </xf>
    <xf numFmtId="16" fontId="0" fillId="0" borderId="0" xfId="0" applyNumberFormat="1" applyAlignment="1">
      <alignment vertical="center"/>
    </xf>
    <xf numFmtId="169" fontId="0" fillId="0" borderId="0" xfId="0" applyNumberFormat="1" applyAlignment="1">
      <alignment horizontal="center" vertical="center"/>
    </xf>
    <xf numFmtId="0" fontId="10" fillId="0" borderId="0" xfId="0" applyFont="1" applyAlignment="1">
      <alignment horizontal="left" vertical="center" indent="4"/>
    </xf>
    <xf numFmtId="0" fontId="0" fillId="0" borderId="1" xfId="0" applyBorder="1" applyAlignment="1">
      <alignment horizontal="left" vertical="center"/>
    </xf>
    <xf numFmtId="0" fontId="5" fillId="6" borderId="2" xfId="0" applyFont="1" applyFill="1" applyBorder="1" applyAlignment="1">
      <alignment horizontal="left" vertical="center" wrapText="1" indent="1"/>
    </xf>
    <xf numFmtId="2" fontId="5" fillId="4" borderId="2" xfId="0" applyNumberFormat="1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top" wrapText="1"/>
    </xf>
    <xf numFmtId="0" fontId="16" fillId="6" borderId="4" xfId="0" applyFont="1" applyFill="1" applyBorder="1" applyAlignment="1">
      <alignment horizontal="center" vertical="top" wrapText="1"/>
    </xf>
    <xf numFmtId="0" fontId="16" fillId="4" borderId="4" xfId="0" applyFont="1" applyFill="1" applyBorder="1" applyAlignment="1">
      <alignment horizontal="center" vertical="top" wrapText="1"/>
    </xf>
    <xf numFmtId="49" fontId="5" fillId="4" borderId="2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16" fillId="2" borderId="10" xfId="0" applyFont="1" applyFill="1" applyBorder="1" applyAlignment="1">
      <alignment horizontal="center" vertical="top" wrapText="1"/>
    </xf>
    <xf numFmtId="0" fontId="16" fillId="2" borderId="19" xfId="0" applyFont="1" applyFill="1" applyBorder="1" applyAlignment="1">
      <alignment horizontal="center" vertical="top" wrapText="1"/>
    </xf>
    <xf numFmtId="0" fontId="16" fillId="2" borderId="9" xfId="0" applyFont="1" applyFill="1" applyBorder="1" applyAlignment="1">
      <alignment horizontal="center" vertical="top" wrapText="1"/>
    </xf>
    <xf numFmtId="0" fontId="0" fillId="0" borderId="18" xfId="0" applyBorder="1"/>
    <xf numFmtId="0" fontId="0" fillId="0" borderId="5" xfId="0" applyBorder="1"/>
    <xf numFmtId="0" fontId="16" fillId="2" borderId="17" xfId="0" applyFont="1" applyFill="1" applyBorder="1" applyAlignment="1">
      <alignment horizontal="center" vertical="top" wrapText="1"/>
    </xf>
    <xf numFmtId="0" fontId="0" fillId="0" borderId="24" xfId="0" applyBorder="1"/>
    <xf numFmtId="0" fontId="0" fillId="0" borderId="25" xfId="0" applyBorder="1"/>
    <xf numFmtId="0" fontId="0" fillId="0" borderId="21" xfId="0" applyBorder="1"/>
    <xf numFmtId="0" fontId="0" fillId="0" borderId="23" xfId="0" applyBorder="1"/>
    <xf numFmtId="0" fontId="0" fillId="12" borderId="10" xfId="0" applyFill="1" applyBorder="1" applyAlignment="1">
      <alignment horizontal="center" vertical="center" wrapText="1"/>
    </xf>
    <xf numFmtId="0" fontId="3" fillId="12" borderId="17" xfId="0" applyFont="1" applyFill="1" applyBorder="1" applyAlignment="1">
      <alignment horizontal="center" vertical="center" wrapText="1"/>
    </xf>
    <xf numFmtId="0" fontId="0" fillId="0" borderId="6" xfId="0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 wrapText="1" indent="1"/>
    </xf>
    <xf numFmtId="0" fontId="5" fillId="0" borderId="0" xfId="0" applyFont="1"/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3" fillId="7" borderId="35" xfId="0" applyFont="1" applyFill="1" applyBorder="1" applyAlignment="1">
      <alignment horizontal="center" vertical="center"/>
    </xf>
    <xf numFmtId="0" fontId="3" fillId="7" borderId="2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</cellXfs>
  <cellStyles count="5">
    <cellStyle name="Milliers" xfId="3" builtinId="3"/>
    <cellStyle name="Normal" xfId="0" builtinId="0"/>
    <cellStyle name="Normal 3 3" xfId="2"/>
    <cellStyle name="Normal_CONTRACT_PRICE_EXHIBIT B GIRRI SURF2 tables rev 02 (2)" xfId="1"/>
    <cellStyle name="Pourcentage" xfId="4" builtinId="5"/>
  </cellStyles>
  <dxfs count="15">
    <dxf>
      <alignment horizontal="center" readingOrder="0"/>
    </dxf>
    <dxf>
      <alignment horizont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bottom" readingOrder="0"/>
    </dxf>
    <dxf>
      <alignment vertical="center" readingOrder="0"/>
    </dxf>
    <dxf>
      <alignment horizontal="center" readingOrder="0"/>
    </dxf>
    <dxf>
      <font>
        <b/>
      </font>
    </dxf>
    <dxf>
      <font>
        <b/>
      </font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alignment horizontal="left" readingOrder="0"/>
    </dxf>
    <dxf>
      <alignment horizont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[Test.xlsm]Logistic Process DB!Tableau croisé dynamique2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POB onboard per Week</a:t>
            </a:r>
          </a:p>
        </c:rich>
      </c:tx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spPr>
          <a:gradFill flip="none" rotWithShape="1">
            <a:gsLst>
              <a:gs pos="0">
                <a:srgbClr val="4F81BD">
                  <a:shade val="30000"/>
                  <a:satMod val="115000"/>
                </a:srgbClr>
              </a:gs>
              <a:gs pos="50000">
                <a:srgbClr val="4F81BD">
                  <a:shade val="67500"/>
                  <a:satMod val="115000"/>
                </a:srgbClr>
              </a:gs>
              <a:gs pos="100000">
                <a:srgbClr val="4F81BD">
                  <a:shade val="100000"/>
                  <a:satMod val="115000"/>
                </a:srgbClr>
              </a:gs>
            </a:gsLst>
            <a:lin ang="0" scaled="1"/>
            <a:tileRect/>
          </a:gradFill>
        </c:spPr>
        <c:marker>
          <c:symbol val="none"/>
        </c:marker>
      </c:pivotFmt>
      <c:pivotFmt>
        <c:idx val="7"/>
        <c:spPr>
          <a:gradFill flip="none" rotWithShape="1">
            <a:gsLst>
              <a:gs pos="0">
                <a:srgbClr val="FF0000">
                  <a:shade val="30000"/>
                  <a:satMod val="115000"/>
                </a:srgbClr>
              </a:gs>
              <a:gs pos="50000">
                <a:srgbClr val="FF0000">
                  <a:shade val="67500"/>
                  <a:satMod val="115000"/>
                </a:srgbClr>
              </a:gs>
              <a:gs pos="100000">
                <a:srgbClr val="FF0000">
                  <a:shade val="100000"/>
                  <a:satMod val="115000"/>
                </a:srgbClr>
              </a:gs>
            </a:gsLst>
            <a:lin ang="0" scaled="1"/>
            <a:tileRect/>
          </a:gradFill>
        </c:spPr>
        <c:marker>
          <c:symbol val="none"/>
        </c:marker>
      </c:pivotFmt>
      <c:pivotFmt>
        <c:idx val="8"/>
        <c:spPr>
          <a:gradFill flip="none" rotWithShape="1">
            <a:gsLst>
              <a:gs pos="0">
                <a:srgbClr val="00B050">
                  <a:shade val="30000"/>
                  <a:satMod val="115000"/>
                </a:srgbClr>
              </a:gs>
              <a:gs pos="50000">
                <a:srgbClr val="00B050">
                  <a:shade val="67500"/>
                  <a:satMod val="115000"/>
                </a:srgbClr>
              </a:gs>
              <a:gs pos="100000">
                <a:srgbClr val="00B050">
                  <a:shade val="100000"/>
                  <a:satMod val="115000"/>
                </a:srgbClr>
              </a:gs>
            </a:gsLst>
            <a:lin ang="0" scaled="1"/>
            <a:tileRect/>
          </a:gradFill>
        </c:spPr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'Logistic Process DB'!$I$44:$I$45</c:f>
              <c:strCache>
                <c:ptCount val="1"/>
                <c:pt idx="0">
                  <c:v>Non Prod</c:v>
                </c:pt>
              </c:strCache>
            </c:strRef>
          </c:tx>
          <c:spPr>
            <a:gradFill flip="none" rotWithShape="1">
              <a:gsLst>
                <a:gs pos="0">
                  <a:srgbClr val="4F81BD">
                    <a:shade val="30000"/>
                    <a:satMod val="115000"/>
                  </a:srgbClr>
                </a:gs>
                <a:gs pos="50000">
                  <a:srgbClr val="4F81BD">
                    <a:shade val="67500"/>
                    <a:satMod val="115000"/>
                  </a:srgbClr>
                </a:gs>
                <a:gs pos="100000">
                  <a:srgbClr val="4F81BD">
                    <a:shade val="100000"/>
                    <a:satMod val="115000"/>
                  </a:srgbClr>
                </a:gs>
              </a:gsLst>
              <a:lin ang="0" scaled="1"/>
              <a:tileRect/>
            </a:gradFill>
          </c:spPr>
          <c:cat>
            <c:strRef>
              <c:f>'Logistic Process DB'!$H$46:$H$50</c:f>
              <c:strCache>
                <c:ptCount val="4"/>
                <c:pt idx="0">
                  <c:v>18</c:v>
                </c:pt>
                <c:pt idx="1">
                  <c:v>19</c:v>
                </c:pt>
                <c:pt idx="2">
                  <c:v>20</c:v>
                </c:pt>
                <c:pt idx="3">
                  <c:v>21</c:v>
                </c:pt>
              </c:strCache>
            </c:strRef>
          </c:cat>
          <c:val>
            <c:numRef>
              <c:f>'Logistic Process DB'!$I$46:$I$50</c:f>
              <c:numCache>
                <c:formatCode>General</c:formatCode>
                <c:ptCount val="4"/>
                <c:pt idx="0">
                  <c:v>5</c:v>
                </c:pt>
                <c:pt idx="1">
                  <c:v>7</c:v>
                </c:pt>
                <c:pt idx="2">
                  <c:v>2</c:v>
                </c:pt>
              </c:numCache>
            </c:numRef>
          </c:val>
        </c:ser>
        <c:ser>
          <c:idx val="1"/>
          <c:order val="1"/>
          <c:tx>
            <c:strRef>
              <c:f>'Logistic Process DB'!$J$44:$J$45</c:f>
              <c:strCache>
                <c:ptCount val="1"/>
                <c:pt idx="0">
                  <c:v>Prod Direct</c:v>
                </c:pt>
              </c:strCache>
            </c:strRef>
          </c:tx>
          <c:spPr>
            <a:gradFill flip="none" rotWithShape="1">
              <a:gsLst>
                <a:gs pos="0">
                  <a:srgbClr val="FF0000">
                    <a:shade val="30000"/>
                    <a:satMod val="115000"/>
                  </a:srgbClr>
                </a:gs>
                <a:gs pos="50000">
                  <a:srgbClr val="FF0000">
                    <a:shade val="67500"/>
                    <a:satMod val="115000"/>
                  </a:srgbClr>
                </a:gs>
                <a:gs pos="100000">
                  <a:srgbClr val="FF0000">
                    <a:shade val="100000"/>
                    <a:satMod val="115000"/>
                  </a:srgbClr>
                </a:gs>
              </a:gsLst>
              <a:lin ang="0" scaled="1"/>
              <a:tileRect/>
            </a:gradFill>
          </c:spPr>
          <c:cat>
            <c:strRef>
              <c:f>'Logistic Process DB'!$H$46:$H$50</c:f>
              <c:strCache>
                <c:ptCount val="4"/>
                <c:pt idx="0">
                  <c:v>18</c:v>
                </c:pt>
                <c:pt idx="1">
                  <c:v>19</c:v>
                </c:pt>
                <c:pt idx="2">
                  <c:v>20</c:v>
                </c:pt>
                <c:pt idx="3">
                  <c:v>21</c:v>
                </c:pt>
              </c:strCache>
            </c:strRef>
          </c:cat>
          <c:val>
            <c:numRef>
              <c:f>'Logistic Process DB'!$J$46:$J$50</c:f>
              <c:numCache>
                <c:formatCode>General</c:formatCode>
                <c:ptCount val="4"/>
                <c:pt idx="2">
                  <c:v>5</c:v>
                </c:pt>
                <c:pt idx="3">
                  <c:v>3</c:v>
                </c:pt>
              </c:numCache>
            </c:numRef>
          </c:val>
        </c:ser>
        <c:ser>
          <c:idx val="2"/>
          <c:order val="2"/>
          <c:tx>
            <c:strRef>
              <c:f>'Logistic Process DB'!$K$44:$K$45</c:f>
              <c:strCache>
                <c:ptCount val="1"/>
                <c:pt idx="0">
                  <c:v>Prod Indirect</c:v>
                </c:pt>
              </c:strCache>
            </c:strRef>
          </c:tx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0" scaled="1"/>
              <a:tileRect/>
            </a:gradFill>
          </c:spPr>
          <c:cat>
            <c:strRef>
              <c:f>'Logistic Process DB'!$H$46:$H$50</c:f>
              <c:strCache>
                <c:ptCount val="4"/>
                <c:pt idx="0">
                  <c:v>18</c:v>
                </c:pt>
                <c:pt idx="1">
                  <c:v>19</c:v>
                </c:pt>
                <c:pt idx="2">
                  <c:v>20</c:v>
                </c:pt>
                <c:pt idx="3">
                  <c:v>21</c:v>
                </c:pt>
              </c:strCache>
            </c:strRef>
          </c:cat>
          <c:val>
            <c:numRef>
              <c:f>'Logistic Process DB'!$K$46:$K$50</c:f>
              <c:numCache>
                <c:formatCode>General</c:formatCode>
                <c:ptCount val="4"/>
                <c:pt idx="3">
                  <c:v>2</c:v>
                </c:pt>
              </c:numCache>
            </c:numRef>
          </c:val>
        </c:ser>
        <c:axId val="89353216"/>
        <c:axId val="89264896"/>
      </c:barChart>
      <c:catAx>
        <c:axId val="89353216"/>
        <c:scaling>
          <c:orientation val="minMax"/>
        </c:scaling>
        <c:axPos val="b"/>
        <c:majorTickMark val="none"/>
        <c:tickLblPos val="nextTo"/>
        <c:crossAx val="89264896"/>
        <c:crosses val="autoZero"/>
        <c:auto val="1"/>
        <c:lblAlgn val="ctr"/>
        <c:lblOffset val="100"/>
      </c:catAx>
      <c:valAx>
        <c:axId val="8926489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89353216"/>
        <c:crosses val="autoZero"/>
        <c:crossBetween val="between"/>
      </c:valAx>
      <c:spPr>
        <a:gradFill flip="none" rotWithShape="1">
          <a:gsLst>
            <a:gs pos="0">
              <a:srgbClr val="9BBB59">
                <a:lumMod val="60000"/>
                <a:lumOff val="40000"/>
                <a:shade val="30000"/>
                <a:satMod val="115000"/>
              </a:srgbClr>
            </a:gs>
            <a:gs pos="50000">
              <a:srgbClr val="9BBB59">
                <a:lumMod val="60000"/>
                <a:lumOff val="40000"/>
                <a:shade val="67500"/>
                <a:satMod val="115000"/>
              </a:srgbClr>
            </a:gs>
            <a:gs pos="100000">
              <a:srgbClr val="9BBB59">
                <a:lumMod val="60000"/>
                <a:lumOff val="40000"/>
                <a:shade val="100000"/>
                <a:satMod val="115000"/>
              </a:srgbClr>
            </a:gs>
          </a:gsLst>
          <a:path path="circle">
            <a:fillToRect l="100000" b="100000"/>
          </a:path>
          <a:tileRect t="-100000" r="-100000"/>
        </a:gradFill>
      </c:spPr>
    </c:plotArea>
    <c:legend>
      <c:legendPos val="r"/>
    </c:legend>
    <c:plotVisOnly val="1"/>
  </c:chart>
  <c:spPr>
    <a:gradFill flip="none" rotWithShape="1">
      <a:gsLst>
        <a:gs pos="0">
          <a:srgbClr val="4BACC6">
            <a:lumMod val="40000"/>
            <a:lumOff val="60000"/>
            <a:shade val="30000"/>
            <a:satMod val="115000"/>
          </a:srgbClr>
        </a:gs>
        <a:gs pos="50000">
          <a:srgbClr val="4BACC6">
            <a:lumMod val="40000"/>
            <a:lumOff val="60000"/>
            <a:shade val="67500"/>
            <a:satMod val="115000"/>
          </a:srgbClr>
        </a:gs>
        <a:gs pos="100000">
          <a:srgbClr val="4BACC6">
            <a:lumMod val="40000"/>
            <a:lumOff val="60000"/>
            <a:shade val="100000"/>
            <a:satMod val="115000"/>
          </a:srgbClr>
        </a:gs>
      </a:gsLst>
      <a:path path="circle">
        <a:fillToRect r="100000" b="100000"/>
      </a:path>
      <a:tileRect l="-100000" t="-100000"/>
    </a:gradFill>
  </c:sp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6</xdr:row>
      <xdr:rowOff>66675</xdr:rowOff>
    </xdr:from>
    <xdr:to>
      <xdr:col>3</xdr:col>
      <xdr:colOff>9525</xdr:colOff>
      <xdr:row>10</xdr:row>
      <xdr:rowOff>95250</xdr:rowOff>
    </xdr:to>
    <xdr:cxnSp macro="">
      <xdr:nvCxnSpPr>
        <xdr:cNvPr id="5" name="Connecteur en angle 4"/>
        <xdr:cNvCxnSpPr/>
      </xdr:nvCxnSpPr>
      <xdr:spPr>
        <a:xfrm flipV="1">
          <a:off x="3857625" y="904875"/>
          <a:ext cx="971550" cy="695325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2</xdr:row>
      <xdr:rowOff>76200</xdr:rowOff>
    </xdr:from>
    <xdr:to>
      <xdr:col>2</xdr:col>
      <xdr:colOff>733425</xdr:colOff>
      <xdr:row>9</xdr:row>
      <xdr:rowOff>104775</xdr:rowOff>
    </xdr:to>
    <xdr:cxnSp macro="">
      <xdr:nvCxnSpPr>
        <xdr:cNvPr id="9" name="Connecteur en angle 8"/>
        <xdr:cNvCxnSpPr/>
      </xdr:nvCxnSpPr>
      <xdr:spPr>
        <a:xfrm flipV="1">
          <a:off x="1285875" y="438150"/>
          <a:ext cx="1219200" cy="1200150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704850</xdr:colOff>
      <xdr:row>11</xdr:row>
      <xdr:rowOff>85725</xdr:rowOff>
    </xdr:from>
    <xdr:to>
      <xdr:col>2</xdr:col>
      <xdr:colOff>733425</xdr:colOff>
      <xdr:row>11</xdr:row>
      <xdr:rowOff>85725</xdr:rowOff>
    </xdr:to>
    <xdr:cxnSp macro="">
      <xdr:nvCxnSpPr>
        <xdr:cNvPr id="17" name="Connecteur droit avec flèche 16"/>
        <xdr:cNvCxnSpPr/>
      </xdr:nvCxnSpPr>
      <xdr:spPr>
        <a:xfrm flipH="1">
          <a:off x="3752850" y="1762125"/>
          <a:ext cx="1038225" cy="0"/>
        </a:xfrm>
        <a:prstGeom prst="straightConnector1">
          <a:avLst/>
        </a:prstGeom>
        <a:ln>
          <a:solidFill>
            <a:srgbClr val="FF0000"/>
          </a:solidFill>
          <a:headEnd type="arrow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600076</xdr:colOff>
      <xdr:row>12</xdr:row>
      <xdr:rowOff>76200</xdr:rowOff>
    </xdr:from>
    <xdr:to>
      <xdr:col>2</xdr:col>
      <xdr:colOff>752476</xdr:colOff>
      <xdr:row>20</xdr:row>
      <xdr:rowOff>76200</xdr:rowOff>
    </xdr:to>
    <xdr:grpSp>
      <xdr:nvGrpSpPr>
        <xdr:cNvPr id="29" name="Groupe 28"/>
        <xdr:cNvGrpSpPr/>
      </xdr:nvGrpSpPr>
      <xdr:grpSpPr>
        <a:xfrm>
          <a:off x="800101" y="2114550"/>
          <a:ext cx="1162050" cy="1304925"/>
          <a:chOff x="3648076" y="1924050"/>
          <a:chExt cx="1162050" cy="1304925"/>
        </a:xfrm>
      </xdr:grpSpPr>
      <xdr:cxnSp macro="">
        <xdr:nvCxnSpPr>
          <xdr:cNvPr id="23" name="Connecteur droit avec flèche 22"/>
          <xdr:cNvCxnSpPr/>
        </xdr:nvCxnSpPr>
        <xdr:spPr>
          <a:xfrm flipH="1">
            <a:off x="4562475" y="3228975"/>
            <a:ext cx="247651" cy="0"/>
          </a:xfrm>
          <a:prstGeom prst="straightConnector1">
            <a:avLst/>
          </a:prstGeom>
          <a:ln>
            <a:solidFill>
              <a:srgbClr val="FF0000"/>
            </a:solidFill>
            <a:headEnd type="arrow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" name="Connecteur droit 25"/>
          <xdr:cNvCxnSpPr/>
        </xdr:nvCxnSpPr>
        <xdr:spPr>
          <a:xfrm flipV="1">
            <a:off x="4562475" y="1933575"/>
            <a:ext cx="0" cy="129540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Connecteur droit 27"/>
          <xdr:cNvCxnSpPr/>
        </xdr:nvCxnSpPr>
        <xdr:spPr>
          <a:xfrm flipH="1">
            <a:off x="3648076" y="1924050"/>
            <a:ext cx="923924" cy="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419103</xdr:colOff>
      <xdr:row>13</xdr:row>
      <xdr:rowOff>85725</xdr:rowOff>
    </xdr:from>
    <xdr:to>
      <xdr:col>3</xdr:col>
      <xdr:colOff>9526</xdr:colOff>
      <xdr:row>24</xdr:row>
      <xdr:rowOff>76200</xdr:rowOff>
    </xdr:to>
    <xdr:grpSp>
      <xdr:nvGrpSpPr>
        <xdr:cNvPr id="32" name="Groupe 31"/>
        <xdr:cNvGrpSpPr/>
      </xdr:nvGrpSpPr>
      <xdr:grpSpPr>
        <a:xfrm>
          <a:off x="619128" y="2286000"/>
          <a:ext cx="1362073" cy="1800225"/>
          <a:chOff x="3648077" y="1924050"/>
          <a:chExt cx="1162049" cy="1304925"/>
        </a:xfrm>
      </xdr:grpSpPr>
      <xdr:cxnSp macro="">
        <xdr:nvCxnSpPr>
          <xdr:cNvPr id="33" name="Connecteur droit avec flèche 32"/>
          <xdr:cNvCxnSpPr/>
        </xdr:nvCxnSpPr>
        <xdr:spPr>
          <a:xfrm flipH="1">
            <a:off x="4387561" y="3228975"/>
            <a:ext cx="422565" cy="0"/>
          </a:xfrm>
          <a:prstGeom prst="straightConnector1">
            <a:avLst/>
          </a:prstGeom>
          <a:ln>
            <a:solidFill>
              <a:srgbClr val="FF0000"/>
            </a:solidFill>
            <a:headEnd type="arrow" w="med" len="med"/>
            <a:tailEnd type="non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" name="Connecteur droit 33"/>
          <xdr:cNvCxnSpPr/>
        </xdr:nvCxnSpPr>
        <xdr:spPr>
          <a:xfrm flipV="1">
            <a:off x="4375571" y="1924050"/>
            <a:ext cx="0" cy="1304925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" name="Connecteur droit 34"/>
          <xdr:cNvCxnSpPr/>
        </xdr:nvCxnSpPr>
        <xdr:spPr>
          <a:xfrm flipH="1">
            <a:off x="3648077" y="1924051"/>
            <a:ext cx="731359" cy="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174625</xdr:colOff>
      <xdr:row>29</xdr:row>
      <xdr:rowOff>152400</xdr:rowOff>
    </xdr:from>
    <xdr:to>
      <xdr:col>6</xdr:col>
      <xdr:colOff>336550</xdr:colOff>
      <xdr:row>47</xdr:row>
      <xdr:rowOff>142875</xdr:rowOff>
    </xdr:to>
    <xdr:graphicFrame macro="">
      <xdr:nvGraphicFramePr>
        <xdr:cNvPr id="41" name="Graphique 4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6</xdr:row>
      <xdr:rowOff>66675</xdr:rowOff>
    </xdr:from>
    <xdr:to>
      <xdr:col>5</xdr:col>
      <xdr:colOff>9525</xdr:colOff>
      <xdr:row>10</xdr:row>
      <xdr:rowOff>95250</xdr:rowOff>
    </xdr:to>
    <xdr:cxnSp macro="">
      <xdr:nvCxnSpPr>
        <xdr:cNvPr id="2" name="Connecteur en angle 1"/>
        <xdr:cNvCxnSpPr/>
      </xdr:nvCxnSpPr>
      <xdr:spPr>
        <a:xfrm flipV="1">
          <a:off x="2409825" y="1095375"/>
          <a:ext cx="1752600" cy="704850"/>
        </a:xfrm>
        <a:prstGeom prst="bentConnector3">
          <a:avLst>
            <a:gd name="adj1" fmla="val 71196"/>
          </a:avLst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523875</xdr:colOff>
      <xdr:row>3</xdr:row>
      <xdr:rowOff>85725</xdr:rowOff>
    </xdr:from>
    <xdr:to>
      <xdr:col>4</xdr:col>
      <xdr:colOff>752475</xdr:colOff>
      <xdr:row>9</xdr:row>
      <xdr:rowOff>104775</xdr:rowOff>
    </xdr:to>
    <xdr:cxnSp macro="">
      <xdr:nvCxnSpPr>
        <xdr:cNvPr id="3" name="Connecteur en angle 2"/>
        <xdr:cNvCxnSpPr/>
      </xdr:nvCxnSpPr>
      <xdr:spPr>
        <a:xfrm flipV="1">
          <a:off x="2314575" y="781050"/>
          <a:ext cx="1828800" cy="1028700"/>
        </a:xfrm>
        <a:prstGeom prst="bentConnector3">
          <a:avLst>
            <a:gd name="adj1" fmla="val 65625"/>
          </a:avLst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771525</xdr:colOff>
      <xdr:row>10</xdr:row>
      <xdr:rowOff>95250</xdr:rowOff>
    </xdr:from>
    <xdr:to>
      <xdr:col>5</xdr:col>
      <xdr:colOff>0</xdr:colOff>
      <xdr:row>11</xdr:row>
      <xdr:rowOff>76200</xdr:rowOff>
    </xdr:to>
    <xdr:cxnSp macro="">
      <xdr:nvCxnSpPr>
        <xdr:cNvPr id="25" name="Connecteur en angle 24"/>
        <xdr:cNvCxnSpPr/>
      </xdr:nvCxnSpPr>
      <xdr:spPr>
        <a:xfrm flipV="1">
          <a:off x="2562225" y="1800225"/>
          <a:ext cx="1590675" cy="152400"/>
        </a:xfrm>
        <a:prstGeom prst="bentConnector3">
          <a:avLst>
            <a:gd name="adj1" fmla="val 79341"/>
          </a:avLst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781050</xdr:colOff>
      <xdr:row>12</xdr:row>
      <xdr:rowOff>85725</xdr:rowOff>
    </xdr:from>
    <xdr:to>
      <xdr:col>4</xdr:col>
      <xdr:colOff>742950</xdr:colOff>
      <xdr:row>14</xdr:row>
      <xdr:rowOff>85725</xdr:rowOff>
    </xdr:to>
    <xdr:cxnSp macro="">
      <xdr:nvCxnSpPr>
        <xdr:cNvPr id="29" name="Connecteur en angle 28"/>
        <xdr:cNvCxnSpPr/>
      </xdr:nvCxnSpPr>
      <xdr:spPr>
        <a:xfrm>
          <a:off x="2571750" y="2124075"/>
          <a:ext cx="1562100" cy="333375"/>
        </a:xfrm>
        <a:prstGeom prst="bentConnector3">
          <a:avLst>
            <a:gd name="adj1" fmla="val 89634"/>
          </a:avLst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13</xdr:row>
      <xdr:rowOff>85725</xdr:rowOff>
    </xdr:from>
    <xdr:to>
      <xdr:col>4</xdr:col>
      <xdr:colOff>752475</xdr:colOff>
      <xdr:row>18</xdr:row>
      <xdr:rowOff>85725</xdr:rowOff>
    </xdr:to>
    <xdr:cxnSp macro="">
      <xdr:nvCxnSpPr>
        <xdr:cNvPr id="32" name="Connecteur en angle 31"/>
        <xdr:cNvCxnSpPr/>
      </xdr:nvCxnSpPr>
      <xdr:spPr>
        <a:xfrm>
          <a:off x="2667000" y="2286000"/>
          <a:ext cx="1476375" cy="838200"/>
        </a:xfrm>
        <a:prstGeom prst="bentConnector3">
          <a:avLst>
            <a:gd name="adj1" fmla="val 78387"/>
          </a:avLst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733425</xdr:colOff>
      <xdr:row>14</xdr:row>
      <xdr:rowOff>95250</xdr:rowOff>
    </xdr:from>
    <xdr:to>
      <xdr:col>4</xdr:col>
      <xdr:colOff>752475</xdr:colOff>
      <xdr:row>22</xdr:row>
      <xdr:rowOff>76200</xdr:rowOff>
    </xdr:to>
    <xdr:cxnSp macro="">
      <xdr:nvCxnSpPr>
        <xdr:cNvPr id="35" name="Connecteur en angle 34"/>
        <xdr:cNvCxnSpPr/>
      </xdr:nvCxnSpPr>
      <xdr:spPr>
        <a:xfrm>
          <a:off x="2524125" y="2466975"/>
          <a:ext cx="1619250" cy="1314450"/>
        </a:xfrm>
        <a:prstGeom prst="bentConnector3">
          <a:avLst>
            <a:gd name="adj1" fmla="val 71176"/>
          </a:avLst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15</xdr:row>
      <xdr:rowOff>1</xdr:rowOff>
    </xdr:from>
    <xdr:to>
      <xdr:col>3</xdr:col>
      <xdr:colOff>666750</xdr:colOff>
      <xdr:row>17</xdr:row>
      <xdr:rowOff>1</xdr:rowOff>
    </xdr:to>
    <xdr:sp macro="" textlink="">
      <xdr:nvSpPr>
        <xdr:cNvPr id="38" name="Rectangle 37"/>
        <xdr:cNvSpPr/>
      </xdr:nvSpPr>
      <xdr:spPr>
        <a:xfrm>
          <a:off x="1866900" y="2543176"/>
          <a:ext cx="590550" cy="323850"/>
        </a:xfrm>
        <a:prstGeom prst="rect">
          <a:avLst/>
        </a:prstGeom>
        <a:noFill/>
        <a:ln w="9525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666750</xdr:colOff>
      <xdr:row>16</xdr:row>
      <xdr:rowOff>43963</xdr:rowOff>
    </xdr:from>
    <xdr:to>
      <xdr:col>4</xdr:col>
      <xdr:colOff>762000</xdr:colOff>
      <xdr:row>26</xdr:row>
      <xdr:rowOff>73106</xdr:rowOff>
    </xdr:to>
    <xdr:cxnSp macro="">
      <xdr:nvCxnSpPr>
        <xdr:cNvPr id="39" name="Connecteur en angle 38"/>
        <xdr:cNvCxnSpPr/>
      </xdr:nvCxnSpPr>
      <xdr:spPr>
        <a:xfrm>
          <a:off x="2454519" y="2718290"/>
          <a:ext cx="1692519" cy="1677701"/>
        </a:xfrm>
        <a:prstGeom prst="bentConnector3">
          <a:avLst>
            <a:gd name="adj1" fmla="val 62982"/>
          </a:avLst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9526</xdr:colOff>
      <xdr:row>6</xdr:row>
      <xdr:rowOff>95251</xdr:rowOff>
    </xdr:from>
    <xdr:to>
      <xdr:col>3</xdr:col>
      <xdr:colOff>76201</xdr:colOff>
      <xdr:row>8</xdr:row>
      <xdr:rowOff>76201</xdr:rowOff>
    </xdr:to>
    <xdr:cxnSp macro="">
      <xdr:nvCxnSpPr>
        <xdr:cNvPr id="16" name="Connecteur en angle 15"/>
        <xdr:cNvCxnSpPr/>
      </xdr:nvCxnSpPr>
      <xdr:spPr>
        <a:xfrm rot="10800000">
          <a:off x="1228726" y="1295401"/>
          <a:ext cx="695325" cy="314325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38099</xdr:colOff>
      <xdr:row>4</xdr:row>
      <xdr:rowOff>38101</xdr:rowOff>
    </xdr:from>
    <xdr:to>
      <xdr:col>4</xdr:col>
      <xdr:colOff>200024</xdr:colOff>
      <xdr:row>12</xdr:row>
      <xdr:rowOff>133351</xdr:rowOff>
    </xdr:to>
    <xdr:sp macro="" textlink="">
      <xdr:nvSpPr>
        <xdr:cNvPr id="30" name="Accolade ouvrante 29"/>
        <xdr:cNvSpPr/>
      </xdr:nvSpPr>
      <xdr:spPr>
        <a:xfrm>
          <a:off x="5162549" y="876301"/>
          <a:ext cx="161925" cy="1428750"/>
        </a:xfrm>
        <a:prstGeom prst="leftBrace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57150</xdr:colOff>
      <xdr:row>15</xdr:row>
      <xdr:rowOff>38100</xdr:rowOff>
    </xdr:from>
    <xdr:to>
      <xdr:col>4</xdr:col>
      <xdr:colOff>219075</xdr:colOff>
      <xdr:row>20</xdr:row>
      <xdr:rowOff>114300</xdr:rowOff>
    </xdr:to>
    <xdr:sp macro="" textlink="">
      <xdr:nvSpPr>
        <xdr:cNvPr id="31" name="Accolade ouvrante 30"/>
        <xdr:cNvSpPr/>
      </xdr:nvSpPr>
      <xdr:spPr>
        <a:xfrm>
          <a:off x="5181600" y="2695575"/>
          <a:ext cx="161925" cy="904875"/>
        </a:xfrm>
        <a:prstGeom prst="leftBrace">
          <a:avLst/>
        </a:prstGeom>
        <a:noFill/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952500</xdr:colOff>
      <xdr:row>7</xdr:row>
      <xdr:rowOff>85725</xdr:rowOff>
    </xdr:from>
    <xdr:to>
      <xdr:col>2</xdr:col>
      <xdr:colOff>742950</xdr:colOff>
      <xdr:row>8</xdr:row>
      <xdr:rowOff>76200</xdr:rowOff>
    </xdr:to>
    <xdr:cxnSp macro="">
      <xdr:nvCxnSpPr>
        <xdr:cNvPr id="33" name="Connecteur en angle 32"/>
        <xdr:cNvCxnSpPr/>
      </xdr:nvCxnSpPr>
      <xdr:spPr>
        <a:xfrm>
          <a:off x="2800350" y="1428750"/>
          <a:ext cx="1390650" cy="161925"/>
        </a:xfrm>
        <a:prstGeom prst="bentConnector3">
          <a:avLst>
            <a:gd name="adj1" fmla="val 63699"/>
          </a:avLst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603250</xdr:colOff>
      <xdr:row>9</xdr:row>
      <xdr:rowOff>95250</xdr:rowOff>
    </xdr:from>
    <xdr:to>
      <xdr:col>2</xdr:col>
      <xdr:colOff>752475</xdr:colOff>
      <xdr:row>18</xdr:row>
      <xdr:rowOff>0</xdr:rowOff>
    </xdr:to>
    <xdr:cxnSp macro="">
      <xdr:nvCxnSpPr>
        <xdr:cNvPr id="36" name="Connecteur en angle 35"/>
        <xdr:cNvCxnSpPr/>
      </xdr:nvCxnSpPr>
      <xdr:spPr>
        <a:xfrm>
          <a:off x="920750" y="1767417"/>
          <a:ext cx="1355725" cy="1354666"/>
        </a:xfrm>
        <a:prstGeom prst="bentConnector3">
          <a:avLst>
            <a:gd name="adj1" fmla="val 72639"/>
          </a:avLst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L Fargeas" refreshedDate="42857.585186458331" createdVersion="3" refreshedVersion="3" minRefreshableVersion="3" recordCount="24">
  <cacheSource type="worksheet">
    <worksheetSource ref="I3:R27" sheet="Logistic Process DB"/>
  </cacheSource>
  <cacheFields count="10">
    <cacheField name="Name" numFmtId="0">
      <sharedItems/>
    </cacheField>
    <cacheField name="Category" numFmtId="0">
      <sharedItems count="3">
        <s v="Non Prod"/>
        <s v="Prod Direct"/>
        <s v="Prod Indirect"/>
      </sharedItems>
    </cacheField>
    <cacheField name="Sub-Category" numFmtId="0">
      <sharedItems count="10">
        <s v="Management"/>
        <s v="HSE"/>
        <s v="Preparation"/>
        <s v="Logistic"/>
        <s v="QC &amp; NDT"/>
        <s v="PIP"/>
        <s v="E&amp;I"/>
        <s v="INS"/>
        <s v="Scaffolding"/>
        <s v="Painting"/>
      </sharedItems>
    </cacheField>
    <cacheField name="Occupation" numFmtId="0">
      <sharedItems/>
    </cacheField>
    <cacheField name="Company" numFmtId="0">
      <sharedItems/>
    </cacheField>
    <cacheField name="Origin" numFmtId="0">
      <sharedItems/>
    </cacheField>
    <cacheField name="Mob Date" numFmtId="16">
      <sharedItems containsSemiMixedTypes="0" containsNonDate="0" containsDate="1" containsString="0" minDate="2017-05-02T00:00:00" maxDate="2017-07-31T00:00:00" count="29">
        <d v="2017-05-02T00:00:00"/>
        <d v="2017-05-03T00:00:00"/>
        <d v="2017-05-04T00:00:00"/>
        <d v="2017-05-05T00:00:00"/>
        <d v="2017-05-06T00:00:00"/>
        <d v="2017-05-07T00:00:00"/>
        <d v="2017-05-08T00:00:00"/>
        <d v="2017-05-09T00:00:00"/>
        <d v="2017-05-10T00:00:00"/>
        <d v="2017-05-11T00:00:00"/>
        <d v="2017-05-12T00:00:00"/>
        <d v="2017-05-13T00:00:00"/>
        <d v="2017-05-14T00:00:00"/>
        <d v="2017-05-15T00:00:00"/>
        <d v="2017-05-16T00:00:00"/>
        <d v="2017-05-17T00:00:00"/>
        <d v="2017-05-18T00:00:00"/>
        <d v="2017-05-19T00:00:00"/>
        <d v="2017-05-20T00:00:00"/>
        <d v="2017-05-21T00:00:00"/>
        <d v="2017-05-22T00:00:00"/>
        <d v="2017-05-23T00:00:00"/>
        <d v="2017-05-24T00:00:00"/>
        <d v="2017-05-25T00:00:00"/>
        <d v="2017-06-15T00:00:00" u="1"/>
        <d v="2017-07-30T00:00:00" u="1"/>
        <d v="2017-06-30T00:00:00" u="1"/>
        <d v="2017-05-30T00:00:00" u="1"/>
        <d v="2017-06-05T00:00:00" u="1"/>
      </sharedItems>
    </cacheField>
    <cacheField name="Mob Week" numFmtId="0">
      <sharedItems containsSemiMixedTypes="0" containsString="0" containsNumber="1" containsInteger="1" minValue="18" maxValue="24" count="7">
        <n v="18"/>
        <n v="19"/>
        <n v="20"/>
        <n v="21"/>
        <n v="22" u="1"/>
        <n v="23" u="1"/>
        <n v="24" u="1"/>
      </sharedItems>
    </cacheField>
    <cacheField name="Demob Date" numFmtId="16">
      <sharedItems containsNonDate="0" containsString="0" containsBlank="1"/>
    </cacheField>
    <cacheField name="Demob Week" numFmtId="0">
      <sharedItems containsSemiMixedTypes="0" containsString="0" containsNumber="1" containsInteger="1" minValue="0" maxValue="0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L Fargeas" refreshedDate="42857.587722337965" createdVersion="3" refreshedVersion="3" minRefreshableVersion="3" recordCount="24">
  <cacheSource type="worksheet">
    <worksheetSource ref="H3:R27" sheet="Logistic Process DB"/>
  </cacheSource>
  <cacheFields count="11">
    <cacheField name="Clé" numFmtId="49">
      <sharedItems/>
    </cacheField>
    <cacheField name="Name" numFmtId="0">
      <sharedItems/>
    </cacheField>
    <cacheField name="Category" numFmtId="0">
      <sharedItems count="3">
        <s v="Non Prod"/>
        <s v="Prod Direct"/>
        <s v="Prod Indirect"/>
      </sharedItems>
    </cacheField>
    <cacheField name="Sub-Category" numFmtId="0">
      <sharedItems/>
    </cacheField>
    <cacheField name="Occupation" numFmtId="0">
      <sharedItems/>
    </cacheField>
    <cacheField name="Company" numFmtId="0">
      <sharedItems/>
    </cacheField>
    <cacheField name="Origin" numFmtId="0">
      <sharedItems/>
    </cacheField>
    <cacheField name="Mob Date" numFmtId="16">
      <sharedItems containsSemiMixedTypes="0" containsNonDate="0" containsDate="1" containsString="0" minDate="2017-05-02T00:00:00" maxDate="2017-05-26T00:00:00"/>
    </cacheField>
    <cacheField name="Mob Week" numFmtId="0">
      <sharedItems containsSemiMixedTypes="0" containsString="0" containsNumber="1" containsInteger="1" minValue="18" maxValue="21" count="4">
        <n v="18"/>
        <n v="19"/>
        <n v="20"/>
        <n v="21"/>
      </sharedItems>
    </cacheField>
    <cacheField name="Demob Date" numFmtId="16">
      <sharedItems containsNonDate="0" containsString="0" containsBlank="1"/>
    </cacheField>
    <cacheField name="Demob Week" numFmtId="0">
      <sharedItems containsSemiMixedTypes="0" containsString="0" containsNumber="1" containsInteger="1" minValue="0" maxValue="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s v="AAA"/>
    <x v="0"/>
    <x v="0"/>
    <s v="HU Leader"/>
    <s v="Ponticelli"/>
    <s v="Expat"/>
    <x v="0"/>
    <x v="0"/>
    <m/>
    <n v="0"/>
  </r>
  <r>
    <s v="BBB"/>
    <x v="0"/>
    <x v="0"/>
    <s v="E&amp;I HU Leader"/>
    <s v="SPIE"/>
    <s v="Expat"/>
    <x v="1"/>
    <x v="0"/>
    <m/>
    <n v="0"/>
  </r>
  <r>
    <s v="CCC"/>
    <x v="0"/>
    <x v="1"/>
    <s v="HSE Spdt"/>
    <s v="Ponticelli"/>
    <s v="Expat"/>
    <x v="2"/>
    <x v="0"/>
    <m/>
    <n v="0"/>
  </r>
  <r>
    <s v="DDD"/>
    <x v="0"/>
    <x v="1"/>
    <s v="HSE Officer"/>
    <s v="Ponticelli"/>
    <s v="Expat"/>
    <x v="3"/>
    <x v="0"/>
    <m/>
    <n v="0"/>
  </r>
  <r>
    <s v="EEE"/>
    <x v="0"/>
    <x v="1"/>
    <s v="Fire watch"/>
    <s v="Ponticelli"/>
    <s v="Local"/>
    <x v="4"/>
    <x v="0"/>
    <m/>
    <n v="0"/>
  </r>
  <r>
    <s v="FFF"/>
    <x v="0"/>
    <x v="2"/>
    <s v="WP Coordinator"/>
    <s v="Ponticelli"/>
    <s v="Expat"/>
    <x v="5"/>
    <x v="1"/>
    <m/>
    <n v="0"/>
  </r>
  <r>
    <s v="GGG"/>
    <x v="0"/>
    <x v="2"/>
    <s v="Work Preparation"/>
    <s v="Ponticelli"/>
    <s v="Expat"/>
    <x v="6"/>
    <x v="1"/>
    <m/>
    <n v="0"/>
  </r>
  <r>
    <s v="HHH"/>
    <x v="0"/>
    <x v="3"/>
    <s v="Materiel Logistic"/>
    <s v="Ponticelli"/>
    <s v="Local"/>
    <x v="7"/>
    <x v="1"/>
    <m/>
    <n v="0"/>
  </r>
  <r>
    <s v="III"/>
    <x v="0"/>
    <x v="3"/>
    <s v="E&amp;I Materiel Logistic"/>
    <s v="SPIE"/>
    <s v="Local"/>
    <x v="8"/>
    <x v="1"/>
    <m/>
    <n v="0"/>
  </r>
  <r>
    <s v="JJJ"/>
    <x v="0"/>
    <x v="2"/>
    <s v="Welding Chief"/>
    <s v="Ponticelli"/>
    <s v="Expat"/>
    <x v="9"/>
    <x v="1"/>
    <m/>
    <n v="0"/>
  </r>
  <r>
    <s v="KKK"/>
    <x v="0"/>
    <x v="4"/>
    <s v="Pre-Com Leader"/>
    <s v="Ponticelli"/>
    <s v="Expat"/>
    <x v="10"/>
    <x v="1"/>
    <m/>
    <n v="0"/>
  </r>
  <r>
    <s v="LLL"/>
    <x v="0"/>
    <x v="0"/>
    <s v="Supervisor E&amp;I"/>
    <s v="SPIE"/>
    <s v="Expat"/>
    <x v="11"/>
    <x v="1"/>
    <m/>
    <n v="0"/>
  </r>
  <r>
    <s v="MMM"/>
    <x v="0"/>
    <x v="0"/>
    <s v="Spdt Mechanical"/>
    <s v="Ponticelli"/>
    <s v="Expat"/>
    <x v="12"/>
    <x v="2"/>
    <m/>
    <n v="0"/>
  </r>
  <r>
    <s v="NNN"/>
    <x v="0"/>
    <x v="0"/>
    <s v="Piping Supervisor"/>
    <s v="Ponticelli"/>
    <s v="Expat"/>
    <x v="13"/>
    <x v="2"/>
    <m/>
    <n v="0"/>
  </r>
  <r>
    <s v="OOO"/>
    <x v="1"/>
    <x v="5"/>
    <s v="Piping Foreman"/>
    <s v="Ponticelli"/>
    <s v="Local"/>
    <x v="14"/>
    <x v="2"/>
    <m/>
    <n v="0"/>
  </r>
  <r>
    <s v="PPP"/>
    <x v="1"/>
    <x v="5"/>
    <s v="Cs Welder"/>
    <s v="Ponticelli"/>
    <s v="Local"/>
    <x v="15"/>
    <x v="2"/>
    <m/>
    <n v="0"/>
  </r>
  <r>
    <s v="QQQ"/>
    <x v="1"/>
    <x v="5"/>
    <s v="SS Welder"/>
    <s v="Ponticelli"/>
    <s v="Local"/>
    <x v="16"/>
    <x v="2"/>
    <m/>
    <n v="0"/>
  </r>
  <r>
    <s v="RRR"/>
    <x v="1"/>
    <x v="5"/>
    <s v="Pipe Fitter"/>
    <s v="Ponticelli"/>
    <s v="Local"/>
    <x v="17"/>
    <x v="2"/>
    <m/>
    <n v="0"/>
  </r>
  <r>
    <s v="SSS"/>
    <x v="1"/>
    <x v="5"/>
    <s v="Helper"/>
    <s v="Ponticelli"/>
    <s v="Local"/>
    <x v="18"/>
    <x v="2"/>
    <m/>
    <n v="0"/>
  </r>
  <r>
    <s v="TTT"/>
    <x v="1"/>
    <x v="6"/>
    <s v="Foreman E&amp;I"/>
    <s v="SPIE"/>
    <s v="Expat"/>
    <x v="19"/>
    <x v="3"/>
    <m/>
    <n v="0"/>
  </r>
  <r>
    <s v="UUU"/>
    <x v="1"/>
    <x v="7"/>
    <s v="Instrum Techn."/>
    <s v="SPIE"/>
    <s v="Expat"/>
    <x v="20"/>
    <x v="3"/>
    <m/>
    <n v="0"/>
  </r>
  <r>
    <s v="VVV"/>
    <x v="1"/>
    <x v="7"/>
    <s v="E&amp;I Helper"/>
    <s v="SPIE"/>
    <s v="Local"/>
    <x v="21"/>
    <x v="3"/>
    <m/>
    <n v="0"/>
  </r>
  <r>
    <s v="WWW"/>
    <x v="2"/>
    <x v="8"/>
    <s v="Scaffolder"/>
    <s v="Prezioso"/>
    <s v="Local"/>
    <x v="22"/>
    <x v="3"/>
    <m/>
    <n v="0"/>
  </r>
  <r>
    <s v="XXX"/>
    <x v="2"/>
    <x v="9"/>
    <s v="Painter"/>
    <s v="Prezioso"/>
    <s v="Local"/>
    <x v="23"/>
    <x v="3"/>
    <m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4">
  <r>
    <s v="01"/>
    <s v="AAA"/>
    <x v="0"/>
    <s v="Management"/>
    <s v="HU Leader"/>
    <s v="Ponticelli"/>
    <s v="Expat"/>
    <d v="2017-05-02T00:00:00"/>
    <x v="0"/>
    <m/>
    <n v="0"/>
  </r>
  <r>
    <s v="02"/>
    <s v="BBB"/>
    <x v="0"/>
    <s v="Management"/>
    <s v="E&amp;I HU Leader"/>
    <s v="SPIE"/>
    <s v="Expat"/>
    <d v="2017-05-03T00:00:00"/>
    <x v="0"/>
    <m/>
    <n v="0"/>
  </r>
  <r>
    <s v="03"/>
    <s v="CCC"/>
    <x v="0"/>
    <s v="HSE"/>
    <s v="HSE Spdt"/>
    <s v="Ponticelli"/>
    <s v="Expat"/>
    <d v="2017-05-04T00:00:00"/>
    <x v="0"/>
    <m/>
    <n v="0"/>
  </r>
  <r>
    <s v="04"/>
    <s v="DDD"/>
    <x v="0"/>
    <s v="HSE"/>
    <s v="HSE Officer"/>
    <s v="Ponticelli"/>
    <s v="Expat"/>
    <d v="2017-05-05T00:00:00"/>
    <x v="0"/>
    <m/>
    <n v="0"/>
  </r>
  <r>
    <s v="05"/>
    <s v="EEE"/>
    <x v="0"/>
    <s v="HSE"/>
    <s v="Fire watch"/>
    <s v="Ponticelli"/>
    <s v="Local"/>
    <d v="2017-05-06T00:00:00"/>
    <x v="0"/>
    <m/>
    <n v="0"/>
  </r>
  <r>
    <s v="06"/>
    <s v="FFF"/>
    <x v="0"/>
    <s v="Preparation"/>
    <s v="WP Coordinator"/>
    <s v="Ponticelli"/>
    <s v="Expat"/>
    <d v="2017-05-07T00:00:00"/>
    <x v="1"/>
    <m/>
    <n v="0"/>
  </r>
  <r>
    <s v="07"/>
    <s v="GGG"/>
    <x v="0"/>
    <s v="Preparation"/>
    <s v="Work Preparation"/>
    <s v="Ponticelli"/>
    <s v="Expat"/>
    <d v="2017-05-08T00:00:00"/>
    <x v="1"/>
    <m/>
    <n v="0"/>
  </r>
  <r>
    <s v="08"/>
    <s v="HHH"/>
    <x v="0"/>
    <s v="Logistic"/>
    <s v="Materiel Logistic"/>
    <s v="Ponticelli"/>
    <s v="Local"/>
    <d v="2017-05-09T00:00:00"/>
    <x v="1"/>
    <m/>
    <n v="0"/>
  </r>
  <r>
    <s v="09"/>
    <s v="III"/>
    <x v="0"/>
    <s v="Logistic"/>
    <s v="E&amp;I Materiel Logistic"/>
    <s v="SPIE"/>
    <s v="Local"/>
    <d v="2017-05-10T00:00:00"/>
    <x v="1"/>
    <m/>
    <n v="0"/>
  </r>
  <r>
    <s v="10"/>
    <s v="JJJ"/>
    <x v="0"/>
    <s v="Preparation"/>
    <s v="Welding Chief"/>
    <s v="Ponticelli"/>
    <s v="Expat"/>
    <d v="2017-05-11T00:00:00"/>
    <x v="1"/>
    <m/>
    <n v="0"/>
  </r>
  <r>
    <s v="11"/>
    <s v="KKK"/>
    <x v="0"/>
    <s v="QC &amp; NDT"/>
    <s v="Pre-Com Leader"/>
    <s v="Ponticelli"/>
    <s v="Expat"/>
    <d v="2017-05-12T00:00:00"/>
    <x v="1"/>
    <m/>
    <n v="0"/>
  </r>
  <r>
    <s v="12"/>
    <s v="LLL"/>
    <x v="0"/>
    <s v="Management"/>
    <s v="Supervisor E&amp;I"/>
    <s v="SPIE"/>
    <s v="Expat"/>
    <d v="2017-05-13T00:00:00"/>
    <x v="1"/>
    <m/>
    <n v="0"/>
  </r>
  <r>
    <s v="13"/>
    <s v="MMM"/>
    <x v="0"/>
    <s v="Management"/>
    <s v="Spdt Mechanical"/>
    <s v="Ponticelli"/>
    <s v="Expat"/>
    <d v="2017-05-14T00:00:00"/>
    <x v="2"/>
    <m/>
    <n v="0"/>
  </r>
  <r>
    <s v="14"/>
    <s v="NNN"/>
    <x v="0"/>
    <s v="Management"/>
    <s v="Piping Supervisor"/>
    <s v="Ponticelli"/>
    <s v="Expat"/>
    <d v="2017-05-15T00:00:00"/>
    <x v="2"/>
    <m/>
    <n v="0"/>
  </r>
  <r>
    <s v="15"/>
    <s v="OOO"/>
    <x v="1"/>
    <s v="PIP"/>
    <s v="Piping Foreman"/>
    <s v="Ponticelli"/>
    <s v="Local"/>
    <d v="2017-05-16T00:00:00"/>
    <x v="2"/>
    <m/>
    <n v="0"/>
  </r>
  <r>
    <s v="16"/>
    <s v="PPP"/>
    <x v="1"/>
    <s v="PIP"/>
    <s v="Cs Welder"/>
    <s v="Ponticelli"/>
    <s v="Local"/>
    <d v="2017-05-17T00:00:00"/>
    <x v="2"/>
    <m/>
    <n v="0"/>
  </r>
  <r>
    <s v="17"/>
    <s v="QQQ"/>
    <x v="1"/>
    <s v="PIP"/>
    <s v="SS Welder"/>
    <s v="Ponticelli"/>
    <s v="Local"/>
    <d v="2017-05-18T00:00:00"/>
    <x v="2"/>
    <m/>
    <n v="0"/>
  </r>
  <r>
    <s v="18"/>
    <s v="RRR"/>
    <x v="1"/>
    <s v="PIP"/>
    <s v="Pipe Fitter"/>
    <s v="Ponticelli"/>
    <s v="Local"/>
    <d v="2017-05-19T00:00:00"/>
    <x v="2"/>
    <m/>
    <n v="0"/>
  </r>
  <r>
    <s v="19"/>
    <s v="SSS"/>
    <x v="1"/>
    <s v="PIP"/>
    <s v="Helper"/>
    <s v="Ponticelli"/>
    <s v="Local"/>
    <d v="2017-05-20T00:00:00"/>
    <x v="2"/>
    <m/>
    <n v="0"/>
  </r>
  <r>
    <s v="20"/>
    <s v="TTT"/>
    <x v="1"/>
    <s v="E&amp;I"/>
    <s v="Foreman E&amp;I"/>
    <s v="SPIE"/>
    <s v="Expat"/>
    <d v="2017-05-21T00:00:00"/>
    <x v="3"/>
    <m/>
    <n v="0"/>
  </r>
  <r>
    <s v="21"/>
    <s v="UUU"/>
    <x v="1"/>
    <s v="INS"/>
    <s v="Instrum Techn."/>
    <s v="SPIE"/>
    <s v="Expat"/>
    <d v="2017-05-22T00:00:00"/>
    <x v="3"/>
    <m/>
    <n v="0"/>
  </r>
  <r>
    <s v="22"/>
    <s v="VVV"/>
    <x v="1"/>
    <s v="INS"/>
    <s v="E&amp;I Helper"/>
    <s v="SPIE"/>
    <s v="Local"/>
    <d v="2017-05-23T00:00:00"/>
    <x v="3"/>
    <m/>
    <n v="0"/>
  </r>
  <r>
    <s v="23"/>
    <s v="WWW"/>
    <x v="2"/>
    <s v="Scaffolding"/>
    <s v="Scaffolder"/>
    <s v="Prezioso"/>
    <s v="Local"/>
    <d v="2017-05-24T00:00:00"/>
    <x v="3"/>
    <m/>
    <n v="0"/>
  </r>
  <r>
    <s v="24"/>
    <s v="XXX"/>
    <x v="2"/>
    <s v="Painting"/>
    <s v="Painter"/>
    <s v="Prezioso"/>
    <s v="Local"/>
    <d v="2017-05-25T00:00:00"/>
    <x v="3"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grandTotalCaption="Total POB" updatedVersion="3" minRefreshableVersion="3" showCalcMbrs="0" itemPrintTitles="1" createdVersion="3" indent="0" outline="1" outlineData="1" multipleFieldFilters="0" chartFormat="4" rowHeaderCaption="Week" colHeaderCaption="Categories">
  <location ref="H44:L50" firstHeaderRow="1" firstDataRow="2" firstDataCol="1"/>
  <pivotFields count="11">
    <pivotField showAll="0"/>
    <pivotField showAll="0"/>
    <pivotField axis="axisCol" dataField="1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numFmtId="16" showAll="0"/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</pivotFields>
  <rowFields count="1">
    <field x="8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POB by Category" fld="2" subtotal="count" baseField="0" baseItem="0"/>
  </dataFields>
  <formats count="4">
    <format dxfId="3">
      <pivotArea type="all" dataOnly="0" outline="0" fieldPosition="0"/>
    </format>
    <format dxfId="2">
      <pivotArea type="all" dataOnly="0" outline="0" fieldPosition="0"/>
    </format>
    <format dxfId="1">
      <pivotArea type="all" dataOnly="0" outline="0" fieldPosition="0"/>
    </format>
    <format dxfId="0">
      <pivotArea dataOnly="0" labelOnly="1" fieldPosition="0">
        <references count="1">
          <reference field="2" count="0"/>
        </references>
      </pivotArea>
    </format>
  </formats>
  <chartFormats count="9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  <chartFormat chart="0" format="4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8" count="1" selected="0">
            <x v="3"/>
          </reference>
        </references>
      </pivotArea>
    </chartFormat>
    <chartFormat chart="0" format="5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8" count="1" selected="0">
            <x v="3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grandTotalCaption="Total POB" updatedVersion="3" minRefreshableVersion="3" showCalcMbrs="0" itemPrintTitles="1" createdVersion="3" indent="0" outline="1" outlineData="1" multipleFieldFilters="0" rowHeaderCaption="By Occupation / Trade" colHeaderCaption="Days">
  <location ref="H34:N40" firstHeaderRow="1" firstDataRow="2" firstDataCol="1" rowPageCount="2" colPageCount="1"/>
  <pivotFields count="10">
    <pivotField showAll="0"/>
    <pivotField axis="axisPage" showAll="0">
      <items count="4">
        <item x="0"/>
        <item x="1"/>
        <item x="2"/>
        <item t="default"/>
      </items>
    </pivotField>
    <pivotField axis="axisRow" dataField="1" showAll="0">
      <items count="11">
        <item x="0"/>
        <item x="1"/>
        <item x="4"/>
        <item x="2"/>
        <item x="3"/>
        <item x="5"/>
        <item x="6"/>
        <item x="7"/>
        <item x="9"/>
        <item x="8"/>
        <item t="default"/>
      </items>
    </pivotField>
    <pivotField showAll="0"/>
    <pivotField showAll="0"/>
    <pivotField showAll="0"/>
    <pivotField axis="axisCol" numFmtId="16" showAll="0">
      <items count="30">
        <item x="0"/>
        <item x="5"/>
        <item x="13"/>
        <item x="18"/>
        <item m="1" x="27"/>
        <item m="1" x="28"/>
        <item m="1" x="24"/>
        <item m="1" x="26"/>
        <item m="1" x="25"/>
        <item x="1"/>
        <item x="2"/>
        <item x="3"/>
        <item x="4"/>
        <item x="6"/>
        <item x="7"/>
        <item x="8"/>
        <item x="9"/>
        <item x="10"/>
        <item x="11"/>
        <item x="12"/>
        <item x="14"/>
        <item x="15"/>
        <item x="16"/>
        <item x="17"/>
        <item x="19"/>
        <item x="20"/>
        <item x="21"/>
        <item x="22"/>
        <item x="23"/>
        <item t="default"/>
      </items>
    </pivotField>
    <pivotField name="Week" axis="axisPage" multipleItemSelectionAllowed="1" showAll="0" defaultSubtotal="0">
      <items count="7">
        <item h="1" x="0"/>
        <item h="1" x="1"/>
        <item h="1" x="2"/>
        <item x="3"/>
        <item h="1" m="1" x="4"/>
        <item h="1" m="1" x="5"/>
        <item h="1" m="1" x="6"/>
      </items>
    </pivotField>
    <pivotField numFmtId="16" showAll="0"/>
    <pivotField showAll="0"/>
  </pivotFields>
  <rowFields count="1">
    <field x="2"/>
  </rowFields>
  <rowItems count="5">
    <i>
      <x v="6"/>
    </i>
    <i>
      <x v="7"/>
    </i>
    <i>
      <x v="8"/>
    </i>
    <i>
      <x v="9"/>
    </i>
    <i t="grand">
      <x/>
    </i>
  </rowItems>
  <colFields count="1">
    <field x="6"/>
  </colFields>
  <colItems count="6">
    <i>
      <x v="24"/>
    </i>
    <i>
      <x v="25"/>
    </i>
    <i>
      <x v="26"/>
    </i>
    <i>
      <x v="27"/>
    </i>
    <i>
      <x v="28"/>
    </i>
    <i t="grand">
      <x/>
    </i>
  </colItems>
  <pageFields count="2">
    <pageField fld="1" hier="-1"/>
    <pageField fld="7" hier="-1"/>
  </pageFields>
  <dataFields count="1">
    <dataField name="POB per Day" fld="2" subtotal="count" baseField="0" baseItem="0"/>
  </dataFields>
  <formats count="11">
    <format dxfId="14">
      <pivotArea type="all" dataOnly="0" outline="0" fieldPosition="0"/>
    </format>
    <format dxfId="13">
      <pivotArea type="all" dataOnly="0" outline="0" fieldPosition="0"/>
    </format>
    <format dxfId="12">
      <pivotArea type="all" dataOnly="0" outline="0" fieldPosition="0"/>
    </format>
    <format dxfId="11">
      <pivotArea dataOnly="0" labelOnly="1" fieldPosition="0">
        <references count="1">
          <reference field="2" count="0"/>
        </references>
      </pivotArea>
    </format>
    <format dxfId="10">
      <pivotArea field="1" type="button" dataOnly="0" labelOnly="1" outline="0" axis="axisPage" fieldPosition="0"/>
    </format>
    <format dxfId="9">
      <pivotArea dataOnly="0" labelOnly="1" outline="0" fieldPosition="0">
        <references count="1">
          <reference field="1" count="0"/>
        </references>
      </pivotArea>
    </format>
    <format dxfId="8">
      <pivotArea field="1" type="button" dataOnly="0" labelOnly="1" outline="0" axis="axisPage" fieldPosition="0"/>
    </format>
    <format dxfId="7">
      <pivotArea field="7" type="button" dataOnly="0" labelOnly="1" outline="0" axis="axisPage" fieldPosition="1"/>
    </format>
    <format dxfId="6">
      <pivotArea field="7" type="button" dataOnly="0" labelOnly="1" outline="0" axis="axisPage" fieldPosition="1"/>
    </format>
    <format dxfId="5">
      <pivotArea field="7" type="button" dataOnly="0" labelOnly="1" outline="0" axis="axisPage" fieldPosition="1"/>
    </format>
    <format dxfId="4">
      <pivotArea field="1" type="button" dataOnly="0" labelOnly="1" outline="0" axis="axisPage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Fonderi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63500" h="635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AE15"/>
  <sheetViews>
    <sheetView tabSelected="1" workbookViewId="0">
      <selection activeCell="C18" sqref="C18"/>
    </sheetView>
  </sheetViews>
  <sheetFormatPr baseColWidth="10" defaultRowHeight="11.25"/>
  <cols>
    <col min="1" max="1" width="20.28515625" style="225" customWidth="1"/>
    <col min="2" max="2" width="17.7109375" style="225" customWidth="1"/>
    <col min="3" max="3" width="15.7109375" style="225" customWidth="1"/>
    <col min="4" max="4" width="10.28515625" style="226" customWidth="1"/>
    <col min="5" max="5" width="11.28515625" style="226" customWidth="1"/>
    <col min="6" max="6" width="18.85546875" style="225" customWidth="1"/>
    <col min="7" max="7" width="7.7109375" style="225" customWidth="1"/>
    <col min="8" max="8" width="12" style="225" customWidth="1"/>
    <col min="9" max="9" width="9.7109375" style="225" customWidth="1"/>
    <col min="10" max="10" width="4.5703125" style="225" customWidth="1"/>
    <col min="11" max="12" width="9.7109375" style="225" customWidth="1"/>
    <col min="13" max="13" width="7.7109375" style="225" customWidth="1"/>
    <col min="14" max="14" width="9.7109375" style="227" customWidth="1"/>
    <col min="15" max="15" width="6.7109375" style="227" customWidth="1"/>
    <col min="16" max="30" width="6.7109375" style="228" customWidth="1"/>
    <col min="31" max="31" width="8" style="228" customWidth="1"/>
    <col min="32" max="32" width="11.42578125" style="228"/>
    <col min="33" max="34" width="9.42578125" style="228" customWidth="1"/>
    <col min="35" max="35" width="12.42578125" style="228" customWidth="1"/>
    <col min="36" max="16384" width="11.42578125" style="228"/>
  </cols>
  <sheetData>
    <row r="1" spans="1:31" s="225" customFormat="1" ht="35.25" customHeight="1" thickBot="1">
      <c r="A1" s="207" t="s">
        <v>602</v>
      </c>
      <c r="B1" s="207" t="s">
        <v>358</v>
      </c>
      <c r="C1" s="207" t="s">
        <v>586</v>
      </c>
      <c r="D1" s="207" t="s">
        <v>82</v>
      </c>
      <c r="E1" s="207" t="s">
        <v>361</v>
      </c>
      <c r="F1" s="207" t="s">
        <v>356</v>
      </c>
      <c r="G1" s="207" t="s">
        <v>143</v>
      </c>
      <c r="H1" s="207" t="s">
        <v>585</v>
      </c>
      <c r="I1" s="208" t="s">
        <v>4</v>
      </c>
      <c r="J1" s="208" t="s">
        <v>639</v>
      </c>
      <c r="K1" s="208" t="s">
        <v>491</v>
      </c>
      <c r="L1" s="208" t="s">
        <v>0</v>
      </c>
      <c r="M1" s="208" t="s">
        <v>594</v>
      </c>
      <c r="N1" s="208" t="s">
        <v>2</v>
      </c>
      <c r="O1" s="206" t="s">
        <v>3</v>
      </c>
      <c r="P1" s="208" t="s">
        <v>523</v>
      </c>
      <c r="Q1" s="208" t="s">
        <v>524</v>
      </c>
      <c r="R1" s="208" t="s">
        <v>587</v>
      </c>
      <c r="S1" s="208" t="s">
        <v>588</v>
      </c>
      <c r="T1" s="206" t="s">
        <v>525</v>
      </c>
      <c r="U1" s="208" t="s">
        <v>526</v>
      </c>
      <c r="V1" s="208" t="s">
        <v>527</v>
      </c>
      <c r="W1" s="208" t="s">
        <v>528</v>
      </c>
      <c r="X1" s="208" t="s">
        <v>529</v>
      </c>
      <c r="Y1" s="208" t="s">
        <v>530</v>
      </c>
      <c r="Z1" s="208" t="s">
        <v>531</v>
      </c>
      <c r="AA1" s="208" t="s">
        <v>532</v>
      </c>
      <c r="AB1" s="208" t="s">
        <v>533</v>
      </c>
      <c r="AC1" s="208" t="s">
        <v>534</v>
      </c>
      <c r="AD1" s="208" t="s">
        <v>535</v>
      </c>
      <c r="AE1" s="206" t="s">
        <v>560</v>
      </c>
    </row>
    <row r="2" spans="1:31" s="225" customFormat="1">
      <c r="A2" s="38" t="str">
        <f t="shared" ref="A2:A15" si="0">B2&amp;" "&amp;C2</f>
        <v>aaa 111</v>
      </c>
      <c r="B2" s="38" t="s">
        <v>638</v>
      </c>
      <c r="C2" s="38">
        <v>111</v>
      </c>
      <c r="D2" s="38"/>
      <c r="E2" s="38"/>
      <c r="F2" s="204"/>
      <c r="G2" s="38"/>
      <c r="H2" s="38"/>
      <c r="I2" s="209"/>
      <c r="J2" s="209"/>
      <c r="K2" s="209"/>
      <c r="L2" s="209" t="s">
        <v>641</v>
      </c>
      <c r="M2" s="209"/>
      <c r="N2" s="17">
        <f ca="1">TODAY()</f>
        <v>42934</v>
      </c>
      <c r="O2" s="22">
        <f t="shared" ref="O2" ca="1" si="1">IF(N2="","",(WEEKNUM(N2)))</f>
        <v>29</v>
      </c>
      <c r="P2" s="205">
        <v>0</v>
      </c>
      <c r="Q2" s="205">
        <v>0</v>
      </c>
      <c r="R2" s="205">
        <v>0</v>
      </c>
      <c r="S2" s="205">
        <v>0</v>
      </c>
      <c r="T2" s="43">
        <f t="shared" ref="T2:T15" si="2">S2+R2</f>
        <v>0</v>
      </c>
      <c r="U2" s="205">
        <v>0</v>
      </c>
      <c r="V2" s="205">
        <v>0</v>
      </c>
      <c r="W2" s="205">
        <v>0</v>
      </c>
      <c r="X2" s="205">
        <v>0</v>
      </c>
      <c r="Y2" s="205">
        <v>0</v>
      </c>
      <c r="Z2" s="205">
        <v>0</v>
      </c>
      <c r="AA2" s="205">
        <v>0</v>
      </c>
      <c r="AB2" s="205">
        <v>0</v>
      </c>
      <c r="AC2" s="205">
        <v>0</v>
      </c>
      <c r="AD2" s="205">
        <v>0</v>
      </c>
      <c r="AE2" s="43">
        <f t="shared" ref="AE2:AE15" si="3">12-SUM(P2:AD2)+T2</f>
        <v>12</v>
      </c>
    </row>
    <row r="3" spans="1:31" s="225" customFormat="1">
      <c r="A3" s="38" t="str">
        <f t="shared" si="0"/>
        <v>yyy 222</v>
      </c>
      <c r="B3" s="38" t="s">
        <v>190</v>
      </c>
      <c r="C3" s="38">
        <v>222</v>
      </c>
      <c r="D3" s="38" t="s">
        <v>152</v>
      </c>
      <c r="E3" s="38"/>
      <c r="F3" s="204"/>
      <c r="G3" s="38"/>
      <c r="H3" s="38"/>
      <c r="I3" s="209" t="s">
        <v>589</v>
      </c>
      <c r="J3" s="209" t="s">
        <v>640</v>
      </c>
      <c r="K3" s="209" t="s">
        <v>573</v>
      </c>
      <c r="L3" s="209" t="s">
        <v>641</v>
      </c>
      <c r="M3" s="209"/>
      <c r="N3" s="17">
        <v>42914</v>
      </c>
      <c r="O3" s="22">
        <f t="shared" ref="O3" si="4">IF(N3="","",(WEEKNUM(N3)))</f>
        <v>26</v>
      </c>
      <c r="P3" s="205"/>
      <c r="Q3" s="205"/>
      <c r="R3" s="205"/>
      <c r="S3" s="205"/>
      <c r="T3" s="43">
        <f t="shared" si="2"/>
        <v>0</v>
      </c>
      <c r="U3" s="205"/>
      <c r="V3" s="205">
        <v>0</v>
      </c>
      <c r="W3" s="205">
        <v>0</v>
      </c>
      <c r="X3" s="205"/>
      <c r="Y3" s="205"/>
      <c r="Z3" s="205"/>
      <c r="AA3" s="205"/>
      <c r="AB3" s="205"/>
      <c r="AC3" s="205"/>
      <c r="AD3" s="205"/>
      <c r="AE3" s="43">
        <f t="shared" si="3"/>
        <v>12</v>
      </c>
    </row>
    <row r="4" spans="1:31" s="225" customFormat="1">
      <c r="A4" s="38" t="str">
        <f t="shared" si="0"/>
        <v>zzz 333</v>
      </c>
      <c r="B4" s="38" t="s">
        <v>191</v>
      </c>
      <c r="C4" s="38">
        <v>333</v>
      </c>
      <c r="D4" s="38" t="s">
        <v>363</v>
      </c>
      <c r="E4" s="38"/>
      <c r="F4" s="204"/>
      <c r="G4" s="38"/>
      <c r="H4" s="38"/>
      <c r="I4" s="209" t="s">
        <v>589</v>
      </c>
      <c r="J4" s="209" t="s">
        <v>640</v>
      </c>
      <c r="K4" s="209" t="s">
        <v>573</v>
      </c>
      <c r="L4" s="209" t="s">
        <v>642</v>
      </c>
      <c r="M4" s="209"/>
      <c r="N4" s="17">
        <v>42913</v>
      </c>
      <c r="O4" s="22">
        <f t="shared" ref="O4:O6" si="5">IF(N4="","",(WEEKNUM(N4)))</f>
        <v>26</v>
      </c>
      <c r="P4" s="205"/>
      <c r="Q4" s="205"/>
      <c r="R4" s="205"/>
      <c r="S4" s="205"/>
      <c r="T4" s="43">
        <f t="shared" si="2"/>
        <v>0</v>
      </c>
      <c r="U4" s="205"/>
      <c r="V4" s="205">
        <v>0</v>
      </c>
      <c r="W4" s="205">
        <v>0</v>
      </c>
      <c r="X4" s="205"/>
      <c r="Y4" s="205"/>
      <c r="Z4" s="205"/>
      <c r="AA4" s="205"/>
      <c r="AB4" s="205"/>
      <c r="AC4" s="205"/>
      <c r="AD4" s="205"/>
      <c r="AE4" s="43">
        <f t="shared" si="3"/>
        <v>12</v>
      </c>
    </row>
    <row r="5" spans="1:31" s="225" customFormat="1">
      <c r="A5" s="38" t="str">
        <f t="shared" si="0"/>
        <v>xxx 111</v>
      </c>
      <c r="B5" s="38" t="s">
        <v>189</v>
      </c>
      <c r="C5" s="38">
        <v>111</v>
      </c>
      <c r="D5" s="38" t="s">
        <v>363</v>
      </c>
      <c r="E5" s="38" t="s">
        <v>632</v>
      </c>
      <c r="F5" s="204"/>
      <c r="G5" s="38" t="s">
        <v>143</v>
      </c>
      <c r="H5" s="38" t="s">
        <v>585</v>
      </c>
      <c r="I5" s="209" t="s">
        <v>589</v>
      </c>
      <c r="J5" s="209" t="s">
        <v>640</v>
      </c>
      <c r="K5" s="209"/>
      <c r="L5" s="209" t="s">
        <v>643</v>
      </c>
      <c r="M5" s="209"/>
      <c r="N5" s="17">
        <v>42890</v>
      </c>
      <c r="O5" s="22">
        <f t="shared" si="5"/>
        <v>23</v>
      </c>
      <c r="P5" s="205"/>
      <c r="Q5" s="205"/>
      <c r="R5" s="205"/>
      <c r="S5" s="205"/>
      <c r="T5" s="43">
        <f t="shared" si="2"/>
        <v>0</v>
      </c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43">
        <f t="shared" si="3"/>
        <v>12</v>
      </c>
    </row>
    <row r="6" spans="1:31" s="225" customFormat="1">
      <c r="A6" s="38" t="str">
        <f t="shared" si="0"/>
        <v>yyy 222</v>
      </c>
      <c r="B6" s="38" t="s">
        <v>190</v>
      </c>
      <c r="C6" s="38">
        <v>222</v>
      </c>
      <c r="D6" s="38" t="s">
        <v>363</v>
      </c>
      <c r="E6" s="38"/>
      <c r="F6" s="204"/>
      <c r="G6" s="38"/>
      <c r="H6" s="38"/>
      <c r="I6" s="209" t="s">
        <v>589</v>
      </c>
      <c r="J6" s="209" t="s">
        <v>640</v>
      </c>
      <c r="K6" s="209" t="s">
        <v>573</v>
      </c>
      <c r="L6" s="209" t="s">
        <v>644</v>
      </c>
      <c r="M6" s="209"/>
      <c r="N6" s="17">
        <v>42911</v>
      </c>
      <c r="O6" s="22">
        <f t="shared" si="5"/>
        <v>26</v>
      </c>
      <c r="P6" s="205"/>
      <c r="Q6" s="205"/>
      <c r="R6" s="205"/>
      <c r="S6" s="205"/>
      <c r="T6" s="43">
        <f t="shared" si="2"/>
        <v>0</v>
      </c>
      <c r="U6" s="205"/>
      <c r="V6" s="205">
        <v>0</v>
      </c>
      <c r="W6" s="205">
        <v>0</v>
      </c>
      <c r="X6" s="205"/>
      <c r="Y6" s="205"/>
      <c r="Z6" s="205"/>
      <c r="AA6" s="205"/>
      <c r="AB6" s="205"/>
      <c r="AC6" s="205"/>
      <c r="AD6" s="205"/>
      <c r="AE6" s="43">
        <f t="shared" si="3"/>
        <v>12</v>
      </c>
    </row>
    <row r="7" spans="1:31" s="225" customFormat="1">
      <c r="A7" s="38" t="str">
        <f t="shared" si="0"/>
        <v>aaa 333</v>
      </c>
      <c r="B7" s="38" t="s">
        <v>638</v>
      </c>
      <c r="C7" s="38">
        <v>333</v>
      </c>
      <c r="D7" s="38" t="s">
        <v>363</v>
      </c>
      <c r="E7" s="38"/>
      <c r="F7" s="204"/>
      <c r="G7" s="38"/>
      <c r="H7" s="38"/>
      <c r="I7" s="209" t="s">
        <v>589</v>
      </c>
      <c r="J7" s="209" t="s">
        <v>640</v>
      </c>
      <c r="K7" s="209" t="s">
        <v>573</v>
      </c>
      <c r="L7" s="209" t="s">
        <v>645</v>
      </c>
      <c r="M7" s="209"/>
      <c r="N7" s="17">
        <v>42898</v>
      </c>
      <c r="O7" s="22">
        <f t="shared" ref="O7:O15" si="6">IF(N7="","",(WEEKNUM(N7)))</f>
        <v>24</v>
      </c>
      <c r="P7" s="205"/>
      <c r="Q7" s="205"/>
      <c r="R7" s="205"/>
      <c r="S7" s="205"/>
      <c r="T7" s="43">
        <f t="shared" si="2"/>
        <v>0</v>
      </c>
      <c r="U7" s="205"/>
      <c r="V7" s="205">
        <v>0</v>
      </c>
      <c r="W7" s="205">
        <v>0</v>
      </c>
      <c r="X7" s="205"/>
      <c r="Y7" s="205"/>
      <c r="Z7" s="205"/>
      <c r="AA7" s="205"/>
      <c r="AB7" s="205"/>
      <c r="AC7" s="205"/>
      <c r="AD7" s="205"/>
      <c r="AE7" s="43">
        <f t="shared" si="3"/>
        <v>12</v>
      </c>
    </row>
    <row r="8" spans="1:31">
      <c r="A8" s="38" t="str">
        <f t="shared" si="0"/>
        <v>yyy 222</v>
      </c>
      <c r="B8" s="225" t="s">
        <v>190</v>
      </c>
      <c r="C8" s="225" t="s">
        <v>646</v>
      </c>
      <c r="D8" s="226" t="s">
        <v>363</v>
      </c>
      <c r="E8" s="226" t="s">
        <v>574</v>
      </c>
      <c r="F8" s="225" t="s">
        <v>62</v>
      </c>
      <c r="H8" s="225" t="s">
        <v>367</v>
      </c>
      <c r="L8" s="209" t="s">
        <v>645</v>
      </c>
      <c r="M8" s="225" t="s">
        <v>635</v>
      </c>
      <c r="N8" s="17">
        <v>42898</v>
      </c>
      <c r="O8" s="22">
        <f t="shared" si="6"/>
        <v>24</v>
      </c>
      <c r="P8" s="228" t="s">
        <v>648</v>
      </c>
      <c r="Q8" s="228" t="s">
        <v>433</v>
      </c>
      <c r="R8" s="228" t="s">
        <v>433</v>
      </c>
      <c r="S8" s="228" t="s">
        <v>438</v>
      </c>
      <c r="T8" s="43">
        <f t="shared" si="2"/>
        <v>35</v>
      </c>
      <c r="U8" s="228" t="s">
        <v>649</v>
      </c>
      <c r="V8" s="228" t="s">
        <v>647</v>
      </c>
      <c r="W8" s="228" t="s">
        <v>647</v>
      </c>
      <c r="X8" s="228" t="s">
        <v>647</v>
      </c>
      <c r="Y8" s="228" t="s">
        <v>647</v>
      </c>
      <c r="Z8" s="228" t="s">
        <v>647</v>
      </c>
      <c r="AA8" s="228" t="s">
        <v>647</v>
      </c>
      <c r="AB8" s="228" t="s">
        <v>647</v>
      </c>
      <c r="AC8" s="228" t="s">
        <v>647</v>
      </c>
      <c r="AD8" s="228" t="s">
        <v>647</v>
      </c>
      <c r="AE8" s="43">
        <f t="shared" si="3"/>
        <v>12</v>
      </c>
    </row>
    <row r="9" spans="1:31">
      <c r="A9" s="38" t="str">
        <f t="shared" si="0"/>
        <v>aaa 222</v>
      </c>
      <c r="B9" s="225" t="s">
        <v>638</v>
      </c>
      <c r="C9" s="225" t="s">
        <v>646</v>
      </c>
      <c r="D9" s="226" t="s">
        <v>652</v>
      </c>
      <c r="E9" s="226" t="s">
        <v>652</v>
      </c>
      <c r="F9" s="225" t="s">
        <v>652</v>
      </c>
      <c r="H9" s="225" t="s">
        <v>212</v>
      </c>
      <c r="L9" s="209" t="s">
        <v>645</v>
      </c>
      <c r="M9" s="225" t="s">
        <v>635</v>
      </c>
      <c r="O9" s="22" t="str">
        <f t="shared" si="6"/>
        <v/>
      </c>
      <c r="P9" s="228" t="s">
        <v>653</v>
      </c>
      <c r="Q9" s="228" t="s">
        <v>433</v>
      </c>
      <c r="R9" s="228" t="s">
        <v>438</v>
      </c>
      <c r="S9" s="228" t="s">
        <v>438</v>
      </c>
      <c r="T9" s="43">
        <f t="shared" si="2"/>
        <v>40</v>
      </c>
      <c r="U9" s="228" t="s">
        <v>654</v>
      </c>
      <c r="V9" s="228" t="s">
        <v>647</v>
      </c>
      <c r="W9" s="228" t="s">
        <v>647</v>
      </c>
      <c r="X9" s="228" t="s">
        <v>647</v>
      </c>
      <c r="Y9" s="228" t="s">
        <v>647</v>
      </c>
      <c r="Z9" s="228" t="s">
        <v>647</v>
      </c>
      <c r="AA9" s="228" t="s">
        <v>647</v>
      </c>
      <c r="AB9" s="228" t="s">
        <v>647</v>
      </c>
      <c r="AC9" s="228" t="s">
        <v>647</v>
      </c>
      <c r="AD9" s="228" t="s">
        <v>647</v>
      </c>
      <c r="AE9" s="43">
        <f t="shared" si="3"/>
        <v>12</v>
      </c>
    </row>
    <row r="10" spans="1:31">
      <c r="A10" s="38" t="str">
        <f t="shared" si="0"/>
        <v>zzz 333</v>
      </c>
      <c r="B10" s="225" t="s">
        <v>191</v>
      </c>
      <c r="C10" s="225" t="s">
        <v>655</v>
      </c>
      <c r="D10" s="226" t="s">
        <v>362</v>
      </c>
      <c r="E10" s="226" t="s">
        <v>7</v>
      </c>
      <c r="F10" s="225" t="s">
        <v>69</v>
      </c>
      <c r="H10" s="225" t="s">
        <v>367</v>
      </c>
      <c r="L10" s="209" t="s">
        <v>645</v>
      </c>
      <c r="M10" s="225" t="s">
        <v>635</v>
      </c>
      <c r="O10" s="22" t="str">
        <f t="shared" si="6"/>
        <v/>
      </c>
      <c r="P10" s="228" t="s">
        <v>647</v>
      </c>
      <c r="Q10" s="228" t="s">
        <v>647</v>
      </c>
      <c r="R10" s="228" t="s">
        <v>652</v>
      </c>
      <c r="S10" s="228" t="s">
        <v>652</v>
      </c>
      <c r="T10" s="43" t="e">
        <f t="shared" si="2"/>
        <v>#VALUE!</v>
      </c>
      <c r="U10" s="228" t="s">
        <v>647</v>
      </c>
      <c r="V10" s="228" t="s">
        <v>647</v>
      </c>
      <c r="W10" s="228" t="s">
        <v>647</v>
      </c>
      <c r="X10" s="228" t="s">
        <v>652</v>
      </c>
      <c r="Y10" s="228" t="s">
        <v>652</v>
      </c>
      <c r="Z10" s="228" t="s">
        <v>652</v>
      </c>
      <c r="AA10" s="228" t="s">
        <v>652</v>
      </c>
      <c r="AB10" s="228" t="s">
        <v>652</v>
      </c>
      <c r="AC10" s="228" t="s">
        <v>652</v>
      </c>
      <c r="AD10" s="228" t="s">
        <v>652</v>
      </c>
      <c r="AE10" s="43" t="e">
        <f t="shared" si="3"/>
        <v>#VALUE!</v>
      </c>
    </row>
    <row r="11" spans="1:31">
      <c r="A11" s="38" t="str">
        <f t="shared" si="0"/>
        <v>aaa 111</v>
      </c>
      <c r="B11" s="225" t="s">
        <v>638</v>
      </c>
      <c r="C11" s="225" t="s">
        <v>656</v>
      </c>
      <c r="D11" s="226" t="s">
        <v>362</v>
      </c>
      <c r="E11" s="226" t="s">
        <v>7</v>
      </c>
      <c r="F11" s="225" t="s">
        <v>69</v>
      </c>
      <c r="H11" s="225" t="s">
        <v>367</v>
      </c>
      <c r="L11" s="209" t="s">
        <v>645</v>
      </c>
      <c r="M11" s="225" t="s">
        <v>635</v>
      </c>
      <c r="O11" s="22" t="str">
        <f t="shared" si="6"/>
        <v/>
      </c>
      <c r="P11" s="228" t="s">
        <v>653</v>
      </c>
      <c r="Q11" s="228" t="s">
        <v>433</v>
      </c>
      <c r="R11" s="228" t="s">
        <v>438</v>
      </c>
      <c r="S11" s="228" t="s">
        <v>433</v>
      </c>
      <c r="T11" s="43">
        <f t="shared" si="2"/>
        <v>35</v>
      </c>
      <c r="U11" s="228" t="s">
        <v>654</v>
      </c>
      <c r="V11" s="228" t="s">
        <v>647</v>
      </c>
      <c r="W11" s="228" t="s">
        <v>647</v>
      </c>
      <c r="X11" s="228" t="s">
        <v>647</v>
      </c>
      <c r="Y11" s="228" t="s">
        <v>647</v>
      </c>
      <c r="Z11" s="228" t="s">
        <v>647</v>
      </c>
      <c r="AA11" s="228" t="s">
        <v>647</v>
      </c>
      <c r="AB11" s="228" t="s">
        <v>647</v>
      </c>
      <c r="AC11" s="228" t="s">
        <v>647</v>
      </c>
      <c r="AD11" s="228" t="s">
        <v>647</v>
      </c>
      <c r="AE11" s="43">
        <f t="shared" si="3"/>
        <v>12</v>
      </c>
    </row>
    <row r="12" spans="1:31">
      <c r="A12" s="38" t="str">
        <f t="shared" si="0"/>
        <v>aaa 111</v>
      </c>
      <c r="B12" s="225" t="s">
        <v>638</v>
      </c>
      <c r="C12" s="225" t="s">
        <v>656</v>
      </c>
      <c r="D12" s="226" t="s">
        <v>362</v>
      </c>
      <c r="E12" s="226" t="s">
        <v>8</v>
      </c>
      <c r="F12" s="225" t="s">
        <v>197</v>
      </c>
      <c r="H12" s="225" t="s">
        <v>367</v>
      </c>
      <c r="L12" s="209" t="s">
        <v>645</v>
      </c>
      <c r="M12" s="225" t="s">
        <v>635</v>
      </c>
      <c r="O12" s="22" t="str">
        <f t="shared" si="6"/>
        <v/>
      </c>
      <c r="P12" s="228" t="s">
        <v>433</v>
      </c>
      <c r="Q12" s="228" t="s">
        <v>438</v>
      </c>
      <c r="R12" s="228" t="s">
        <v>438</v>
      </c>
      <c r="S12" s="228" t="s">
        <v>653</v>
      </c>
      <c r="T12" s="43">
        <f t="shared" si="2"/>
        <v>45</v>
      </c>
      <c r="U12" s="228" t="s">
        <v>649</v>
      </c>
      <c r="V12" s="228" t="s">
        <v>647</v>
      </c>
      <c r="W12" s="228" t="s">
        <v>647</v>
      </c>
      <c r="X12" s="228" t="s">
        <v>647</v>
      </c>
      <c r="Y12" s="228" t="s">
        <v>647</v>
      </c>
      <c r="Z12" s="228" t="s">
        <v>647</v>
      </c>
      <c r="AA12" s="228" t="s">
        <v>647</v>
      </c>
      <c r="AB12" s="228" t="s">
        <v>647</v>
      </c>
      <c r="AC12" s="228" t="s">
        <v>647</v>
      </c>
      <c r="AD12" s="228" t="s">
        <v>647</v>
      </c>
      <c r="AE12" s="43">
        <f t="shared" si="3"/>
        <v>12</v>
      </c>
    </row>
    <row r="13" spans="1:31">
      <c r="A13" s="38" t="str">
        <f t="shared" si="0"/>
        <v>xxx 222</v>
      </c>
      <c r="B13" s="225" t="s">
        <v>189</v>
      </c>
      <c r="C13" s="225" t="s">
        <v>646</v>
      </c>
      <c r="D13" s="226" t="s">
        <v>362</v>
      </c>
      <c r="E13" s="226" t="s">
        <v>417</v>
      </c>
      <c r="F13" s="225" t="s">
        <v>104</v>
      </c>
      <c r="H13" s="225" t="s">
        <v>367</v>
      </c>
      <c r="M13" s="225" t="s">
        <v>635</v>
      </c>
      <c r="O13" s="22" t="str">
        <f t="shared" si="6"/>
        <v/>
      </c>
      <c r="P13" s="228" t="s">
        <v>648</v>
      </c>
      <c r="Q13" s="228" t="s">
        <v>438</v>
      </c>
      <c r="R13" s="228" t="s">
        <v>653</v>
      </c>
      <c r="S13" s="228" t="s">
        <v>653</v>
      </c>
      <c r="T13" s="43">
        <f t="shared" si="2"/>
        <v>50</v>
      </c>
      <c r="U13" s="228" t="s">
        <v>657</v>
      </c>
      <c r="V13" s="228" t="s">
        <v>647</v>
      </c>
      <c r="W13" s="228" t="s">
        <v>647</v>
      </c>
      <c r="X13" s="228" t="s">
        <v>647</v>
      </c>
      <c r="Y13" s="228" t="s">
        <v>647</v>
      </c>
      <c r="Z13" s="228" t="s">
        <v>647</v>
      </c>
      <c r="AA13" s="228" t="s">
        <v>647</v>
      </c>
      <c r="AB13" s="228" t="s">
        <v>647</v>
      </c>
      <c r="AC13" s="228" t="s">
        <v>647</v>
      </c>
      <c r="AD13" s="228" t="s">
        <v>647</v>
      </c>
      <c r="AE13" s="43">
        <f t="shared" si="3"/>
        <v>12</v>
      </c>
    </row>
    <row r="14" spans="1:31">
      <c r="A14" s="38" t="str">
        <f t="shared" si="0"/>
        <v>xxx 222</v>
      </c>
      <c r="B14" s="225" t="s">
        <v>189</v>
      </c>
      <c r="C14" s="225" t="s">
        <v>646</v>
      </c>
      <c r="D14" s="226" t="s">
        <v>362</v>
      </c>
      <c r="E14" s="226" t="s">
        <v>417</v>
      </c>
      <c r="F14" s="225" t="s">
        <v>104</v>
      </c>
      <c r="H14" s="225" t="s">
        <v>367</v>
      </c>
      <c r="M14" s="225" t="s">
        <v>635</v>
      </c>
      <c r="O14" s="22" t="str">
        <f t="shared" si="6"/>
        <v/>
      </c>
      <c r="P14" s="228" t="s">
        <v>648</v>
      </c>
      <c r="Q14" s="228" t="s">
        <v>438</v>
      </c>
      <c r="R14" s="228" t="s">
        <v>653</v>
      </c>
      <c r="S14" s="228" t="s">
        <v>653</v>
      </c>
      <c r="T14" s="43">
        <f t="shared" si="2"/>
        <v>50</v>
      </c>
      <c r="U14" s="228" t="s">
        <v>657</v>
      </c>
      <c r="V14" s="228" t="s">
        <v>647</v>
      </c>
      <c r="W14" s="228" t="s">
        <v>647</v>
      </c>
      <c r="X14" s="228" t="s">
        <v>647</v>
      </c>
      <c r="Y14" s="228" t="s">
        <v>647</v>
      </c>
      <c r="Z14" s="228" t="s">
        <v>647</v>
      </c>
      <c r="AA14" s="228" t="s">
        <v>647</v>
      </c>
      <c r="AB14" s="228" t="s">
        <v>647</v>
      </c>
      <c r="AC14" s="228" t="s">
        <v>647</v>
      </c>
      <c r="AD14" s="228" t="s">
        <v>647</v>
      </c>
      <c r="AE14" s="43">
        <f t="shared" si="3"/>
        <v>12</v>
      </c>
    </row>
    <row r="15" spans="1:31">
      <c r="A15" s="38" t="str">
        <f t="shared" si="0"/>
        <v>xxx 222</v>
      </c>
      <c r="B15" s="225" t="s">
        <v>189</v>
      </c>
      <c r="C15" s="225" t="s">
        <v>646</v>
      </c>
      <c r="D15" s="226" t="s">
        <v>362</v>
      </c>
      <c r="E15" s="226" t="s">
        <v>417</v>
      </c>
      <c r="F15" s="225" t="s">
        <v>104</v>
      </c>
      <c r="H15" s="225" t="s">
        <v>367</v>
      </c>
      <c r="M15" s="225" t="s">
        <v>635</v>
      </c>
      <c r="O15" s="22" t="str">
        <f t="shared" si="6"/>
        <v/>
      </c>
      <c r="P15" s="244" t="s">
        <v>648</v>
      </c>
      <c r="Q15" s="244" t="s">
        <v>438</v>
      </c>
      <c r="R15" s="244" t="s">
        <v>653</v>
      </c>
      <c r="S15" s="244" t="s">
        <v>653</v>
      </c>
      <c r="T15" s="43">
        <f t="shared" si="2"/>
        <v>50</v>
      </c>
      <c r="U15" s="228" t="s">
        <v>657</v>
      </c>
      <c r="V15" s="228" t="s">
        <v>647</v>
      </c>
      <c r="W15" s="228" t="s">
        <v>647</v>
      </c>
      <c r="X15" s="228" t="s">
        <v>647</v>
      </c>
      <c r="Y15" s="228" t="s">
        <v>647</v>
      </c>
      <c r="Z15" s="228" t="s">
        <v>647</v>
      </c>
      <c r="AA15" s="228" t="s">
        <v>647</v>
      </c>
      <c r="AB15" s="228" t="s">
        <v>647</v>
      </c>
      <c r="AC15" s="228" t="s">
        <v>647</v>
      </c>
      <c r="AD15" s="228" t="s">
        <v>647</v>
      </c>
      <c r="AE15" s="43">
        <f t="shared" si="3"/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A1:Y38"/>
  <sheetViews>
    <sheetView workbookViewId="0">
      <selection activeCell="B2" sqref="B2:B5"/>
    </sheetView>
  </sheetViews>
  <sheetFormatPr baseColWidth="10" defaultRowHeight="12.75" outlineLevelRow="1"/>
  <cols>
    <col min="3" max="4" width="9.42578125" customWidth="1"/>
    <col min="5" max="7" width="12.42578125" customWidth="1"/>
    <col min="8" max="9" width="11.42578125" customWidth="1"/>
    <col min="10" max="10" width="20.140625" bestFit="1" customWidth="1"/>
    <col min="11" max="11" width="10.28515625" customWidth="1"/>
    <col min="12" max="12" width="16.42578125" bestFit="1" customWidth="1"/>
    <col min="13" max="15" width="18.5703125" bestFit="1" customWidth="1"/>
    <col min="16" max="16" width="15.28515625" bestFit="1" customWidth="1"/>
    <col min="17" max="17" width="19.7109375" bestFit="1" customWidth="1"/>
    <col min="18" max="18" width="19.28515625" bestFit="1" customWidth="1"/>
    <col min="19" max="19" width="15.28515625" bestFit="1" customWidth="1"/>
    <col min="20" max="20" width="13.42578125" bestFit="1" customWidth="1"/>
    <col min="21" max="21" width="15.5703125" bestFit="1" customWidth="1"/>
    <col min="22" max="22" width="13.140625" bestFit="1" customWidth="1"/>
    <col min="23" max="25" width="15.28515625" bestFit="1" customWidth="1"/>
  </cols>
  <sheetData>
    <row r="1" spans="1:25" s="2" customFormat="1" ht="23.25" outlineLevel="1" thickBot="1">
      <c r="A1" s="32" t="s">
        <v>594</v>
      </c>
      <c r="B1" s="32" t="s">
        <v>149</v>
      </c>
      <c r="C1" s="32" t="s">
        <v>143</v>
      </c>
      <c r="D1" s="32" t="s">
        <v>585</v>
      </c>
      <c r="E1" s="32" t="s">
        <v>631</v>
      </c>
      <c r="F1" s="32" t="s">
        <v>650</v>
      </c>
      <c r="G1" s="32" t="s">
        <v>651</v>
      </c>
      <c r="H1" s="32" t="s">
        <v>4</v>
      </c>
      <c r="I1" s="32" t="s">
        <v>491</v>
      </c>
      <c r="J1" s="32" t="s">
        <v>616</v>
      </c>
      <c r="K1" s="32" t="s">
        <v>615</v>
      </c>
      <c r="L1" s="32" t="s">
        <v>617</v>
      </c>
      <c r="M1" s="32" t="s">
        <v>618</v>
      </c>
      <c r="N1" s="32" t="s">
        <v>620</v>
      </c>
      <c r="O1" s="32" t="s">
        <v>619</v>
      </c>
      <c r="P1" s="32" t="s">
        <v>621</v>
      </c>
      <c r="Q1" s="32" t="s">
        <v>622</v>
      </c>
      <c r="R1" s="32" t="s">
        <v>623</v>
      </c>
      <c r="S1" s="32" t="s">
        <v>624</v>
      </c>
      <c r="T1" s="32" t="s">
        <v>625</v>
      </c>
      <c r="U1" s="32" t="s">
        <v>626</v>
      </c>
      <c r="V1" s="32" t="s">
        <v>627</v>
      </c>
      <c r="W1" s="32" t="s">
        <v>628</v>
      </c>
      <c r="X1" s="32" t="s">
        <v>629</v>
      </c>
      <c r="Y1" s="32" t="s">
        <v>630</v>
      </c>
    </row>
    <row r="2" spans="1:25" s="2" customFormat="1" outlineLevel="1">
      <c r="A2" s="7" t="s">
        <v>635</v>
      </c>
      <c r="B2" s="7" t="s">
        <v>152</v>
      </c>
      <c r="C2" s="7" t="s">
        <v>144</v>
      </c>
      <c r="D2" s="7" t="s">
        <v>367</v>
      </c>
      <c r="E2" s="7" t="s">
        <v>114</v>
      </c>
      <c r="F2" s="7" t="s">
        <v>7</v>
      </c>
      <c r="G2" s="8" t="s">
        <v>574</v>
      </c>
      <c r="H2" s="7" t="s">
        <v>589</v>
      </c>
      <c r="I2" s="7" t="s">
        <v>573</v>
      </c>
      <c r="J2" s="10" t="s">
        <v>109</v>
      </c>
      <c r="K2" s="11" t="s">
        <v>111</v>
      </c>
      <c r="L2" s="11" t="s">
        <v>121</v>
      </c>
      <c r="M2" s="11" t="s">
        <v>134</v>
      </c>
      <c r="N2" s="11" t="s">
        <v>141</v>
      </c>
      <c r="O2" s="11" t="s">
        <v>580</v>
      </c>
      <c r="P2" s="12" t="s">
        <v>612</v>
      </c>
      <c r="Q2" s="12" t="s">
        <v>196</v>
      </c>
      <c r="R2" s="12" t="s">
        <v>196</v>
      </c>
      <c r="S2" s="12" t="s">
        <v>196</v>
      </c>
      <c r="T2" s="12" t="s">
        <v>605</v>
      </c>
      <c r="U2" s="12" t="s">
        <v>196</v>
      </c>
      <c r="V2" s="12" t="s">
        <v>63</v>
      </c>
      <c r="W2" s="12" t="s">
        <v>56</v>
      </c>
      <c r="X2" s="12" t="s">
        <v>612</v>
      </c>
      <c r="Y2" s="12" t="s">
        <v>612</v>
      </c>
    </row>
    <row r="3" spans="1:25" s="2" customFormat="1" outlineLevel="1">
      <c r="A3" s="7" t="s">
        <v>636</v>
      </c>
      <c r="B3" s="7" t="s">
        <v>362</v>
      </c>
      <c r="C3" s="7" t="s">
        <v>582</v>
      </c>
      <c r="D3" s="7" t="s">
        <v>212</v>
      </c>
      <c r="E3" s="7" t="s">
        <v>115</v>
      </c>
      <c r="F3" s="19" t="s">
        <v>8</v>
      </c>
      <c r="G3" s="8" t="s">
        <v>613</v>
      </c>
      <c r="H3" s="7" t="s">
        <v>590</v>
      </c>
      <c r="I3" s="7" t="s">
        <v>5</v>
      </c>
      <c r="J3" s="11" t="s">
        <v>110</v>
      </c>
      <c r="K3" s="11" t="s">
        <v>112</v>
      </c>
      <c r="L3" s="11" t="s">
        <v>120</v>
      </c>
      <c r="M3" s="11" t="s">
        <v>138</v>
      </c>
      <c r="N3" s="12" t="s">
        <v>108</v>
      </c>
      <c r="O3" s="11" t="s">
        <v>581</v>
      </c>
      <c r="P3" s="12"/>
      <c r="Q3" s="11" t="s">
        <v>69</v>
      </c>
      <c r="R3" s="12" t="s">
        <v>197</v>
      </c>
      <c r="S3" s="12" t="s">
        <v>104</v>
      </c>
      <c r="T3" s="12" t="s">
        <v>603</v>
      </c>
      <c r="U3" s="12" t="s">
        <v>62</v>
      </c>
      <c r="V3" s="12" t="s">
        <v>64</v>
      </c>
      <c r="W3" s="12" t="s">
        <v>57</v>
      </c>
      <c r="X3" s="12"/>
      <c r="Y3" s="12"/>
    </row>
    <row r="4" spans="1:25" s="2" customFormat="1" outlineLevel="1">
      <c r="B4" s="8" t="s">
        <v>363</v>
      </c>
      <c r="C4" s="7" t="s">
        <v>370</v>
      </c>
      <c r="D4" s="7" t="s">
        <v>368</v>
      </c>
      <c r="E4" s="7" t="s">
        <v>611</v>
      </c>
      <c r="F4" s="8" t="s">
        <v>417</v>
      </c>
      <c r="G4" s="8" t="s">
        <v>577</v>
      </c>
      <c r="H4" s="8" t="s">
        <v>591</v>
      </c>
      <c r="I4" s="8" t="s">
        <v>6</v>
      </c>
      <c r="J4" s="11" t="s">
        <v>127</v>
      </c>
      <c r="K4" s="11" t="s">
        <v>113</v>
      </c>
      <c r="L4" s="11" t="s">
        <v>122</v>
      </c>
      <c r="M4" s="11" t="s">
        <v>139</v>
      </c>
      <c r="N4" s="11"/>
      <c r="O4" s="11" t="s">
        <v>599</v>
      </c>
      <c r="P4" s="12"/>
      <c r="Q4" s="11" t="s">
        <v>70</v>
      </c>
      <c r="R4" s="12" t="s">
        <v>195</v>
      </c>
      <c r="S4" s="12" t="s">
        <v>105</v>
      </c>
      <c r="T4" s="12" t="s">
        <v>604</v>
      </c>
      <c r="U4" s="12" t="s">
        <v>107</v>
      </c>
      <c r="V4" s="12" t="s">
        <v>86</v>
      </c>
      <c r="W4" s="12" t="s">
        <v>58</v>
      </c>
      <c r="X4" s="12"/>
      <c r="Y4" s="12"/>
    </row>
    <row r="5" spans="1:25" s="2" customFormat="1" outlineLevel="1">
      <c r="B5" s="8" t="s">
        <v>595</v>
      </c>
      <c r="C5" s="8"/>
      <c r="D5" s="8" t="s">
        <v>583</v>
      </c>
      <c r="E5" s="7" t="s">
        <v>116</v>
      </c>
      <c r="F5" s="8" t="s">
        <v>11</v>
      </c>
      <c r="G5" s="8" t="s">
        <v>633</v>
      </c>
      <c r="H5" s="8" t="s">
        <v>0</v>
      </c>
      <c r="I5" s="8" t="s">
        <v>592</v>
      </c>
      <c r="J5" s="11" t="s">
        <v>132</v>
      </c>
      <c r="K5" s="11"/>
      <c r="L5" s="11" t="s">
        <v>123</v>
      </c>
      <c r="M5" s="12" t="s">
        <v>598</v>
      </c>
      <c r="N5" s="12"/>
      <c r="O5" s="12"/>
      <c r="P5" s="12"/>
      <c r="Q5" s="11" t="s">
        <v>51</v>
      </c>
      <c r="R5" s="12" t="s">
        <v>198</v>
      </c>
      <c r="S5" s="12" t="s">
        <v>61</v>
      </c>
      <c r="T5" s="12"/>
      <c r="U5" s="12"/>
      <c r="V5" s="12" t="s">
        <v>135</v>
      </c>
      <c r="W5" s="12" t="s">
        <v>68</v>
      </c>
      <c r="X5" s="12"/>
      <c r="Y5" s="12"/>
    </row>
    <row r="6" spans="1:25" s="2" customFormat="1" outlineLevel="1">
      <c r="D6" s="7" t="s">
        <v>584</v>
      </c>
      <c r="E6" s="8" t="s">
        <v>18</v>
      </c>
      <c r="F6" s="8" t="s">
        <v>577</v>
      </c>
      <c r="G6" s="8"/>
      <c r="H6" s="8" t="s">
        <v>596</v>
      </c>
      <c r="I6" s="8" t="s">
        <v>593</v>
      </c>
      <c r="J6" s="12" t="s">
        <v>578</v>
      </c>
      <c r="K6" s="11"/>
      <c r="L6" s="11" t="s">
        <v>124</v>
      </c>
      <c r="M6" s="12" t="s">
        <v>140</v>
      </c>
      <c r="N6" s="12"/>
      <c r="O6" s="12"/>
      <c r="P6" s="12"/>
      <c r="Q6" s="11" t="s">
        <v>50</v>
      </c>
      <c r="R6" s="12" t="s">
        <v>199</v>
      </c>
      <c r="S6" s="12" t="s">
        <v>106</v>
      </c>
      <c r="T6" s="12"/>
      <c r="U6" s="12"/>
      <c r="V6" s="12" t="s">
        <v>136</v>
      </c>
      <c r="W6" s="12"/>
      <c r="X6" s="12"/>
      <c r="Y6" s="12"/>
    </row>
    <row r="7" spans="1:25" s="27" customFormat="1" outlineLevel="1">
      <c r="C7" s="2"/>
      <c r="D7" s="7"/>
      <c r="E7" s="7" t="s">
        <v>576</v>
      </c>
      <c r="F7" s="8" t="s">
        <v>597</v>
      </c>
      <c r="G7" s="8"/>
      <c r="I7" s="8" t="s">
        <v>351</v>
      </c>
      <c r="J7" s="12" t="s">
        <v>614</v>
      </c>
      <c r="K7" s="11"/>
      <c r="L7" s="11" t="s">
        <v>125</v>
      </c>
      <c r="M7" s="11"/>
      <c r="N7" s="11"/>
      <c r="O7" s="11"/>
      <c r="P7" s="12"/>
      <c r="Q7" s="11" t="s">
        <v>52</v>
      </c>
      <c r="R7" s="12" t="s">
        <v>65</v>
      </c>
      <c r="S7" s="12"/>
      <c r="T7" s="12"/>
      <c r="U7" s="12"/>
      <c r="V7" s="12" t="s">
        <v>137</v>
      </c>
      <c r="W7" s="12"/>
      <c r="X7" s="12"/>
      <c r="Y7" s="12"/>
    </row>
    <row r="8" spans="1:25" s="2" customFormat="1" outlineLevel="1">
      <c r="D8" s="7"/>
      <c r="E8" s="8" t="s">
        <v>634</v>
      </c>
      <c r="F8" s="8" t="s">
        <v>633</v>
      </c>
      <c r="G8" s="8"/>
      <c r="I8" s="8" t="s">
        <v>352</v>
      </c>
      <c r="J8" s="12" t="s">
        <v>133</v>
      </c>
      <c r="K8" s="11"/>
      <c r="L8" s="11" t="s">
        <v>126</v>
      </c>
      <c r="M8" s="12"/>
      <c r="N8" s="12"/>
      <c r="O8" s="12"/>
      <c r="P8" s="12"/>
      <c r="Q8" s="11" t="s">
        <v>200</v>
      </c>
      <c r="R8" s="12"/>
      <c r="S8" s="12"/>
      <c r="T8" s="12"/>
      <c r="U8" s="12"/>
      <c r="V8" s="12"/>
      <c r="W8" s="12"/>
      <c r="X8" s="12"/>
      <c r="Y8" s="12"/>
    </row>
    <row r="9" spans="1:25" s="2" customFormat="1" outlineLevel="1">
      <c r="D9" s="19"/>
      <c r="E9" s="7"/>
      <c r="F9" s="8"/>
      <c r="G9" s="8"/>
      <c r="I9" s="8" t="s">
        <v>353</v>
      </c>
      <c r="J9" s="12" t="s">
        <v>142</v>
      </c>
      <c r="K9" s="11"/>
      <c r="L9" s="11" t="s">
        <v>579</v>
      </c>
      <c r="M9" s="11"/>
      <c r="N9" s="11"/>
      <c r="O9" s="11"/>
      <c r="P9" s="12"/>
      <c r="Q9" s="11" t="s">
        <v>53</v>
      </c>
      <c r="R9" s="12"/>
      <c r="S9" s="12"/>
      <c r="T9" s="12"/>
      <c r="U9" s="12"/>
      <c r="V9" s="12"/>
      <c r="W9" s="12"/>
      <c r="X9" s="12"/>
      <c r="Y9" s="12"/>
    </row>
    <row r="10" spans="1:25" s="2" customFormat="1" outlineLevel="1">
      <c r="D10" s="8"/>
      <c r="E10" s="8"/>
      <c r="F10" s="8"/>
      <c r="G10" s="8"/>
      <c r="J10" s="12"/>
      <c r="K10" s="11"/>
      <c r="L10" s="11" t="s">
        <v>128</v>
      </c>
      <c r="M10" s="11"/>
      <c r="N10" s="11"/>
      <c r="O10" s="11"/>
      <c r="P10" s="12"/>
      <c r="Q10" s="11" t="s">
        <v>66</v>
      </c>
      <c r="R10" s="12"/>
      <c r="S10" s="12"/>
      <c r="T10" s="12"/>
      <c r="U10" s="12"/>
      <c r="V10" s="12"/>
      <c r="W10" s="12"/>
      <c r="X10" s="12"/>
      <c r="Y10" s="12"/>
    </row>
    <row r="11" spans="1:25" s="2" customFormat="1" outlineLevel="1">
      <c r="D11" s="8"/>
      <c r="E11" s="8"/>
      <c r="F11" s="8"/>
      <c r="G11" s="8"/>
      <c r="J11" s="12"/>
      <c r="K11" s="11"/>
      <c r="L11" s="12" t="s">
        <v>129</v>
      </c>
      <c r="M11" s="11"/>
      <c r="N11" s="11"/>
      <c r="O11" s="11"/>
      <c r="P11" s="12"/>
      <c r="Q11" s="11" t="s">
        <v>59</v>
      </c>
      <c r="R11" s="12"/>
      <c r="S11" s="12"/>
      <c r="T11" s="12"/>
      <c r="U11" s="12"/>
      <c r="V11" s="12"/>
      <c r="W11" s="12"/>
      <c r="X11" s="12"/>
      <c r="Y11" s="12"/>
    </row>
    <row r="12" spans="1:25" s="2" customFormat="1" outlineLevel="1">
      <c r="D12" s="8"/>
      <c r="E12" s="8"/>
      <c r="F12" s="8"/>
      <c r="G12" s="8"/>
      <c r="J12" s="12"/>
      <c r="K12" s="11"/>
      <c r="L12" s="12" t="s">
        <v>130</v>
      </c>
      <c r="M12" s="12"/>
      <c r="N12" s="12"/>
      <c r="O12" s="12"/>
      <c r="P12" s="12"/>
      <c r="Q12" s="11" t="s">
        <v>575</v>
      </c>
      <c r="R12" s="12"/>
      <c r="S12" s="12"/>
      <c r="T12" s="12"/>
      <c r="U12" s="12"/>
      <c r="V12" s="12"/>
      <c r="W12" s="12"/>
      <c r="X12" s="12"/>
      <c r="Y12" s="12"/>
    </row>
    <row r="13" spans="1:25" s="2" customFormat="1" outlineLevel="1">
      <c r="D13" s="8"/>
      <c r="E13" s="8"/>
      <c r="F13" s="8"/>
      <c r="G13" s="8"/>
      <c r="J13" s="12"/>
      <c r="K13" s="12"/>
      <c r="L13" s="12" t="s">
        <v>131</v>
      </c>
      <c r="M13" s="12"/>
      <c r="N13" s="12"/>
      <c r="O13" s="12"/>
      <c r="P13" s="12"/>
      <c r="Q13" s="12" t="s">
        <v>67</v>
      </c>
      <c r="R13" s="12"/>
      <c r="S13" s="12"/>
      <c r="T13" s="12"/>
      <c r="U13" s="12"/>
      <c r="V13" s="12"/>
      <c r="W13" s="12"/>
      <c r="X13" s="12"/>
      <c r="Y13" s="12"/>
    </row>
    <row r="14" spans="1:25" s="2" customFormat="1" outlineLevel="1">
      <c r="D14" s="8"/>
      <c r="E14" s="8"/>
      <c r="F14" s="8"/>
      <c r="G14" s="8"/>
      <c r="J14" s="12"/>
      <c r="K14" s="12"/>
      <c r="L14" s="12"/>
      <c r="M14" s="11"/>
      <c r="N14" s="11"/>
      <c r="O14" s="11"/>
      <c r="P14" s="12"/>
      <c r="Q14" s="12"/>
      <c r="R14" s="12"/>
      <c r="S14" s="12"/>
      <c r="T14" s="12"/>
      <c r="U14" s="12"/>
      <c r="V14" s="12"/>
      <c r="W14" s="12"/>
      <c r="X14" s="12"/>
      <c r="Y14" s="12"/>
    </row>
    <row r="15" spans="1:25" s="2" customFormat="1" outlineLevel="1">
      <c r="D15" s="8"/>
      <c r="E15" s="8"/>
      <c r="F15" s="8"/>
      <c r="G15" s="8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</row>
    <row r="16" spans="1:25" s="2" customFormat="1" outlineLevel="1">
      <c r="D16" s="8"/>
      <c r="E16" s="8"/>
      <c r="F16" s="8"/>
      <c r="G16" s="8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</row>
    <row r="17" spans="4:25" s="2" customFormat="1" outlineLevel="1">
      <c r="D17" s="8"/>
      <c r="E17" s="8"/>
      <c r="F17" s="8"/>
      <c r="G17" s="8"/>
      <c r="J17" s="12"/>
      <c r="K17" s="12"/>
      <c r="L17" s="12"/>
      <c r="M17" s="11"/>
      <c r="N17" s="11"/>
      <c r="O17" s="11"/>
      <c r="P17" s="12"/>
      <c r="Q17" s="12"/>
      <c r="R17" s="12"/>
      <c r="S17" s="12"/>
      <c r="T17" s="12"/>
      <c r="U17" s="12"/>
      <c r="V17" s="12"/>
      <c r="W17" s="12"/>
      <c r="X17" s="12"/>
      <c r="Y17" s="12"/>
    </row>
    <row r="18" spans="4:25" s="2" customFormat="1" outlineLevel="1">
      <c r="E18" s="8"/>
      <c r="F18" s="8"/>
      <c r="G18" s="8"/>
      <c r="J18" s="12"/>
      <c r="K18" s="12"/>
      <c r="L18" s="12"/>
      <c r="M18" s="11"/>
      <c r="N18" s="11"/>
      <c r="O18" s="11"/>
      <c r="P18" s="12"/>
      <c r="Q18" s="12"/>
      <c r="R18" s="12"/>
      <c r="S18" s="12"/>
      <c r="T18" s="12"/>
      <c r="U18" s="12"/>
      <c r="V18" s="12"/>
      <c r="W18" s="12"/>
      <c r="X18" s="12"/>
      <c r="Y18" s="12"/>
    </row>
    <row r="19" spans="4:25" s="2" customFormat="1" outlineLevel="1">
      <c r="E19" s="8"/>
      <c r="F19" s="8"/>
      <c r="G19" s="8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</row>
    <row r="20" spans="4:25" s="2" customFormat="1" outlineLevel="1">
      <c r="E20" s="8"/>
      <c r="F20" s="8"/>
      <c r="G20" s="8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</row>
    <row r="21" spans="4:25" s="2" customFormat="1" outlineLevel="1"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</row>
    <row r="22" spans="4:25" s="2" customFormat="1" outlineLevel="1"/>
    <row r="23" spans="4:25" s="2" customFormat="1" outlineLevel="1"/>
    <row r="24" spans="4:25" s="2" customFormat="1"/>
    <row r="25" spans="4:25" s="2" customFormat="1"/>
    <row r="26" spans="4:25" s="2" customFormat="1"/>
    <row r="27" spans="4:25" s="2" customFormat="1"/>
    <row r="28" spans="4:25" s="2" customFormat="1"/>
    <row r="29" spans="4:25" s="2" customFormat="1"/>
    <row r="30" spans="4:25" s="2" customFormat="1"/>
    <row r="31" spans="4:25" s="2" customFormat="1"/>
    <row r="32" spans="4:25" s="2" customFormat="1"/>
    <row r="33" s="2" customFormat="1"/>
    <row r="34" s="2" customFormat="1"/>
    <row r="35" s="2" customFormat="1"/>
    <row r="36" s="2" customFormat="1"/>
    <row r="37" s="2" customFormat="1"/>
    <row r="38" s="2" customFormat="1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K44"/>
  <sheetViews>
    <sheetView showZeros="0" workbookViewId="0">
      <selection activeCell="A2" sqref="A2"/>
    </sheetView>
  </sheetViews>
  <sheetFormatPr baseColWidth="10" defaultRowHeight="12.75"/>
  <cols>
    <col min="1" max="1" width="20.28515625" style="2" customWidth="1"/>
    <col min="2" max="2" width="17.85546875" style="2" customWidth="1"/>
    <col min="3" max="3" width="17.140625" style="2" customWidth="1"/>
    <col min="4" max="5" width="9.7109375" customWidth="1"/>
    <col min="6" max="6" width="14.140625" customWidth="1"/>
    <col min="7" max="7" width="11" customWidth="1"/>
    <col min="8" max="8" width="11.140625" customWidth="1"/>
    <col min="9" max="9" width="10.28515625" customWidth="1"/>
    <col min="10" max="10" width="9.28515625" customWidth="1"/>
  </cols>
  <sheetData>
    <row r="1" spans="1:11" s="2" customFormat="1" ht="34.5" customHeight="1" thickBot="1">
      <c r="A1" s="207" t="s">
        <v>602</v>
      </c>
      <c r="B1" s="207" t="s">
        <v>358</v>
      </c>
      <c r="C1" s="207" t="s">
        <v>586</v>
      </c>
      <c r="D1" s="213" t="s">
        <v>637</v>
      </c>
      <c r="E1" s="212" t="s">
        <v>2</v>
      </c>
      <c r="F1" s="206" t="s">
        <v>522</v>
      </c>
      <c r="G1" s="206" t="s">
        <v>600</v>
      </c>
      <c r="H1" s="214" t="s">
        <v>565</v>
      </c>
      <c r="I1" s="217" t="s">
        <v>601</v>
      </c>
      <c r="J1" s="223" t="s">
        <v>606</v>
      </c>
      <c r="K1" s="222"/>
    </row>
    <row r="2" spans="1:11">
      <c r="A2" s="38" t="str">
        <f t="array" aca="1" ref="A2" ca="1">INDEX(NameDB!$A:$A,MIN(IF(FullName1&lt;&gt;"",IF(COUNTIF(NameCheck!A$1:A1,FullName1)=0,ROW(FullName1)))))</f>
        <v>aaa 111</v>
      </c>
      <c r="B2" s="38" t="str">
        <f ca="1">IF(ISNA(VLOOKUP(A2,NameDB!A:C,2,FALSE)),"",VLOOKUP(A2,NameDB!A:C,2,FALSE))</f>
        <v>aaa</v>
      </c>
      <c r="C2" s="38">
        <f ca="1">IF(ISNA(VLOOKUP(A2,NameDB!A:C,3,FALSE)),"",VLOOKUP(A2,NameDB!A:C,3,FALSE))</f>
        <v>111</v>
      </c>
      <c r="D2" s="224"/>
      <c r="E2" s="220"/>
      <c r="F2" s="211"/>
      <c r="G2" s="211"/>
      <c r="H2" s="215"/>
      <c r="I2" s="218"/>
    </row>
    <row r="3" spans="1:11">
      <c r="A3" s="38" t="str">
        <f t="array" aca="1" ref="A3" ca="1">INDEX(NameDB!$A:$A,MIN(IF(FullName1&lt;&gt;"",IF(COUNTIF(NameCheck!A$1:A2,FullName1)=0,ROW(FullName1)))))</f>
        <v>yyy 222</v>
      </c>
      <c r="B3" s="38" t="str">
        <f ca="1">IF(ISNA(VLOOKUP(A3,NameDB!A:C,2,FALSE)),"",VLOOKUP(A3,NameDB!A:C,2,FALSE))</f>
        <v>yyy</v>
      </c>
      <c r="C3" s="38">
        <f ca="1">IF(ISNA(VLOOKUP(A3,NameDB!A:C,3,FALSE)),"",VLOOKUP(A3,NameDB!A:C,3,FALSE))</f>
        <v>222</v>
      </c>
      <c r="D3" s="210"/>
      <c r="E3" s="221"/>
      <c r="F3" s="210"/>
      <c r="G3" s="210"/>
      <c r="H3" s="216"/>
      <c r="I3" s="219"/>
    </row>
    <row r="4" spans="1:11">
      <c r="A4" s="38" t="str">
        <f t="array" aca="1" ref="A4" ca="1">INDEX(NameDB!$A:$A,MIN(IF(FullName1&lt;&gt;"",IF(COUNTIF(NameCheck!A$1:A3,FullName1)=0,ROW(FullName1)))))</f>
        <v>zzz 333</v>
      </c>
      <c r="B4" s="38" t="str">
        <f ca="1">IF(ISNA(VLOOKUP(A4,NameDB!A:C,2,FALSE)),"",VLOOKUP(A4,NameDB!A:C,2,FALSE))</f>
        <v>zzz</v>
      </c>
      <c r="C4" s="38">
        <f ca="1">IF(ISNA(VLOOKUP(A4,NameDB!A:C,3,FALSE)),"",VLOOKUP(A4,NameDB!A:C,3,FALSE))</f>
        <v>333</v>
      </c>
      <c r="D4" s="210"/>
      <c r="E4" s="221"/>
      <c r="F4" s="210"/>
      <c r="G4" s="210"/>
      <c r="H4" s="216"/>
      <c r="I4" s="219"/>
    </row>
    <row r="5" spans="1:11">
      <c r="A5" s="38" t="str">
        <f t="array" aca="1" ref="A5" ca="1">INDEX(NameDB!$A:$A,MIN(IF(FullName1&lt;&gt;"",IF(COUNTIF(NameCheck!A$1:A4,FullName1)=0,ROW(FullName1)))))</f>
        <v>xxx 111</v>
      </c>
      <c r="B5" s="38" t="str">
        <f ca="1">IF(ISNA(VLOOKUP(A5,NameDB!A:C,2,FALSE)),"",VLOOKUP(A5,NameDB!A:C,2,FALSE))</f>
        <v>xxx</v>
      </c>
      <c r="C5" s="38">
        <f ca="1">IF(ISNA(VLOOKUP(A5,NameDB!A:C,3,FALSE)),"",VLOOKUP(A5,NameDB!A:C,3,FALSE))</f>
        <v>111</v>
      </c>
    </row>
    <row r="6" spans="1:11">
      <c r="A6" s="38" t="str">
        <f t="array" aca="1" ref="A6" ca="1">INDEX(NameDB!$A:$A,MIN(IF(FullName1&lt;&gt;"",IF(COUNTIF(NameCheck!A$1:A5,FullName1)=0,ROW(FullName1)))))</f>
        <v>aaa 333</v>
      </c>
      <c r="B6" s="38" t="str">
        <f ca="1">IF(ISNA(VLOOKUP(A6,NameDB!A:C,2,FALSE)),"",VLOOKUP(A6,NameDB!A:C,2,FALSE))</f>
        <v>aaa</v>
      </c>
      <c r="C6" s="38">
        <f ca="1">IF(ISNA(VLOOKUP(A6,NameDB!A:C,3,FALSE)),"",VLOOKUP(A6,NameDB!A:C,3,FALSE))</f>
        <v>333</v>
      </c>
    </row>
    <row r="7" spans="1:11">
      <c r="A7" s="38" t="str">
        <f t="array" aca="1" ref="A7" ca="1">INDEX(NameDB!$A:$A,MIN(IF(FullName1&lt;&gt;"",IF(COUNTIF(NameCheck!A$1:A6,FullName1)=0,ROW(FullName1)))))</f>
        <v>aaa 222</v>
      </c>
      <c r="B7" s="38" t="str">
        <f ca="1">IF(ISNA(VLOOKUP(A7,NameDB!A:C,2,FALSE)),"",VLOOKUP(A7,NameDB!A:C,2,FALSE))</f>
        <v>aaa</v>
      </c>
      <c r="C7" s="38" t="str">
        <f ca="1">IF(ISNA(VLOOKUP(A7,NameDB!A:C,3,FALSE)),"",VLOOKUP(A7,NameDB!A:C,3,FALSE))</f>
        <v>222</v>
      </c>
    </row>
    <row r="8" spans="1:11">
      <c r="A8" s="38" t="str">
        <f t="array" aca="1" ref="A8" ca="1">INDEX(NameDB!$A:$A,MIN(IF(FullName1&lt;&gt;"",IF(COUNTIF(NameCheck!A$1:A7,FullName1)=0,ROW(FullName1)))))</f>
        <v>xxx 222</v>
      </c>
      <c r="B8" s="38" t="str">
        <f ca="1">IF(ISNA(VLOOKUP(A8,NameDB!A:C,2,FALSE)),"",VLOOKUP(A8,NameDB!A:C,2,FALSE))</f>
        <v>xxx</v>
      </c>
      <c r="C8" s="38" t="str">
        <f ca="1">IF(ISNA(VLOOKUP(A8,NameDB!A:C,3,FALSE)),"",VLOOKUP(A8,NameDB!A:C,3,FALSE))</f>
        <v>222</v>
      </c>
    </row>
    <row r="9" spans="1:11">
      <c r="A9" s="38" t="str">
        <f t="array" aca="1" ref="A9" ca="1">INDEX(NameDB!$A:$A,MIN(IF(FullName1&lt;&gt;"",IF(COUNTIF(NameCheck!A$1:A8,FullName1)=0,ROW(FullName1)))))</f>
        <v>Full Name</v>
      </c>
      <c r="B9" s="38" t="str">
        <f ca="1">IF(ISNA(VLOOKUP(A9,NameDB!A:C,2,FALSE)),"",VLOOKUP(A9,NameDB!A:C,2,FALSE))</f>
        <v>Name</v>
      </c>
      <c r="C9" s="38" t="str">
        <f ca="1">IF(ISNA(VLOOKUP(A9,NameDB!A:C,3,FALSE)),"",VLOOKUP(A9,NameDB!A:C,3,FALSE))</f>
        <v>Surname</v>
      </c>
    </row>
    <row r="10" spans="1:11">
      <c r="A10" s="38" t="str">
        <f t="array" aca="1" ref="A10" ca="1">INDEX(NameDB!$A:$A,MIN(IF(FullName1&lt;&gt;"",IF(COUNTIF(NameCheck!A$1:A9,FullName1)=0,ROW(FullName1)))))</f>
        <v>Full Name</v>
      </c>
      <c r="B10" s="38" t="str">
        <f ca="1">IF(ISNA(VLOOKUP(A10,NameDB!A:C,2,FALSE)),"",VLOOKUP(A10,NameDB!A:C,2,FALSE))</f>
        <v>Name</v>
      </c>
      <c r="C10" s="38" t="str">
        <f ca="1">IF(ISNA(VLOOKUP(A10,NameDB!A:C,3,FALSE)),"",VLOOKUP(A10,NameDB!A:C,3,FALSE))</f>
        <v>Surname</v>
      </c>
    </row>
    <row r="11" spans="1:11">
      <c r="A11" s="38" t="str">
        <f t="array" aca="1" ref="A11" ca="1">INDEX(NameDB!$A:$A,MIN(IF(FullName1&lt;&gt;"",IF(COUNTIF(NameCheck!A$1:A10,FullName1)=0,ROW(FullName1)))))</f>
        <v>Full Name</v>
      </c>
      <c r="B11" s="38" t="str">
        <f ca="1">IF(ISNA(VLOOKUP(A11,NameDB!A:C,2,FALSE)),"",VLOOKUP(A11,NameDB!A:C,2,FALSE))</f>
        <v>Name</v>
      </c>
      <c r="C11" s="38" t="str">
        <f ca="1">IF(ISNA(VLOOKUP(A11,NameDB!A:C,3,FALSE)),"",VLOOKUP(A11,NameDB!A:C,3,FALSE))</f>
        <v>Surname</v>
      </c>
    </row>
    <row r="12" spans="1:11">
      <c r="A12" s="38" t="str">
        <f t="array" aca="1" ref="A12" ca="1">INDEX(NameDB!$A:$A,MIN(IF(FullName1&lt;&gt;"",IF(COUNTIF(NameCheck!A$1:A11,FullName1)=0,ROW(FullName1)))))</f>
        <v>Full Name</v>
      </c>
      <c r="B12" s="38" t="str">
        <f ca="1">IF(ISNA(VLOOKUP(A12,NameDB!A:C,2,FALSE)),"",VLOOKUP(A12,NameDB!A:C,2,FALSE))</f>
        <v>Name</v>
      </c>
      <c r="C12" s="38" t="str">
        <f ca="1">IF(ISNA(VLOOKUP(A12,NameDB!A:C,3,FALSE)),"",VLOOKUP(A12,NameDB!A:C,3,FALSE))</f>
        <v>Surname</v>
      </c>
    </row>
    <row r="13" spans="1:11">
      <c r="A13" s="38" t="str">
        <f t="array" aca="1" ref="A13" ca="1">INDEX(NameDB!$A:$A,MIN(IF(FullName1&lt;&gt;"",IF(COUNTIF(NameCheck!A$1:A12,FullName1)=0,ROW(FullName1)))))</f>
        <v>Full Name</v>
      </c>
      <c r="B13" s="38" t="str">
        <f ca="1">IF(ISNA(VLOOKUP(A13,NameDB!A:C,2,FALSE)),"",VLOOKUP(A13,NameDB!A:C,2,FALSE))</f>
        <v>Name</v>
      </c>
      <c r="C13" s="38" t="str">
        <f ca="1">IF(ISNA(VLOOKUP(A13,NameDB!A:C,3,FALSE)),"",VLOOKUP(A13,NameDB!A:C,3,FALSE))</f>
        <v>Surname</v>
      </c>
    </row>
    <row r="14" spans="1:11">
      <c r="A14" s="38" t="str">
        <f t="array" aca="1" ref="A14" ca="1">INDEX(NameDB!$A:$A,MIN(IF(FullName1&lt;&gt;"",IF(COUNTIF(NameCheck!A$1:A13,FullName1)=0,ROW(FullName1)))))</f>
        <v>Full Name</v>
      </c>
      <c r="B14" s="38" t="str">
        <f ca="1">IF(ISNA(VLOOKUP(A14,NameDB!A:C,2,FALSE)),"",VLOOKUP(A14,NameDB!A:C,2,FALSE))</f>
        <v>Name</v>
      </c>
      <c r="C14" s="38" t="str">
        <f ca="1">IF(ISNA(VLOOKUP(A14,NameDB!A:C,3,FALSE)),"",VLOOKUP(A14,NameDB!A:C,3,FALSE))</f>
        <v>Surname</v>
      </c>
    </row>
    <row r="15" spans="1:11">
      <c r="A15" s="38" t="str">
        <f t="array" aca="1" ref="A15" ca="1">INDEX(NameDB!$A:$A,MIN(IF(FullName1&lt;&gt;"",IF(COUNTIF(NameCheck!A$1:A14,FullName1)=0,ROW(FullName1)))))</f>
        <v>Full Name</v>
      </c>
      <c r="B15" s="38" t="str">
        <f ca="1">IF(ISNA(VLOOKUP(A15,NameDB!A:C,2,FALSE)),"",VLOOKUP(A15,NameDB!A:C,2,FALSE))</f>
        <v>Name</v>
      </c>
      <c r="C15" s="38" t="str">
        <f ca="1">IF(ISNA(VLOOKUP(A15,NameDB!A:C,3,FALSE)),"",VLOOKUP(A15,NameDB!A:C,3,FALSE))</f>
        <v>Surname</v>
      </c>
    </row>
    <row r="16" spans="1:11">
      <c r="A16" s="38" t="str">
        <f t="array" aca="1" ref="A16" ca="1">INDEX(NameDB!$A:$A,MIN(IF(FullName1&lt;&gt;"",IF(COUNTIF(NameCheck!A$1:A15,FullName1)=0,ROW(FullName1)))))</f>
        <v>Full Name</v>
      </c>
      <c r="B16" s="38" t="str">
        <f ca="1">IF(ISNA(VLOOKUP(A16,NameDB!A:C,2,FALSE)),"",VLOOKUP(A16,NameDB!A:C,2,FALSE))</f>
        <v>Name</v>
      </c>
      <c r="C16" s="38" t="str">
        <f ca="1">IF(ISNA(VLOOKUP(A16,NameDB!A:C,3,FALSE)),"",VLOOKUP(A16,NameDB!A:C,3,FALSE))</f>
        <v>Surname</v>
      </c>
    </row>
    <row r="17" spans="1:3">
      <c r="A17" s="38" t="str">
        <f t="array" aca="1" ref="A17" ca="1">INDEX(NameDB!$A:$A,MIN(IF(FullName1&lt;&gt;"",IF(COUNTIF(NameCheck!A$1:A16,FullName1)=0,ROW(FullName1)))))</f>
        <v>Full Name</v>
      </c>
      <c r="B17" s="38" t="str">
        <f ca="1">IF(ISNA(VLOOKUP(A17,NameDB!A:C,2,FALSE)),"",VLOOKUP(A17,NameDB!A:C,2,FALSE))</f>
        <v>Name</v>
      </c>
      <c r="C17" s="38" t="str">
        <f ca="1">IF(ISNA(VLOOKUP(A17,NameDB!A:C,3,FALSE)),"",VLOOKUP(A17,NameDB!A:C,3,FALSE))</f>
        <v>Surname</v>
      </c>
    </row>
    <row r="18" spans="1:3">
      <c r="A18" s="38" t="str">
        <f t="array" aca="1" ref="A18" ca="1">INDEX(NameDB!$A:$A,MIN(IF(FullName1&lt;&gt;"",IF(COUNTIF(NameCheck!A$1:A17,FullName1)=0,ROW(FullName1)))))</f>
        <v>Full Name</v>
      </c>
      <c r="B18" s="38" t="str">
        <f ca="1">IF(ISNA(VLOOKUP(A18,NameDB!A:C,2,FALSE)),"",VLOOKUP(A18,NameDB!A:C,2,FALSE))</f>
        <v>Name</v>
      </c>
      <c r="C18" s="38" t="str">
        <f ca="1">IF(ISNA(VLOOKUP(A18,NameDB!A:C,3,FALSE)),"",VLOOKUP(A18,NameDB!A:C,3,FALSE))</f>
        <v>Surname</v>
      </c>
    </row>
    <row r="19" spans="1:3">
      <c r="A19" s="38" t="str">
        <f t="array" aca="1" ref="A19" ca="1">INDEX(NameDB!$A:$A,MIN(IF(FullName1&lt;&gt;"",IF(COUNTIF(NameCheck!A$1:A18,FullName1)=0,ROW(FullName1)))))</f>
        <v>Full Name</v>
      </c>
      <c r="B19" s="38" t="str">
        <f ca="1">IF(ISNA(VLOOKUP(A19,NameDB!A:C,2,FALSE)),"",VLOOKUP(A19,NameDB!A:C,2,FALSE))</f>
        <v>Name</v>
      </c>
      <c r="C19" s="38" t="str">
        <f ca="1">IF(ISNA(VLOOKUP(A19,NameDB!A:C,3,FALSE)),"",VLOOKUP(A19,NameDB!A:C,3,FALSE))</f>
        <v>Surname</v>
      </c>
    </row>
    <row r="20" spans="1:3">
      <c r="A20" s="38" t="str">
        <f t="array" aca="1" ref="A20" ca="1">INDEX(NameDB!$A:$A,MIN(IF(FullName1&lt;&gt;"",IF(COUNTIF(NameCheck!A$1:A19,FullName1)=0,ROW(FullName1)))))</f>
        <v>Full Name</v>
      </c>
      <c r="B20" s="38" t="str">
        <f ca="1">IF(ISNA(VLOOKUP(A20,NameDB!A:C,2,FALSE)),"",VLOOKUP(A20,NameDB!A:C,2,FALSE))</f>
        <v>Name</v>
      </c>
      <c r="C20" s="38" t="str">
        <f ca="1">IF(ISNA(VLOOKUP(A20,NameDB!A:C,3,FALSE)),"",VLOOKUP(A20,NameDB!A:C,3,FALSE))</f>
        <v>Surname</v>
      </c>
    </row>
    <row r="21" spans="1:3">
      <c r="A21"/>
      <c r="B21"/>
      <c r="C21"/>
    </row>
    <row r="22" spans="1:3">
      <c r="A22"/>
      <c r="B22"/>
      <c r="C22"/>
    </row>
    <row r="23" spans="1:3">
      <c r="A23"/>
      <c r="B23"/>
      <c r="C23"/>
    </row>
    <row r="24" spans="1:3">
      <c r="A24"/>
      <c r="B24"/>
      <c r="C24"/>
    </row>
    <row r="25" spans="1:3">
      <c r="A25"/>
      <c r="B25"/>
      <c r="C25"/>
    </row>
    <row r="26" spans="1:3">
      <c r="A26"/>
      <c r="B26"/>
      <c r="C26"/>
    </row>
    <row r="27" spans="1:3">
      <c r="A27"/>
      <c r="B27"/>
      <c r="C27"/>
    </row>
    <row r="28" spans="1:3">
      <c r="A28"/>
      <c r="B28"/>
      <c r="C28"/>
    </row>
    <row r="29" spans="1:3">
      <c r="A29"/>
      <c r="B29"/>
      <c r="C29"/>
    </row>
    <row r="30" spans="1:3">
      <c r="A30"/>
      <c r="B30"/>
      <c r="C30"/>
    </row>
    <row r="31" spans="1:3">
      <c r="A31"/>
      <c r="B31"/>
      <c r="C31"/>
    </row>
    <row r="32" spans="1:3">
      <c r="A32"/>
      <c r="B32"/>
      <c r="C32"/>
    </row>
    <row r="33" spans="1:3">
      <c r="A33"/>
      <c r="B33"/>
      <c r="C33"/>
    </row>
    <row r="34" spans="1:3">
      <c r="A34"/>
      <c r="B34"/>
      <c r="C34"/>
    </row>
    <row r="35" spans="1:3">
      <c r="A35"/>
      <c r="B35"/>
      <c r="C35"/>
    </row>
    <row r="36" spans="1:3">
      <c r="A36"/>
      <c r="B36"/>
      <c r="C36"/>
    </row>
    <row r="37" spans="1:3">
      <c r="A37"/>
      <c r="B37"/>
      <c r="C37"/>
    </row>
    <row r="38" spans="1:3">
      <c r="A38"/>
      <c r="B38"/>
      <c r="C38"/>
    </row>
    <row r="39" spans="1:3">
      <c r="A39"/>
      <c r="B39"/>
      <c r="C39"/>
    </row>
    <row r="40" spans="1:3">
      <c r="A40"/>
      <c r="B40"/>
      <c r="C40"/>
    </row>
    <row r="41" spans="1:3">
      <c r="A41"/>
      <c r="B41"/>
      <c r="C41"/>
    </row>
    <row r="42" spans="1:3">
      <c r="A42"/>
      <c r="B42"/>
      <c r="C42"/>
    </row>
    <row r="43" spans="1:3">
      <c r="A43"/>
      <c r="B43"/>
      <c r="C43"/>
    </row>
    <row r="44" spans="1:3">
      <c r="A44"/>
      <c r="B44"/>
      <c r="C44"/>
    </row>
  </sheetData>
  <autoFilter ref="A1:I20">
    <filterColumn colId="1"/>
    <filterColumn colId="2"/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Z50"/>
  <sheetViews>
    <sheetView workbookViewId="0">
      <selection sqref="A1:Y1"/>
    </sheetView>
  </sheetViews>
  <sheetFormatPr baseColWidth="10" defaultRowHeight="12.75"/>
  <cols>
    <col min="1" max="1" width="6.28515625" customWidth="1"/>
    <col min="3" max="3" width="10.42578125" customWidth="1"/>
    <col min="4" max="4" width="15.140625" customWidth="1"/>
    <col min="5" max="5" width="15.28515625" customWidth="1"/>
    <col min="6" max="6" width="10.42578125" customWidth="1"/>
    <col min="7" max="7" width="7.28515625" customWidth="1"/>
    <col min="8" max="8" width="10.140625" customWidth="1"/>
    <col min="11" max="11" width="8" customWidth="1"/>
    <col min="12" max="12" width="8.28515625" customWidth="1"/>
    <col min="13" max="13" width="9.7109375" customWidth="1"/>
    <col min="14" max="14" width="10.140625" customWidth="1"/>
    <col min="23" max="23" width="7.140625" customWidth="1"/>
    <col min="24" max="24" width="9.7109375" customWidth="1"/>
    <col min="26" max="26" width="11.42578125" style="94"/>
  </cols>
  <sheetData>
    <row r="1" spans="1:26" s="2" customFormat="1" ht="21.75" customHeight="1" thickBot="1">
      <c r="A1" s="229" t="s">
        <v>209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1"/>
      <c r="Z1" s="5"/>
    </row>
    <row r="2" spans="1:26" s="2" customFormat="1" ht="52.5" customHeight="1" thickBot="1">
      <c r="A2" s="16" t="s">
        <v>118</v>
      </c>
      <c r="B2" s="20" t="s">
        <v>82</v>
      </c>
      <c r="C2" s="20" t="s">
        <v>101</v>
      </c>
      <c r="D2" s="20" t="s">
        <v>98</v>
      </c>
      <c r="E2" s="20" t="s">
        <v>99</v>
      </c>
      <c r="F2" s="20" t="s">
        <v>143</v>
      </c>
      <c r="G2" s="26" t="s">
        <v>3</v>
      </c>
      <c r="H2" s="20" t="s">
        <v>206</v>
      </c>
      <c r="I2" s="16" t="s">
        <v>211</v>
      </c>
      <c r="J2" s="16" t="s">
        <v>223</v>
      </c>
      <c r="K2" s="16" t="s">
        <v>155</v>
      </c>
      <c r="L2" s="16" t="s">
        <v>156</v>
      </c>
      <c r="M2" s="20" t="s">
        <v>213</v>
      </c>
      <c r="N2" s="20" t="s">
        <v>214</v>
      </c>
      <c r="O2" s="20" t="s">
        <v>215</v>
      </c>
      <c r="P2" s="20" t="s">
        <v>216</v>
      </c>
      <c r="Q2" s="20" t="s">
        <v>217</v>
      </c>
      <c r="R2" s="20" t="s">
        <v>218</v>
      </c>
      <c r="S2" s="20" t="s">
        <v>219</v>
      </c>
      <c r="T2" s="20" t="s">
        <v>220</v>
      </c>
      <c r="U2" s="20" t="s">
        <v>221</v>
      </c>
      <c r="V2" s="20" t="s">
        <v>224</v>
      </c>
      <c r="W2" s="20" t="s">
        <v>210</v>
      </c>
      <c r="X2" s="20" t="s">
        <v>222</v>
      </c>
      <c r="Y2" s="16" t="s">
        <v>119</v>
      </c>
      <c r="Z2" s="93"/>
    </row>
    <row r="3" spans="1:26" s="2" customFormat="1">
      <c r="A3" s="15" t="s">
        <v>151</v>
      </c>
      <c r="B3" s="22" t="s">
        <v>152</v>
      </c>
      <c r="C3" s="22" t="s">
        <v>114</v>
      </c>
      <c r="D3" s="22" t="s">
        <v>109</v>
      </c>
      <c r="E3" s="22" t="s">
        <v>153</v>
      </c>
      <c r="F3" s="22" t="s">
        <v>145</v>
      </c>
      <c r="G3" s="22">
        <f t="shared" ref="G3:G8" si="0">IF(U3="","",(WEEKNUM(U3)))</f>
        <v>0</v>
      </c>
      <c r="H3" s="22" t="s">
        <v>154</v>
      </c>
      <c r="I3" s="17">
        <v>42771</v>
      </c>
      <c r="J3" s="39">
        <v>5</v>
      </c>
      <c r="K3" s="39">
        <v>6</v>
      </c>
      <c r="L3" s="39">
        <v>0</v>
      </c>
      <c r="M3" s="41">
        <v>0</v>
      </c>
      <c r="N3" s="41">
        <v>0</v>
      </c>
      <c r="O3" s="42">
        <v>0</v>
      </c>
      <c r="P3" s="42">
        <v>1</v>
      </c>
      <c r="Q3" s="42">
        <v>0</v>
      </c>
      <c r="R3" s="42">
        <v>0</v>
      </c>
      <c r="S3" s="42">
        <v>0</v>
      </c>
      <c r="T3" s="42">
        <v>0</v>
      </c>
      <c r="U3" s="42">
        <v>0</v>
      </c>
      <c r="V3" s="43">
        <v>0</v>
      </c>
      <c r="W3" s="43">
        <f t="shared" ref="W3:W8" si="1">SUM(J3:V3)</f>
        <v>12</v>
      </c>
      <c r="X3" s="43">
        <v>0</v>
      </c>
      <c r="Y3" s="15" t="s">
        <v>154</v>
      </c>
      <c r="Z3" s="93"/>
    </row>
    <row r="4" spans="1:26" s="2" customFormat="1" ht="27.75" customHeight="1">
      <c r="A4" s="15" t="s">
        <v>157</v>
      </c>
      <c r="B4" s="22" t="s">
        <v>152</v>
      </c>
      <c r="C4" s="22" t="s">
        <v>114</v>
      </c>
      <c r="D4" s="22" t="s">
        <v>110</v>
      </c>
      <c r="E4" s="22" t="s">
        <v>162</v>
      </c>
      <c r="F4" s="22" t="s">
        <v>145</v>
      </c>
      <c r="G4" s="22">
        <f t="shared" si="0"/>
        <v>0</v>
      </c>
      <c r="H4" s="22" t="s">
        <v>154</v>
      </c>
      <c r="I4" s="17">
        <v>42771</v>
      </c>
      <c r="J4" s="40">
        <v>5</v>
      </c>
      <c r="K4" s="40">
        <v>6</v>
      </c>
      <c r="L4" s="40">
        <v>0</v>
      </c>
      <c r="M4" s="44">
        <v>0</v>
      </c>
      <c r="N4" s="44">
        <v>0</v>
      </c>
      <c r="O4" s="42">
        <v>0</v>
      </c>
      <c r="P4" s="42">
        <v>1</v>
      </c>
      <c r="Q4" s="42">
        <v>0</v>
      </c>
      <c r="R4" s="42">
        <v>0</v>
      </c>
      <c r="S4" s="42">
        <v>0</v>
      </c>
      <c r="T4" s="42">
        <v>0</v>
      </c>
      <c r="U4" s="42">
        <v>0</v>
      </c>
      <c r="V4" s="43">
        <v>0</v>
      </c>
      <c r="W4" s="43">
        <f t="shared" si="1"/>
        <v>12</v>
      </c>
      <c r="X4" s="43">
        <v>0</v>
      </c>
      <c r="Y4" s="15" t="s">
        <v>154</v>
      </c>
      <c r="Z4" s="93"/>
    </row>
    <row r="5" spans="1:26" s="2" customFormat="1">
      <c r="A5" s="15" t="s">
        <v>158</v>
      </c>
      <c r="B5" s="22" t="s">
        <v>152</v>
      </c>
      <c r="C5" s="22" t="s">
        <v>117</v>
      </c>
      <c r="D5" s="22" t="s">
        <v>122</v>
      </c>
      <c r="E5" s="22" t="s">
        <v>163</v>
      </c>
      <c r="F5" s="22" t="s">
        <v>145</v>
      </c>
      <c r="G5" s="22">
        <f t="shared" si="0"/>
        <v>0</v>
      </c>
      <c r="H5" s="22" t="s">
        <v>154</v>
      </c>
      <c r="I5" s="17">
        <v>42771</v>
      </c>
      <c r="J5" s="40">
        <v>5</v>
      </c>
      <c r="K5" s="40">
        <v>6</v>
      </c>
      <c r="L5" s="40">
        <v>0</v>
      </c>
      <c r="M5" s="44">
        <v>0</v>
      </c>
      <c r="N5" s="44">
        <v>0</v>
      </c>
      <c r="O5" s="42">
        <v>0</v>
      </c>
      <c r="P5" s="42">
        <v>1</v>
      </c>
      <c r="Q5" s="42">
        <v>0</v>
      </c>
      <c r="R5" s="42">
        <v>0</v>
      </c>
      <c r="S5" s="42">
        <v>0</v>
      </c>
      <c r="T5" s="42">
        <v>0</v>
      </c>
      <c r="U5" s="42">
        <v>0</v>
      </c>
      <c r="V5" s="43">
        <v>0</v>
      </c>
      <c r="W5" s="43">
        <f t="shared" si="1"/>
        <v>12</v>
      </c>
      <c r="X5" s="43">
        <v>0</v>
      </c>
      <c r="Y5" s="15" t="s">
        <v>154</v>
      </c>
      <c r="Z5" s="93"/>
    </row>
    <row r="6" spans="1:26" s="2" customFormat="1">
      <c r="A6" s="15" t="s">
        <v>159</v>
      </c>
      <c r="B6" s="22" t="s">
        <v>100</v>
      </c>
      <c r="C6" s="22" t="s">
        <v>102</v>
      </c>
      <c r="D6" s="22" t="s">
        <v>49</v>
      </c>
      <c r="E6" s="22" t="s">
        <v>164</v>
      </c>
      <c r="F6" s="22" t="s">
        <v>145</v>
      </c>
      <c r="G6" s="22">
        <f t="shared" si="0"/>
        <v>0</v>
      </c>
      <c r="H6" s="22" t="s">
        <v>172</v>
      </c>
      <c r="I6" s="17">
        <v>42771</v>
      </c>
      <c r="J6" s="40">
        <v>5</v>
      </c>
      <c r="K6" s="40">
        <v>6</v>
      </c>
      <c r="L6" s="40">
        <v>0</v>
      </c>
      <c r="M6" s="44">
        <v>0</v>
      </c>
      <c r="N6" s="44">
        <v>0</v>
      </c>
      <c r="O6" s="42">
        <v>0</v>
      </c>
      <c r="P6" s="42">
        <v>1</v>
      </c>
      <c r="Q6" s="42">
        <v>0</v>
      </c>
      <c r="R6" s="42">
        <v>0</v>
      </c>
      <c r="S6" s="42">
        <v>0</v>
      </c>
      <c r="T6" s="42">
        <v>0</v>
      </c>
      <c r="U6" s="42">
        <v>0</v>
      </c>
      <c r="V6" s="43">
        <v>0</v>
      </c>
      <c r="W6" s="43">
        <f t="shared" si="1"/>
        <v>12</v>
      </c>
      <c r="X6" s="43">
        <v>0</v>
      </c>
      <c r="Y6" s="15" t="s">
        <v>154</v>
      </c>
      <c r="Z6" s="93"/>
    </row>
    <row r="7" spans="1:26" s="2" customFormat="1">
      <c r="A7" s="15" t="s">
        <v>160</v>
      </c>
      <c r="B7" s="22" t="s">
        <v>100</v>
      </c>
      <c r="C7" s="22" t="s">
        <v>8</v>
      </c>
      <c r="D7" s="22" t="s">
        <v>54</v>
      </c>
      <c r="E7" s="22" t="s">
        <v>165</v>
      </c>
      <c r="F7" s="22" t="s">
        <v>145</v>
      </c>
      <c r="G7" s="22">
        <f t="shared" si="0"/>
        <v>0</v>
      </c>
      <c r="H7" s="22" t="s">
        <v>171</v>
      </c>
      <c r="I7" s="17">
        <v>42771</v>
      </c>
      <c r="J7" s="40">
        <v>5</v>
      </c>
      <c r="K7" s="40">
        <v>6</v>
      </c>
      <c r="L7" s="40">
        <v>0</v>
      </c>
      <c r="M7" s="44">
        <v>0</v>
      </c>
      <c r="N7" s="44">
        <v>0</v>
      </c>
      <c r="O7" s="42">
        <v>0</v>
      </c>
      <c r="P7" s="42">
        <v>1</v>
      </c>
      <c r="Q7" s="42">
        <v>0</v>
      </c>
      <c r="R7" s="42">
        <v>0</v>
      </c>
      <c r="S7" s="42">
        <v>0</v>
      </c>
      <c r="T7" s="42">
        <v>0</v>
      </c>
      <c r="U7" s="42">
        <v>0</v>
      </c>
      <c r="V7" s="43">
        <v>0</v>
      </c>
      <c r="W7" s="43">
        <f t="shared" si="1"/>
        <v>12</v>
      </c>
      <c r="X7" s="43">
        <v>0</v>
      </c>
      <c r="Y7" s="15" t="s">
        <v>154</v>
      </c>
      <c r="Z7" s="93"/>
    </row>
    <row r="8" spans="1:26" s="2" customFormat="1">
      <c r="A8" s="15" t="s">
        <v>161</v>
      </c>
      <c r="B8" s="22" t="s">
        <v>100</v>
      </c>
      <c r="C8" s="22" t="s">
        <v>8</v>
      </c>
      <c r="D8" s="22" t="s">
        <v>55</v>
      </c>
      <c r="E8" s="22" t="s">
        <v>166</v>
      </c>
      <c r="F8" s="22" t="s">
        <v>144</v>
      </c>
      <c r="G8" s="22">
        <f t="shared" si="0"/>
        <v>0</v>
      </c>
      <c r="H8" s="22" t="s">
        <v>154</v>
      </c>
      <c r="I8" s="17">
        <v>42778</v>
      </c>
      <c r="J8" s="40">
        <v>5</v>
      </c>
      <c r="K8" s="40">
        <v>6</v>
      </c>
      <c r="L8" s="40">
        <v>0</v>
      </c>
      <c r="M8" s="44">
        <v>0</v>
      </c>
      <c r="N8" s="44">
        <v>0</v>
      </c>
      <c r="O8" s="42">
        <v>0</v>
      </c>
      <c r="P8" s="42">
        <v>1</v>
      </c>
      <c r="Q8" s="42">
        <v>0</v>
      </c>
      <c r="R8" s="42">
        <v>0</v>
      </c>
      <c r="S8" s="42">
        <v>0</v>
      </c>
      <c r="T8" s="42">
        <v>0</v>
      </c>
      <c r="U8" s="42">
        <v>0</v>
      </c>
      <c r="V8" s="43">
        <v>0</v>
      </c>
      <c r="W8" s="43">
        <f t="shared" si="1"/>
        <v>12</v>
      </c>
      <c r="X8" s="43">
        <v>0</v>
      </c>
      <c r="Y8" s="15" t="s">
        <v>173</v>
      </c>
      <c r="Z8" s="27"/>
    </row>
    <row r="9" spans="1:26" s="27" customFormat="1">
      <c r="A9" s="24"/>
      <c r="B9" s="24"/>
      <c r="C9" s="24"/>
      <c r="D9" s="24"/>
      <c r="E9" s="24"/>
      <c r="F9" s="19"/>
      <c r="G9" s="19"/>
      <c r="H9" s="19"/>
      <c r="I9" s="25"/>
      <c r="J9" s="24"/>
      <c r="K9" s="24"/>
      <c r="L9" s="24"/>
      <c r="M9" s="24"/>
      <c r="N9" s="24"/>
      <c r="O9" s="19"/>
      <c r="P9" s="19"/>
      <c r="Q9" s="24"/>
      <c r="R9" s="24"/>
      <c r="S9" s="24"/>
      <c r="T9" s="24"/>
      <c r="U9" s="25"/>
      <c r="V9" s="24"/>
      <c r="W9" s="24"/>
      <c r="X9" s="24"/>
      <c r="Y9" s="24"/>
    </row>
    <row r="10" spans="1:26" s="2" customFormat="1">
      <c r="A10" s="15" t="s">
        <v>147</v>
      </c>
      <c r="B10" s="22" t="s">
        <v>175</v>
      </c>
      <c r="C10" s="22" t="s">
        <v>175</v>
      </c>
      <c r="D10" s="22" t="s">
        <v>175</v>
      </c>
      <c r="E10" s="22" t="s">
        <v>175</v>
      </c>
      <c r="F10" s="22" t="s">
        <v>175</v>
      </c>
      <c r="G10" s="22" t="s">
        <v>174</v>
      </c>
      <c r="H10" s="22" t="s">
        <v>175</v>
      </c>
      <c r="I10" s="15" t="s">
        <v>147</v>
      </c>
      <c r="J10" s="15" t="s">
        <v>147</v>
      </c>
      <c r="K10" s="15" t="s">
        <v>147</v>
      </c>
      <c r="L10" s="15" t="s">
        <v>147</v>
      </c>
      <c r="M10" s="22" t="s">
        <v>175</v>
      </c>
      <c r="N10" s="22" t="s">
        <v>175</v>
      </c>
      <c r="O10" s="22" t="s">
        <v>175</v>
      </c>
      <c r="P10" s="22" t="s">
        <v>175</v>
      </c>
      <c r="Q10" s="22" t="s">
        <v>175</v>
      </c>
      <c r="R10" s="22" t="s">
        <v>175</v>
      </c>
      <c r="S10" s="22" t="s">
        <v>175</v>
      </c>
      <c r="T10" s="22" t="s">
        <v>175</v>
      </c>
      <c r="U10" s="22" t="s">
        <v>175</v>
      </c>
      <c r="V10" s="22" t="s">
        <v>175</v>
      </c>
      <c r="W10" s="22" t="s">
        <v>174</v>
      </c>
      <c r="X10" s="22" t="s">
        <v>174</v>
      </c>
      <c r="Y10" s="15" t="s">
        <v>147</v>
      </c>
      <c r="Z10" s="27"/>
    </row>
    <row r="11" spans="1:26" s="2" customFormat="1">
      <c r="A11" s="8"/>
      <c r="B11" s="8"/>
      <c r="C11" s="8"/>
      <c r="D11" s="8"/>
      <c r="E11" s="8"/>
      <c r="F11" s="7"/>
      <c r="G11" s="7"/>
      <c r="H11" s="7"/>
      <c r="I11" s="9"/>
      <c r="J11" s="8"/>
      <c r="K11" s="8"/>
      <c r="L11" s="8"/>
      <c r="M11" s="8"/>
      <c r="N11" s="8"/>
      <c r="O11" s="7"/>
      <c r="P11" s="8"/>
      <c r="Q11" s="8"/>
      <c r="R11" s="8"/>
      <c r="S11" s="8"/>
      <c r="T11" s="8"/>
      <c r="U11" s="9"/>
      <c r="V11" s="8"/>
      <c r="W11" s="8"/>
      <c r="X11" s="8"/>
      <c r="Y11" s="8"/>
      <c r="Z11" s="27"/>
    </row>
    <row r="12" spans="1:26" s="2" customFormat="1">
      <c r="J12" s="37"/>
      <c r="K12" s="37"/>
      <c r="L12" s="37"/>
      <c r="M12" s="37"/>
      <c r="N12" s="37"/>
      <c r="Z12" s="27"/>
    </row>
    <row r="13" spans="1:26" s="2" customFormat="1">
      <c r="J13" s="37"/>
      <c r="K13" s="37"/>
      <c r="L13" s="37"/>
      <c r="M13" s="37"/>
      <c r="N13" s="37"/>
      <c r="Z13" s="27"/>
    </row>
    <row r="14" spans="1:26" s="2" customFormat="1">
      <c r="J14" s="37"/>
      <c r="K14" s="37"/>
      <c r="L14" s="37"/>
      <c r="M14" s="37"/>
      <c r="N14" s="37"/>
      <c r="Z14" s="27"/>
    </row>
    <row r="15" spans="1:26" s="2" customFormat="1">
      <c r="J15" s="37"/>
      <c r="K15" s="37"/>
      <c r="L15" s="37"/>
      <c r="M15" s="37"/>
      <c r="N15" s="37"/>
      <c r="Z15" s="27"/>
    </row>
    <row r="16" spans="1:26" s="2" customFormat="1">
      <c r="J16" s="37"/>
      <c r="K16" s="37"/>
      <c r="L16" s="37"/>
      <c r="M16" s="37"/>
      <c r="N16" s="37"/>
      <c r="Z16" s="27"/>
    </row>
    <row r="17" spans="10:26" s="2" customFormat="1">
      <c r="J17" s="37"/>
      <c r="K17" s="37"/>
      <c r="L17" s="37"/>
      <c r="M17" s="37"/>
      <c r="N17" s="37"/>
      <c r="Z17" s="27"/>
    </row>
    <row r="18" spans="10:26" s="2" customFormat="1">
      <c r="J18" s="37"/>
      <c r="K18" s="37"/>
      <c r="L18" s="37"/>
      <c r="M18" s="37"/>
      <c r="N18" s="37"/>
      <c r="Z18" s="27"/>
    </row>
    <row r="19" spans="10:26" s="2" customFormat="1">
      <c r="J19" s="37"/>
      <c r="K19" s="37"/>
      <c r="L19" s="37"/>
      <c r="M19" s="37"/>
      <c r="N19" s="37"/>
      <c r="Z19" s="27"/>
    </row>
    <row r="20" spans="10:26" s="2" customFormat="1">
      <c r="J20" s="37"/>
      <c r="K20" s="37"/>
      <c r="L20" s="37"/>
      <c r="M20" s="37"/>
      <c r="N20" s="37"/>
      <c r="Z20" s="27"/>
    </row>
    <row r="21" spans="10:26" s="2" customFormat="1">
      <c r="J21" s="37"/>
      <c r="K21" s="37"/>
      <c r="L21" s="37"/>
      <c r="M21" s="37"/>
      <c r="N21" s="37"/>
      <c r="Z21" s="27"/>
    </row>
    <row r="22" spans="10:26" s="2" customFormat="1">
      <c r="J22" s="37"/>
      <c r="K22" s="37"/>
      <c r="L22" s="37"/>
      <c r="M22" s="37"/>
      <c r="N22" s="37"/>
      <c r="Z22" s="27"/>
    </row>
    <row r="23" spans="10:26" s="2" customFormat="1">
      <c r="J23" s="37"/>
      <c r="K23" s="37"/>
      <c r="L23" s="37"/>
      <c r="M23" s="37"/>
      <c r="N23" s="37"/>
      <c r="Z23" s="27"/>
    </row>
    <row r="24" spans="10:26" s="2" customFormat="1">
      <c r="J24" s="37"/>
      <c r="K24" s="37"/>
      <c r="L24" s="37"/>
      <c r="M24" s="37"/>
      <c r="N24" s="37"/>
      <c r="Z24" s="27"/>
    </row>
    <row r="25" spans="10:26" s="2" customFormat="1">
      <c r="J25" s="37"/>
      <c r="K25" s="37"/>
      <c r="L25" s="37"/>
      <c r="M25" s="37"/>
      <c r="N25" s="37"/>
      <c r="Z25" s="27"/>
    </row>
    <row r="26" spans="10:26" s="2" customFormat="1">
      <c r="J26" s="37"/>
      <c r="K26" s="37"/>
      <c r="L26" s="37"/>
      <c r="M26" s="37"/>
      <c r="N26" s="37"/>
      <c r="Z26" s="27"/>
    </row>
    <row r="27" spans="10:26" s="2" customFormat="1">
      <c r="J27" s="37"/>
      <c r="K27" s="37"/>
      <c r="L27" s="37"/>
      <c r="M27" s="37"/>
      <c r="N27" s="37"/>
      <c r="Z27" s="27"/>
    </row>
    <row r="28" spans="10:26" s="2" customFormat="1">
      <c r="J28" s="37"/>
      <c r="K28" s="37"/>
      <c r="L28" s="37"/>
      <c r="M28" s="37"/>
      <c r="N28" s="37"/>
      <c r="Z28" s="27"/>
    </row>
    <row r="29" spans="10:26" s="2" customFormat="1">
      <c r="J29" s="37"/>
      <c r="K29" s="37"/>
      <c r="L29" s="37"/>
      <c r="M29" s="37"/>
      <c r="N29" s="37"/>
      <c r="Z29" s="27"/>
    </row>
    <row r="30" spans="10:26" s="2" customFormat="1">
      <c r="J30" s="37"/>
      <c r="K30" s="37"/>
      <c r="L30" s="37"/>
      <c r="M30" s="37"/>
      <c r="N30" s="37"/>
      <c r="Z30" s="27"/>
    </row>
    <row r="31" spans="10:26" s="2" customFormat="1">
      <c r="J31" s="37"/>
      <c r="K31" s="37"/>
      <c r="L31" s="37"/>
      <c r="M31" s="37"/>
      <c r="N31" s="37"/>
      <c r="Z31" s="27"/>
    </row>
    <row r="32" spans="10:26" s="2" customFormat="1">
      <c r="J32" s="37"/>
      <c r="K32" s="37"/>
      <c r="L32" s="37"/>
      <c r="M32" s="37"/>
      <c r="N32" s="37"/>
      <c r="Z32" s="27"/>
    </row>
    <row r="33" spans="10:26" s="2" customFormat="1">
      <c r="J33" s="37"/>
      <c r="K33" s="37"/>
      <c r="L33" s="37"/>
      <c r="M33" s="37"/>
      <c r="N33" s="37"/>
      <c r="Z33" s="27"/>
    </row>
    <row r="34" spans="10:26" s="2" customFormat="1">
      <c r="J34" s="37"/>
      <c r="K34" s="37"/>
      <c r="L34" s="37"/>
      <c r="M34" s="37"/>
      <c r="N34" s="37"/>
      <c r="Z34" s="27"/>
    </row>
    <row r="35" spans="10:26" s="2" customFormat="1">
      <c r="J35" s="37"/>
      <c r="K35" s="37"/>
      <c r="L35" s="37"/>
      <c r="M35" s="37"/>
      <c r="N35" s="37"/>
      <c r="Z35" s="27"/>
    </row>
    <row r="36" spans="10:26" s="2" customFormat="1">
      <c r="J36" s="37"/>
      <c r="K36" s="37"/>
      <c r="L36" s="37"/>
      <c r="M36" s="37"/>
      <c r="N36" s="37"/>
      <c r="Z36" s="27"/>
    </row>
    <row r="37" spans="10:26" s="2" customFormat="1">
      <c r="J37" s="37"/>
      <c r="K37" s="37"/>
      <c r="L37" s="37"/>
      <c r="M37" s="37"/>
      <c r="N37" s="37"/>
      <c r="Z37" s="5"/>
    </row>
    <row r="38" spans="10:26" s="2" customFormat="1">
      <c r="J38" s="37"/>
      <c r="K38" s="37"/>
      <c r="L38" s="37"/>
      <c r="M38" s="37"/>
      <c r="N38" s="37"/>
      <c r="Z38" s="27"/>
    </row>
    <row r="39" spans="10:26" s="2" customFormat="1">
      <c r="J39" s="37"/>
      <c r="K39" s="37"/>
      <c r="L39" s="37"/>
      <c r="M39" s="37"/>
      <c r="N39" s="37"/>
      <c r="Z39" s="27"/>
    </row>
    <row r="40" spans="10:26" s="2" customFormat="1">
      <c r="J40" s="37"/>
      <c r="K40" s="37"/>
      <c r="L40" s="37"/>
      <c r="M40" s="37"/>
      <c r="N40" s="37"/>
      <c r="Z40" s="27"/>
    </row>
    <row r="41" spans="10:26" s="2" customFormat="1">
      <c r="J41" s="37"/>
      <c r="K41" s="37"/>
      <c r="L41" s="37"/>
      <c r="M41" s="37"/>
      <c r="N41" s="37"/>
      <c r="Z41" s="27"/>
    </row>
    <row r="42" spans="10:26" s="2" customFormat="1">
      <c r="J42" s="37"/>
      <c r="K42" s="37"/>
      <c r="L42" s="37"/>
      <c r="M42" s="37"/>
      <c r="N42" s="37"/>
      <c r="Z42" s="27"/>
    </row>
    <row r="43" spans="10:26" s="2" customFormat="1">
      <c r="J43" s="37"/>
      <c r="K43" s="37"/>
      <c r="L43" s="37"/>
      <c r="M43" s="37"/>
      <c r="N43" s="37"/>
      <c r="Z43" s="27"/>
    </row>
    <row r="44" spans="10:26" s="2" customFormat="1">
      <c r="J44" s="37"/>
      <c r="K44" s="37"/>
      <c r="L44" s="37"/>
      <c r="M44" s="37"/>
      <c r="N44" s="37"/>
      <c r="Z44" s="27"/>
    </row>
    <row r="45" spans="10:26" s="2" customFormat="1">
      <c r="J45" s="37"/>
      <c r="K45" s="37"/>
      <c r="L45" s="37"/>
      <c r="M45" s="37"/>
      <c r="N45" s="37"/>
      <c r="Z45" s="27"/>
    </row>
    <row r="46" spans="10:26" s="2" customFormat="1">
      <c r="J46" s="37"/>
      <c r="K46" s="37"/>
      <c r="L46" s="37"/>
      <c r="M46" s="37"/>
      <c r="N46" s="37"/>
      <c r="Z46" s="27"/>
    </row>
    <row r="47" spans="10:26" s="2" customFormat="1">
      <c r="J47" s="37"/>
      <c r="K47" s="37"/>
      <c r="L47" s="37"/>
      <c r="M47" s="37"/>
      <c r="N47" s="37"/>
      <c r="Z47" s="27"/>
    </row>
    <row r="48" spans="10:26" s="2" customFormat="1">
      <c r="J48" s="37"/>
      <c r="K48" s="37"/>
      <c r="L48" s="37"/>
      <c r="M48" s="37"/>
      <c r="N48" s="37"/>
      <c r="Z48" s="27"/>
    </row>
    <row r="49" spans="10:26" s="2" customFormat="1">
      <c r="J49" s="37"/>
      <c r="K49" s="37"/>
      <c r="L49" s="37"/>
      <c r="M49" s="37"/>
      <c r="N49" s="37"/>
      <c r="Z49" s="27"/>
    </row>
    <row r="50" spans="10:26" s="2" customFormat="1">
      <c r="J50" s="37"/>
      <c r="K50" s="37"/>
      <c r="L50" s="37"/>
      <c r="M50" s="37"/>
      <c r="N50" s="37"/>
      <c r="Z50" s="27"/>
    </row>
  </sheetData>
  <mergeCells count="1">
    <mergeCell ref="A1:Y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/>
  <dimension ref="A1:AD50"/>
  <sheetViews>
    <sheetView workbookViewId="0">
      <selection sqref="A1:S1"/>
    </sheetView>
  </sheetViews>
  <sheetFormatPr baseColWidth="10" defaultRowHeight="12.75"/>
  <cols>
    <col min="1" max="1" width="5.28515625" customWidth="1"/>
    <col min="2" max="2" width="8" customWidth="1"/>
    <col min="3" max="3" width="7.42578125" customWidth="1"/>
    <col min="4" max="4" width="8.5703125" customWidth="1"/>
    <col min="6" max="6" width="7.7109375" customWidth="1"/>
    <col min="7" max="7" width="9.42578125" customWidth="1"/>
    <col min="8" max="8" width="8.140625" customWidth="1"/>
    <col min="9" max="9" width="8.5703125" customWidth="1"/>
    <col min="10" max="10" width="7.85546875" customWidth="1"/>
    <col min="11" max="11" width="7.42578125" customWidth="1"/>
    <col min="14" max="14" width="7.42578125" customWidth="1"/>
    <col min="15" max="15" width="10.5703125" customWidth="1"/>
    <col min="16" max="16" width="7.28515625" customWidth="1"/>
    <col min="17" max="17" width="10.28515625" customWidth="1"/>
    <col min="21" max="21" width="9.140625" customWidth="1"/>
    <col min="22" max="22" width="6.5703125" bestFit="1" customWidth="1"/>
    <col min="23" max="23" width="14.5703125" customWidth="1"/>
  </cols>
  <sheetData>
    <row r="1" spans="1:30" s="2" customFormat="1" ht="21.75" customHeight="1" thickBot="1">
      <c r="A1" s="229" t="s">
        <v>208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1"/>
      <c r="U1" s="232" t="s">
        <v>207</v>
      </c>
      <c r="V1" s="233"/>
      <c r="W1" s="233"/>
      <c r="X1" s="233"/>
      <c r="Y1" s="233"/>
      <c r="Z1" s="233"/>
      <c r="AA1" s="233"/>
      <c r="AB1" s="233"/>
      <c r="AC1" s="233"/>
      <c r="AD1" s="234"/>
    </row>
    <row r="2" spans="1:30" s="2" customFormat="1" ht="52.5" customHeight="1" thickBot="1">
      <c r="A2" s="20" t="s">
        <v>118</v>
      </c>
      <c r="B2" s="16" t="s">
        <v>180</v>
      </c>
      <c r="C2" s="16" t="s">
        <v>183</v>
      </c>
      <c r="D2" s="16" t="s">
        <v>101</v>
      </c>
      <c r="E2" s="16" t="s">
        <v>4</v>
      </c>
      <c r="F2" s="16" t="s">
        <v>28</v>
      </c>
      <c r="G2" s="16" t="s">
        <v>13</v>
      </c>
      <c r="H2" s="16" t="s">
        <v>89</v>
      </c>
      <c r="I2" s="16" t="s">
        <v>90</v>
      </c>
      <c r="J2" s="16" t="s">
        <v>97</v>
      </c>
      <c r="K2" s="16" t="s">
        <v>225</v>
      </c>
      <c r="L2" s="16" t="s">
        <v>194</v>
      </c>
      <c r="M2" s="16" t="s">
        <v>201</v>
      </c>
      <c r="N2" s="26" t="s">
        <v>204</v>
      </c>
      <c r="O2" s="16" t="s">
        <v>202</v>
      </c>
      <c r="P2" s="26" t="s">
        <v>205</v>
      </c>
      <c r="Q2" s="26" t="s">
        <v>344</v>
      </c>
      <c r="R2" s="16" t="s">
        <v>203</v>
      </c>
      <c r="S2" s="20" t="s">
        <v>226</v>
      </c>
      <c r="U2" s="232" t="s">
        <v>207</v>
      </c>
      <c r="V2" s="233"/>
      <c r="W2" s="233"/>
      <c r="X2" s="233"/>
      <c r="Y2" s="233"/>
      <c r="Z2" s="233"/>
      <c r="AA2" s="233"/>
      <c r="AB2" s="233"/>
      <c r="AC2" s="233"/>
      <c r="AD2" s="234"/>
    </row>
    <row r="3" spans="1:30" s="2" customFormat="1">
      <c r="A3" s="22" t="s">
        <v>176</v>
      </c>
      <c r="B3" s="15" t="s">
        <v>168</v>
      </c>
      <c r="C3" s="15" t="s">
        <v>186</v>
      </c>
      <c r="D3" s="15" t="s">
        <v>8</v>
      </c>
      <c r="E3" s="15" t="s">
        <v>14</v>
      </c>
      <c r="F3" s="15">
        <v>1</v>
      </c>
      <c r="G3" s="15" t="s">
        <v>26</v>
      </c>
      <c r="H3" s="15" t="s">
        <v>192</v>
      </c>
      <c r="I3" s="15" t="s">
        <v>192</v>
      </c>
      <c r="J3" s="15" t="s">
        <v>189</v>
      </c>
      <c r="K3" s="31">
        <v>12</v>
      </c>
      <c r="L3" s="31" t="s">
        <v>195</v>
      </c>
      <c r="M3" s="17">
        <v>42776</v>
      </c>
      <c r="N3" s="22">
        <f t="shared" ref="N3:N8" si="0">WEEKNUM(M3)</f>
        <v>6</v>
      </c>
      <c r="O3" s="17">
        <v>42829</v>
      </c>
      <c r="P3" s="22">
        <f t="shared" ref="P3:P8" si="1">IF(O3="rejected","",WEEKNUM(O3))</f>
        <v>14</v>
      </c>
      <c r="Q3" s="21">
        <f t="shared" ref="Q3:Q8" si="2">IF(O3="","",O3+2)</f>
        <v>42831</v>
      </c>
      <c r="R3" s="17"/>
      <c r="S3" s="21" t="str">
        <f ca="1">IF(TODAY()&gt;Q3,"WARNING","")</f>
        <v>WARNING</v>
      </c>
      <c r="U3" s="36" t="s">
        <v>13</v>
      </c>
      <c r="V3" s="36" t="s">
        <v>28</v>
      </c>
      <c r="W3" s="36" t="s">
        <v>35</v>
      </c>
      <c r="X3" s="36" t="s">
        <v>0</v>
      </c>
      <c r="Y3" s="36" t="s">
        <v>183</v>
      </c>
      <c r="Z3" s="36" t="s">
        <v>1</v>
      </c>
      <c r="AA3" s="36" t="s">
        <v>345</v>
      </c>
      <c r="AB3" s="36" t="s">
        <v>346</v>
      </c>
      <c r="AC3" s="36" t="s">
        <v>347</v>
      </c>
      <c r="AD3" s="36" t="s">
        <v>348</v>
      </c>
    </row>
    <row r="4" spans="1:30" s="2" customFormat="1" ht="27.75" customHeight="1">
      <c r="A4" s="22" t="s">
        <v>176</v>
      </c>
      <c r="B4" s="15" t="s">
        <v>168</v>
      </c>
      <c r="C4" s="15" t="s">
        <v>186</v>
      </c>
      <c r="D4" s="15" t="s">
        <v>8</v>
      </c>
      <c r="E4" s="15" t="s">
        <v>193</v>
      </c>
      <c r="F4" s="15">
        <v>1</v>
      </c>
      <c r="G4" s="15" t="s">
        <v>26</v>
      </c>
      <c r="H4" s="15" t="s">
        <v>192</v>
      </c>
      <c r="I4" s="15" t="s">
        <v>192</v>
      </c>
      <c r="J4" s="15" t="s">
        <v>189</v>
      </c>
      <c r="K4" s="31">
        <v>6</v>
      </c>
      <c r="L4" s="31" t="s">
        <v>53</v>
      </c>
      <c r="M4" s="17">
        <v>42776</v>
      </c>
      <c r="N4" s="22">
        <f t="shared" si="0"/>
        <v>6</v>
      </c>
      <c r="O4" s="17">
        <v>42778</v>
      </c>
      <c r="P4" s="22">
        <f t="shared" si="1"/>
        <v>7</v>
      </c>
      <c r="Q4" s="21">
        <f t="shared" si="2"/>
        <v>42780</v>
      </c>
      <c r="R4" s="17"/>
      <c r="S4" s="21"/>
      <c r="U4" s="28" t="s">
        <v>24</v>
      </c>
      <c r="V4" s="28">
        <v>1</v>
      </c>
      <c r="W4" s="28" t="s">
        <v>88</v>
      </c>
      <c r="X4" s="34" t="s">
        <v>43</v>
      </c>
      <c r="Y4" s="28" t="s">
        <v>184</v>
      </c>
      <c r="Z4" s="28" t="s">
        <v>7</v>
      </c>
      <c r="AA4" s="28" t="s">
        <v>14</v>
      </c>
      <c r="AB4" s="28" t="s">
        <v>14</v>
      </c>
      <c r="AC4" s="28" t="s">
        <v>39</v>
      </c>
      <c r="AD4" s="28" t="s">
        <v>41</v>
      </c>
    </row>
    <row r="5" spans="1:30" s="2" customFormat="1">
      <c r="A5" s="22" t="s">
        <v>176</v>
      </c>
      <c r="B5" s="15" t="s">
        <v>169</v>
      </c>
      <c r="C5" s="15" t="s">
        <v>184</v>
      </c>
      <c r="D5" s="15" t="s">
        <v>8</v>
      </c>
      <c r="E5" s="15" t="s">
        <v>17</v>
      </c>
      <c r="F5" s="15">
        <v>1</v>
      </c>
      <c r="G5" s="15" t="s">
        <v>26</v>
      </c>
      <c r="H5" s="15" t="s">
        <v>192</v>
      </c>
      <c r="I5" s="15" t="s">
        <v>192</v>
      </c>
      <c r="J5" s="15" t="s">
        <v>189</v>
      </c>
      <c r="K5" s="31">
        <v>6</v>
      </c>
      <c r="L5" s="31" t="s">
        <v>198</v>
      </c>
      <c r="M5" s="17">
        <v>42776</v>
      </c>
      <c r="N5" s="22">
        <f t="shared" si="0"/>
        <v>6</v>
      </c>
      <c r="O5" s="17"/>
      <c r="P5" s="22">
        <f t="shared" si="1"/>
        <v>0</v>
      </c>
      <c r="Q5" s="21" t="str">
        <f t="shared" si="2"/>
        <v/>
      </c>
      <c r="R5" s="17">
        <v>42777</v>
      </c>
      <c r="S5" s="21"/>
      <c r="U5" s="28" t="s">
        <v>25</v>
      </c>
      <c r="V5" s="28">
        <v>2</v>
      </c>
      <c r="W5" s="28" t="s">
        <v>5</v>
      </c>
      <c r="X5" s="34" t="s">
        <v>44</v>
      </c>
      <c r="Y5" s="28" t="s">
        <v>185</v>
      </c>
      <c r="Z5" s="28" t="s">
        <v>8</v>
      </c>
      <c r="AA5" s="28" t="s">
        <v>15</v>
      </c>
      <c r="AB5" s="28" t="s">
        <v>84</v>
      </c>
      <c r="AC5" s="28" t="s">
        <v>21</v>
      </c>
      <c r="AD5" s="28" t="s">
        <v>42</v>
      </c>
    </row>
    <row r="6" spans="1:30" s="2" customFormat="1">
      <c r="A6" s="22" t="s">
        <v>177</v>
      </c>
      <c r="B6" s="15" t="s">
        <v>170</v>
      </c>
      <c r="C6" s="15" t="s">
        <v>188</v>
      </c>
      <c r="D6" s="15" t="s">
        <v>8</v>
      </c>
      <c r="E6" s="15" t="s">
        <v>39</v>
      </c>
      <c r="F6" s="15">
        <v>1</v>
      </c>
      <c r="G6" s="15" t="s">
        <v>24</v>
      </c>
      <c r="H6" s="15" t="s">
        <v>192</v>
      </c>
      <c r="I6" s="15" t="s">
        <v>192</v>
      </c>
      <c r="J6" s="15" t="s">
        <v>190</v>
      </c>
      <c r="K6" s="31">
        <v>24</v>
      </c>
      <c r="L6" s="31" t="s">
        <v>62</v>
      </c>
      <c r="M6" s="17">
        <v>42771</v>
      </c>
      <c r="N6" s="22">
        <f t="shared" si="0"/>
        <v>6</v>
      </c>
      <c r="O6" s="17">
        <v>42773</v>
      </c>
      <c r="P6" s="22">
        <f t="shared" si="1"/>
        <v>6</v>
      </c>
      <c r="Q6" s="21">
        <f t="shared" si="2"/>
        <v>42775</v>
      </c>
      <c r="R6" s="17"/>
      <c r="S6" s="21"/>
      <c r="U6" s="28" t="s">
        <v>26</v>
      </c>
      <c r="V6" s="28" t="s">
        <v>29</v>
      </c>
      <c r="W6" s="28" t="s">
        <v>6</v>
      </c>
      <c r="X6" s="34" t="s">
        <v>45</v>
      </c>
      <c r="Y6" s="28" t="s">
        <v>186</v>
      </c>
      <c r="Z6" s="28" t="s">
        <v>9</v>
      </c>
      <c r="AA6" s="28" t="s">
        <v>66</v>
      </c>
      <c r="AB6" s="28" t="s">
        <v>16</v>
      </c>
      <c r="AC6" s="28" t="s">
        <v>610</v>
      </c>
      <c r="AD6" s="28" t="s">
        <v>85</v>
      </c>
    </row>
    <row r="7" spans="1:30" s="2" customFormat="1">
      <c r="A7" s="22" t="s">
        <v>178</v>
      </c>
      <c r="B7" s="15" t="s">
        <v>181</v>
      </c>
      <c r="C7" s="15" t="s">
        <v>186</v>
      </c>
      <c r="D7" s="15" t="s">
        <v>102</v>
      </c>
      <c r="E7" s="15" t="s">
        <v>14</v>
      </c>
      <c r="F7" s="15" t="s">
        <v>29</v>
      </c>
      <c r="G7" s="15" t="s">
        <v>24</v>
      </c>
      <c r="H7" s="15" t="s">
        <v>192</v>
      </c>
      <c r="I7" s="15" t="s">
        <v>192</v>
      </c>
      <c r="J7" s="15" t="s">
        <v>190</v>
      </c>
      <c r="K7" s="31">
        <v>12</v>
      </c>
      <c r="L7" s="31" t="s">
        <v>195</v>
      </c>
      <c r="M7" s="17">
        <v>42771</v>
      </c>
      <c r="N7" s="22">
        <f t="shared" si="0"/>
        <v>6</v>
      </c>
      <c r="O7" s="17">
        <v>42773</v>
      </c>
      <c r="P7" s="22">
        <f t="shared" si="1"/>
        <v>6</v>
      </c>
      <c r="Q7" s="21">
        <f t="shared" si="2"/>
        <v>42775</v>
      </c>
      <c r="R7" s="17"/>
      <c r="S7" s="21"/>
      <c r="U7" s="28" t="s">
        <v>27</v>
      </c>
      <c r="V7" s="28" t="s">
        <v>30</v>
      </c>
      <c r="W7" s="28" t="s">
        <v>36</v>
      </c>
      <c r="X7" s="34" t="s">
        <v>46</v>
      </c>
      <c r="Y7" s="28" t="s">
        <v>188</v>
      </c>
      <c r="Z7" s="28" t="s">
        <v>10</v>
      </c>
      <c r="AA7" s="28" t="s">
        <v>17</v>
      </c>
      <c r="AB7" s="28" t="s">
        <v>17</v>
      </c>
      <c r="AC7" s="28" t="s">
        <v>40</v>
      </c>
      <c r="AD7" s="28" t="s">
        <v>87</v>
      </c>
    </row>
    <row r="8" spans="1:30" s="2" customFormat="1">
      <c r="A8" s="22" t="s">
        <v>179</v>
      </c>
      <c r="B8" s="15" t="s">
        <v>182</v>
      </c>
      <c r="C8" s="15" t="s">
        <v>186</v>
      </c>
      <c r="D8" s="15" t="s">
        <v>102</v>
      </c>
      <c r="E8" s="15" t="s">
        <v>66</v>
      </c>
      <c r="F8" s="15" t="s">
        <v>29</v>
      </c>
      <c r="G8" s="15" t="s">
        <v>27</v>
      </c>
      <c r="H8" s="15" t="s">
        <v>192</v>
      </c>
      <c r="I8" s="15" t="s">
        <v>192</v>
      </c>
      <c r="J8" s="15" t="s">
        <v>191</v>
      </c>
      <c r="K8" s="31">
        <v>12</v>
      </c>
      <c r="L8" s="31" t="s">
        <v>66</v>
      </c>
      <c r="M8" s="17">
        <v>42778</v>
      </c>
      <c r="N8" s="22">
        <f t="shared" si="0"/>
        <v>7</v>
      </c>
      <c r="O8" s="17">
        <v>42780</v>
      </c>
      <c r="P8" s="22">
        <f t="shared" si="1"/>
        <v>7</v>
      </c>
      <c r="Q8" s="21">
        <f t="shared" si="2"/>
        <v>42782</v>
      </c>
      <c r="R8" s="17"/>
      <c r="S8" s="21"/>
      <c r="U8" s="28" t="s">
        <v>607</v>
      </c>
      <c r="V8" s="28" t="s">
        <v>31</v>
      </c>
      <c r="W8" s="28" t="s">
        <v>37</v>
      </c>
      <c r="X8" s="34" t="s">
        <v>47</v>
      </c>
      <c r="Y8" s="34"/>
      <c r="Z8" s="28" t="s">
        <v>11</v>
      </c>
      <c r="AA8" s="28" t="s">
        <v>18</v>
      </c>
      <c r="AB8" s="28" t="s">
        <v>18</v>
      </c>
      <c r="AC8" s="28" t="s">
        <v>41</v>
      </c>
      <c r="AD8" s="28"/>
    </row>
    <row r="9" spans="1:30" s="27" customFormat="1">
      <c r="A9" s="24"/>
      <c r="B9" s="24"/>
      <c r="C9" s="24"/>
      <c r="D9" s="24"/>
      <c r="E9" s="24"/>
      <c r="F9" s="24"/>
      <c r="G9" s="19"/>
      <c r="H9" s="19"/>
      <c r="I9" s="19"/>
      <c r="J9" s="19"/>
      <c r="K9" s="25"/>
      <c r="L9" s="25"/>
      <c r="M9" s="25"/>
      <c r="N9" s="19"/>
      <c r="O9" s="25"/>
      <c r="P9" s="19"/>
      <c r="Q9" s="19"/>
      <c r="R9" s="25"/>
      <c r="S9" s="19"/>
      <c r="U9" s="28"/>
      <c r="V9" s="28" t="s">
        <v>32</v>
      </c>
      <c r="W9" s="28" t="s">
        <v>38</v>
      </c>
      <c r="X9" s="34" t="s">
        <v>48</v>
      </c>
      <c r="Y9" s="34"/>
      <c r="Z9" s="28" t="s">
        <v>83</v>
      </c>
      <c r="AA9" s="28" t="s">
        <v>608</v>
      </c>
      <c r="AB9" s="28" t="s">
        <v>23</v>
      </c>
      <c r="AC9" s="28" t="s">
        <v>42</v>
      </c>
      <c r="AD9" s="28"/>
    </row>
    <row r="10" spans="1:30" s="2" customFormat="1" ht="45">
      <c r="A10" s="22" t="s">
        <v>146</v>
      </c>
      <c r="B10" s="15" t="s">
        <v>167</v>
      </c>
      <c r="C10" s="18" t="s">
        <v>148</v>
      </c>
      <c r="D10" s="15" t="s">
        <v>187</v>
      </c>
      <c r="E10" s="18" t="s">
        <v>150</v>
      </c>
      <c r="F10" s="15" t="s">
        <v>187</v>
      </c>
      <c r="G10" s="15" t="s">
        <v>187</v>
      </c>
      <c r="H10" s="15" t="s">
        <v>187</v>
      </c>
      <c r="I10" s="15" t="s">
        <v>187</v>
      </c>
      <c r="J10" s="15" t="s">
        <v>187</v>
      </c>
      <c r="K10" s="15" t="s">
        <v>147</v>
      </c>
      <c r="L10" s="18" t="s">
        <v>150</v>
      </c>
      <c r="M10" s="15" t="s">
        <v>147</v>
      </c>
      <c r="N10" s="22" t="s">
        <v>174</v>
      </c>
      <c r="O10" s="15" t="s">
        <v>147</v>
      </c>
      <c r="P10" s="22" t="s">
        <v>174</v>
      </c>
      <c r="Q10" s="22" t="s">
        <v>174</v>
      </c>
      <c r="R10" s="15" t="s">
        <v>147</v>
      </c>
      <c r="S10" s="22" t="s">
        <v>174</v>
      </c>
      <c r="U10" s="30"/>
      <c r="V10" s="30">
        <v>5</v>
      </c>
      <c r="W10" s="30" t="s">
        <v>79</v>
      </c>
      <c r="X10" s="35" t="s">
        <v>72</v>
      </c>
      <c r="Y10" s="35"/>
      <c r="Z10" s="30" t="s">
        <v>12</v>
      </c>
      <c r="AA10" s="28" t="s">
        <v>19</v>
      </c>
      <c r="AB10" s="30" t="s">
        <v>12</v>
      </c>
      <c r="AC10" s="30" t="s">
        <v>71</v>
      </c>
      <c r="AD10" s="30"/>
    </row>
    <row r="11" spans="1:30" s="2" customFormat="1">
      <c r="A11" s="8"/>
      <c r="B11" s="8"/>
      <c r="C11" s="8"/>
      <c r="D11" s="8"/>
      <c r="E11" s="8"/>
      <c r="F11" s="8"/>
      <c r="G11" s="7"/>
      <c r="H11" s="7"/>
      <c r="I11" s="7"/>
      <c r="J11" s="7"/>
      <c r="K11" s="9"/>
      <c r="L11" s="9"/>
      <c r="M11" s="9"/>
      <c r="N11" s="7"/>
      <c r="O11" s="9"/>
      <c r="P11" s="7"/>
      <c r="Q11" s="7"/>
      <c r="R11" s="9"/>
      <c r="S11" s="7"/>
      <c r="U11" s="28"/>
      <c r="V11" s="28" t="s">
        <v>33</v>
      </c>
      <c r="W11" s="28" t="s">
        <v>80</v>
      </c>
      <c r="X11" s="34" t="s">
        <v>73</v>
      </c>
      <c r="Y11" s="34"/>
      <c r="Z11" s="28"/>
      <c r="AA11" s="30" t="s">
        <v>20</v>
      </c>
      <c r="AB11" s="28" t="s">
        <v>42</v>
      </c>
      <c r="AC11" s="28" t="s">
        <v>81</v>
      </c>
      <c r="AD11" s="28"/>
    </row>
    <row r="12" spans="1:30" s="2" customFormat="1">
      <c r="U12" s="28"/>
      <c r="V12" s="28"/>
      <c r="W12" s="28"/>
      <c r="X12" s="34" t="s">
        <v>74</v>
      </c>
      <c r="Y12" s="34"/>
      <c r="Z12" s="28"/>
      <c r="AA12" s="28" t="s">
        <v>609</v>
      </c>
      <c r="AB12" s="28" t="s">
        <v>39</v>
      </c>
      <c r="AC12" s="28" t="s">
        <v>22</v>
      </c>
      <c r="AD12" s="28"/>
    </row>
    <row r="13" spans="1:30" s="2" customFormat="1">
      <c r="U13" s="28"/>
      <c r="V13" s="28"/>
      <c r="W13" s="28"/>
      <c r="X13" s="34" t="s">
        <v>75</v>
      </c>
      <c r="Y13" s="34"/>
      <c r="Z13" s="28"/>
      <c r="AA13" s="28" t="s">
        <v>21</v>
      </c>
      <c r="AB13" s="28"/>
      <c r="AC13" s="28"/>
      <c r="AD13" s="28"/>
    </row>
    <row r="14" spans="1:30" s="2" customFormat="1">
      <c r="U14" s="28"/>
      <c r="V14" s="28"/>
      <c r="W14" s="28"/>
      <c r="X14" s="34" t="s">
        <v>76</v>
      </c>
      <c r="Y14" s="34"/>
      <c r="Z14" s="28"/>
      <c r="AA14" s="28" t="s">
        <v>22</v>
      </c>
      <c r="AB14" s="28"/>
      <c r="AC14" s="28"/>
      <c r="AD14" s="28"/>
    </row>
    <row r="15" spans="1:30" s="2" customFormat="1">
      <c r="U15" s="28"/>
      <c r="V15" s="28"/>
      <c r="W15" s="28"/>
      <c r="X15" s="34" t="s">
        <v>77</v>
      </c>
      <c r="Y15" s="34"/>
      <c r="Z15" s="28"/>
      <c r="AA15" s="28" t="s">
        <v>23</v>
      </c>
      <c r="AB15" s="28"/>
      <c r="AC15" s="28"/>
      <c r="AD15" s="28"/>
    </row>
    <row r="16" spans="1:30" s="2" customFormat="1">
      <c r="U16" s="28"/>
      <c r="V16" s="28"/>
      <c r="W16" s="28"/>
      <c r="X16" s="34" t="s">
        <v>78</v>
      </c>
      <c r="Y16" s="34"/>
      <c r="Z16" s="28"/>
      <c r="AA16" s="28" t="s">
        <v>34</v>
      </c>
      <c r="AB16" s="29"/>
      <c r="AC16" s="29"/>
      <c r="AD16" s="29"/>
    </row>
    <row r="17" spans="27:27" s="2" customFormat="1">
      <c r="AA17" s="28" t="s">
        <v>39</v>
      </c>
    </row>
    <row r="18" spans="27:27" s="2" customFormat="1"/>
    <row r="19" spans="27:27" s="2" customFormat="1"/>
    <row r="20" spans="27:27" s="2" customFormat="1"/>
    <row r="21" spans="27:27" s="2" customFormat="1"/>
    <row r="22" spans="27:27" s="2" customFormat="1"/>
    <row r="23" spans="27:27" s="2" customFormat="1"/>
    <row r="24" spans="27:27" s="2" customFormat="1"/>
    <row r="25" spans="27:27" s="2" customFormat="1"/>
    <row r="26" spans="27:27" s="2" customFormat="1"/>
    <row r="27" spans="27:27" s="2" customFormat="1"/>
    <row r="28" spans="27:27" s="2" customFormat="1"/>
    <row r="29" spans="27:27" s="2" customFormat="1"/>
    <row r="30" spans="27:27" s="2" customFormat="1"/>
    <row r="31" spans="27:27" s="2" customFormat="1"/>
    <row r="32" spans="27:27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</sheetData>
  <mergeCells count="3">
    <mergeCell ref="U2:AD2"/>
    <mergeCell ref="U1:AD1"/>
    <mergeCell ref="A1:S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:BQ50"/>
  <sheetViews>
    <sheetView workbookViewId="0">
      <selection sqref="A1:V1"/>
    </sheetView>
  </sheetViews>
  <sheetFormatPr baseColWidth="10" defaultRowHeight="12.75"/>
  <cols>
    <col min="1" max="1" width="5.28515625" customWidth="1"/>
    <col min="2" max="2" width="8.28515625" customWidth="1"/>
    <col min="3" max="3" width="10.7109375" customWidth="1"/>
    <col min="4" max="4" width="11" customWidth="1"/>
    <col min="5" max="5" width="10.5703125" customWidth="1"/>
    <col min="6" max="6" width="7.85546875" customWidth="1"/>
    <col min="7" max="7" width="8.28515625" customWidth="1"/>
    <col min="8" max="8" width="8.140625" customWidth="1"/>
    <col min="9" max="10" width="8.28515625" customWidth="1"/>
    <col min="11" max="12" width="8.42578125" customWidth="1"/>
    <col min="13" max="13" width="8.140625" customWidth="1"/>
    <col min="14" max="14" width="8.28515625" customWidth="1"/>
    <col min="15" max="15" width="8.7109375" customWidth="1"/>
    <col min="16" max="16" width="23" customWidth="1"/>
    <col min="17" max="17" width="8.7109375" customWidth="1"/>
    <col min="18" max="18" width="8.42578125" bestFit="1" customWidth="1"/>
    <col min="19" max="19" width="4.85546875" bestFit="1" customWidth="1"/>
    <col min="20" max="20" width="8" customWidth="1"/>
    <col min="21" max="26" width="7.85546875" customWidth="1"/>
    <col min="27" max="27" width="6.85546875" customWidth="1"/>
    <col min="28" max="28" width="8.28515625" customWidth="1"/>
    <col min="29" max="29" width="7.42578125" customWidth="1"/>
    <col min="30" max="30" width="4.42578125" customWidth="1"/>
    <col min="31" max="31" width="4.5703125" bestFit="1" customWidth="1"/>
    <col min="32" max="32" width="6" bestFit="1" customWidth="1"/>
    <col min="33" max="33" width="4.7109375" bestFit="1" customWidth="1"/>
    <col min="34" max="34" width="4.5703125" bestFit="1" customWidth="1"/>
    <col min="35" max="35" width="6.28515625" customWidth="1"/>
    <col min="36" max="36" width="35.42578125" customWidth="1"/>
    <col min="38" max="38" width="9.85546875" customWidth="1"/>
    <col min="39" max="39" width="7.140625" customWidth="1"/>
    <col min="40" max="40" width="11" customWidth="1"/>
    <col min="41" max="41" width="6.5703125" customWidth="1"/>
    <col min="42" max="42" width="11" customWidth="1"/>
    <col min="43" max="43" width="6.5703125" customWidth="1"/>
    <col min="44" max="44" width="10.42578125" customWidth="1"/>
    <col min="45" max="45" width="6.5703125" customWidth="1"/>
    <col min="46" max="46" width="9.85546875" customWidth="1"/>
    <col min="47" max="47" width="7.140625" customWidth="1"/>
    <col min="48" max="48" width="11" customWidth="1"/>
    <col min="49" max="49" width="6.5703125" customWidth="1"/>
    <col min="50" max="50" width="9.85546875" customWidth="1"/>
    <col min="51" max="51" width="7.140625" customWidth="1"/>
    <col min="52" max="52" width="11" customWidth="1"/>
    <col min="53" max="53" width="6.5703125" customWidth="1"/>
    <col min="54" max="54" width="11" customWidth="1"/>
    <col min="55" max="55" width="6.5703125" customWidth="1"/>
    <col min="56" max="56" width="11" customWidth="1"/>
    <col min="57" max="57" width="6.5703125" customWidth="1"/>
    <col min="58" max="58" width="9.85546875" customWidth="1"/>
    <col min="59" max="59" width="7.140625" customWidth="1"/>
    <col min="60" max="60" width="11" customWidth="1"/>
    <col min="61" max="61" width="6.5703125" customWidth="1"/>
    <col min="62" max="62" width="11" customWidth="1"/>
    <col min="63" max="63" width="6.5703125" customWidth="1"/>
    <col min="64" max="64" width="11" customWidth="1"/>
    <col min="65" max="65" width="7.140625" customWidth="1"/>
    <col min="66" max="66" width="11" customWidth="1"/>
    <col min="67" max="67" width="6.5703125" customWidth="1"/>
    <col min="68" max="68" width="11" customWidth="1"/>
    <col min="69" max="69" width="6.5703125" customWidth="1"/>
  </cols>
  <sheetData>
    <row r="1" spans="1:69" s="2" customFormat="1" ht="21.75" customHeight="1" thickBot="1">
      <c r="A1" s="229" t="s">
        <v>235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1"/>
      <c r="W1" s="95"/>
      <c r="X1" s="95"/>
      <c r="Y1" s="95"/>
      <c r="Z1" s="95"/>
      <c r="AA1" s="235" t="s">
        <v>336</v>
      </c>
      <c r="AB1" s="236"/>
      <c r="AC1" s="236"/>
      <c r="AD1" s="236"/>
      <c r="AE1" s="236"/>
      <c r="AF1" s="236"/>
      <c r="AG1" s="236"/>
      <c r="AH1" s="236"/>
      <c r="AI1" s="236"/>
      <c r="AJ1" s="236"/>
      <c r="AK1" s="13"/>
      <c r="AL1" s="229" t="s">
        <v>239</v>
      </c>
      <c r="AM1" s="230"/>
      <c r="AN1" s="230"/>
      <c r="AO1" s="230"/>
      <c r="AP1" s="230"/>
      <c r="AQ1" s="230"/>
      <c r="AR1" s="230"/>
      <c r="AS1" s="230"/>
      <c r="AT1" s="230"/>
      <c r="AU1" s="230"/>
      <c r="AV1" s="230"/>
      <c r="AW1" s="230"/>
      <c r="AX1" s="230"/>
      <c r="AY1" s="230"/>
      <c r="AZ1" s="230"/>
      <c r="BA1" s="230"/>
      <c r="BB1" s="230"/>
      <c r="BC1" s="230"/>
      <c r="BD1" s="230"/>
      <c r="BE1" s="230"/>
      <c r="BF1" s="230"/>
      <c r="BG1" s="230"/>
      <c r="BH1" s="230"/>
      <c r="BI1" s="230"/>
      <c r="BJ1" s="230"/>
      <c r="BK1" s="230"/>
      <c r="BL1" s="230"/>
      <c r="BM1" s="230"/>
      <c r="BN1" s="230"/>
      <c r="BO1" s="230"/>
      <c r="BP1" s="230"/>
      <c r="BQ1" s="231"/>
    </row>
    <row r="2" spans="1:69" s="2" customFormat="1" ht="52.5" customHeight="1" thickBot="1">
      <c r="A2" s="20" t="s">
        <v>118</v>
      </c>
      <c r="B2" s="16" t="s">
        <v>206</v>
      </c>
      <c r="C2" s="20" t="s">
        <v>101</v>
      </c>
      <c r="D2" s="20" t="s">
        <v>28</v>
      </c>
      <c r="E2" s="20" t="s">
        <v>13</v>
      </c>
      <c r="F2" s="16" t="s">
        <v>89</v>
      </c>
      <c r="G2" s="16" t="s">
        <v>90</v>
      </c>
      <c r="H2" s="16" t="s">
        <v>91</v>
      </c>
      <c r="I2" s="16" t="s">
        <v>92</v>
      </c>
      <c r="J2" s="16" t="s">
        <v>93</v>
      </c>
      <c r="K2" s="16" t="s">
        <v>240</v>
      </c>
      <c r="L2" s="16" t="s">
        <v>96</v>
      </c>
      <c r="M2" s="16" t="s">
        <v>94</v>
      </c>
      <c r="N2" s="16" t="s">
        <v>95</v>
      </c>
      <c r="O2" s="16" t="s">
        <v>227</v>
      </c>
      <c r="P2" s="16" t="s">
        <v>97</v>
      </c>
      <c r="Q2" s="16" t="s">
        <v>228</v>
      </c>
      <c r="R2" s="16" t="s">
        <v>2</v>
      </c>
      <c r="S2" s="20" t="s">
        <v>3</v>
      </c>
      <c r="T2" s="55" t="s">
        <v>237</v>
      </c>
      <c r="U2" s="50" t="s">
        <v>238</v>
      </c>
      <c r="V2" s="50" t="s">
        <v>236</v>
      </c>
      <c r="W2" s="95"/>
      <c r="X2" s="95"/>
      <c r="Y2" s="95"/>
      <c r="Z2" s="95"/>
      <c r="AA2" s="235" t="s">
        <v>336</v>
      </c>
      <c r="AB2" s="236"/>
      <c r="AC2" s="236"/>
      <c r="AD2" s="236"/>
      <c r="AE2" s="236"/>
      <c r="AF2" s="236"/>
      <c r="AG2" s="236"/>
      <c r="AH2" s="236"/>
      <c r="AI2" s="236"/>
      <c r="AJ2" s="236"/>
      <c r="AK2" s="13"/>
      <c r="AL2" s="237" t="s">
        <v>239</v>
      </c>
      <c r="AM2" s="238"/>
      <c r="AN2" s="238"/>
      <c r="AO2" s="238"/>
      <c r="AP2" s="238"/>
      <c r="AQ2" s="238"/>
      <c r="AR2" s="238"/>
      <c r="AS2" s="238"/>
      <c r="AT2" s="238"/>
      <c r="AU2" s="238"/>
      <c r="AV2" s="238"/>
      <c r="AW2" s="238"/>
      <c r="AX2" s="238"/>
      <c r="AY2" s="238"/>
      <c r="AZ2" s="238"/>
      <c r="BA2" s="238"/>
      <c r="BB2" s="238"/>
      <c r="BC2" s="238"/>
      <c r="BD2" s="238"/>
      <c r="BE2" s="238"/>
      <c r="BF2" s="238"/>
      <c r="BG2" s="238"/>
      <c r="BH2" s="238"/>
      <c r="BI2" s="238"/>
      <c r="BJ2" s="238"/>
      <c r="BK2" s="238"/>
      <c r="BL2" s="238"/>
      <c r="BM2" s="238"/>
      <c r="BN2" s="238"/>
      <c r="BO2" s="238"/>
      <c r="BP2" s="238"/>
      <c r="BQ2" s="239"/>
    </row>
    <row r="3" spans="1:69" s="2" customFormat="1" ht="33.75">
      <c r="A3" s="22" t="s">
        <v>338</v>
      </c>
      <c r="B3" s="15" t="s">
        <v>168</v>
      </c>
      <c r="C3" s="22" t="s">
        <v>8</v>
      </c>
      <c r="D3" s="22">
        <v>1</v>
      </c>
      <c r="E3" s="22" t="s">
        <v>26</v>
      </c>
      <c r="F3" s="15" t="s">
        <v>192</v>
      </c>
      <c r="G3" s="15" t="s">
        <v>192</v>
      </c>
      <c r="H3" s="15" t="s">
        <v>189</v>
      </c>
      <c r="I3" s="15" t="s">
        <v>189</v>
      </c>
      <c r="J3" s="15" t="s">
        <v>189</v>
      </c>
      <c r="K3" s="15" t="s">
        <v>241</v>
      </c>
      <c r="L3" s="15" t="s">
        <v>189</v>
      </c>
      <c r="M3" s="15" t="s">
        <v>189</v>
      </c>
      <c r="N3" s="15" t="s">
        <v>189</v>
      </c>
      <c r="O3" s="15" t="s">
        <v>234</v>
      </c>
      <c r="P3" s="15" t="s">
        <v>189</v>
      </c>
      <c r="Q3" s="15">
        <v>251</v>
      </c>
      <c r="R3" s="17">
        <v>42833</v>
      </c>
      <c r="S3" s="49">
        <f t="shared" ref="S3:S8" si="0">WEEKNUM(R3)</f>
        <v>14</v>
      </c>
      <c r="T3" s="56" t="s">
        <v>233</v>
      </c>
      <c r="U3" s="51"/>
      <c r="V3" s="51">
        <f>SUMIF(O3:O8,O3,U3:U8)*IF(O3="spool",0.4,IF(O3="valve",0.15,IF(O3="PSV",0.15,0.15)))</f>
        <v>35.767499999999998</v>
      </c>
      <c r="W3" s="95"/>
      <c r="X3" s="95"/>
      <c r="Y3" s="95"/>
      <c r="Z3" s="95"/>
      <c r="AA3" s="36" t="s">
        <v>89</v>
      </c>
      <c r="AB3" s="48" t="s">
        <v>90</v>
      </c>
      <c r="AC3" s="59" t="s">
        <v>91</v>
      </c>
      <c r="AD3" s="87" t="s">
        <v>92</v>
      </c>
      <c r="AE3" s="88" t="s">
        <v>93</v>
      </c>
      <c r="AF3" s="88" t="s">
        <v>240</v>
      </c>
      <c r="AG3" s="88" t="s">
        <v>96</v>
      </c>
      <c r="AH3" s="88" t="s">
        <v>94</v>
      </c>
      <c r="AI3" s="89" t="s">
        <v>95</v>
      </c>
      <c r="AJ3" s="81" t="s">
        <v>97</v>
      </c>
      <c r="AK3" s="13"/>
      <c r="AL3" s="64" t="s">
        <v>295</v>
      </c>
      <c r="AM3" s="48" t="s">
        <v>291</v>
      </c>
      <c r="AN3" s="36" t="s">
        <v>282</v>
      </c>
      <c r="AO3" s="48" t="s">
        <v>283</v>
      </c>
      <c r="AP3" s="36" t="s">
        <v>289</v>
      </c>
      <c r="AQ3" s="48" t="s">
        <v>307</v>
      </c>
      <c r="AR3" s="79" t="s">
        <v>305</v>
      </c>
      <c r="AS3" s="65" t="s">
        <v>306</v>
      </c>
      <c r="AT3" s="64" t="s">
        <v>292</v>
      </c>
      <c r="AU3" s="48" t="s">
        <v>293</v>
      </c>
      <c r="AV3" s="36" t="s">
        <v>308</v>
      </c>
      <c r="AW3" s="65" t="s">
        <v>309</v>
      </c>
      <c r="AX3" s="64" t="s">
        <v>296</v>
      </c>
      <c r="AY3" s="48" t="s">
        <v>298</v>
      </c>
      <c r="AZ3" s="48" t="s">
        <v>300</v>
      </c>
      <c r="BA3" s="48" t="s">
        <v>299</v>
      </c>
      <c r="BB3" s="48" t="s">
        <v>310</v>
      </c>
      <c r="BC3" s="48" t="s">
        <v>311</v>
      </c>
      <c r="BD3" s="48" t="s">
        <v>316</v>
      </c>
      <c r="BE3" s="65" t="s">
        <v>317</v>
      </c>
      <c r="BF3" s="64" t="s">
        <v>323</v>
      </c>
      <c r="BG3" s="48" t="s">
        <v>320</v>
      </c>
      <c r="BH3" s="48" t="s">
        <v>300</v>
      </c>
      <c r="BI3" s="48" t="s">
        <v>299</v>
      </c>
      <c r="BJ3" s="48" t="s">
        <v>310</v>
      </c>
      <c r="BK3" s="48" t="s">
        <v>311</v>
      </c>
      <c r="BL3" s="48" t="s">
        <v>321</v>
      </c>
      <c r="BM3" s="48" t="s">
        <v>322</v>
      </c>
      <c r="BN3" s="79" t="s">
        <v>329</v>
      </c>
      <c r="BO3" s="48" t="s">
        <v>330</v>
      </c>
      <c r="BP3" s="79" t="s">
        <v>289</v>
      </c>
      <c r="BQ3" s="65" t="s">
        <v>307</v>
      </c>
    </row>
    <row r="4" spans="1:69" s="2" customFormat="1" ht="27.75" customHeight="1">
      <c r="A4" s="22" t="s">
        <v>339</v>
      </c>
      <c r="B4" s="15" t="s">
        <v>168</v>
      </c>
      <c r="C4" s="22" t="s">
        <v>8</v>
      </c>
      <c r="D4" s="22">
        <v>1</v>
      </c>
      <c r="E4" s="22" t="s">
        <v>26</v>
      </c>
      <c r="F4" s="15" t="s">
        <v>192</v>
      </c>
      <c r="G4" s="15" t="s">
        <v>192</v>
      </c>
      <c r="H4" s="15" t="s">
        <v>189</v>
      </c>
      <c r="I4" s="15" t="s">
        <v>189</v>
      </c>
      <c r="J4" s="15" t="s">
        <v>189</v>
      </c>
      <c r="K4" s="15" t="s">
        <v>242</v>
      </c>
      <c r="L4" s="15" t="s">
        <v>189</v>
      </c>
      <c r="M4" s="15" t="s">
        <v>189</v>
      </c>
      <c r="N4" s="15" t="s">
        <v>189</v>
      </c>
      <c r="O4" s="15" t="s">
        <v>234</v>
      </c>
      <c r="P4" s="15" t="s">
        <v>189</v>
      </c>
      <c r="Q4" s="15">
        <v>251</v>
      </c>
      <c r="R4" s="17">
        <v>42832</v>
      </c>
      <c r="S4" s="49">
        <f t="shared" si="0"/>
        <v>14</v>
      </c>
      <c r="T4" s="56" t="s">
        <v>232</v>
      </c>
      <c r="U4" s="51">
        <f>Q4*0.5</f>
        <v>125.5</v>
      </c>
      <c r="V4" s="51">
        <f>SUMIF(O4:O9,O4,U4:U9)*0.4</f>
        <v>95.38</v>
      </c>
      <c r="W4" s="95"/>
      <c r="X4" s="95"/>
      <c r="Y4" s="95"/>
      <c r="Z4" s="95"/>
      <c r="AA4" s="28" t="s">
        <v>192</v>
      </c>
      <c r="AB4" s="28" t="s">
        <v>192</v>
      </c>
      <c r="AC4" s="60">
        <v>339011</v>
      </c>
      <c r="AD4" s="82">
        <v>0.5</v>
      </c>
      <c r="AE4" s="28" t="s">
        <v>243</v>
      </c>
      <c r="AF4" s="28" t="s">
        <v>241</v>
      </c>
      <c r="AG4" s="28">
        <v>20</v>
      </c>
      <c r="AH4" s="34" t="s">
        <v>258</v>
      </c>
      <c r="AI4" s="69" t="s">
        <v>259</v>
      </c>
      <c r="AJ4" s="90" t="s">
        <v>229</v>
      </c>
      <c r="AK4" s="33"/>
      <c r="AL4" s="66" t="s">
        <v>229</v>
      </c>
      <c r="AM4" s="58">
        <v>0.4</v>
      </c>
      <c r="AN4" s="8" t="s">
        <v>284</v>
      </c>
      <c r="AO4" s="58">
        <v>0.2</v>
      </c>
      <c r="AP4" s="8" t="s">
        <v>284</v>
      </c>
      <c r="AQ4" s="58">
        <v>0.25</v>
      </c>
      <c r="AR4" s="76" t="s">
        <v>279</v>
      </c>
      <c r="AS4" s="67">
        <v>0.25</v>
      </c>
      <c r="AT4" s="66" t="s">
        <v>294</v>
      </c>
      <c r="AU4" s="58">
        <v>0.85</v>
      </c>
      <c r="AV4" s="8" t="s">
        <v>284</v>
      </c>
      <c r="AW4" s="67">
        <v>0.25</v>
      </c>
      <c r="AX4" s="80" t="s">
        <v>297</v>
      </c>
      <c r="AY4" s="58">
        <v>0.1</v>
      </c>
      <c r="AZ4" s="8" t="s">
        <v>301</v>
      </c>
      <c r="BA4" s="58">
        <v>0.3</v>
      </c>
      <c r="BB4" s="8" t="s">
        <v>312</v>
      </c>
      <c r="BC4" s="58">
        <v>0.6</v>
      </c>
      <c r="BD4" s="8" t="s">
        <v>318</v>
      </c>
      <c r="BE4" s="67">
        <v>0.2</v>
      </c>
      <c r="BF4" s="80" t="s">
        <v>297</v>
      </c>
      <c r="BG4" s="58">
        <v>0.05</v>
      </c>
      <c r="BH4" s="8" t="s">
        <v>301</v>
      </c>
      <c r="BI4" s="58">
        <v>0.3</v>
      </c>
      <c r="BJ4" s="8" t="s">
        <v>312</v>
      </c>
      <c r="BK4" s="58">
        <v>0.6</v>
      </c>
      <c r="BL4" s="8" t="s">
        <v>326</v>
      </c>
      <c r="BM4" s="58">
        <v>0.3</v>
      </c>
      <c r="BN4" s="76" t="s">
        <v>331</v>
      </c>
      <c r="BO4" s="58">
        <v>0.3</v>
      </c>
      <c r="BP4" s="76" t="s">
        <v>333</v>
      </c>
      <c r="BQ4" s="67">
        <v>0.3</v>
      </c>
    </row>
    <row r="5" spans="1:69" s="2" customFormat="1" ht="22.5">
      <c r="A5" s="22" t="s">
        <v>340</v>
      </c>
      <c r="B5" s="15" t="s">
        <v>169</v>
      </c>
      <c r="C5" s="22" t="s">
        <v>8</v>
      </c>
      <c r="D5" s="22">
        <v>1</v>
      </c>
      <c r="E5" s="22" t="s">
        <v>26</v>
      </c>
      <c r="F5" s="15" t="s">
        <v>192</v>
      </c>
      <c r="G5" s="15" t="s">
        <v>192</v>
      </c>
      <c r="H5" s="15" t="s">
        <v>189</v>
      </c>
      <c r="I5" s="15" t="s">
        <v>189</v>
      </c>
      <c r="J5" s="15" t="s">
        <v>189</v>
      </c>
      <c r="K5" s="15"/>
      <c r="L5" s="15" t="s">
        <v>189</v>
      </c>
      <c r="M5" s="15" t="s">
        <v>189</v>
      </c>
      <c r="N5" s="15" t="s">
        <v>189</v>
      </c>
      <c r="O5" s="15" t="s">
        <v>234</v>
      </c>
      <c r="P5" s="15" t="s">
        <v>189</v>
      </c>
      <c r="Q5" s="15">
        <v>251</v>
      </c>
      <c r="R5" s="17">
        <v>42831</v>
      </c>
      <c r="S5" s="49">
        <f t="shared" si="0"/>
        <v>14</v>
      </c>
      <c r="T5" s="56" t="s">
        <v>231</v>
      </c>
      <c r="U5" s="51">
        <f>Q5*0.2</f>
        <v>50.2</v>
      </c>
      <c r="V5" s="51">
        <f>SUMIF(O5:O10,O5,U5:U10)*0.4</f>
        <v>45.180000000000007</v>
      </c>
      <c r="W5" s="95"/>
      <c r="X5" s="95"/>
      <c r="Y5" s="95"/>
      <c r="Z5" s="95"/>
      <c r="AA5" s="28" t="s">
        <v>192</v>
      </c>
      <c r="AB5" s="28" t="s">
        <v>192</v>
      </c>
      <c r="AC5" s="60"/>
      <c r="AD5" s="82">
        <v>0.75</v>
      </c>
      <c r="AE5" s="28" t="s">
        <v>244</v>
      </c>
      <c r="AF5" s="28" t="s">
        <v>242</v>
      </c>
      <c r="AG5" s="28">
        <v>27</v>
      </c>
      <c r="AH5" s="34" t="s">
        <v>258</v>
      </c>
      <c r="AI5" s="69" t="s">
        <v>260</v>
      </c>
      <c r="AJ5" s="90" t="s">
        <v>337</v>
      </c>
      <c r="AK5" s="33"/>
      <c r="AL5" s="66" t="s">
        <v>349</v>
      </c>
      <c r="AM5" s="58">
        <v>0.3</v>
      </c>
      <c r="AN5" s="28" t="s">
        <v>285</v>
      </c>
      <c r="AO5" s="58">
        <v>0.15</v>
      </c>
      <c r="AP5" s="28" t="s">
        <v>285</v>
      </c>
      <c r="AQ5" s="58">
        <v>0.15</v>
      </c>
      <c r="AR5" s="62" t="s">
        <v>280</v>
      </c>
      <c r="AS5" s="67">
        <v>0.25</v>
      </c>
      <c r="AT5" s="68" t="s">
        <v>286</v>
      </c>
      <c r="AU5" s="58">
        <v>0.05</v>
      </c>
      <c r="AV5" s="28" t="s">
        <v>285</v>
      </c>
      <c r="AW5" s="67">
        <v>0.2</v>
      </c>
      <c r="AX5" s="66" t="s">
        <v>274</v>
      </c>
      <c r="AY5" s="58">
        <v>0.2</v>
      </c>
      <c r="AZ5" s="28" t="s">
        <v>302</v>
      </c>
      <c r="BA5" s="58">
        <v>0.5</v>
      </c>
      <c r="BB5" s="28" t="s">
        <v>313</v>
      </c>
      <c r="BC5" s="58">
        <v>0.15</v>
      </c>
      <c r="BD5" s="8" t="s">
        <v>319</v>
      </c>
      <c r="BE5" s="67">
        <v>0.7</v>
      </c>
      <c r="BF5" s="66" t="s">
        <v>274</v>
      </c>
      <c r="BG5" s="58">
        <v>0.2</v>
      </c>
      <c r="BH5" s="28" t="s">
        <v>302</v>
      </c>
      <c r="BI5" s="58">
        <v>0.5</v>
      </c>
      <c r="BJ5" s="28" t="s">
        <v>313</v>
      </c>
      <c r="BK5" s="58">
        <v>0.15</v>
      </c>
      <c r="BL5" s="8" t="s">
        <v>327</v>
      </c>
      <c r="BM5" s="58">
        <v>0.3</v>
      </c>
      <c r="BN5" s="76" t="s">
        <v>332</v>
      </c>
      <c r="BO5" s="58">
        <v>0.6</v>
      </c>
      <c r="BP5" s="76" t="s">
        <v>334</v>
      </c>
      <c r="BQ5" s="67">
        <v>0.3</v>
      </c>
    </row>
    <row r="6" spans="1:69" s="2" customFormat="1" ht="22.5">
      <c r="A6" s="22" t="s">
        <v>341</v>
      </c>
      <c r="B6" s="15" t="s">
        <v>170</v>
      </c>
      <c r="C6" s="22" t="s">
        <v>8</v>
      </c>
      <c r="D6" s="22">
        <v>1</v>
      </c>
      <c r="E6" s="22" t="s">
        <v>24</v>
      </c>
      <c r="F6" s="15" t="s">
        <v>192</v>
      </c>
      <c r="G6" s="15" t="s">
        <v>192</v>
      </c>
      <c r="H6" s="15" t="s">
        <v>190</v>
      </c>
      <c r="I6" s="15" t="s">
        <v>190</v>
      </c>
      <c r="J6" s="15" t="s">
        <v>190</v>
      </c>
      <c r="K6" s="15"/>
      <c r="L6" s="15" t="s">
        <v>190</v>
      </c>
      <c r="M6" s="15" t="s">
        <v>190</v>
      </c>
      <c r="N6" s="15" t="s">
        <v>190</v>
      </c>
      <c r="O6" s="15" t="s">
        <v>234</v>
      </c>
      <c r="P6" s="15" t="s">
        <v>189</v>
      </c>
      <c r="Q6" s="15">
        <v>251</v>
      </c>
      <c r="R6" s="17">
        <v>42830</v>
      </c>
      <c r="S6" s="49">
        <f t="shared" si="0"/>
        <v>14</v>
      </c>
      <c r="T6" s="56" t="s">
        <v>230</v>
      </c>
      <c r="U6" s="51">
        <f>Q6*0.25</f>
        <v>62.75</v>
      </c>
      <c r="V6" s="51">
        <f>SUMIF(O6:O11,O6,U6:U11)*0.4</f>
        <v>25.1</v>
      </c>
      <c r="W6" s="95"/>
      <c r="X6" s="95"/>
      <c r="Y6" s="95"/>
      <c r="Z6" s="95"/>
      <c r="AA6" s="28" t="s">
        <v>192</v>
      </c>
      <c r="AB6" s="28" t="s">
        <v>192</v>
      </c>
      <c r="AC6" s="60"/>
      <c r="AD6" s="83">
        <v>1</v>
      </c>
      <c r="AE6" s="28" t="s">
        <v>245</v>
      </c>
      <c r="AF6" s="28"/>
      <c r="AG6" s="28">
        <v>28</v>
      </c>
      <c r="AH6" s="34" t="s">
        <v>258</v>
      </c>
      <c r="AI6" s="69" t="s">
        <v>261</v>
      </c>
      <c r="AJ6" s="90"/>
      <c r="AK6" s="33"/>
      <c r="AL6" s="66" t="s">
        <v>273</v>
      </c>
      <c r="AM6" s="58">
        <v>0.05</v>
      </c>
      <c r="AN6" s="28" t="s">
        <v>277</v>
      </c>
      <c r="AO6" s="58">
        <v>0.45</v>
      </c>
      <c r="AP6" s="28" t="s">
        <v>290</v>
      </c>
      <c r="AQ6" s="58">
        <v>0.6</v>
      </c>
      <c r="AR6" s="76" t="s">
        <v>281</v>
      </c>
      <c r="AS6" s="67">
        <v>0.25</v>
      </c>
      <c r="AT6" s="45" t="s">
        <v>287</v>
      </c>
      <c r="AU6" s="58">
        <v>0.05</v>
      </c>
      <c r="AV6" s="28" t="s">
        <v>277</v>
      </c>
      <c r="AW6" s="67">
        <v>0.5</v>
      </c>
      <c r="AX6" s="66" t="s">
        <v>275</v>
      </c>
      <c r="AY6" s="58">
        <v>0.4</v>
      </c>
      <c r="AZ6" s="28" t="s">
        <v>303</v>
      </c>
      <c r="BA6" s="58">
        <v>0.15</v>
      </c>
      <c r="BB6" s="28" t="s">
        <v>314</v>
      </c>
      <c r="BC6" s="58">
        <v>0.2</v>
      </c>
      <c r="BD6" s="28" t="s">
        <v>303</v>
      </c>
      <c r="BE6" s="67">
        <v>0.1</v>
      </c>
      <c r="BF6" s="66" t="s">
        <v>324</v>
      </c>
      <c r="BG6" s="58">
        <v>0.15</v>
      </c>
      <c r="BH6" s="28" t="s">
        <v>303</v>
      </c>
      <c r="BI6" s="58">
        <v>0.15</v>
      </c>
      <c r="BJ6" s="28" t="s">
        <v>314</v>
      </c>
      <c r="BK6" s="58">
        <v>0.2</v>
      </c>
      <c r="BL6" s="28" t="s">
        <v>328</v>
      </c>
      <c r="BM6" s="58">
        <v>0.3</v>
      </c>
      <c r="BN6" s="62" t="s">
        <v>303</v>
      </c>
      <c r="BO6" s="58">
        <v>0.1</v>
      </c>
      <c r="BP6" s="76" t="s">
        <v>327</v>
      </c>
      <c r="BQ6" s="67">
        <v>0.3</v>
      </c>
    </row>
    <row r="7" spans="1:69" s="2" customFormat="1" ht="22.5">
      <c r="A7" s="22" t="s">
        <v>342</v>
      </c>
      <c r="B7" s="15" t="s">
        <v>181</v>
      </c>
      <c r="C7" s="22" t="s">
        <v>102</v>
      </c>
      <c r="D7" s="22" t="s">
        <v>29</v>
      </c>
      <c r="E7" s="22" t="s">
        <v>24</v>
      </c>
      <c r="F7" s="15" t="s">
        <v>192</v>
      </c>
      <c r="G7" s="15" t="s">
        <v>192</v>
      </c>
      <c r="H7" s="15" t="s">
        <v>190</v>
      </c>
      <c r="I7" s="15" t="s">
        <v>190</v>
      </c>
      <c r="J7" s="15" t="s">
        <v>190</v>
      </c>
      <c r="K7" s="15"/>
      <c r="L7" s="15" t="s">
        <v>190</v>
      </c>
      <c r="M7" s="15" t="s">
        <v>190</v>
      </c>
      <c r="N7" s="15" t="s">
        <v>190</v>
      </c>
      <c r="O7" s="15" t="s">
        <v>234</v>
      </c>
      <c r="P7" s="15" t="s">
        <v>190</v>
      </c>
      <c r="Q7" s="15">
        <v>176</v>
      </c>
      <c r="R7" s="17">
        <v>42829</v>
      </c>
      <c r="S7" s="49">
        <f t="shared" si="0"/>
        <v>14</v>
      </c>
      <c r="T7" s="56"/>
      <c r="U7" s="52"/>
      <c r="V7" s="51">
        <f>SUMIF(O7:O12,O7,U7:U12)*0.4</f>
        <v>0</v>
      </c>
      <c r="W7" s="95"/>
      <c r="X7" s="95"/>
      <c r="Y7" s="95"/>
      <c r="Z7" s="95"/>
      <c r="AA7" s="28" t="s">
        <v>192</v>
      </c>
      <c r="AB7" s="28" t="s">
        <v>192</v>
      </c>
      <c r="AC7" s="60"/>
      <c r="AD7" s="83">
        <v>1.5</v>
      </c>
      <c r="AE7" s="28" t="s">
        <v>246</v>
      </c>
      <c r="AF7" s="28"/>
      <c r="AG7" s="28">
        <v>29</v>
      </c>
      <c r="AH7" s="34" t="s">
        <v>258</v>
      </c>
      <c r="AI7" s="69" t="s">
        <v>262</v>
      </c>
      <c r="AJ7" s="90"/>
      <c r="AK7" s="33"/>
      <c r="AL7" s="68" t="s">
        <v>286</v>
      </c>
      <c r="AM7" s="58">
        <v>0.1</v>
      </c>
      <c r="AN7" s="28" t="s">
        <v>278</v>
      </c>
      <c r="AO7" s="58">
        <v>0.05</v>
      </c>
      <c r="AP7" s="28"/>
      <c r="AQ7" s="58"/>
      <c r="AR7" s="62" t="s">
        <v>20</v>
      </c>
      <c r="AS7" s="67">
        <v>0.25</v>
      </c>
      <c r="AT7" s="66" t="s">
        <v>288</v>
      </c>
      <c r="AU7" s="58">
        <v>0.05</v>
      </c>
      <c r="AV7" s="28" t="s">
        <v>278</v>
      </c>
      <c r="AW7" s="67">
        <v>0.05</v>
      </c>
      <c r="AX7" s="68" t="s">
        <v>286</v>
      </c>
      <c r="AY7" s="58">
        <v>0.15</v>
      </c>
      <c r="AZ7" s="28" t="s">
        <v>304</v>
      </c>
      <c r="BA7" s="58">
        <v>0.05</v>
      </c>
      <c r="BB7" s="28" t="s">
        <v>315</v>
      </c>
      <c r="BC7" s="58">
        <v>0.05</v>
      </c>
      <c r="BD7" s="28"/>
      <c r="BE7" s="67"/>
      <c r="BF7" s="68" t="s">
        <v>276</v>
      </c>
      <c r="BG7" s="58">
        <v>0.15</v>
      </c>
      <c r="BH7" s="28" t="s">
        <v>304</v>
      </c>
      <c r="BI7" s="58">
        <v>0.05</v>
      </c>
      <c r="BJ7" s="28" t="s">
        <v>315</v>
      </c>
      <c r="BK7" s="58">
        <v>0.05</v>
      </c>
      <c r="BL7" s="28" t="s">
        <v>303</v>
      </c>
      <c r="BM7" s="58">
        <v>0.1</v>
      </c>
      <c r="BN7" s="62"/>
      <c r="BO7" s="58"/>
      <c r="BP7" s="62" t="s">
        <v>335</v>
      </c>
      <c r="BQ7" s="67">
        <v>0.1</v>
      </c>
    </row>
    <row r="8" spans="1:69" s="2" customFormat="1" ht="22.5">
      <c r="A8" s="22" t="s">
        <v>343</v>
      </c>
      <c r="B8" s="15" t="s">
        <v>182</v>
      </c>
      <c r="C8" s="22" t="s">
        <v>102</v>
      </c>
      <c r="D8" s="22" t="s">
        <v>29</v>
      </c>
      <c r="E8" s="22" t="s">
        <v>27</v>
      </c>
      <c r="F8" s="15" t="s">
        <v>192</v>
      </c>
      <c r="G8" s="15" t="s">
        <v>192</v>
      </c>
      <c r="H8" s="15" t="s">
        <v>191</v>
      </c>
      <c r="I8" s="15" t="s">
        <v>191</v>
      </c>
      <c r="J8" s="15" t="s">
        <v>191</v>
      </c>
      <c r="K8" s="15"/>
      <c r="L8" s="15" t="s">
        <v>191</v>
      </c>
      <c r="M8" s="15" t="s">
        <v>191</v>
      </c>
      <c r="N8" s="15" t="s">
        <v>191</v>
      </c>
      <c r="O8" s="15" t="s">
        <v>191</v>
      </c>
      <c r="P8" s="15" t="s">
        <v>191</v>
      </c>
      <c r="Q8" s="15">
        <v>18</v>
      </c>
      <c r="R8" s="17">
        <v>42826</v>
      </c>
      <c r="S8" s="49">
        <f t="shared" si="0"/>
        <v>13</v>
      </c>
      <c r="T8" s="56"/>
      <c r="U8" s="52"/>
      <c r="V8" s="51">
        <f>SUMIF(O8:O13,O8,U8:U13)*0.4</f>
        <v>0</v>
      </c>
      <c r="W8" s="95"/>
      <c r="X8" s="95"/>
      <c r="Y8" s="95"/>
      <c r="Z8" s="95"/>
      <c r="AA8" s="28"/>
      <c r="AB8" s="28"/>
      <c r="AC8" s="60"/>
      <c r="AD8" s="83">
        <v>2</v>
      </c>
      <c r="AE8" s="28" t="s">
        <v>247</v>
      </c>
      <c r="AF8" s="28"/>
      <c r="AG8" s="28">
        <v>31</v>
      </c>
      <c r="AH8" s="28"/>
      <c r="AI8" s="69" t="s">
        <v>263</v>
      </c>
      <c r="AJ8" s="90"/>
      <c r="AK8" s="14"/>
      <c r="AL8" s="45" t="s">
        <v>287</v>
      </c>
      <c r="AM8" s="58">
        <v>0.1</v>
      </c>
      <c r="AN8" s="28" t="s">
        <v>21</v>
      </c>
      <c r="AO8" s="58">
        <v>0.15</v>
      </c>
      <c r="AP8" s="28"/>
      <c r="AQ8" s="58"/>
      <c r="AR8" s="62"/>
      <c r="AS8" s="67"/>
      <c r="AT8" s="66"/>
      <c r="AU8" s="58"/>
      <c r="AV8" s="28"/>
      <c r="AW8" s="67"/>
      <c r="AX8" s="45" t="s">
        <v>287</v>
      </c>
      <c r="AY8" s="58">
        <v>0.1</v>
      </c>
      <c r="AZ8" s="28"/>
      <c r="BA8" s="58"/>
      <c r="BB8" s="28"/>
      <c r="BC8" s="58"/>
      <c r="BD8" s="28"/>
      <c r="BE8" s="67"/>
      <c r="BF8" s="45" t="s">
        <v>325</v>
      </c>
      <c r="BG8" s="58">
        <v>0.15</v>
      </c>
      <c r="BH8" s="28"/>
      <c r="BI8" s="58"/>
      <c r="BJ8" s="28"/>
      <c r="BK8" s="58"/>
      <c r="BL8" s="28"/>
      <c r="BM8" s="58"/>
      <c r="BN8" s="62"/>
      <c r="BO8" s="58"/>
      <c r="BP8" s="62"/>
      <c r="BQ8" s="67"/>
    </row>
    <row r="9" spans="1:69" s="27" customFormat="1" ht="22.5">
      <c r="A9" s="23"/>
      <c r="B9" s="18"/>
      <c r="C9" s="23"/>
      <c r="D9" s="23"/>
      <c r="E9" s="22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7"/>
      <c r="S9" s="21"/>
      <c r="T9" s="56"/>
      <c r="U9" s="53"/>
      <c r="V9" s="53"/>
      <c r="W9" s="95"/>
      <c r="X9" s="95"/>
      <c r="Y9" s="95"/>
      <c r="Z9" s="95"/>
      <c r="AA9" s="28"/>
      <c r="AB9" s="28"/>
      <c r="AC9" s="60"/>
      <c r="AD9" s="83">
        <v>3</v>
      </c>
      <c r="AE9" s="28" t="s">
        <v>248</v>
      </c>
      <c r="AF9" s="28"/>
      <c r="AG9" s="28">
        <v>54</v>
      </c>
      <c r="AH9" s="28"/>
      <c r="AI9" s="69" t="s">
        <v>264</v>
      </c>
      <c r="AJ9" s="90"/>
      <c r="AK9" s="14"/>
      <c r="AL9" s="66" t="s">
        <v>288</v>
      </c>
      <c r="AM9" s="58">
        <v>0.05</v>
      </c>
      <c r="AN9" s="28"/>
      <c r="AO9" s="28"/>
      <c r="AP9" s="28"/>
      <c r="AQ9" s="28"/>
      <c r="AR9" s="62"/>
      <c r="AS9" s="69"/>
      <c r="AT9" s="68"/>
      <c r="AU9" s="58"/>
      <c r="AV9" s="28"/>
      <c r="AW9" s="69"/>
      <c r="AX9" s="66" t="s">
        <v>288</v>
      </c>
      <c r="AY9" s="58">
        <v>0.05</v>
      </c>
      <c r="AZ9" s="28"/>
      <c r="BA9" s="28"/>
      <c r="BB9" s="28"/>
      <c r="BC9" s="28"/>
      <c r="BD9" s="28"/>
      <c r="BE9" s="69"/>
      <c r="BF9" s="80" t="s">
        <v>286</v>
      </c>
      <c r="BG9" s="58">
        <v>0.15</v>
      </c>
      <c r="BH9" s="28"/>
      <c r="BI9" s="28"/>
      <c r="BJ9" s="28"/>
      <c r="BK9" s="28"/>
      <c r="BL9" s="28"/>
      <c r="BM9" s="28"/>
      <c r="BN9" s="62"/>
      <c r="BO9" s="28"/>
      <c r="BP9" s="62"/>
      <c r="BQ9" s="69"/>
    </row>
    <row r="10" spans="1:69" s="2" customFormat="1" ht="22.5">
      <c r="A10" s="22" t="s">
        <v>146</v>
      </c>
      <c r="B10" s="15" t="s">
        <v>167</v>
      </c>
      <c r="C10" s="22" t="s">
        <v>175</v>
      </c>
      <c r="D10" s="22" t="s">
        <v>175</v>
      </c>
      <c r="E10" s="22" t="s">
        <v>175</v>
      </c>
      <c r="F10" s="15" t="s">
        <v>187</v>
      </c>
      <c r="G10" s="15" t="s">
        <v>187</v>
      </c>
      <c r="H10" s="15" t="s">
        <v>187</v>
      </c>
      <c r="I10" s="15" t="s">
        <v>187</v>
      </c>
      <c r="J10" s="15" t="s">
        <v>187</v>
      </c>
      <c r="K10" s="15" t="s">
        <v>187</v>
      </c>
      <c r="L10" s="15" t="s">
        <v>187</v>
      </c>
      <c r="M10" s="15" t="s">
        <v>187</v>
      </c>
      <c r="N10" s="15" t="s">
        <v>187</v>
      </c>
      <c r="O10" s="15" t="s">
        <v>187</v>
      </c>
      <c r="P10" s="15" t="s">
        <v>147</v>
      </c>
      <c r="Q10" s="15" t="s">
        <v>147</v>
      </c>
      <c r="R10" s="15" t="s">
        <v>147</v>
      </c>
      <c r="S10" s="22" t="s">
        <v>146</v>
      </c>
      <c r="T10" s="57" t="s">
        <v>187</v>
      </c>
      <c r="U10" s="54" t="s">
        <v>174</v>
      </c>
      <c r="V10" s="54" t="s">
        <v>174</v>
      </c>
      <c r="W10" s="95"/>
      <c r="X10" s="95"/>
      <c r="Y10" s="95"/>
      <c r="Z10" s="95"/>
      <c r="AA10" s="30"/>
      <c r="AB10" s="30"/>
      <c r="AC10" s="61"/>
      <c r="AD10" s="84">
        <v>4</v>
      </c>
      <c r="AE10" s="30" t="s">
        <v>249</v>
      </c>
      <c r="AF10" s="30"/>
      <c r="AG10" s="30">
        <v>71</v>
      </c>
      <c r="AH10" s="30"/>
      <c r="AI10" s="70" t="s">
        <v>265</v>
      </c>
      <c r="AJ10" s="90"/>
      <c r="AK10" s="14"/>
      <c r="AL10" s="45"/>
      <c r="AM10" s="58"/>
      <c r="AN10" s="30"/>
      <c r="AO10" s="30"/>
      <c r="AP10" s="30"/>
      <c r="AQ10" s="30"/>
      <c r="AR10" s="77"/>
      <c r="AS10" s="70"/>
      <c r="AT10" s="45"/>
      <c r="AU10" s="58"/>
      <c r="AV10" s="30"/>
      <c r="AW10" s="70"/>
      <c r="AX10" s="45"/>
      <c r="AY10" s="58"/>
      <c r="AZ10" s="30"/>
      <c r="BA10" s="30"/>
      <c r="BB10" s="30"/>
      <c r="BC10" s="30"/>
      <c r="BD10" s="30"/>
      <c r="BE10" s="70"/>
      <c r="BF10" s="45" t="s">
        <v>287</v>
      </c>
      <c r="BG10" s="58">
        <v>0.1</v>
      </c>
      <c r="BH10" s="30"/>
      <c r="BI10" s="30"/>
      <c r="BJ10" s="30"/>
      <c r="BK10" s="30"/>
      <c r="BL10" s="30"/>
      <c r="BM10" s="30"/>
      <c r="BN10" s="77"/>
      <c r="BO10" s="30"/>
      <c r="BP10" s="77"/>
      <c r="BQ10" s="70"/>
    </row>
    <row r="11" spans="1:69" s="2" customFormat="1" ht="13.5" thickBot="1">
      <c r="A11" s="8"/>
      <c r="B11" s="8"/>
      <c r="C11" s="8"/>
      <c r="D11" s="8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9"/>
      <c r="S11" s="9"/>
      <c r="T11" s="47"/>
      <c r="U11" s="46"/>
      <c r="V11" s="46"/>
      <c r="W11" s="95"/>
      <c r="X11" s="95"/>
      <c r="Y11" s="95"/>
      <c r="Z11" s="95"/>
      <c r="AA11" s="28"/>
      <c r="AB11" s="28"/>
      <c r="AC11" s="60"/>
      <c r="AD11" s="83">
        <v>6</v>
      </c>
      <c r="AE11" s="28" t="s">
        <v>250</v>
      </c>
      <c r="AF11" s="28"/>
      <c r="AG11" s="28">
        <v>75</v>
      </c>
      <c r="AH11" s="28"/>
      <c r="AI11" s="69" t="s">
        <v>266</v>
      </c>
      <c r="AJ11" s="90"/>
      <c r="AK11" s="14"/>
      <c r="AL11" s="66"/>
      <c r="AM11" s="58"/>
      <c r="AN11" s="8"/>
      <c r="AO11" s="8"/>
      <c r="AP11" s="8"/>
      <c r="AQ11" s="8"/>
      <c r="AR11" s="76"/>
      <c r="AS11" s="71"/>
      <c r="AT11" s="66"/>
      <c r="AU11" s="58"/>
      <c r="AV11" s="8"/>
      <c r="AW11" s="71"/>
      <c r="AX11" s="66"/>
      <c r="AY11" s="58"/>
      <c r="AZ11" s="8"/>
      <c r="BA11" s="8"/>
      <c r="BB11" s="8"/>
      <c r="BC11" s="8"/>
      <c r="BD11" s="8"/>
      <c r="BE11" s="71"/>
      <c r="BF11" s="66" t="s">
        <v>288</v>
      </c>
      <c r="BG11" s="58">
        <v>0.05</v>
      </c>
      <c r="BH11" s="8"/>
      <c r="BI11" s="8"/>
      <c r="BJ11" s="8"/>
      <c r="BK11" s="8"/>
      <c r="BL11" s="8"/>
      <c r="BM11" s="8"/>
      <c r="BN11" s="76"/>
      <c r="BO11" s="8"/>
      <c r="BP11" s="76"/>
      <c r="BQ11" s="71"/>
    </row>
    <row r="12" spans="1:69" s="2" customFormat="1" ht="13.5" thickBot="1">
      <c r="AA12" s="28"/>
      <c r="AB12" s="28"/>
      <c r="AC12" s="60"/>
      <c r="AD12" s="83">
        <v>8</v>
      </c>
      <c r="AE12" s="28" t="s">
        <v>251</v>
      </c>
      <c r="AF12" s="28"/>
      <c r="AG12" s="28"/>
      <c r="AH12" s="28"/>
      <c r="AI12" s="69" t="s">
        <v>267</v>
      </c>
      <c r="AJ12" s="90"/>
      <c r="AK12" s="14"/>
      <c r="AL12" s="72"/>
      <c r="AM12" s="73"/>
      <c r="AN12" s="74"/>
      <c r="AO12" s="74"/>
      <c r="AP12" s="74"/>
      <c r="AQ12" s="74"/>
      <c r="AR12" s="78"/>
      <c r="AS12" s="75"/>
      <c r="AT12" s="72"/>
      <c r="AU12" s="73"/>
      <c r="AV12" s="74"/>
      <c r="AW12" s="75"/>
      <c r="AX12" s="72"/>
      <c r="AY12" s="73"/>
      <c r="AZ12" s="74"/>
      <c r="BA12" s="74"/>
      <c r="BB12" s="74"/>
      <c r="BC12" s="74"/>
      <c r="BD12" s="74"/>
      <c r="BE12" s="75"/>
      <c r="BF12" s="72"/>
      <c r="BG12" s="73"/>
      <c r="BH12" s="74"/>
      <c r="BI12" s="74"/>
      <c r="BJ12" s="74"/>
      <c r="BK12" s="74"/>
      <c r="BL12" s="74"/>
      <c r="BM12" s="74"/>
      <c r="BN12" s="78"/>
      <c r="BO12" s="74"/>
      <c r="BP12" s="78"/>
      <c r="BQ12" s="75"/>
    </row>
    <row r="13" spans="1:69" s="2" customFormat="1">
      <c r="AA13" s="28"/>
      <c r="AB13" s="28"/>
      <c r="AC13" s="60"/>
      <c r="AD13" s="83">
        <v>10</v>
      </c>
      <c r="AE13" s="28" t="s">
        <v>252</v>
      </c>
      <c r="AF13" s="28"/>
      <c r="AG13" s="28"/>
      <c r="AH13" s="28"/>
      <c r="AI13" s="69" t="s">
        <v>268</v>
      </c>
      <c r="AJ13" s="90"/>
      <c r="AK13" s="14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</row>
    <row r="14" spans="1:69" s="2" customFormat="1">
      <c r="AA14" s="28"/>
      <c r="AB14" s="28"/>
      <c r="AC14" s="60"/>
      <c r="AD14" s="83">
        <v>12</v>
      </c>
      <c r="AE14" s="28" t="s">
        <v>253</v>
      </c>
      <c r="AF14" s="28"/>
      <c r="AG14" s="28"/>
      <c r="AH14" s="28"/>
      <c r="AI14" s="69" t="s">
        <v>269</v>
      </c>
      <c r="AJ14" s="90"/>
      <c r="AK14" s="14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</row>
    <row r="15" spans="1:69" s="2" customFormat="1">
      <c r="AA15" s="28"/>
      <c r="AB15" s="28"/>
      <c r="AC15" s="60"/>
      <c r="AD15" s="83">
        <v>14</v>
      </c>
      <c r="AE15" s="28" t="s">
        <v>254</v>
      </c>
      <c r="AF15" s="28"/>
      <c r="AG15" s="28"/>
      <c r="AH15" s="28"/>
      <c r="AI15" s="69" t="s">
        <v>270</v>
      </c>
      <c r="AJ15" s="90"/>
      <c r="AK15" s="14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</row>
    <row r="16" spans="1:69" s="2" customFormat="1">
      <c r="AA16" s="28"/>
      <c r="AB16" s="28"/>
      <c r="AC16" s="60"/>
      <c r="AD16" s="83">
        <v>16</v>
      </c>
      <c r="AE16" s="28" t="s">
        <v>255</v>
      </c>
      <c r="AF16" s="28"/>
      <c r="AG16" s="29"/>
      <c r="AH16" s="29"/>
      <c r="AI16" s="71" t="s">
        <v>271</v>
      </c>
      <c r="AJ16" s="90"/>
      <c r="AK16" s="14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</row>
    <row r="17" spans="27:69" s="2" customFormat="1">
      <c r="AA17" s="6"/>
      <c r="AB17" s="6"/>
      <c r="AC17" s="4"/>
      <c r="AD17" s="80">
        <v>18</v>
      </c>
      <c r="AE17" s="6" t="s">
        <v>256</v>
      </c>
      <c r="AF17" s="6"/>
      <c r="AG17" s="6"/>
      <c r="AH17" s="6"/>
      <c r="AI17" s="71" t="s">
        <v>272</v>
      </c>
      <c r="AJ17" s="90"/>
      <c r="AK17" s="14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</row>
    <row r="18" spans="27:69" s="2" customFormat="1">
      <c r="AA18" s="6"/>
      <c r="AB18" s="6"/>
      <c r="AC18" s="4"/>
      <c r="AD18" s="80">
        <v>20</v>
      </c>
      <c r="AE18" s="6" t="s">
        <v>257</v>
      </c>
      <c r="AF18" s="6"/>
      <c r="AG18" s="6"/>
      <c r="AH18" s="6"/>
      <c r="AI18" s="71"/>
      <c r="AJ18" s="90"/>
      <c r="AK18" s="14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</row>
    <row r="19" spans="27:69" s="2" customFormat="1">
      <c r="AA19" s="6"/>
      <c r="AB19" s="6"/>
      <c r="AC19" s="4"/>
      <c r="AD19" s="85">
        <v>24</v>
      </c>
      <c r="AE19" s="6"/>
      <c r="AF19" s="6"/>
      <c r="AG19" s="6"/>
      <c r="AH19" s="6"/>
      <c r="AI19" s="71"/>
      <c r="AJ19" s="90"/>
      <c r="AK19" s="14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</row>
    <row r="20" spans="27:69" s="2" customFormat="1">
      <c r="AA20" s="6"/>
      <c r="AB20" s="6"/>
      <c r="AC20" s="4"/>
      <c r="AD20" s="85"/>
      <c r="AE20" s="6"/>
      <c r="AF20" s="6"/>
      <c r="AG20" s="6"/>
      <c r="AH20" s="6"/>
      <c r="AI20" s="71"/>
      <c r="AJ20" s="90"/>
      <c r="AK20" s="14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</row>
    <row r="21" spans="27:69" s="2" customFormat="1">
      <c r="AA21" s="6"/>
      <c r="AB21" s="6"/>
      <c r="AC21" s="4"/>
      <c r="AD21" s="85"/>
      <c r="AE21" s="6"/>
      <c r="AF21" s="6"/>
      <c r="AG21" s="6"/>
      <c r="AH21" s="6"/>
      <c r="AI21" s="86"/>
      <c r="AJ21" s="90"/>
      <c r="AK21" s="14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</row>
    <row r="22" spans="27:69" s="2" customFormat="1">
      <c r="AA22" s="6"/>
      <c r="AB22" s="6"/>
      <c r="AC22" s="4"/>
      <c r="AD22" s="85"/>
      <c r="AE22" s="6"/>
      <c r="AF22" s="6"/>
      <c r="AG22" s="6"/>
      <c r="AH22" s="6"/>
      <c r="AI22" s="86"/>
      <c r="AJ22" s="90"/>
      <c r="AK22" s="14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</row>
    <row r="23" spans="27:69" s="2" customFormat="1">
      <c r="AA23" s="6"/>
      <c r="AB23" s="6"/>
      <c r="AC23" s="4"/>
      <c r="AD23" s="85"/>
      <c r="AE23" s="6"/>
      <c r="AF23" s="6"/>
      <c r="AG23" s="6"/>
      <c r="AH23" s="6"/>
      <c r="AI23" s="86"/>
      <c r="AJ23" s="90"/>
      <c r="AK23" s="14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</row>
    <row r="24" spans="27:69" s="2" customFormat="1">
      <c r="AJ24" s="90"/>
      <c r="AK24" s="14"/>
    </row>
    <row r="25" spans="27:69" s="2" customFormat="1">
      <c r="AJ25" s="90"/>
      <c r="AK25" s="14"/>
    </row>
    <row r="26" spans="27:69" s="2" customFormat="1">
      <c r="AJ26" s="90"/>
      <c r="AK26" s="14"/>
    </row>
    <row r="27" spans="27:69" s="2" customFormat="1">
      <c r="AJ27" s="90"/>
      <c r="AK27" s="14"/>
    </row>
    <row r="28" spans="27:69" s="2" customFormat="1">
      <c r="AJ28" s="90"/>
      <c r="AK28" s="14"/>
    </row>
    <row r="29" spans="27:69" s="2" customFormat="1">
      <c r="AJ29" s="90"/>
      <c r="AK29" s="14"/>
    </row>
    <row r="30" spans="27:69" s="2" customFormat="1">
      <c r="AJ30" s="90"/>
      <c r="AK30" s="14"/>
    </row>
    <row r="31" spans="27:69" s="2" customFormat="1">
      <c r="AJ31" s="90"/>
      <c r="AK31" s="14"/>
    </row>
    <row r="32" spans="27:69" s="2" customFormat="1">
      <c r="AJ32" s="90"/>
      <c r="AK32" s="14"/>
    </row>
    <row r="33" spans="36:37" s="2" customFormat="1">
      <c r="AJ33" s="90"/>
      <c r="AK33" s="14"/>
    </row>
    <row r="34" spans="36:37" s="2" customFormat="1">
      <c r="AJ34" s="90"/>
      <c r="AK34" s="14"/>
    </row>
    <row r="35" spans="36:37" s="2" customFormat="1">
      <c r="AJ35" s="90"/>
      <c r="AK35" s="14"/>
    </row>
    <row r="36" spans="36:37" s="2" customFormat="1">
      <c r="AJ36" s="90"/>
      <c r="AK36" s="14"/>
    </row>
    <row r="37" spans="36:37" s="2" customFormat="1">
      <c r="AJ37" s="90"/>
      <c r="AK37" s="13"/>
    </row>
    <row r="38" spans="36:37" s="2" customFormat="1">
      <c r="AJ38" s="90"/>
      <c r="AK38" s="14"/>
    </row>
    <row r="39" spans="36:37" s="2" customFormat="1">
      <c r="AJ39" s="90"/>
      <c r="AK39" s="14"/>
    </row>
    <row r="40" spans="36:37" s="2" customFormat="1">
      <c r="AJ40" s="90"/>
      <c r="AK40" s="14"/>
    </row>
    <row r="41" spans="36:37" s="2" customFormat="1">
      <c r="AJ41" s="90"/>
      <c r="AK41" s="14"/>
    </row>
    <row r="42" spans="36:37" s="2" customFormat="1">
      <c r="AJ42" s="90"/>
      <c r="AK42" s="14"/>
    </row>
    <row r="43" spans="36:37" s="2" customFormat="1">
      <c r="AJ43" s="90"/>
      <c r="AK43" s="14"/>
    </row>
    <row r="44" spans="36:37" s="2" customFormat="1">
      <c r="AJ44" s="90"/>
      <c r="AK44" s="14"/>
    </row>
    <row r="45" spans="36:37" s="2" customFormat="1">
      <c r="AJ45" s="90"/>
      <c r="AK45" s="14"/>
    </row>
    <row r="46" spans="36:37" s="2" customFormat="1">
      <c r="AJ46" s="90"/>
      <c r="AK46" s="14"/>
    </row>
    <row r="47" spans="36:37" s="2" customFormat="1">
      <c r="AJ47" s="90"/>
      <c r="AK47" s="14"/>
    </row>
    <row r="48" spans="36:37" s="2" customFormat="1">
      <c r="AJ48" s="90"/>
      <c r="AK48" s="14"/>
    </row>
    <row r="49" spans="36:37" s="2" customFormat="1">
      <c r="AJ49" s="90"/>
      <c r="AK49" s="14"/>
    </row>
    <row r="50" spans="36:37" s="2" customFormat="1"/>
  </sheetData>
  <mergeCells count="5">
    <mergeCell ref="AL1:BQ1"/>
    <mergeCell ref="AA1:AJ1"/>
    <mergeCell ref="AA2:AJ2"/>
    <mergeCell ref="AL2:BQ2"/>
    <mergeCell ref="A1:V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B1:W61"/>
  <sheetViews>
    <sheetView workbookViewId="0">
      <selection activeCell="Q4" sqref="Q4"/>
    </sheetView>
  </sheetViews>
  <sheetFormatPr baseColWidth="10" defaultRowHeight="12.75"/>
  <cols>
    <col min="1" max="1" width="3" style="92" customWidth="1"/>
    <col min="2" max="2" width="15.140625" style="92" customWidth="1"/>
    <col min="3" max="3" width="11.42578125" style="92"/>
    <col min="4" max="4" width="13.7109375" style="92" customWidth="1"/>
    <col min="5" max="6" width="11.42578125" style="92"/>
    <col min="7" max="7" width="8.7109375" style="92" customWidth="1"/>
    <col min="8" max="8" width="21.140625" style="92" customWidth="1"/>
    <col min="9" max="9" width="17.7109375" style="92" customWidth="1"/>
    <col min="10" max="10" width="11.42578125" style="92" bestFit="1" customWidth="1"/>
    <col min="11" max="11" width="13.28515625" style="92" bestFit="1" customWidth="1"/>
    <col min="12" max="12" width="18.28515625" style="92" bestFit="1" customWidth="1"/>
    <col min="13" max="13" width="13.140625" style="92" customWidth="1"/>
    <col min="14" max="14" width="10.140625" style="92" bestFit="1" customWidth="1"/>
    <col min="15" max="15" width="9.5703125" style="92" bestFit="1" customWidth="1"/>
    <col min="16" max="16" width="13.140625" style="92" bestFit="1" customWidth="1"/>
    <col min="17" max="17" width="12.140625" style="92" bestFit="1" customWidth="1"/>
    <col min="18" max="18" width="14.140625" style="92" customWidth="1"/>
    <col min="19" max="19" width="5" style="92" customWidth="1"/>
    <col min="20" max="20" width="8.140625" style="92" customWidth="1"/>
    <col min="21" max="21" width="5" style="92" customWidth="1"/>
    <col min="22" max="22" width="8.140625" style="92" customWidth="1"/>
    <col min="23" max="23" width="13.140625" style="92" bestFit="1" customWidth="1"/>
    <col min="24" max="16384" width="11.42578125" style="92"/>
  </cols>
  <sheetData>
    <row r="1" spans="2:18" ht="15">
      <c r="B1" s="111" t="s">
        <v>466</v>
      </c>
      <c r="I1" s="111" t="s">
        <v>418</v>
      </c>
    </row>
    <row r="2" spans="2:18" ht="13.5" thickBot="1"/>
    <row r="3" spans="2:18" ht="13.5" thickBot="1">
      <c r="D3" s="113" t="s">
        <v>82</v>
      </c>
      <c r="E3" s="92" t="s">
        <v>379</v>
      </c>
      <c r="H3" s="112" t="s">
        <v>118</v>
      </c>
      <c r="I3" s="115" t="s">
        <v>358</v>
      </c>
      <c r="J3" s="114" t="s">
        <v>82</v>
      </c>
      <c r="K3" s="114" t="s">
        <v>361</v>
      </c>
      <c r="L3" s="114" t="s">
        <v>356</v>
      </c>
      <c r="M3" s="114" t="s">
        <v>357</v>
      </c>
      <c r="N3" s="114" t="s">
        <v>143</v>
      </c>
      <c r="O3" s="116" t="s">
        <v>380</v>
      </c>
      <c r="P3" s="116" t="s">
        <v>381</v>
      </c>
      <c r="Q3" s="116" t="s">
        <v>382</v>
      </c>
      <c r="R3" s="117" t="s">
        <v>383</v>
      </c>
    </row>
    <row r="4" spans="2:18">
      <c r="D4" s="100" t="s">
        <v>82</v>
      </c>
      <c r="E4" s="92" t="s">
        <v>371</v>
      </c>
      <c r="H4" s="107" t="s">
        <v>419</v>
      </c>
      <c r="I4" s="106" t="s">
        <v>162</v>
      </c>
      <c r="J4" s="106" t="s">
        <v>152</v>
      </c>
      <c r="K4" s="106" t="s">
        <v>364</v>
      </c>
      <c r="L4" s="106" t="s">
        <v>395</v>
      </c>
      <c r="M4" s="106" t="s">
        <v>367</v>
      </c>
      <c r="N4" s="106" t="s">
        <v>370</v>
      </c>
      <c r="O4" s="109">
        <v>42857</v>
      </c>
      <c r="P4" s="108">
        <f>WEEKNUM(O4)</f>
        <v>18</v>
      </c>
      <c r="Q4" s="109"/>
      <c r="R4" s="108">
        <f>WEEKNUM(Q4)</f>
        <v>0</v>
      </c>
    </row>
    <row r="5" spans="2:18">
      <c r="D5" s="104"/>
      <c r="H5" s="107" t="s">
        <v>420</v>
      </c>
      <c r="I5" s="3" t="s">
        <v>163</v>
      </c>
      <c r="J5" s="3" t="s">
        <v>152</v>
      </c>
      <c r="K5" s="106" t="s">
        <v>364</v>
      </c>
      <c r="L5" s="3" t="s">
        <v>396</v>
      </c>
      <c r="M5" s="106" t="s">
        <v>212</v>
      </c>
      <c r="N5" s="3" t="s">
        <v>370</v>
      </c>
      <c r="O5" s="110">
        <v>42858</v>
      </c>
      <c r="P5" s="3">
        <f t="shared" ref="P5:P27" si="0">WEEKNUM(O5)</f>
        <v>18</v>
      </c>
      <c r="Q5" s="109"/>
      <c r="R5" s="108">
        <f t="shared" ref="R5:R27" si="1">WEEKNUM(Q5)</f>
        <v>0</v>
      </c>
    </row>
    <row r="6" spans="2:18" ht="13.5" thickBot="1">
      <c r="D6" s="98"/>
      <c r="H6" s="107" t="s">
        <v>421</v>
      </c>
      <c r="I6" s="3" t="s">
        <v>164</v>
      </c>
      <c r="J6" s="3" t="s">
        <v>152</v>
      </c>
      <c r="K6" s="3" t="s">
        <v>115</v>
      </c>
      <c r="L6" s="3" t="s">
        <v>111</v>
      </c>
      <c r="M6" s="3" t="s">
        <v>367</v>
      </c>
      <c r="N6" s="3" t="s">
        <v>370</v>
      </c>
      <c r="O6" s="110">
        <v>42859</v>
      </c>
      <c r="P6" s="3">
        <f t="shared" si="0"/>
        <v>18</v>
      </c>
      <c r="Q6" s="109"/>
      <c r="R6" s="108">
        <f t="shared" si="1"/>
        <v>0</v>
      </c>
    </row>
    <row r="7" spans="2:18" ht="13.5" thickBot="1">
      <c r="D7" s="113" t="s">
        <v>361</v>
      </c>
      <c r="E7" s="92" t="s">
        <v>379</v>
      </c>
      <c r="H7" s="107" t="s">
        <v>422</v>
      </c>
      <c r="I7" s="3" t="s">
        <v>165</v>
      </c>
      <c r="J7" s="3" t="s">
        <v>152</v>
      </c>
      <c r="K7" s="3" t="s">
        <v>115</v>
      </c>
      <c r="L7" s="3" t="s">
        <v>112</v>
      </c>
      <c r="M7" s="3" t="s">
        <v>367</v>
      </c>
      <c r="N7" s="3" t="s">
        <v>370</v>
      </c>
      <c r="O7" s="110">
        <v>42860</v>
      </c>
      <c r="P7" s="3">
        <f t="shared" si="0"/>
        <v>18</v>
      </c>
      <c r="Q7" s="109"/>
      <c r="R7" s="108">
        <f t="shared" si="1"/>
        <v>0</v>
      </c>
    </row>
    <row r="8" spans="2:18" ht="13.5" thickBot="1">
      <c r="B8" s="112" t="s">
        <v>355</v>
      </c>
      <c r="D8" s="100" t="s">
        <v>362</v>
      </c>
      <c r="E8" s="92" t="s">
        <v>372</v>
      </c>
      <c r="H8" s="107" t="s">
        <v>423</v>
      </c>
      <c r="I8" s="3" t="s">
        <v>166</v>
      </c>
      <c r="J8" s="3" t="s">
        <v>152</v>
      </c>
      <c r="K8" s="3" t="s">
        <v>115</v>
      </c>
      <c r="L8" s="3" t="s">
        <v>405</v>
      </c>
      <c r="M8" s="3" t="s">
        <v>367</v>
      </c>
      <c r="N8" s="3" t="s">
        <v>144</v>
      </c>
      <c r="O8" s="110">
        <v>42861</v>
      </c>
      <c r="P8" s="3">
        <f t="shared" si="0"/>
        <v>18</v>
      </c>
      <c r="Q8" s="109"/>
      <c r="R8" s="108">
        <f t="shared" si="1"/>
        <v>0</v>
      </c>
    </row>
    <row r="9" spans="2:18">
      <c r="B9" s="100" t="s">
        <v>358</v>
      </c>
      <c r="D9" s="102" t="s">
        <v>363</v>
      </c>
      <c r="H9" s="107" t="s">
        <v>424</v>
      </c>
      <c r="I9" s="3" t="s">
        <v>384</v>
      </c>
      <c r="J9" s="3" t="s">
        <v>152</v>
      </c>
      <c r="K9" s="3" t="s">
        <v>365</v>
      </c>
      <c r="L9" s="3" t="s">
        <v>406</v>
      </c>
      <c r="M9" s="3" t="s">
        <v>367</v>
      </c>
      <c r="N9" s="3" t="s">
        <v>370</v>
      </c>
      <c r="O9" s="110">
        <v>42862</v>
      </c>
      <c r="P9" s="3">
        <f t="shared" si="0"/>
        <v>19</v>
      </c>
      <c r="Q9" s="109"/>
      <c r="R9" s="108">
        <f t="shared" si="1"/>
        <v>0</v>
      </c>
    </row>
    <row r="10" spans="2:18">
      <c r="B10" s="101" t="s">
        <v>82</v>
      </c>
      <c r="D10" s="103" t="s">
        <v>152</v>
      </c>
      <c r="H10" s="107" t="s">
        <v>425</v>
      </c>
      <c r="I10" s="3" t="s">
        <v>385</v>
      </c>
      <c r="J10" s="3" t="s">
        <v>152</v>
      </c>
      <c r="K10" s="3" t="s">
        <v>365</v>
      </c>
      <c r="L10" s="3" t="s">
        <v>123</v>
      </c>
      <c r="M10" s="3" t="s">
        <v>367</v>
      </c>
      <c r="N10" s="3" t="s">
        <v>370</v>
      </c>
      <c r="O10" s="110">
        <v>42863</v>
      </c>
      <c r="P10" s="3">
        <f t="shared" si="0"/>
        <v>19</v>
      </c>
      <c r="Q10" s="109"/>
      <c r="R10" s="108">
        <f t="shared" si="1"/>
        <v>0</v>
      </c>
    </row>
    <row r="11" spans="2:18" ht="13.5" thickBot="1">
      <c r="B11" s="101" t="s">
        <v>361</v>
      </c>
      <c r="D11" s="105"/>
      <c r="H11" s="107" t="s">
        <v>426</v>
      </c>
      <c r="I11" s="3" t="s">
        <v>386</v>
      </c>
      <c r="J11" s="3" t="s">
        <v>152</v>
      </c>
      <c r="K11" s="3" t="s">
        <v>374</v>
      </c>
      <c r="L11" s="3" t="s">
        <v>407</v>
      </c>
      <c r="M11" s="3" t="s">
        <v>367</v>
      </c>
      <c r="N11" s="3" t="s">
        <v>144</v>
      </c>
      <c r="O11" s="110">
        <v>42864</v>
      </c>
      <c r="P11" s="3">
        <f t="shared" si="0"/>
        <v>19</v>
      </c>
      <c r="Q11" s="109"/>
      <c r="R11" s="108">
        <f t="shared" si="1"/>
        <v>0</v>
      </c>
    </row>
    <row r="12" spans="2:18" ht="13.5" thickBot="1">
      <c r="B12" s="101" t="s">
        <v>356</v>
      </c>
      <c r="D12" s="113" t="s">
        <v>356</v>
      </c>
      <c r="E12" s="92" t="s">
        <v>379</v>
      </c>
      <c r="H12" s="107" t="s">
        <v>427</v>
      </c>
      <c r="I12" s="3" t="s">
        <v>387</v>
      </c>
      <c r="J12" s="3" t="s">
        <v>152</v>
      </c>
      <c r="K12" s="3" t="s">
        <v>374</v>
      </c>
      <c r="L12" s="3" t="s">
        <v>408</v>
      </c>
      <c r="M12" s="3" t="s">
        <v>212</v>
      </c>
      <c r="N12" s="3" t="s">
        <v>144</v>
      </c>
      <c r="O12" s="110">
        <v>42865</v>
      </c>
      <c r="P12" s="3">
        <f t="shared" si="0"/>
        <v>19</v>
      </c>
      <c r="Q12" s="109"/>
      <c r="R12" s="108">
        <f t="shared" si="1"/>
        <v>0</v>
      </c>
    </row>
    <row r="13" spans="2:18">
      <c r="B13" s="101" t="s">
        <v>357</v>
      </c>
      <c r="D13" s="100" t="s">
        <v>364</v>
      </c>
      <c r="E13" s="92" t="s">
        <v>375</v>
      </c>
      <c r="H13" s="107" t="s">
        <v>428</v>
      </c>
      <c r="I13" s="3" t="s">
        <v>388</v>
      </c>
      <c r="J13" s="3" t="s">
        <v>152</v>
      </c>
      <c r="K13" s="3" t="s">
        <v>365</v>
      </c>
      <c r="L13" s="3" t="s">
        <v>409</v>
      </c>
      <c r="M13" s="3" t="s">
        <v>367</v>
      </c>
      <c r="N13" s="3" t="s">
        <v>370</v>
      </c>
      <c r="O13" s="110">
        <v>42866</v>
      </c>
      <c r="P13" s="3">
        <f t="shared" si="0"/>
        <v>19</v>
      </c>
      <c r="Q13" s="109"/>
      <c r="R13" s="108">
        <f t="shared" si="1"/>
        <v>0</v>
      </c>
    </row>
    <row r="14" spans="2:18">
      <c r="B14" s="101" t="s">
        <v>143</v>
      </c>
      <c r="D14" s="101" t="s">
        <v>365</v>
      </c>
      <c r="H14" s="107" t="s">
        <v>429</v>
      </c>
      <c r="I14" s="3" t="s">
        <v>389</v>
      </c>
      <c r="J14" s="3" t="s">
        <v>152</v>
      </c>
      <c r="K14" s="3" t="s">
        <v>366</v>
      </c>
      <c r="L14" s="3" t="s">
        <v>410</v>
      </c>
      <c r="M14" s="3" t="s">
        <v>367</v>
      </c>
      <c r="N14" s="3" t="s">
        <v>370</v>
      </c>
      <c r="O14" s="110">
        <v>42867</v>
      </c>
      <c r="P14" s="3">
        <f t="shared" si="0"/>
        <v>19</v>
      </c>
      <c r="Q14" s="109"/>
      <c r="R14" s="108">
        <f t="shared" si="1"/>
        <v>0</v>
      </c>
    </row>
    <row r="15" spans="2:18">
      <c r="B15" s="101" t="s">
        <v>359</v>
      </c>
      <c r="D15" s="102" t="s">
        <v>115</v>
      </c>
      <c r="H15" s="107" t="s">
        <v>430</v>
      </c>
      <c r="I15" s="3" t="s">
        <v>390</v>
      </c>
      <c r="J15" s="3" t="s">
        <v>152</v>
      </c>
      <c r="K15" s="3" t="s">
        <v>364</v>
      </c>
      <c r="L15" s="3" t="s">
        <v>411</v>
      </c>
      <c r="M15" s="3" t="s">
        <v>212</v>
      </c>
      <c r="N15" s="3" t="s">
        <v>370</v>
      </c>
      <c r="O15" s="110">
        <v>42868</v>
      </c>
      <c r="P15" s="3">
        <f t="shared" si="0"/>
        <v>19</v>
      </c>
      <c r="Q15" s="109"/>
      <c r="R15" s="108">
        <f t="shared" si="1"/>
        <v>0</v>
      </c>
    </row>
    <row r="16" spans="2:18">
      <c r="B16" s="101" t="s">
        <v>360</v>
      </c>
      <c r="D16" s="102" t="s">
        <v>366</v>
      </c>
      <c r="H16" s="107" t="s">
        <v>431</v>
      </c>
      <c r="I16" s="3" t="s">
        <v>391</v>
      </c>
      <c r="J16" s="3" t="s">
        <v>152</v>
      </c>
      <c r="K16" s="3" t="s">
        <v>364</v>
      </c>
      <c r="L16" s="3" t="s">
        <v>412</v>
      </c>
      <c r="M16" s="3" t="s">
        <v>367</v>
      </c>
      <c r="N16" s="3" t="s">
        <v>370</v>
      </c>
      <c r="O16" s="110">
        <v>42869</v>
      </c>
      <c r="P16" s="3">
        <f t="shared" si="0"/>
        <v>20</v>
      </c>
      <c r="Q16" s="109"/>
      <c r="R16" s="108">
        <f t="shared" si="1"/>
        <v>0</v>
      </c>
    </row>
    <row r="17" spans="2:18">
      <c r="B17" s="102"/>
      <c r="D17" s="102" t="s">
        <v>374</v>
      </c>
      <c r="H17" s="107" t="s">
        <v>432</v>
      </c>
      <c r="I17" s="3" t="s">
        <v>392</v>
      </c>
      <c r="J17" s="3" t="s">
        <v>152</v>
      </c>
      <c r="K17" s="3" t="s">
        <v>364</v>
      </c>
      <c r="L17" s="3" t="s">
        <v>413</v>
      </c>
      <c r="M17" s="3" t="s">
        <v>367</v>
      </c>
      <c r="N17" s="3" t="s">
        <v>370</v>
      </c>
      <c r="O17" s="110">
        <v>42870</v>
      </c>
      <c r="P17" s="3">
        <f t="shared" si="0"/>
        <v>20</v>
      </c>
      <c r="Q17" s="109"/>
      <c r="R17" s="108">
        <f t="shared" si="1"/>
        <v>0</v>
      </c>
    </row>
    <row r="18" spans="2:18">
      <c r="D18" s="102" t="s">
        <v>373</v>
      </c>
      <c r="H18" s="107" t="s">
        <v>433</v>
      </c>
      <c r="I18" s="3" t="s">
        <v>393</v>
      </c>
      <c r="J18" s="3" t="s">
        <v>362</v>
      </c>
      <c r="K18" s="3" t="s">
        <v>102</v>
      </c>
      <c r="L18" s="3" t="s">
        <v>49</v>
      </c>
      <c r="M18" s="3" t="s">
        <v>367</v>
      </c>
      <c r="N18" s="3" t="s">
        <v>144</v>
      </c>
      <c r="O18" s="110">
        <v>42871</v>
      </c>
      <c r="P18" s="3">
        <f t="shared" si="0"/>
        <v>20</v>
      </c>
      <c r="Q18" s="109"/>
      <c r="R18" s="108">
        <f t="shared" si="1"/>
        <v>0</v>
      </c>
    </row>
    <row r="19" spans="2:18">
      <c r="D19" s="102" t="s">
        <v>369</v>
      </c>
      <c r="H19" s="107" t="s">
        <v>434</v>
      </c>
      <c r="I19" s="3" t="s">
        <v>394</v>
      </c>
      <c r="J19" s="3" t="s">
        <v>362</v>
      </c>
      <c r="K19" s="3" t="s">
        <v>102</v>
      </c>
      <c r="L19" s="3" t="s">
        <v>414</v>
      </c>
      <c r="M19" s="3" t="s">
        <v>367</v>
      </c>
      <c r="N19" s="3" t="s">
        <v>144</v>
      </c>
      <c r="O19" s="110">
        <v>42872</v>
      </c>
      <c r="P19" s="3">
        <f t="shared" si="0"/>
        <v>20</v>
      </c>
      <c r="Q19" s="109"/>
      <c r="R19" s="108">
        <f t="shared" si="1"/>
        <v>0</v>
      </c>
    </row>
    <row r="20" spans="2:18" ht="13.5" thickBot="1">
      <c r="H20" s="107" t="s">
        <v>435</v>
      </c>
      <c r="I20" s="3" t="s">
        <v>397</v>
      </c>
      <c r="J20" s="3" t="s">
        <v>362</v>
      </c>
      <c r="K20" s="3" t="s">
        <v>102</v>
      </c>
      <c r="L20" s="3" t="s">
        <v>415</v>
      </c>
      <c r="M20" s="3" t="s">
        <v>367</v>
      </c>
      <c r="N20" s="3" t="s">
        <v>144</v>
      </c>
      <c r="O20" s="110">
        <v>42873</v>
      </c>
      <c r="P20" s="3">
        <f t="shared" si="0"/>
        <v>20</v>
      </c>
      <c r="Q20" s="109"/>
      <c r="R20" s="108">
        <f t="shared" si="1"/>
        <v>0</v>
      </c>
    </row>
    <row r="21" spans="2:18" ht="13.5" thickBot="1">
      <c r="D21" s="113" t="s">
        <v>357</v>
      </c>
      <c r="E21" s="92" t="s">
        <v>379</v>
      </c>
      <c r="H21" s="107" t="s">
        <v>436</v>
      </c>
      <c r="I21" s="3" t="s">
        <v>398</v>
      </c>
      <c r="J21" s="3" t="s">
        <v>362</v>
      </c>
      <c r="K21" s="3" t="s">
        <v>102</v>
      </c>
      <c r="L21" s="3" t="s">
        <v>51</v>
      </c>
      <c r="M21" s="3" t="s">
        <v>367</v>
      </c>
      <c r="N21" s="3" t="s">
        <v>144</v>
      </c>
      <c r="O21" s="110">
        <v>42874</v>
      </c>
      <c r="P21" s="3">
        <f t="shared" si="0"/>
        <v>20</v>
      </c>
      <c r="Q21" s="109"/>
      <c r="R21" s="108">
        <f t="shared" si="1"/>
        <v>0</v>
      </c>
    </row>
    <row r="22" spans="2:18">
      <c r="D22" s="100" t="s">
        <v>376</v>
      </c>
      <c r="E22" s="92" t="s">
        <v>377</v>
      </c>
      <c r="H22" s="107" t="s">
        <v>437</v>
      </c>
      <c r="I22" s="3" t="s">
        <v>399</v>
      </c>
      <c r="J22" s="3" t="s">
        <v>362</v>
      </c>
      <c r="K22" s="3" t="s">
        <v>102</v>
      </c>
      <c r="L22" s="3" t="s">
        <v>53</v>
      </c>
      <c r="M22" s="3" t="s">
        <v>367</v>
      </c>
      <c r="N22" s="3" t="s">
        <v>144</v>
      </c>
      <c r="O22" s="110">
        <v>42875</v>
      </c>
      <c r="P22" s="3">
        <f t="shared" si="0"/>
        <v>20</v>
      </c>
      <c r="Q22" s="109"/>
      <c r="R22" s="108">
        <f t="shared" si="1"/>
        <v>0</v>
      </c>
    </row>
    <row r="23" spans="2:18">
      <c r="D23" s="104"/>
      <c r="H23" s="107" t="s">
        <v>438</v>
      </c>
      <c r="I23" s="3" t="s">
        <v>400</v>
      </c>
      <c r="J23" s="3" t="s">
        <v>362</v>
      </c>
      <c r="K23" s="3" t="s">
        <v>417</v>
      </c>
      <c r="L23" s="3" t="s">
        <v>60</v>
      </c>
      <c r="M23" s="3" t="s">
        <v>212</v>
      </c>
      <c r="N23" s="3" t="s">
        <v>370</v>
      </c>
      <c r="O23" s="110">
        <v>42876</v>
      </c>
      <c r="P23" s="3">
        <f t="shared" si="0"/>
        <v>21</v>
      </c>
      <c r="Q23" s="109"/>
      <c r="R23" s="108">
        <f t="shared" si="1"/>
        <v>0</v>
      </c>
    </row>
    <row r="24" spans="2:18" ht="13.5" thickBot="1">
      <c r="H24" s="107" t="s">
        <v>439</v>
      </c>
      <c r="I24" s="3" t="s">
        <v>401</v>
      </c>
      <c r="J24" s="3" t="s">
        <v>362</v>
      </c>
      <c r="K24" s="3" t="s">
        <v>10</v>
      </c>
      <c r="L24" s="3" t="s">
        <v>416</v>
      </c>
      <c r="M24" s="3" t="s">
        <v>212</v>
      </c>
      <c r="N24" s="3" t="s">
        <v>370</v>
      </c>
      <c r="O24" s="110">
        <v>42877</v>
      </c>
      <c r="P24" s="3">
        <f t="shared" si="0"/>
        <v>21</v>
      </c>
      <c r="Q24" s="109"/>
      <c r="R24" s="108">
        <f t="shared" si="1"/>
        <v>0</v>
      </c>
    </row>
    <row r="25" spans="2:18" ht="13.5" thickBot="1">
      <c r="D25" s="113" t="s">
        <v>143</v>
      </c>
      <c r="E25" s="92" t="s">
        <v>379</v>
      </c>
      <c r="H25" s="107" t="s">
        <v>440</v>
      </c>
      <c r="I25" s="3" t="s">
        <v>402</v>
      </c>
      <c r="J25" s="3" t="s">
        <v>362</v>
      </c>
      <c r="K25" s="3" t="s">
        <v>10</v>
      </c>
      <c r="L25" s="3" t="s">
        <v>61</v>
      </c>
      <c r="M25" s="3" t="s">
        <v>212</v>
      </c>
      <c r="N25" s="3" t="s">
        <v>144</v>
      </c>
      <c r="O25" s="110">
        <v>42878</v>
      </c>
      <c r="P25" s="3">
        <f t="shared" si="0"/>
        <v>21</v>
      </c>
      <c r="Q25" s="109"/>
      <c r="R25" s="108">
        <f t="shared" si="1"/>
        <v>0</v>
      </c>
    </row>
    <row r="26" spans="2:18">
      <c r="D26" s="100" t="s">
        <v>143</v>
      </c>
      <c r="E26" s="92" t="s">
        <v>378</v>
      </c>
      <c r="H26" s="107" t="s">
        <v>441</v>
      </c>
      <c r="I26" s="3" t="s">
        <v>403</v>
      </c>
      <c r="J26" s="3" t="s">
        <v>363</v>
      </c>
      <c r="K26" s="3" t="s">
        <v>39</v>
      </c>
      <c r="L26" s="3" t="s">
        <v>62</v>
      </c>
      <c r="M26" s="3" t="s">
        <v>368</v>
      </c>
      <c r="N26" s="3" t="s">
        <v>144</v>
      </c>
      <c r="O26" s="110">
        <v>42879</v>
      </c>
      <c r="P26" s="3">
        <f t="shared" si="0"/>
        <v>21</v>
      </c>
      <c r="Q26" s="109"/>
      <c r="R26" s="108">
        <f t="shared" si="1"/>
        <v>0</v>
      </c>
    </row>
    <row r="27" spans="2:18">
      <c r="D27" s="104"/>
      <c r="H27" s="128" t="s">
        <v>442</v>
      </c>
      <c r="I27" s="3" t="s">
        <v>404</v>
      </c>
      <c r="J27" s="3" t="s">
        <v>363</v>
      </c>
      <c r="K27" s="3" t="s">
        <v>23</v>
      </c>
      <c r="L27" s="3" t="s">
        <v>64</v>
      </c>
      <c r="M27" s="3" t="s">
        <v>368</v>
      </c>
      <c r="N27" s="3" t="s">
        <v>144</v>
      </c>
      <c r="O27" s="110">
        <v>42880</v>
      </c>
      <c r="P27" s="3">
        <f t="shared" si="0"/>
        <v>21</v>
      </c>
      <c r="Q27" s="109"/>
      <c r="R27" s="108">
        <f t="shared" si="1"/>
        <v>0</v>
      </c>
    </row>
    <row r="28" spans="2:18">
      <c r="D28" s="121"/>
      <c r="H28" s="125"/>
      <c r="I28" s="122"/>
      <c r="J28" s="122"/>
      <c r="K28" s="122"/>
      <c r="L28" s="122"/>
      <c r="M28" s="122"/>
      <c r="N28" s="122"/>
      <c r="O28" s="123"/>
      <c r="P28" s="122"/>
      <c r="Q28" s="123"/>
      <c r="R28" s="124"/>
    </row>
    <row r="29" spans="2:18" ht="15">
      <c r="D29" s="121"/>
      <c r="H29" s="125"/>
      <c r="I29" s="111" t="s">
        <v>519</v>
      </c>
      <c r="J29" s="122"/>
      <c r="K29" s="122"/>
      <c r="L29" s="122"/>
      <c r="M29" s="122"/>
      <c r="N29" s="122"/>
      <c r="O29" s="123"/>
      <c r="P29" s="122"/>
      <c r="Q29" s="123"/>
      <c r="R29" s="124"/>
    </row>
    <row r="30" spans="2:18">
      <c r="D30" s="121"/>
      <c r="H30" s="125"/>
      <c r="I30" s="122"/>
      <c r="J30" s="122"/>
      <c r="K30" s="122"/>
      <c r="L30" s="122"/>
      <c r="M30" s="122"/>
      <c r="N30" s="122"/>
      <c r="O30" s="123"/>
      <c r="P30" s="122"/>
      <c r="Q30" s="123"/>
      <c r="R30" s="124"/>
    </row>
    <row r="31" spans="2:18">
      <c r="D31" s="121"/>
      <c r="H31" s="127" t="s">
        <v>82</v>
      </c>
      <c r="I31" s="3" t="s">
        <v>443</v>
      </c>
      <c r="J31" s="122"/>
      <c r="K31" s="122"/>
      <c r="L31" s="122"/>
      <c r="M31" s="122"/>
      <c r="N31" s="122"/>
      <c r="O31" s="123"/>
      <c r="P31" s="122"/>
      <c r="Q31" s="123"/>
      <c r="R31" s="124"/>
    </row>
    <row r="32" spans="2:18">
      <c r="H32" s="126" t="s">
        <v>3</v>
      </c>
      <c r="I32" s="3">
        <v>21</v>
      </c>
    </row>
    <row r="33" spans="8:23" hidden="1"/>
    <row r="34" spans="8:23">
      <c r="H34" s="118" t="s">
        <v>445</v>
      </c>
      <c r="I34" s="118" t="s">
        <v>446</v>
      </c>
      <c r="J34" s="3"/>
      <c r="K34" s="3"/>
      <c r="L34" s="3"/>
      <c r="M34" s="3"/>
      <c r="N34" s="3"/>
      <c r="O34"/>
      <c r="P34"/>
      <c r="Q34"/>
      <c r="R34"/>
      <c r="S34"/>
      <c r="T34"/>
      <c r="U34"/>
      <c r="V34"/>
      <c r="W34"/>
    </row>
    <row r="35" spans="8:23">
      <c r="H35" s="118" t="s">
        <v>520</v>
      </c>
      <c r="I35" s="110">
        <v>42876</v>
      </c>
      <c r="J35" s="110">
        <v>42877</v>
      </c>
      <c r="K35" s="110">
        <v>42878</v>
      </c>
      <c r="L35" s="110">
        <v>42879</v>
      </c>
      <c r="M35" s="110">
        <v>42880</v>
      </c>
      <c r="N35" s="110" t="s">
        <v>444</v>
      </c>
      <c r="O35"/>
      <c r="P35"/>
      <c r="Q35"/>
      <c r="R35"/>
      <c r="S35"/>
      <c r="T35"/>
      <c r="U35"/>
      <c r="V35"/>
      <c r="W35"/>
    </row>
    <row r="36" spans="8:23">
      <c r="H36" s="203" t="s">
        <v>417</v>
      </c>
      <c r="I36" s="119">
        <v>1</v>
      </c>
      <c r="J36" s="119"/>
      <c r="K36" s="119"/>
      <c r="L36" s="119"/>
      <c r="M36" s="119"/>
      <c r="N36" s="119">
        <v>1</v>
      </c>
      <c r="O36"/>
      <c r="P36"/>
      <c r="Q36"/>
      <c r="R36"/>
      <c r="S36"/>
      <c r="T36"/>
      <c r="U36"/>
      <c r="V36"/>
      <c r="W36"/>
    </row>
    <row r="37" spans="8:23">
      <c r="H37" s="203" t="s">
        <v>10</v>
      </c>
      <c r="I37" s="119"/>
      <c r="J37" s="119">
        <v>1</v>
      </c>
      <c r="K37" s="119">
        <v>1</v>
      </c>
      <c r="L37" s="119"/>
      <c r="M37" s="119"/>
      <c r="N37" s="119">
        <v>2</v>
      </c>
      <c r="O37"/>
      <c r="P37"/>
      <c r="Q37"/>
      <c r="R37"/>
      <c r="S37"/>
      <c r="T37"/>
      <c r="U37"/>
      <c r="V37"/>
      <c r="W37"/>
    </row>
    <row r="38" spans="8:23">
      <c r="H38" s="203" t="s">
        <v>23</v>
      </c>
      <c r="I38" s="119"/>
      <c r="J38" s="119"/>
      <c r="K38" s="119"/>
      <c r="L38" s="119"/>
      <c r="M38" s="119">
        <v>1</v>
      </c>
      <c r="N38" s="119">
        <v>1</v>
      </c>
      <c r="O38"/>
      <c r="P38"/>
      <c r="Q38"/>
      <c r="R38"/>
      <c r="S38"/>
      <c r="T38"/>
      <c r="U38"/>
      <c r="V38"/>
      <c r="W38"/>
    </row>
    <row r="39" spans="8:23">
      <c r="H39" s="203" t="s">
        <v>39</v>
      </c>
      <c r="I39" s="119"/>
      <c r="J39" s="119"/>
      <c r="K39" s="119"/>
      <c r="L39" s="119">
        <v>1</v>
      </c>
      <c r="M39" s="119"/>
      <c r="N39" s="119">
        <v>1</v>
      </c>
      <c r="O39"/>
      <c r="P39"/>
      <c r="Q39"/>
      <c r="R39"/>
      <c r="S39"/>
      <c r="T39"/>
      <c r="U39"/>
      <c r="V39"/>
      <c r="W39"/>
    </row>
    <row r="40" spans="8:23">
      <c r="H40" s="3" t="s">
        <v>444</v>
      </c>
      <c r="I40" s="119">
        <v>1</v>
      </c>
      <c r="J40" s="119">
        <v>1</v>
      </c>
      <c r="K40" s="119">
        <v>1</v>
      </c>
      <c r="L40" s="119">
        <v>1</v>
      </c>
      <c r="M40" s="119">
        <v>1</v>
      </c>
      <c r="N40" s="119">
        <v>5</v>
      </c>
      <c r="O40"/>
      <c r="P40"/>
      <c r="Q40"/>
      <c r="R40"/>
      <c r="S40"/>
      <c r="T40"/>
      <c r="U40"/>
      <c r="V40"/>
      <c r="W40"/>
    </row>
    <row r="41" spans="8:23"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</row>
    <row r="42" spans="8:23"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</row>
    <row r="43" spans="8:23"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8:23">
      <c r="H44" s="118" t="s">
        <v>447</v>
      </c>
      <c r="I44" s="118" t="s">
        <v>448</v>
      </c>
      <c r="J44" s="3"/>
      <c r="K44" s="3"/>
      <c r="L44" s="3"/>
      <c r="M44"/>
      <c r="N44"/>
      <c r="O44"/>
      <c r="P44"/>
      <c r="Q44"/>
      <c r="R44"/>
      <c r="S44"/>
      <c r="T44"/>
      <c r="U44"/>
      <c r="V44"/>
      <c r="W44"/>
    </row>
    <row r="45" spans="8:23">
      <c r="H45" s="118" t="s">
        <v>3</v>
      </c>
      <c r="I45" s="3" t="s">
        <v>152</v>
      </c>
      <c r="J45" s="3" t="s">
        <v>362</v>
      </c>
      <c r="K45" s="3" t="s">
        <v>363</v>
      </c>
      <c r="L45" s="3" t="s">
        <v>444</v>
      </c>
      <c r="M45"/>
      <c r="N45"/>
      <c r="O45"/>
      <c r="P45"/>
      <c r="Q45"/>
      <c r="R45"/>
      <c r="S45"/>
      <c r="T45"/>
      <c r="U45"/>
      <c r="V45"/>
      <c r="W45"/>
    </row>
    <row r="46" spans="8:23">
      <c r="H46" s="3">
        <v>18</v>
      </c>
      <c r="I46" s="119">
        <v>5</v>
      </c>
      <c r="J46" s="119"/>
      <c r="K46" s="119"/>
      <c r="L46" s="119">
        <v>5</v>
      </c>
      <c r="M46"/>
      <c r="N46"/>
      <c r="O46"/>
      <c r="P46"/>
      <c r="Q46"/>
      <c r="R46"/>
      <c r="S46"/>
      <c r="T46"/>
      <c r="U46"/>
      <c r="V46"/>
      <c r="W46"/>
    </row>
    <row r="47" spans="8:23">
      <c r="H47" s="3">
        <v>19</v>
      </c>
      <c r="I47" s="119">
        <v>7</v>
      </c>
      <c r="J47" s="119"/>
      <c r="K47" s="119"/>
      <c r="L47" s="119">
        <v>7</v>
      </c>
      <c r="M47"/>
      <c r="N47"/>
      <c r="O47"/>
      <c r="P47"/>
      <c r="Q47"/>
      <c r="R47"/>
      <c r="S47"/>
      <c r="T47"/>
      <c r="U47"/>
      <c r="V47"/>
      <c r="W47"/>
    </row>
    <row r="48" spans="8:23">
      <c r="H48" s="3">
        <v>20</v>
      </c>
      <c r="I48" s="119">
        <v>2</v>
      </c>
      <c r="J48" s="119">
        <v>5</v>
      </c>
      <c r="K48" s="119"/>
      <c r="L48" s="119">
        <v>7</v>
      </c>
      <c r="M48"/>
      <c r="N48"/>
      <c r="O48"/>
      <c r="P48"/>
      <c r="Q48"/>
      <c r="R48"/>
      <c r="S48"/>
      <c r="T48"/>
      <c r="U48"/>
      <c r="V48"/>
      <c r="W48"/>
    </row>
    <row r="49" spans="8:23">
      <c r="H49" s="3">
        <v>21</v>
      </c>
      <c r="I49" s="119"/>
      <c r="J49" s="119">
        <v>3</v>
      </c>
      <c r="K49" s="119">
        <v>2</v>
      </c>
      <c r="L49" s="119">
        <v>5</v>
      </c>
      <c r="M49"/>
      <c r="N49"/>
      <c r="O49"/>
      <c r="P49"/>
      <c r="Q49"/>
      <c r="R49"/>
      <c r="S49"/>
      <c r="T49"/>
      <c r="U49"/>
      <c r="V49"/>
      <c r="W49"/>
    </row>
    <row r="50" spans="8:23">
      <c r="H50" s="3" t="s">
        <v>444</v>
      </c>
      <c r="I50" s="119">
        <v>14</v>
      </c>
      <c r="J50" s="119">
        <v>8</v>
      </c>
      <c r="K50" s="119">
        <v>2</v>
      </c>
      <c r="L50" s="119">
        <v>24</v>
      </c>
      <c r="M50"/>
      <c r="N50"/>
      <c r="O50"/>
      <c r="P50"/>
      <c r="Q50"/>
      <c r="R50"/>
      <c r="S50"/>
      <c r="T50"/>
      <c r="U50"/>
      <c r="V50"/>
      <c r="W50"/>
    </row>
    <row r="51" spans="8:23">
      <c r="H51"/>
      <c r="I51"/>
      <c r="J51"/>
    </row>
    <row r="52" spans="8:23">
      <c r="H52"/>
      <c r="I52"/>
      <c r="J52"/>
    </row>
    <row r="53" spans="8:23">
      <c r="H53"/>
      <c r="I53"/>
      <c r="J53"/>
    </row>
    <row r="54" spans="8:23">
      <c r="H54"/>
      <c r="I54"/>
      <c r="J54"/>
    </row>
    <row r="55" spans="8:23">
      <c r="H55"/>
      <c r="I55"/>
      <c r="J55"/>
    </row>
    <row r="56" spans="8:23">
      <c r="H56"/>
      <c r="I56"/>
      <c r="J56"/>
    </row>
    <row r="57" spans="8:23">
      <c r="H57"/>
      <c r="I57"/>
      <c r="J57"/>
    </row>
    <row r="58" spans="8:23">
      <c r="H58"/>
      <c r="I58"/>
      <c r="J58"/>
    </row>
    <row r="59" spans="8:23">
      <c r="H59"/>
      <c r="I59"/>
      <c r="J59"/>
    </row>
    <row r="60" spans="8:23">
      <c r="H60"/>
      <c r="I60"/>
      <c r="J60"/>
    </row>
    <row r="61" spans="8:23">
      <c r="H61"/>
      <c r="I61"/>
      <c r="J61"/>
    </row>
  </sheetData>
  <pageMargins left="0.31496062992125984" right="0.11811023622047245" top="0.35433070866141736" bottom="0.35433070866141736" header="0.31496062992125984" footer="0.31496062992125984"/>
  <pageSetup paperSize="8" scale="88" orientation="landscape" r:id="rId3"/>
  <drawing r:id="rId4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B1:AR48"/>
  <sheetViews>
    <sheetView topLeftCell="H1" workbookViewId="0">
      <selection activeCell="AN6" sqref="AN6"/>
    </sheetView>
  </sheetViews>
  <sheetFormatPr baseColWidth="10" defaultRowHeight="12.75"/>
  <cols>
    <col min="1" max="1" width="3" style="92" customWidth="1"/>
    <col min="2" max="2" width="15.28515625" style="92" customWidth="1"/>
    <col min="3" max="3" width="9.42578125" style="92" customWidth="1"/>
    <col min="4" max="4" width="24" style="92" customWidth="1"/>
    <col min="5" max="5" width="11.42578125" style="92"/>
    <col min="6" max="6" width="13.7109375" style="92" customWidth="1"/>
    <col min="7" max="7" width="33.7109375" style="92" bestFit="1" customWidth="1"/>
    <col min="8" max="8" width="5" style="92" customWidth="1"/>
    <col min="9" max="9" width="3.7109375" style="92" customWidth="1"/>
    <col min="10" max="10" width="4" style="92" bestFit="1" customWidth="1"/>
    <col min="11" max="11" width="11.140625" style="92" customWidth="1"/>
    <col min="12" max="12" width="10.85546875" style="92" customWidth="1"/>
    <col min="13" max="13" width="7.7109375" style="92" customWidth="1"/>
    <col min="14" max="14" width="10.85546875" style="92" customWidth="1"/>
    <col min="15" max="15" width="16.5703125" style="92" customWidth="1"/>
    <col min="16" max="16" width="6.140625" style="92" bestFit="1" customWidth="1"/>
    <col min="17" max="17" width="9.5703125" style="92" customWidth="1"/>
    <col min="18" max="18" width="7.5703125" style="92" bestFit="1" customWidth="1"/>
    <col min="19" max="19" width="8.7109375" style="92" customWidth="1"/>
    <col min="20" max="20" width="17.140625" style="92" customWidth="1"/>
    <col min="21" max="21" width="8.5703125" style="92" customWidth="1"/>
    <col min="22" max="22" width="9.5703125" style="92" bestFit="1" customWidth="1"/>
    <col min="23" max="28" width="7.7109375" style="92" customWidth="1"/>
    <col min="29" max="29" width="12.140625" style="92" customWidth="1"/>
    <col min="30" max="31" width="7.7109375" style="92" customWidth="1"/>
    <col min="32" max="32" width="8.140625" style="92" customWidth="1"/>
    <col min="33" max="33" width="13.140625" style="92" bestFit="1" customWidth="1"/>
    <col min="34" max="34" width="7.5703125" style="92" customWidth="1"/>
    <col min="35" max="35" width="8.7109375" style="92" customWidth="1"/>
    <col min="36" max="36" width="25.42578125" style="92" customWidth="1"/>
    <col min="37" max="37" width="10.140625" style="92" bestFit="1" customWidth="1"/>
    <col min="38" max="43" width="6.7109375" style="92" customWidth="1"/>
    <col min="44" max="16384" width="11.42578125" style="92"/>
  </cols>
  <sheetData>
    <row r="1" spans="2:43" ht="15">
      <c r="D1" s="111" t="s">
        <v>467</v>
      </c>
      <c r="K1" s="111" t="s">
        <v>470</v>
      </c>
      <c r="AG1" s="200">
        <f ca="1">TODAY()</f>
        <v>42934</v>
      </c>
      <c r="AH1" s="199">
        <f ca="1">EOMONTH(AG1,-1)+1</f>
        <v>42917</v>
      </c>
      <c r="AI1" s="201">
        <f ca="1">WEEKDAY(AH1,2)</f>
        <v>6</v>
      </c>
      <c r="AJ1" s="196" t="s">
        <v>568</v>
      </c>
      <c r="AK1" s="198">
        <v>2017</v>
      </c>
      <c r="AL1" s="197">
        <f>7*AK3+DATE(AK1,1,3)-WEEKDAY(DATE(AK1,1,3))-5</f>
        <v>42870</v>
      </c>
      <c r="AN1" s="190"/>
    </row>
    <row r="2" spans="2:43" ht="13.5" thickBot="1">
      <c r="AH2" s="199">
        <f ca="1">EOMONTH(AG1,0)</f>
        <v>42947</v>
      </c>
      <c r="AJ2" s="196" t="s">
        <v>569</v>
      </c>
      <c r="AK2" s="1" t="s">
        <v>572</v>
      </c>
      <c r="AL2" s="1"/>
    </row>
    <row r="3" spans="2:43" ht="24.75" thickBot="1">
      <c r="J3" s="144" t="s">
        <v>118</v>
      </c>
      <c r="K3" s="145" t="s">
        <v>180</v>
      </c>
      <c r="L3" s="146" t="s">
        <v>491</v>
      </c>
      <c r="M3" s="146" t="s">
        <v>183</v>
      </c>
      <c r="N3" s="146" t="s">
        <v>101</v>
      </c>
      <c r="O3" s="146" t="s">
        <v>354</v>
      </c>
      <c r="P3" s="146" t="s">
        <v>28</v>
      </c>
      <c r="Q3" s="146" t="s">
        <v>13</v>
      </c>
      <c r="R3" s="146" t="s">
        <v>89</v>
      </c>
      <c r="S3" s="146" t="s">
        <v>90</v>
      </c>
      <c r="T3" s="146" t="s">
        <v>97</v>
      </c>
      <c r="U3" s="146" t="s">
        <v>502</v>
      </c>
      <c r="V3" s="147" t="s">
        <v>468</v>
      </c>
      <c r="W3" s="147" t="s">
        <v>452</v>
      </c>
      <c r="X3" s="147" t="s">
        <v>471</v>
      </c>
      <c r="Y3" s="147" t="s">
        <v>453</v>
      </c>
      <c r="Z3" s="147" t="s">
        <v>473</v>
      </c>
      <c r="AA3" s="147" t="s">
        <v>454</v>
      </c>
      <c r="AB3" s="148" t="s">
        <v>472</v>
      </c>
      <c r="AC3" s="146" t="s">
        <v>469</v>
      </c>
      <c r="AD3" s="147" t="s">
        <v>489</v>
      </c>
      <c r="AE3" s="148" t="s">
        <v>490</v>
      </c>
      <c r="AG3" s="195" t="s">
        <v>569</v>
      </c>
      <c r="AH3" s="1" t="s">
        <v>570</v>
      </c>
      <c r="AI3" s="1" t="s">
        <v>571</v>
      </c>
      <c r="AJ3" s="152" t="s">
        <v>503</v>
      </c>
      <c r="AK3" s="152">
        <v>20</v>
      </c>
      <c r="AL3" s="153">
        <f>7*AK3+DATE(AK1,1,3)-WEEKDAY(DATE(AK1,1,3))-5</f>
        <v>42870</v>
      </c>
      <c r="AM3" s="154">
        <f>AL3+1</f>
        <v>42871</v>
      </c>
      <c r="AN3" s="154">
        <f t="shared" ref="AN3:AQ3" si="0">AM3+1</f>
        <v>42872</v>
      </c>
      <c r="AO3" s="154">
        <f t="shared" si="0"/>
        <v>42873</v>
      </c>
      <c r="AP3" s="154">
        <f t="shared" si="0"/>
        <v>42874</v>
      </c>
      <c r="AQ3" s="154">
        <f t="shared" si="0"/>
        <v>42875</v>
      </c>
    </row>
    <row r="4" spans="2:43" ht="13.5" thickBot="1">
      <c r="F4" s="113" t="s">
        <v>183</v>
      </c>
      <c r="G4" s="133" t="s">
        <v>379</v>
      </c>
      <c r="J4" s="135" t="s">
        <v>419</v>
      </c>
      <c r="K4" s="136" t="s">
        <v>477</v>
      </c>
      <c r="L4" s="136" t="s">
        <v>493</v>
      </c>
      <c r="M4" s="136" t="s">
        <v>186</v>
      </c>
      <c r="N4" s="136" t="s">
        <v>103</v>
      </c>
      <c r="O4" s="136" t="s">
        <v>495</v>
      </c>
      <c r="P4" s="136">
        <v>1</v>
      </c>
      <c r="Q4" s="136" t="s">
        <v>26</v>
      </c>
      <c r="R4" s="136">
        <v>61</v>
      </c>
      <c r="S4" s="136">
        <v>6101</v>
      </c>
      <c r="T4" s="137" t="s">
        <v>494</v>
      </c>
      <c r="U4" s="149">
        <v>300</v>
      </c>
      <c r="V4" s="138">
        <v>172</v>
      </c>
      <c r="W4" s="139"/>
      <c r="X4" s="139"/>
      <c r="Y4" s="140"/>
      <c r="Z4" s="139"/>
      <c r="AA4" s="139"/>
      <c r="AB4" s="139"/>
      <c r="AC4" s="136" t="s">
        <v>474</v>
      </c>
      <c r="AD4" s="139"/>
      <c r="AE4" s="139"/>
      <c r="AJ4" s="164"/>
      <c r="AK4" s="165"/>
      <c r="AL4" s="103"/>
      <c r="AM4" s="103"/>
      <c r="AN4" s="103"/>
      <c r="AO4" s="103"/>
      <c r="AP4" s="103"/>
      <c r="AQ4" s="103"/>
    </row>
    <row r="5" spans="2:43">
      <c r="F5" s="131" t="s">
        <v>456</v>
      </c>
      <c r="G5" s="92" t="s">
        <v>457</v>
      </c>
      <c r="J5" s="135" t="s">
        <v>420</v>
      </c>
      <c r="K5" s="136" t="s">
        <v>478</v>
      </c>
      <c r="L5" s="136" t="s">
        <v>493</v>
      </c>
      <c r="M5" s="141" t="s">
        <v>186</v>
      </c>
      <c r="N5" s="141" t="s">
        <v>9</v>
      </c>
      <c r="O5" s="136" t="s">
        <v>496</v>
      </c>
      <c r="P5" s="136">
        <v>1</v>
      </c>
      <c r="Q5" s="136" t="s">
        <v>26</v>
      </c>
      <c r="R5" s="136">
        <v>61</v>
      </c>
      <c r="S5" s="136">
        <v>6101</v>
      </c>
      <c r="T5" s="137" t="s">
        <v>494</v>
      </c>
      <c r="U5" s="150">
        <v>150</v>
      </c>
      <c r="V5" s="142">
        <v>224</v>
      </c>
      <c r="W5" s="141"/>
      <c r="X5" s="141"/>
      <c r="Y5" s="140"/>
      <c r="Z5" s="141"/>
      <c r="AA5" s="139"/>
      <c r="AB5" s="141"/>
      <c r="AC5" s="141" t="s">
        <v>475</v>
      </c>
      <c r="AD5" s="139"/>
      <c r="AE5" s="141"/>
      <c r="AJ5" s="157" t="s">
        <v>504</v>
      </c>
      <c r="AK5" s="156"/>
      <c r="AL5" s="156"/>
      <c r="AM5" s="156"/>
      <c r="AN5" s="156"/>
      <c r="AO5" s="156"/>
      <c r="AP5" s="156"/>
      <c r="AQ5" s="156"/>
    </row>
    <row r="6" spans="2:43" ht="13.5" thickBot="1">
      <c r="F6" s="98"/>
      <c r="J6" s="135" t="s">
        <v>421</v>
      </c>
      <c r="K6" s="136" t="s">
        <v>479</v>
      </c>
      <c r="L6" s="136" t="s">
        <v>493</v>
      </c>
      <c r="M6" s="141" t="s">
        <v>186</v>
      </c>
      <c r="N6" s="141" t="s">
        <v>9</v>
      </c>
      <c r="O6" s="136" t="s">
        <v>497</v>
      </c>
      <c r="P6" s="141">
        <v>1</v>
      </c>
      <c r="Q6" s="136" t="s">
        <v>26</v>
      </c>
      <c r="R6" s="136">
        <v>61</v>
      </c>
      <c r="S6" s="136">
        <v>6101</v>
      </c>
      <c r="T6" s="137" t="s">
        <v>494</v>
      </c>
      <c r="U6" s="150">
        <v>450</v>
      </c>
      <c r="V6" s="142">
        <v>450</v>
      </c>
      <c r="W6" s="141"/>
      <c r="X6" s="141"/>
      <c r="Y6" s="140"/>
      <c r="Z6" s="141"/>
      <c r="AA6" s="139"/>
      <c r="AB6" s="141"/>
      <c r="AC6" s="141" t="s">
        <v>475</v>
      </c>
      <c r="AD6" s="139"/>
      <c r="AE6" s="141"/>
      <c r="AJ6" s="161" t="s">
        <v>505</v>
      </c>
      <c r="AK6" s="91"/>
      <c r="AL6" s="3">
        <v>1</v>
      </c>
      <c r="AM6" s="3">
        <v>1</v>
      </c>
      <c r="AN6" s="3">
        <v>0</v>
      </c>
      <c r="AO6" s="3">
        <v>0</v>
      </c>
      <c r="AP6" s="3">
        <v>1</v>
      </c>
      <c r="AQ6" s="3">
        <v>0</v>
      </c>
    </row>
    <row r="7" spans="2:43" ht="13.5" thickBot="1">
      <c r="B7" s="113" t="s">
        <v>491</v>
      </c>
      <c r="D7" s="112" t="s">
        <v>449</v>
      </c>
      <c r="F7" s="113" t="s">
        <v>28</v>
      </c>
      <c r="G7" s="133" t="s">
        <v>379</v>
      </c>
      <c r="J7" s="135" t="s">
        <v>422</v>
      </c>
      <c r="K7" s="136" t="s">
        <v>480</v>
      </c>
      <c r="L7" s="136" t="s">
        <v>493</v>
      </c>
      <c r="M7" s="141" t="s">
        <v>186</v>
      </c>
      <c r="N7" s="141" t="s">
        <v>103</v>
      </c>
      <c r="O7" s="136" t="s">
        <v>495</v>
      </c>
      <c r="P7" s="141">
        <v>1</v>
      </c>
      <c r="Q7" s="141" t="s">
        <v>24</v>
      </c>
      <c r="R7" s="141">
        <v>31</v>
      </c>
      <c r="S7" s="141">
        <v>3101</v>
      </c>
      <c r="T7" s="137" t="s">
        <v>494</v>
      </c>
      <c r="U7" s="149">
        <v>25</v>
      </c>
      <c r="V7" s="142">
        <v>80</v>
      </c>
      <c r="W7" s="141"/>
      <c r="X7" s="141"/>
      <c r="Y7" s="140"/>
      <c r="Z7" s="141"/>
      <c r="AA7" s="139"/>
      <c r="AB7" s="141"/>
      <c r="AC7" s="141" t="s">
        <v>475</v>
      </c>
      <c r="AD7" s="139"/>
      <c r="AE7" s="141"/>
      <c r="AJ7" s="161" t="s">
        <v>506</v>
      </c>
      <c r="AK7" s="91"/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</row>
    <row r="8" spans="2:43">
      <c r="B8" s="100" t="s">
        <v>491</v>
      </c>
      <c r="D8" s="129" t="s">
        <v>180</v>
      </c>
      <c r="F8" s="100" t="s">
        <v>458</v>
      </c>
      <c r="G8" s="92" t="s">
        <v>459</v>
      </c>
      <c r="J8" s="135" t="s">
        <v>423</v>
      </c>
      <c r="K8" s="136" t="s">
        <v>481</v>
      </c>
      <c r="L8" s="136" t="s">
        <v>493</v>
      </c>
      <c r="M8" s="141" t="s">
        <v>186</v>
      </c>
      <c r="N8" s="141" t="s">
        <v>103</v>
      </c>
      <c r="O8" s="136" t="s">
        <v>498</v>
      </c>
      <c r="P8" s="141">
        <v>1</v>
      </c>
      <c r="Q8" s="141" t="s">
        <v>24</v>
      </c>
      <c r="R8" s="141">
        <v>31</v>
      </c>
      <c r="S8" s="141">
        <v>3101</v>
      </c>
      <c r="T8" s="137" t="s">
        <v>494</v>
      </c>
      <c r="U8" s="149">
        <v>20</v>
      </c>
      <c r="V8" s="142">
        <v>40</v>
      </c>
      <c r="W8" s="141"/>
      <c r="X8" s="141"/>
      <c r="Y8" s="140"/>
      <c r="Z8" s="141"/>
      <c r="AA8" s="139"/>
      <c r="AB8" s="141"/>
      <c r="AC8" s="141" t="s">
        <v>475</v>
      </c>
      <c r="AD8" s="139"/>
      <c r="AE8" s="141"/>
      <c r="AJ8" s="161" t="s">
        <v>507</v>
      </c>
      <c r="AK8" s="91"/>
      <c r="AL8" s="3">
        <v>2</v>
      </c>
      <c r="AM8" s="3">
        <v>3</v>
      </c>
      <c r="AN8" s="3">
        <v>1</v>
      </c>
      <c r="AO8" s="3">
        <v>2</v>
      </c>
      <c r="AP8" s="3">
        <v>3</v>
      </c>
      <c r="AQ8" s="3">
        <v>2</v>
      </c>
    </row>
    <row r="9" spans="2:43">
      <c r="B9" s="104"/>
      <c r="D9" s="130" t="s">
        <v>491</v>
      </c>
      <c r="F9" s="104"/>
      <c r="J9" s="135" t="s">
        <v>424</v>
      </c>
      <c r="K9" s="136" t="s">
        <v>482</v>
      </c>
      <c r="L9" s="136" t="s">
        <v>493</v>
      </c>
      <c r="M9" s="141" t="s">
        <v>184</v>
      </c>
      <c r="N9" s="141" t="s">
        <v>8</v>
      </c>
      <c r="O9" s="136" t="s">
        <v>499</v>
      </c>
      <c r="P9" s="141">
        <v>1</v>
      </c>
      <c r="Q9" s="141" t="s">
        <v>24</v>
      </c>
      <c r="R9" s="141">
        <v>31</v>
      </c>
      <c r="S9" s="141">
        <v>3101</v>
      </c>
      <c r="T9" s="137" t="s">
        <v>494</v>
      </c>
      <c r="U9" s="151">
        <v>15</v>
      </c>
      <c r="V9" s="142">
        <v>120</v>
      </c>
      <c r="W9" s="141"/>
      <c r="X9" s="141"/>
      <c r="Y9" s="140"/>
      <c r="Z9" s="141"/>
      <c r="AA9" s="139"/>
      <c r="AB9" s="141"/>
      <c r="AC9" s="141" t="s">
        <v>475</v>
      </c>
      <c r="AD9" s="139"/>
      <c r="AE9" s="141"/>
      <c r="AJ9" s="163" t="s">
        <v>508</v>
      </c>
      <c r="AK9" s="162"/>
      <c r="AL9" s="160">
        <f>SUM(AL6:AL8)</f>
        <v>3</v>
      </c>
      <c r="AM9" s="160">
        <f t="shared" ref="AM9" si="1">SUM(AM6:AM8)</f>
        <v>4</v>
      </c>
      <c r="AN9" s="160">
        <f t="shared" ref="AN9" si="2">SUM(AN6:AN8)</f>
        <v>1</v>
      </c>
      <c r="AO9" s="160">
        <f t="shared" ref="AO9" si="3">SUM(AO6:AO8)</f>
        <v>2</v>
      </c>
      <c r="AP9" s="160">
        <f t="shared" ref="AP9" si="4">SUM(AP6:AP8)</f>
        <v>4</v>
      </c>
      <c r="AQ9" s="160">
        <f t="shared" ref="AQ9" si="5">SUM(AQ6:AQ8)</f>
        <v>2</v>
      </c>
    </row>
    <row r="10" spans="2:43" ht="13.5" thickBot="1">
      <c r="B10" s="132" t="s">
        <v>379</v>
      </c>
      <c r="D10" s="130" t="s">
        <v>183</v>
      </c>
      <c r="F10" s="121"/>
      <c r="J10" s="135" t="s">
        <v>425</v>
      </c>
      <c r="K10" s="136" t="s">
        <v>483</v>
      </c>
      <c r="L10" s="136" t="s">
        <v>493</v>
      </c>
      <c r="M10" s="141" t="s">
        <v>186</v>
      </c>
      <c r="N10" s="141" t="s">
        <v>102</v>
      </c>
      <c r="O10" s="136" t="s">
        <v>500</v>
      </c>
      <c r="P10" s="141" t="s">
        <v>29</v>
      </c>
      <c r="Q10" s="141" t="s">
        <v>24</v>
      </c>
      <c r="R10" s="141">
        <v>31</v>
      </c>
      <c r="S10" s="141">
        <v>3101</v>
      </c>
      <c r="T10" s="137" t="s">
        <v>494</v>
      </c>
      <c r="U10" s="151">
        <v>45</v>
      </c>
      <c r="V10" s="142">
        <v>75</v>
      </c>
      <c r="W10" s="141"/>
      <c r="X10" s="141"/>
      <c r="Y10" s="140"/>
      <c r="Z10" s="141"/>
      <c r="AA10" s="139"/>
      <c r="AB10" s="141"/>
      <c r="AC10" s="141" t="s">
        <v>476</v>
      </c>
      <c r="AD10" s="139"/>
      <c r="AE10" s="141"/>
    </row>
    <row r="11" spans="2:43" ht="13.5" thickBot="1">
      <c r="B11" s="92" t="s">
        <v>573</v>
      </c>
      <c r="D11" s="130" t="s">
        <v>28</v>
      </c>
      <c r="F11" s="113" t="s">
        <v>13</v>
      </c>
      <c r="G11" s="133" t="s">
        <v>379</v>
      </c>
      <c r="J11" s="135" t="s">
        <v>426</v>
      </c>
      <c r="K11" s="136" t="s">
        <v>484</v>
      </c>
      <c r="L11" s="136" t="s">
        <v>493</v>
      </c>
      <c r="M11" s="141" t="s">
        <v>186</v>
      </c>
      <c r="N11" s="141" t="s">
        <v>102</v>
      </c>
      <c r="O11" s="136" t="s">
        <v>500</v>
      </c>
      <c r="P11" s="141" t="s">
        <v>29</v>
      </c>
      <c r="Q11" s="141" t="s">
        <v>24</v>
      </c>
      <c r="R11" s="141">
        <v>31</v>
      </c>
      <c r="S11" s="141">
        <v>3101</v>
      </c>
      <c r="T11" s="137" t="s">
        <v>494</v>
      </c>
      <c r="U11" s="151">
        <v>32</v>
      </c>
      <c r="V11" s="142">
        <v>56</v>
      </c>
      <c r="W11" s="141"/>
      <c r="X11" s="141"/>
      <c r="Y11" s="140"/>
      <c r="Z11" s="141"/>
      <c r="AA11" s="139"/>
      <c r="AB11" s="141"/>
      <c r="AC11" s="141" t="s">
        <v>476</v>
      </c>
      <c r="AD11" s="139"/>
      <c r="AE11" s="141"/>
      <c r="AJ11" s="159" t="s">
        <v>509</v>
      </c>
      <c r="AK11" s="158"/>
      <c r="AL11" s="156"/>
      <c r="AM11" s="156"/>
      <c r="AN11" s="156"/>
      <c r="AO11" s="156"/>
      <c r="AP11" s="156"/>
      <c r="AQ11" s="156"/>
    </row>
    <row r="12" spans="2:43">
      <c r="B12" s="92" t="s">
        <v>492</v>
      </c>
      <c r="D12" s="130" t="s">
        <v>13</v>
      </c>
      <c r="F12" s="100" t="s">
        <v>13</v>
      </c>
      <c r="G12" s="92" t="s">
        <v>460</v>
      </c>
      <c r="J12" s="135" t="s">
        <v>427</v>
      </c>
      <c r="K12" s="136" t="s">
        <v>485</v>
      </c>
      <c r="L12" s="136" t="s">
        <v>493</v>
      </c>
      <c r="M12" s="141" t="s">
        <v>186</v>
      </c>
      <c r="N12" s="141" t="s">
        <v>102</v>
      </c>
      <c r="O12" s="136" t="s">
        <v>500</v>
      </c>
      <c r="P12" s="141" t="s">
        <v>29</v>
      </c>
      <c r="Q12" s="141" t="s">
        <v>24</v>
      </c>
      <c r="R12" s="141">
        <v>31</v>
      </c>
      <c r="S12" s="141">
        <v>3101</v>
      </c>
      <c r="T12" s="137" t="s">
        <v>494</v>
      </c>
      <c r="U12" s="151">
        <v>65</v>
      </c>
      <c r="V12" s="142">
        <v>90</v>
      </c>
      <c r="W12" s="141"/>
      <c r="X12" s="141"/>
      <c r="Y12" s="140"/>
      <c r="Z12" s="141"/>
      <c r="AA12" s="139"/>
      <c r="AB12" s="141"/>
      <c r="AC12" s="141" t="s">
        <v>476</v>
      </c>
      <c r="AD12" s="139"/>
      <c r="AE12" s="141"/>
      <c r="AJ12" s="161" t="s">
        <v>505</v>
      </c>
      <c r="AK12" s="91"/>
      <c r="AL12" s="3">
        <v>1</v>
      </c>
      <c r="AM12" s="3">
        <v>0</v>
      </c>
      <c r="AN12" s="3">
        <v>1</v>
      </c>
      <c r="AO12" s="3">
        <v>1</v>
      </c>
      <c r="AP12" s="3">
        <v>0</v>
      </c>
      <c r="AQ12" s="3">
        <v>0</v>
      </c>
    </row>
    <row r="13" spans="2:43">
      <c r="B13" s="92" t="s">
        <v>5</v>
      </c>
      <c r="D13" s="130" t="s">
        <v>89</v>
      </c>
      <c r="F13" s="104"/>
      <c r="J13" s="135" t="s">
        <v>428</v>
      </c>
      <c r="K13" s="136" t="s">
        <v>486</v>
      </c>
      <c r="L13" s="136" t="s">
        <v>493</v>
      </c>
      <c r="M13" s="141" t="s">
        <v>186</v>
      </c>
      <c r="N13" s="141" t="s">
        <v>102</v>
      </c>
      <c r="O13" s="136" t="s">
        <v>501</v>
      </c>
      <c r="P13" s="141" t="s">
        <v>29</v>
      </c>
      <c r="Q13" s="141" t="s">
        <v>24</v>
      </c>
      <c r="R13" s="141">
        <v>31</v>
      </c>
      <c r="S13" s="141">
        <v>3101</v>
      </c>
      <c r="T13" s="137" t="s">
        <v>494</v>
      </c>
      <c r="U13" s="151">
        <v>12</v>
      </c>
      <c r="V13" s="142">
        <v>24</v>
      </c>
      <c r="W13" s="141"/>
      <c r="X13" s="141"/>
      <c r="Y13" s="140"/>
      <c r="Z13" s="141"/>
      <c r="AA13" s="139"/>
      <c r="AB13" s="141"/>
      <c r="AC13" s="141" t="s">
        <v>476</v>
      </c>
      <c r="AD13" s="139"/>
      <c r="AE13" s="141"/>
      <c r="AJ13" s="161" t="s">
        <v>506</v>
      </c>
      <c r="AK13" s="91"/>
      <c r="AL13" s="3">
        <v>1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2:43" ht="13.5" thickBot="1">
      <c r="B14" s="92" t="s">
        <v>6</v>
      </c>
      <c r="D14" s="130" t="s">
        <v>90</v>
      </c>
      <c r="J14" s="135" t="s">
        <v>429</v>
      </c>
      <c r="K14" s="136" t="s">
        <v>487</v>
      </c>
      <c r="L14" s="141" t="s">
        <v>5</v>
      </c>
      <c r="M14" s="141" t="s">
        <v>186</v>
      </c>
      <c r="N14" s="141" t="s">
        <v>102</v>
      </c>
      <c r="O14" s="136" t="s">
        <v>501</v>
      </c>
      <c r="P14" s="141" t="s">
        <v>29</v>
      </c>
      <c r="Q14" s="141" t="s">
        <v>24</v>
      </c>
      <c r="R14" s="141">
        <v>31</v>
      </c>
      <c r="S14" s="141">
        <v>3101</v>
      </c>
      <c r="T14" s="137" t="s">
        <v>494</v>
      </c>
      <c r="U14" s="151">
        <v>12</v>
      </c>
      <c r="V14" s="142">
        <v>12</v>
      </c>
      <c r="W14" s="141"/>
      <c r="X14" s="141"/>
      <c r="Y14" s="140"/>
      <c r="Z14" s="141"/>
      <c r="AA14" s="139"/>
      <c r="AB14" s="141"/>
      <c r="AC14" s="141" t="s">
        <v>476</v>
      </c>
      <c r="AD14" s="139"/>
      <c r="AE14" s="141"/>
      <c r="AJ14" s="161" t="s">
        <v>507</v>
      </c>
      <c r="AK14" s="91"/>
      <c r="AL14" s="3">
        <v>3</v>
      </c>
      <c r="AM14" s="3">
        <v>2</v>
      </c>
      <c r="AN14" s="3">
        <v>2</v>
      </c>
      <c r="AO14" s="3">
        <v>3</v>
      </c>
      <c r="AP14" s="3">
        <v>1</v>
      </c>
      <c r="AQ14" s="3">
        <v>2</v>
      </c>
    </row>
    <row r="15" spans="2:43" ht="13.5" thickBot="1">
      <c r="B15" s="92" t="s">
        <v>350</v>
      </c>
      <c r="D15" s="130" t="s">
        <v>101</v>
      </c>
      <c r="F15" s="113" t="s">
        <v>89</v>
      </c>
      <c r="G15" s="133" t="s">
        <v>379</v>
      </c>
      <c r="J15" s="135" t="s">
        <v>430</v>
      </c>
      <c r="K15" s="136" t="s">
        <v>488</v>
      </c>
      <c r="L15" s="141" t="s">
        <v>493</v>
      </c>
      <c r="M15" s="141" t="s">
        <v>186</v>
      </c>
      <c r="N15" s="141" t="s">
        <v>102</v>
      </c>
      <c r="O15" s="136" t="s">
        <v>500</v>
      </c>
      <c r="P15" s="141" t="s">
        <v>31</v>
      </c>
      <c r="Q15" s="141" t="s">
        <v>27</v>
      </c>
      <c r="R15" s="141">
        <v>54</v>
      </c>
      <c r="S15" s="141">
        <v>5401</v>
      </c>
      <c r="T15" s="137" t="s">
        <v>494</v>
      </c>
      <c r="U15" s="151">
        <v>38</v>
      </c>
      <c r="V15" s="142">
        <v>60</v>
      </c>
      <c r="W15" s="141"/>
      <c r="X15" s="141"/>
      <c r="Y15" s="140"/>
      <c r="Z15" s="141"/>
      <c r="AA15" s="139"/>
      <c r="AB15" s="141"/>
      <c r="AC15" s="141" t="s">
        <v>476</v>
      </c>
      <c r="AD15" s="139"/>
      <c r="AE15" s="141"/>
      <c r="AJ15" s="163" t="s">
        <v>510</v>
      </c>
      <c r="AK15" s="162"/>
      <c r="AL15" s="160">
        <f>SUM(AL12:AL14)</f>
        <v>5</v>
      </c>
      <c r="AM15" s="160">
        <f t="shared" ref="AM15" si="6">SUM(AM12:AM14)</f>
        <v>2</v>
      </c>
      <c r="AN15" s="160">
        <f t="shared" ref="AN15" si="7">SUM(AN12:AN14)</f>
        <v>3</v>
      </c>
      <c r="AO15" s="160">
        <f t="shared" ref="AO15" si="8">SUM(AO12:AO14)</f>
        <v>4</v>
      </c>
      <c r="AP15" s="160">
        <f t="shared" ref="AP15" si="9">SUM(AP12:AP14)</f>
        <v>1</v>
      </c>
      <c r="AQ15" s="160">
        <f t="shared" ref="AQ15" si="10">SUM(AQ12:AQ14)</f>
        <v>2</v>
      </c>
    </row>
    <row r="16" spans="2:43">
      <c r="B16" s="92" t="s">
        <v>351</v>
      </c>
      <c r="D16" s="130" t="s">
        <v>97</v>
      </c>
      <c r="F16" s="100" t="s">
        <v>89</v>
      </c>
      <c r="G16" s="92" t="s">
        <v>461</v>
      </c>
      <c r="J16" s="135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2"/>
      <c r="W16" s="141"/>
      <c r="X16" s="141"/>
      <c r="Y16" s="140"/>
      <c r="Z16" s="141"/>
      <c r="AA16" s="139"/>
      <c r="AB16" s="141"/>
      <c r="AC16" s="141"/>
      <c r="AD16" s="139"/>
      <c r="AE16" s="141"/>
    </row>
    <row r="17" spans="2:44">
      <c r="B17" s="92" t="s">
        <v>352</v>
      </c>
      <c r="D17" s="130" t="s">
        <v>450</v>
      </c>
      <c r="F17" s="104" t="s">
        <v>354</v>
      </c>
      <c r="J17" s="135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2"/>
      <c r="W17" s="141"/>
      <c r="X17" s="141"/>
      <c r="Y17" s="140"/>
      <c r="Z17" s="141"/>
      <c r="AA17" s="139"/>
      <c r="AB17" s="141"/>
      <c r="AC17" s="141"/>
      <c r="AD17" s="139"/>
      <c r="AE17" s="141"/>
      <c r="AJ17" s="159" t="s">
        <v>511</v>
      </c>
      <c r="AK17" s="158"/>
      <c r="AL17" s="156"/>
      <c r="AM17" s="156"/>
      <c r="AN17" s="156"/>
      <c r="AO17" s="156"/>
      <c r="AP17" s="156"/>
      <c r="AQ17" s="156"/>
    </row>
    <row r="18" spans="2:44" ht="13.5" thickBot="1">
      <c r="B18" s="92" t="s">
        <v>353</v>
      </c>
      <c r="D18" s="130" t="s">
        <v>451</v>
      </c>
      <c r="J18" s="135"/>
      <c r="K18" s="141"/>
      <c r="L18" s="141"/>
      <c r="M18" s="141"/>
      <c r="N18" s="141"/>
      <c r="O18" s="141"/>
      <c r="P18" s="141"/>
      <c r="Q18" s="141"/>
      <c r="R18" s="141"/>
      <c r="S18" s="141"/>
      <c r="T18" s="141"/>
      <c r="U18" s="141"/>
      <c r="V18" s="142"/>
      <c r="W18" s="141"/>
      <c r="X18" s="141"/>
      <c r="Y18" s="140"/>
      <c r="Z18" s="141"/>
      <c r="AA18" s="139"/>
      <c r="AB18" s="141"/>
      <c r="AC18" s="141"/>
      <c r="AD18" s="139"/>
      <c r="AE18" s="141"/>
      <c r="AJ18" s="161" t="s">
        <v>505</v>
      </c>
      <c r="AK18" s="91"/>
      <c r="AL18" s="3">
        <v>1</v>
      </c>
      <c r="AM18" s="3">
        <v>1</v>
      </c>
      <c r="AN18" s="3">
        <v>1</v>
      </c>
      <c r="AO18" s="3">
        <v>0</v>
      </c>
      <c r="AP18" s="3">
        <v>1</v>
      </c>
      <c r="AQ18" s="3">
        <v>1</v>
      </c>
    </row>
    <row r="19" spans="2:44" ht="13.5" thickBot="1">
      <c r="D19" s="130" t="s">
        <v>452</v>
      </c>
      <c r="F19" s="113" t="s">
        <v>90</v>
      </c>
      <c r="G19" s="133" t="s">
        <v>379</v>
      </c>
      <c r="J19" s="135"/>
      <c r="K19" s="141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2"/>
      <c r="W19" s="141"/>
      <c r="X19" s="141"/>
      <c r="Y19" s="140"/>
      <c r="Z19" s="141"/>
      <c r="AA19" s="139"/>
      <c r="AB19" s="141"/>
      <c r="AC19" s="141"/>
      <c r="AD19" s="139"/>
      <c r="AE19" s="141"/>
      <c r="AJ19" s="161" t="s">
        <v>506</v>
      </c>
      <c r="AK19" s="91"/>
      <c r="AL19" s="3">
        <v>0</v>
      </c>
      <c r="AM19" s="3">
        <v>0</v>
      </c>
      <c r="AN19" s="3">
        <v>1</v>
      </c>
      <c r="AO19" s="3">
        <v>0</v>
      </c>
      <c r="AP19" s="3">
        <v>0</v>
      </c>
      <c r="AQ19" s="3">
        <v>0</v>
      </c>
    </row>
    <row r="20" spans="2:44">
      <c r="D20" s="130" t="s">
        <v>453</v>
      </c>
      <c r="F20" s="100" t="s">
        <v>90</v>
      </c>
      <c r="G20" s="92" t="s">
        <v>462</v>
      </c>
      <c r="J20" s="135"/>
      <c r="K20" s="141"/>
      <c r="L20" s="141"/>
      <c r="M20" s="141"/>
      <c r="N20" s="141"/>
      <c r="O20" s="141"/>
      <c r="P20" s="141"/>
      <c r="Q20" s="141"/>
      <c r="R20" s="141"/>
      <c r="S20" s="141"/>
      <c r="T20" s="141"/>
      <c r="U20" s="141"/>
      <c r="V20" s="142"/>
      <c r="W20" s="141"/>
      <c r="X20" s="141"/>
      <c r="Y20" s="140"/>
      <c r="Z20" s="141"/>
      <c r="AA20" s="139"/>
      <c r="AB20" s="141"/>
      <c r="AC20" s="141"/>
      <c r="AD20" s="139"/>
      <c r="AE20" s="141"/>
      <c r="AJ20" s="161" t="s">
        <v>507</v>
      </c>
      <c r="AK20" s="91"/>
      <c r="AL20" s="3">
        <v>1</v>
      </c>
      <c r="AM20" s="3">
        <v>2</v>
      </c>
      <c r="AN20" s="3">
        <v>3</v>
      </c>
      <c r="AO20" s="3">
        <v>2</v>
      </c>
      <c r="AP20" s="3">
        <v>2</v>
      </c>
      <c r="AQ20" s="3">
        <v>3</v>
      </c>
    </row>
    <row r="21" spans="2:44">
      <c r="D21" s="130" t="s">
        <v>454</v>
      </c>
      <c r="F21" s="104"/>
      <c r="J21" s="135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2"/>
      <c r="W21" s="141"/>
      <c r="X21" s="141"/>
      <c r="Y21" s="140"/>
      <c r="Z21" s="141"/>
      <c r="AA21" s="139"/>
      <c r="AB21" s="141"/>
      <c r="AC21" s="141"/>
      <c r="AD21" s="139"/>
      <c r="AE21" s="141"/>
      <c r="AJ21" s="163" t="s">
        <v>512</v>
      </c>
      <c r="AK21" s="162"/>
      <c r="AL21" s="160">
        <f>SUM(AL18:AL20)</f>
        <v>2</v>
      </c>
      <c r="AM21" s="160">
        <f t="shared" ref="AM21" si="11">SUM(AM18:AM20)</f>
        <v>3</v>
      </c>
      <c r="AN21" s="160">
        <f t="shared" ref="AN21" si="12">SUM(AN18:AN20)</f>
        <v>5</v>
      </c>
      <c r="AO21" s="160">
        <f t="shared" ref="AO21" si="13">SUM(AO18:AO20)</f>
        <v>2</v>
      </c>
      <c r="AP21" s="160">
        <f t="shared" ref="AP21" si="14">SUM(AP18:AP20)</f>
        <v>3</v>
      </c>
      <c r="AQ21" s="160">
        <f t="shared" ref="AQ21" si="15">SUM(AQ18:AQ20)</f>
        <v>4</v>
      </c>
    </row>
    <row r="22" spans="2:44" ht="13.5" thickBot="1">
      <c r="D22" s="130" t="s">
        <v>455</v>
      </c>
      <c r="J22" s="135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2"/>
      <c r="W22" s="141"/>
      <c r="X22" s="141"/>
      <c r="Y22" s="140"/>
      <c r="Z22" s="141"/>
      <c r="AA22" s="139"/>
      <c r="AB22" s="141"/>
      <c r="AC22" s="141"/>
      <c r="AD22" s="139"/>
      <c r="AE22" s="141"/>
    </row>
    <row r="23" spans="2:44" ht="13.5" thickBot="1">
      <c r="D23" s="130" t="s">
        <v>489</v>
      </c>
      <c r="F23" s="113" t="s">
        <v>101</v>
      </c>
      <c r="G23" s="133" t="s">
        <v>379</v>
      </c>
      <c r="J23" s="135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2"/>
      <c r="W23" s="141"/>
      <c r="X23" s="141"/>
      <c r="Y23" s="140"/>
      <c r="Z23" s="141"/>
      <c r="AA23" s="139"/>
      <c r="AB23" s="141"/>
      <c r="AC23" s="141"/>
      <c r="AD23" s="139"/>
      <c r="AE23" s="141"/>
      <c r="AJ23" s="159" t="s">
        <v>513</v>
      </c>
      <c r="AK23" s="158"/>
      <c r="AL23" s="156"/>
      <c r="AM23" s="156"/>
      <c r="AN23" s="156"/>
      <c r="AO23" s="156"/>
      <c r="AP23" s="156"/>
      <c r="AQ23" s="156"/>
    </row>
    <row r="24" spans="2:44">
      <c r="F24" s="100" t="s">
        <v>101</v>
      </c>
      <c r="G24" s="92" t="s">
        <v>463</v>
      </c>
      <c r="J24" s="135"/>
      <c r="K24" s="141"/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2"/>
      <c r="W24" s="141"/>
      <c r="X24" s="141"/>
      <c r="Y24" s="140"/>
      <c r="Z24" s="141"/>
      <c r="AA24" s="139"/>
      <c r="AB24" s="141"/>
      <c r="AC24" s="141"/>
      <c r="AD24" s="139"/>
      <c r="AE24" s="141"/>
      <c r="AJ24" s="161" t="s">
        <v>505</v>
      </c>
      <c r="AK24" s="91"/>
      <c r="AL24" s="3">
        <v>1</v>
      </c>
      <c r="AM24" s="3">
        <v>0</v>
      </c>
      <c r="AN24" s="3">
        <v>1</v>
      </c>
      <c r="AO24" s="3">
        <v>1</v>
      </c>
      <c r="AP24" s="3">
        <v>1</v>
      </c>
      <c r="AQ24" s="3">
        <v>0</v>
      </c>
      <c r="AR24" s="92">
        <f>SUM(AL24:AQ24)</f>
        <v>4</v>
      </c>
    </row>
    <row r="25" spans="2:44">
      <c r="F25" s="104" t="s">
        <v>354</v>
      </c>
      <c r="J25" s="135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2"/>
      <c r="W25" s="141"/>
      <c r="X25" s="141"/>
      <c r="Y25" s="140"/>
      <c r="Z25" s="141"/>
      <c r="AA25" s="139"/>
      <c r="AB25" s="141"/>
      <c r="AC25" s="141"/>
      <c r="AD25" s="139"/>
      <c r="AE25" s="141"/>
      <c r="AJ25" s="161" t="s">
        <v>506</v>
      </c>
      <c r="AK25" s="91"/>
      <c r="AL25" s="3">
        <v>1</v>
      </c>
      <c r="AM25" s="3">
        <v>0</v>
      </c>
      <c r="AN25" s="3">
        <v>0</v>
      </c>
      <c r="AO25" s="3">
        <v>0</v>
      </c>
      <c r="AP25" s="3">
        <v>1</v>
      </c>
      <c r="AQ25" s="3">
        <v>0</v>
      </c>
      <c r="AR25" s="92">
        <f t="shared" ref="AR25:AR26" si="16">SUM(AL25:AQ25)</f>
        <v>2</v>
      </c>
    </row>
    <row r="26" spans="2:44" ht="13.5" thickBot="1">
      <c r="J26" s="135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2"/>
      <c r="W26" s="141"/>
      <c r="X26" s="141"/>
      <c r="Y26" s="140"/>
      <c r="Z26" s="141"/>
      <c r="AA26" s="139"/>
      <c r="AB26" s="141"/>
      <c r="AC26" s="141"/>
      <c r="AD26" s="139"/>
      <c r="AE26" s="141"/>
      <c r="AJ26" s="161" t="s">
        <v>507</v>
      </c>
      <c r="AK26" s="91"/>
      <c r="AL26" s="3">
        <v>4</v>
      </c>
      <c r="AM26" s="3">
        <v>6</v>
      </c>
      <c r="AN26" s="3">
        <v>5</v>
      </c>
      <c r="AO26" s="3">
        <v>4</v>
      </c>
      <c r="AP26" s="3">
        <v>3</v>
      </c>
      <c r="AQ26" s="3">
        <v>2</v>
      </c>
      <c r="AR26" s="92">
        <f t="shared" si="16"/>
        <v>24</v>
      </c>
    </row>
    <row r="27" spans="2:44" ht="13.5" thickBot="1">
      <c r="F27" s="112" t="s">
        <v>464</v>
      </c>
      <c r="G27" s="99" t="s">
        <v>465</v>
      </c>
      <c r="J27" s="143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2"/>
      <c r="W27" s="141"/>
      <c r="X27" s="141"/>
      <c r="Y27" s="140"/>
      <c r="Z27" s="141"/>
      <c r="AA27" s="139"/>
      <c r="AB27" s="141"/>
      <c r="AC27" s="141"/>
      <c r="AD27" s="139"/>
      <c r="AE27" s="141"/>
      <c r="AJ27" s="163" t="s">
        <v>514</v>
      </c>
      <c r="AK27" s="162"/>
      <c r="AL27" s="160">
        <f>SUM(AL24:AL26)</f>
        <v>6</v>
      </c>
      <c r="AM27" s="160">
        <f t="shared" ref="AM27" si="17">SUM(AM24:AM26)</f>
        <v>6</v>
      </c>
      <c r="AN27" s="160">
        <f t="shared" ref="AN27" si="18">SUM(AN24:AN26)</f>
        <v>6</v>
      </c>
      <c r="AO27" s="160">
        <f t="shared" ref="AO27" si="19">SUM(AO24:AO26)</f>
        <v>5</v>
      </c>
      <c r="AP27" s="160">
        <f t="shared" ref="AP27" si="20">SUM(AP24:AP26)</f>
        <v>5</v>
      </c>
      <c r="AQ27" s="160">
        <f t="shared" ref="AQ27" si="21">SUM(AQ24:AQ26)</f>
        <v>2</v>
      </c>
    </row>
    <row r="29" spans="2:44" ht="15">
      <c r="D29" s="111"/>
      <c r="K29" s="111" t="s">
        <v>518</v>
      </c>
    </row>
    <row r="30" spans="2:44" ht="13.5" thickBot="1"/>
    <row r="31" spans="2:44" ht="13.5" thickBot="1">
      <c r="AJ31" s="96" t="s">
        <v>3</v>
      </c>
      <c r="AK31" s="97">
        <v>15</v>
      </c>
      <c r="AL31" s="97">
        <v>16</v>
      </c>
      <c r="AM31" s="97">
        <v>17</v>
      </c>
      <c r="AN31" s="97">
        <v>18</v>
      </c>
      <c r="AO31" s="97">
        <v>19</v>
      </c>
      <c r="AP31" s="97">
        <v>20</v>
      </c>
      <c r="AQ31" s="166">
        <v>21</v>
      </c>
    </row>
    <row r="32" spans="2:44">
      <c r="AJ32" s="134" t="s">
        <v>515</v>
      </c>
      <c r="AK32" s="106">
        <v>2</v>
      </c>
      <c r="AL32" s="106">
        <v>0</v>
      </c>
      <c r="AM32" s="106">
        <v>0</v>
      </c>
      <c r="AN32" s="106">
        <v>1</v>
      </c>
      <c r="AO32" s="106">
        <v>2</v>
      </c>
      <c r="AP32" s="106">
        <v>4</v>
      </c>
      <c r="AQ32" s="106">
        <v>0</v>
      </c>
    </row>
    <row r="33" spans="4:43">
      <c r="AJ33" s="120" t="s">
        <v>516</v>
      </c>
      <c r="AK33" s="3">
        <v>0</v>
      </c>
      <c r="AL33" s="3">
        <v>0</v>
      </c>
      <c r="AM33" s="3">
        <v>0</v>
      </c>
      <c r="AN33" s="3">
        <v>1</v>
      </c>
      <c r="AO33" s="3">
        <v>0</v>
      </c>
      <c r="AP33" s="3">
        <v>2</v>
      </c>
      <c r="AQ33" s="3">
        <v>0</v>
      </c>
    </row>
    <row r="34" spans="4:43">
      <c r="AJ34" s="120" t="s">
        <v>517</v>
      </c>
      <c r="AK34" s="3">
        <v>8</v>
      </c>
      <c r="AL34" s="3">
        <v>10</v>
      </c>
      <c r="AM34" s="3">
        <v>11</v>
      </c>
      <c r="AN34" s="3">
        <v>9</v>
      </c>
      <c r="AO34" s="3">
        <v>8</v>
      </c>
      <c r="AP34" s="3">
        <v>6</v>
      </c>
      <c r="AQ34" s="3">
        <v>10</v>
      </c>
    </row>
    <row r="48" spans="4:43" ht="15">
      <c r="D48" s="111"/>
    </row>
  </sheetData>
  <pageMargins left="0.31496062992125984" right="0.11811023622047245" top="0.35433070866141736" bottom="0.35433070866141736" header="0.31496062992125984" footer="0.31496062992125984"/>
  <pageSetup paperSize="8" scale="46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B1:AN52"/>
  <sheetViews>
    <sheetView topLeftCell="O1" workbookViewId="0">
      <selection activeCell="AD8" sqref="AD8"/>
    </sheetView>
  </sheetViews>
  <sheetFormatPr baseColWidth="10" defaultRowHeight="12.75"/>
  <cols>
    <col min="1" max="1" width="1.42578125" style="92" customWidth="1"/>
    <col min="2" max="2" width="18.140625" style="92" customWidth="1"/>
    <col min="3" max="3" width="11.42578125" style="92"/>
    <col min="4" max="4" width="13.7109375" style="92" customWidth="1"/>
    <col min="5" max="5" width="19.7109375" style="92" customWidth="1"/>
    <col min="6" max="6" width="4.5703125" style="92" customWidth="1"/>
    <col min="7" max="7" width="3.7109375" style="92" customWidth="1"/>
    <col min="8" max="8" width="4.7109375" style="92" customWidth="1"/>
    <col min="9" max="9" width="11.140625" style="92" customWidth="1"/>
    <col min="10" max="10" width="10.85546875" style="92" customWidth="1"/>
    <col min="11" max="11" width="7.7109375" style="92" customWidth="1"/>
    <col min="12" max="12" width="12.7109375" style="92" customWidth="1"/>
    <col min="13" max="13" width="6.5703125" style="92" customWidth="1"/>
    <col min="14" max="14" width="6.85546875" style="92" customWidth="1"/>
    <col min="15" max="16" width="6.7109375" style="92" customWidth="1"/>
    <col min="17" max="17" width="7" style="92" bestFit="1" customWidth="1"/>
    <col min="18" max="23" width="6.7109375" style="92" customWidth="1"/>
    <col min="24" max="28" width="7.7109375" style="92" customWidth="1"/>
    <col min="29" max="29" width="13.140625" style="92" bestFit="1" customWidth="1"/>
    <col min="30" max="30" width="25.42578125" style="92" customWidth="1"/>
    <col min="31" max="31" width="11" style="92" bestFit="1" customWidth="1"/>
    <col min="32" max="37" width="7.28515625" style="92" bestFit="1" customWidth="1"/>
    <col min="38" max="16384" width="11.42578125" style="92"/>
  </cols>
  <sheetData>
    <row r="1" spans="2:40" ht="15">
      <c r="B1" s="111" t="s">
        <v>537</v>
      </c>
      <c r="F1" s="186"/>
      <c r="I1" s="111" t="s">
        <v>538</v>
      </c>
      <c r="L1" s="111"/>
      <c r="AD1" s="191" t="s">
        <v>567</v>
      </c>
      <c r="AE1" s="192">
        <v>2017</v>
      </c>
      <c r="AM1" s="190"/>
    </row>
    <row r="2" spans="2:40" ht="13.5" thickBot="1"/>
    <row r="3" spans="2:40" ht="24.75" thickBot="1">
      <c r="F3" s="171"/>
      <c r="H3" s="147" t="s">
        <v>118</v>
      </c>
      <c r="I3" s="148" t="s">
        <v>180</v>
      </c>
      <c r="J3" s="146" t="s">
        <v>2</v>
      </c>
      <c r="K3" s="146" t="s">
        <v>536</v>
      </c>
      <c r="L3" s="148" t="s">
        <v>358</v>
      </c>
      <c r="M3" s="188" t="s">
        <v>555</v>
      </c>
      <c r="N3" s="188" t="s">
        <v>556</v>
      </c>
      <c r="O3" s="146" t="s">
        <v>523</v>
      </c>
      <c r="P3" s="146" t="s">
        <v>524</v>
      </c>
      <c r="Q3" s="174" t="s">
        <v>525</v>
      </c>
      <c r="R3" s="146" t="s">
        <v>526</v>
      </c>
      <c r="S3" s="146" t="s">
        <v>527</v>
      </c>
      <c r="T3" s="146" t="s">
        <v>528</v>
      </c>
      <c r="U3" s="146" t="s">
        <v>529</v>
      </c>
      <c r="V3" s="146" t="s">
        <v>530</v>
      </c>
      <c r="W3" s="146" t="s">
        <v>531</v>
      </c>
      <c r="X3" s="146" t="s">
        <v>532</v>
      </c>
      <c r="Y3" s="146" t="s">
        <v>533</v>
      </c>
      <c r="Z3" s="146" t="s">
        <v>534</v>
      </c>
      <c r="AA3" s="146" t="s">
        <v>535</v>
      </c>
      <c r="AB3" s="146" t="s">
        <v>560</v>
      </c>
      <c r="AD3" s="178" t="s">
        <v>503</v>
      </c>
      <c r="AE3" s="152">
        <v>18</v>
      </c>
      <c r="AF3" s="179" t="str">
        <f>TEXT(DATE($AE$1,1,3)-WEEKDAY(DATE($AE$1,1,3))-5+(7*$AE$3)+0,"jj mmmm")</f>
        <v>01 mai</v>
      </c>
      <c r="AG3" s="154" t="str">
        <f>TEXT(DATE($AE$1,1,3)-WEEKDAY(DATE($AE$1,1,3))-5+(7*$AE$3)+1,"jj mmmm")</f>
        <v>02 mai</v>
      </c>
      <c r="AH3" s="154" t="str">
        <f>TEXT(DATE($AE$1,1,3)-WEEKDAY(DATE($AE$1,1,3))-5+(7*$AE$3)+2,"jj mmmm")</f>
        <v>03 mai</v>
      </c>
      <c r="AI3" s="154" t="str">
        <f>TEXT(DATE($AE$1,1,3)-WEEKDAY(DATE($AE$1,1,3))-5+(7*$AE$3)+3,"jj mmmm")</f>
        <v>04 mai</v>
      </c>
      <c r="AJ3" s="154" t="str">
        <f>TEXT(DATE($AE$1,1,3)-WEEKDAY(DATE($AE$1,1,3))-5+(7*$AE$3)+4,"jj mmmm")</f>
        <v>05 mai</v>
      </c>
      <c r="AK3" s="155" t="str">
        <f>TEXT(DATE($AE$1,1,3)-WEEKDAY(DATE($AE$1,1,3))-5+(7*$AE$3)+5,"jj mmmm")</f>
        <v>06 mai</v>
      </c>
      <c r="AN3" s="190"/>
    </row>
    <row r="4" spans="2:40">
      <c r="E4" s="132" t="s">
        <v>562</v>
      </c>
      <c r="H4" s="135" t="s">
        <v>419</v>
      </c>
      <c r="I4" s="136" t="s">
        <v>548</v>
      </c>
      <c r="J4" s="140">
        <v>42856</v>
      </c>
      <c r="K4" s="168">
        <f>WEEKNUM(J4)</f>
        <v>18</v>
      </c>
      <c r="L4" s="176" t="s">
        <v>539</v>
      </c>
      <c r="M4" s="189">
        <v>0.35</v>
      </c>
      <c r="N4" s="189">
        <v>0.4</v>
      </c>
      <c r="O4" s="169">
        <v>0.5</v>
      </c>
      <c r="P4" s="169">
        <v>0.5</v>
      </c>
      <c r="Q4" s="169">
        <f t="shared" ref="Q4:Q26" si="0">N4+M4</f>
        <v>0.75</v>
      </c>
      <c r="R4" s="169">
        <v>1</v>
      </c>
      <c r="S4" s="169">
        <v>0</v>
      </c>
      <c r="T4" s="169">
        <v>0</v>
      </c>
      <c r="U4" s="170">
        <v>0</v>
      </c>
      <c r="V4" s="169">
        <v>0</v>
      </c>
      <c r="W4" s="169">
        <v>0</v>
      </c>
      <c r="X4" s="169">
        <v>0</v>
      </c>
      <c r="Y4" s="169">
        <v>0</v>
      </c>
      <c r="Z4" s="169">
        <v>0</v>
      </c>
      <c r="AA4" s="169">
        <v>0</v>
      </c>
      <c r="AB4" s="169">
        <f>12-SUM(O4:AA4)</f>
        <v>9.25</v>
      </c>
      <c r="AD4" s="194" t="str">
        <f>IF(AE4="","no NPT1 - Tool Box talk","NPT1 - Tool Box Talk")</f>
        <v>NPT1 - Tool Box Talk</v>
      </c>
      <c r="AE4" s="193">
        <f t="shared" ref="AE4:AE7" si="1">IF(SUM(AF4:AK4)=0,"",AVERAGE(AF4:AK4))</f>
        <v>0.5</v>
      </c>
      <c r="AF4" s="187">
        <f t="shared" ref="AF4:AH4" si="2">IF(AVERAGEIF($J$4:$J$26,AF$3,$O$4:$O$26)=0,"",AVERAGEIF($J$4:$J$26,AF$3,$O$4:$O$26))</f>
        <v>0.5</v>
      </c>
      <c r="AG4" s="187">
        <f t="shared" si="2"/>
        <v>0.5</v>
      </c>
      <c r="AH4" s="187">
        <f t="shared" si="2"/>
        <v>0.5</v>
      </c>
      <c r="AI4" s="187">
        <f>IF(AVERAGEIF($J$4:$J$26,AI$3,$O$4:$O$26)=0,"",AVERAGEIF($J$4:$J$26,AI$3,$O$4:$O$26))</f>
        <v>0.5</v>
      </c>
      <c r="AJ4" s="187">
        <f t="shared" ref="AJ4:AK4" si="3">IF(AVERAGEIF($J$4:$J$26,AJ$3,$O$4:$O$26)=0,"",AVERAGEIF($J$4:$J$26,AJ$3,$O$4:$O$26))</f>
        <v>0.5</v>
      </c>
      <c r="AK4" s="187">
        <f t="shared" si="3"/>
        <v>0.5</v>
      </c>
    </row>
    <row r="5" spans="2:40">
      <c r="E5" s="173" t="s">
        <v>522</v>
      </c>
      <c r="H5" s="135" t="s">
        <v>420</v>
      </c>
      <c r="I5" s="136" t="s">
        <v>548</v>
      </c>
      <c r="J5" s="140">
        <v>42856</v>
      </c>
      <c r="K5" s="168">
        <f t="shared" ref="K5:K26" si="4">WEEKNUM(J5)</f>
        <v>18</v>
      </c>
      <c r="L5" s="176" t="s">
        <v>540</v>
      </c>
      <c r="M5" s="189">
        <v>0.35</v>
      </c>
      <c r="N5" s="189">
        <v>0.4</v>
      </c>
      <c r="O5" s="169">
        <v>0.5</v>
      </c>
      <c r="P5" s="169">
        <v>0.5</v>
      </c>
      <c r="Q5" s="169">
        <f t="shared" si="0"/>
        <v>0.75</v>
      </c>
      <c r="R5" s="169">
        <v>1</v>
      </c>
      <c r="S5" s="169">
        <v>0</v>
      </c>
      <c r="T5" s="169">
        <v>0</v>
      </c>
      <c r="U5" s="170">
        <v>0</v>
      </c>
      <c r="V5" s="169">
        <v>0</v>
      </c>
      <c r="W5" s="169">
        <v>0</v>
      </c>
      <c r="X5" s="169">
        <v>0</v>
      </c>
      <c r="Y5" s="169">
        <v>0</v>
      </c>
      <c r="Z5" s="169">
        <v>0</v>
      </c>
      <c r="AA5" s="169">
        <v>0</v>
      </c>
      <c r="AB5" s="169">
        <f t="shared" ref="AB5:AB26" si="5">12-SUM(O5:AA5)</f>
        <v>9.25</v>
      </c>
      <c r="AD5" s="161" t="str">
        <f>IF(AE5="","no NPT2 - WP Opening","NPT2 - WP Opening")</f>
        <v>NPT2 - WP Opening</v>
      </c>
      <c r="AE5" s="193">
        <f t="shared" si="1"/>
        <v>0.5</v>
      </c>
      <c r="AF5" s="187">
        <f t="shared" ref="AF5:AH5" si="6">IF(AVERAGEIF($J$4:$J$26,AF$3,$P$4:$P$26)=0,"",AVERAGEIF($J$4:$J$26,AF$3,$P$4:$P$26))</f>
        <v>0.5</v>
      </c>
      <c r="AG5" s="187">
        <f t="shared" si="6"/>
        <v>0.5</v>
      </c>
      <c r="AH5" s="187">
        <f t="shared" si="6"/>
        <v>0.5</v>
      </c>
      <c r="AI5" s="187">
        <f>IF(AVERAGEIF($J$4:$J$26,AI$3,$P$4:$P$26)=0,"",AVERAGEIF($J$4:$J$26,AI$3,$P$4:$P$26))</f>
        <v>0.5</v>
      </c>
      <c r="AJ5" s="187">
        <f t="shared" ref="AJ5:AK5" si="7">IF(AVERAGEIF($J$4:$J$26,AJ$3,$P$4:$P$26)=0,"",AVERAGEIF($J$4:$J$26,AJ$3,$P$4:$P$26))</f>
        <v>0.5</v>
      </c>
      <c r="AK5" s="187">
        <f t="shared" si="7"/>
        <v>0.5</v>
      </c>
    </row>
    <row r="6" spans="2:40" ht="13.5" thickBot="1">
      <c r="E6" s="173" t="s">
        <v>491</v>
      </c>
      <c r="H6" s="135" t="s">
        <v>421</v>
      </c>
      <c r="I6" s="136" t="s">
        <v>548</v>
      </c>
      <c r="J6" s="140">
        <v>42856</v>
      </c>
      <c r="K6" s="168">
        <f t="shared" si="4"/>
        <v>18</v>
      </c>
      <c r="L6" s="176" t="s">
        <v>541</v>
      </c>
      <c r="M6" s="189">
        <v>0.35</v>
      </c>
      <c r="N6" s="189">
        <v>0.4</v>
      </c>
      <c r="O6" s="169">
        <v>0.5</v>
      </c>
      <c r="P6" s="169">
        <v>0.5</v>
      </c>
      <c r="Q6" s="169">
        <f t="shared" si="0"/>
        <v>0.75</v>
      </c>
      <c r="R6" s="169">
        <v>1</v>
      </c>
      <c r="S6" s="169">
        <v>0</v>
      </c>
      <c r="T6" s="169">
        <v>0</v>
      </c>
      <c r="U6" s="170">
        <v>0</v>
      </c>
      <c r="V6" s="169">
        <v>0</v>
      </c>
      <c r="W6" s="169">
        <v>0</v>
      </c>
      <c r="X6" s="169">
        <v>0</v>
      </c>
      <c r="Y6" s="169">
        <v>0</v>
      </c>
      <c r="Z6" s="169">
        <v>0</v>
      </c>
      <c r="AA6" s="169">
        <v>3</v>
      </c>
      <c r="AB6" s="169">
        <f t="shared" si="5"/>
        <v>6.25</v>
      </c>
      <c r="AD6" s="161" t="str">
        <f>IF(AE6="","no NPT3 - Tea Breaks","NPT3 - Tea Breaks")</f>
        <v>NPT3 - Tea Breaks</v>
      </c>
      <c r="AE6" s="193">
        <f t="shared" si="1"/>
        <v>0.69166666666666676</v>
      </c>
      <c r="AF6" s="187">
        <f t="shared" ref="AF6:AH6" si="8">IF(AVERAGEIF($J$4:$J$26,AF$3,$Q$4:$Q$26)=0,"",AVERAGEIF($J$4:$J$26,AF$3,$Q$4:$Q$26))</f>
        <v>0.75</v>
      </c>
      <c r="AG6" s="187">
        <f t="shared" si="8"/>
        <v>0.75</v>
      </c>
      <c r="AH6" s="187">
        <f t="shared" si="8"/>
        <v>0.75</v>
      </c>
      <c r="AI6" s="187">
        <f>IF(AVERAGEIF($J$4:$J$26,AI$3,$Q$4:$Q$26)=0,"",AVERAGEIF($J$4:$J$26,AI$3,$Q$4:$Q$26))</f>
        <v>0.4</v>
      </c>
      <c r="AJ6" s="187">
        <f t="shared" ref="AJ6:AK6" si="9">IF(AVERAGEIF($J$4:$J$26,AJ$3,$Q$4:$Q$26)=0,"",AVERAGEIF($J$4:$J$26,AJ$3,$Q$4:$Q$26))</f>
        <v>0.75</v>
      </c>
      <c r="AK6" s="187">
        <f t="shared" si="9"/>
        <v>0.75</v>
      </c>
    </row>
    <row r="7" spans="2:40" ht="13.5" thickBot="1">
      <c r="B7" s="112" t="s">
        <v>521</v>
      </c>
      <c r="E7" s="173" t="s">
        <v>561</v>
      </c>
      <c r="H7" s="135" t="s">
        <v>422</v>
      </c>
      <c r="I7" s="136" t="s">
        <v>548</v>
      </c>
      <c r="J7" s="140">
        <v>42856</v>
      </c>
      <c r="K7" s="168">
        <f t="shared" si="4"/>
        <v>18</v>
      </c>
      <c r="L7" s="176" t="s">
        <v>542</v>
      </c>
      <c r="M7" s="189">
        <v>0.35</v>
      </c>
      <c r="N7" s="189">
        <v>0.4</v>
      </c>
      <c r="O7" s="169">
        <v>0.5</v>
      </c>
      <c r="P7" s="169">
        <v>0.5</v>
      </c>
      <c r="Q7" s="169">
        <f t="shared" si="0"/>
        <v>0.75</v>
      </c>
      <c r="R7" s="169">
        <v>1</v>
      </c>
      <c r="S7" s="169">
        <v>0</v>
      </c>
      <c r="T7" s="169">
        <v>0</v>
      </c>
      <c r="U7" s="170">
        <v>0</v>
      </c>
      <c r="V7" s="169">
        <v>0</v>
      </c>
      <c r="W7" s="169">
        <v>0</v>
      </c>
      <c r="X7" s="169">
        <v>0</v>
      </c>
      <c r="Y7" s="169">
        <v>0</v>
      </c>
      <c r="Z7" s="169">
        <v>0</v>
      </c>
      <c r="AA7" s="169">
        <v>3</v>
      </c>
      <c r="AB7" s="169">
        <f t="shared" si="5"/>
        <v>6.25</v>
      </c>
      <c r="AD7" s="175" t="str">
        <f>IF(AE7="","no NPT4 - Lunch Break","NPT4 - Lunch Break")</f>
        <v>NPT4 - Lunch Break</v>
      </c>
      <c r="AE7" s="193">
        <f t="shared" si="1"/>
        <v>1</v>
      </c>
      <c r="AF7" s="187">
        <f t="shared" ref="AF7:AH7" si="10">IF(AVERAGEIF($J$4:$J$26,AF$3,$R$4:$R$26)=0,"",AVERAGEIF($J$4:$J$26,AF$3,$R$4:$R$26))</f>
        <v>1</v>
      </c>
      <c r="AG7" s="187">
        <f t="shared" si="10"/>
        <v>1</v>
      </c>
      <c r="AH7" s="187">
        <f t="shared" si="10"/>
        <v>1</v>
      </c>
      <c r="AI7" s="187">
        <f>IF(AVERAGEIF($J$4:$J$26,AI$3,$R$4:$R$26)=0,"",AVERAGEIF($J$4:$J$26,AI$3,$R$4:$R$26))</f>
        <v>1</v>
      </c>
      <c r="AJ7" s="187">
        <f t="shared" ref="AJ7:AK7" si="11">IF(AVERAGEIF($J$4:$J$26,AJ$3,$R$4:$R$26)=0,"",AVERAGEIF($J$4:$J$26,AJ$3,$R$4:$R$26))</f>
        <v>1</v>
      </c>
      <c r="AK7" s="187">
        <f t="shared" si="11"/>
        <v>1</v>
      </c>
    </row>
    <row r="8" spans="2:40" ht="13.5" thickBot="1">
      <c r="B8" s="129" t="s">
        <v>522</v>
      </c>
      <c r="E8" s="173" t="s">
        <v>28</v>
      </c>
      <c r="H8" s="135" t="s">
        <v>423</v>
      </c>
      <c r="I8" s="136" t="s">
        <v>548</v>
      </c>
      <c r="J8" s="140">
        <v>42857</v>
      </c>
      <c r="K8" s="168">
        <f t="shared" si="4"/>
        <v>18</v>
      </c>
      <c r="L8" s="177" t="s">
        <v>539</v>
      </c>
      <c r="M8" s="189">
        <v>0.35</v>
      </c>
      <c r="N8" s="189">
        <v>0.4</v>
      </c>
      <c r="O8" s="169">
        <v>0.5</v>
      </c>
      <c r="P8" s="169">
        <v>0.5</v>
      </c>
      <c r="Q8" s="169">
        <f t="shared" si="0"/>
        <v>0.75</v>
      </c>
      <c r="R8" s="169">
        <v>1</v>
      </c>
      <c r="S8" s="169">
        <v>0</v>
      </c>
      <c r="T8" s="169">
        <v>0</v>
      </c>
      <c r="U8" s="170">
        <v>0</v>
      </c>
      <c r="V8" s="169">
        <v>0</v>
      </c>
      <c r="W8" s="169">
        <v>0</v>
      </c>
      <c r="X8" s="169">
        <v>0</v>
      </c>
      <c r="Y8" s="169">
        <v>0</v>
      </c>
      <c r="Z8" s="169">
        <v>0</v>
      </c>
      <c r="AA8" s="169">
        <v>0</v>
      </c>
      <c r="AB8" s="169">
        <f t="shared" si="5"/>
        <v>9.25</v>
      </c>
      <c r="AD8" s="175" t="str">
        <f>IF(AE8="","no NPT5 - Transfer","NPT5 - Transfer (NA)")</f>
        <v>no NPT5 - Transfer</v>
      </c>
      <c r="AE8" s="193" t="str">
        <f>IF(SUM(AF8:AK8)=0,"",AVERAGE(AF8:AK8))</f>
        <v/>
      </c>
      <c r="AF8" s="187" t="str">
        <f t="shared" ref="AF8:AH8" si="12">IF(AVERAGEIF($J$4:$J$26,AF$3,$S$4:$S$26)=0,"",AVERAGEIF($J$4:$J$26,AF$3,$S$4:$S$26))</f>
        <v/>
      </c>
      <c r="AG8" s="187" t="str">
        <f t="shared" si="12"/>
        <v/>
      </c>
      <c r="AH8" s="187" t="str">
        <f t="shared" si="12"/>
        <v/>
      </c>
      <c r="AI8" s="187" t="str">
        <f>IF(AVERAGEIF($J$4:$J$26,AI$3,$S$4:$S$26)=0,"",AVERAGEIF($J$4:$J$26,AI$3,$S$4:$S$26))</f>
        <v/>
      </c>
      <c r="AJ8" s="187" t="str">
        <f t="shared" ref="AJ8:AK8" si="13">IF(AVERAGEIF($J$4:$J$26,AJ$3,$S$4:$S$26)=0,"",AVERAGEIF($J$4:$J$26,AJ$3,$S$4:$S$26))</f>
        <v/>
      </c>
      <c r="AK8" s="187" t="str">
        <f t="shared" si="13"/>
        <v/>
      </c>
    </row>
    <row r="9" spans="2:40" ht="13.5" thickBot="1">
      <c r="B9" s="130" t="s">
        <v>2</v>
      </c>
      <c r="D9" s="112" t="s">
        <v>563</v>
      </c>
      <c r="E9" s="173" t="s">
        <v>13</v>
      </c>
      <c r="H9" s="135" t="s">
        <v>424</v>
      </c>
      <c r="I9" s="136" t="s">
        <v>548</v>
      </c>
      <c r="J9" s="140">
        <v>42857</v>
      </c>
      <c r="K9" s="168">
        <f t="shared" si="4"/>
        <v>18</v>
      </c>
      <c r="L9" s="177" t="s">
        <v>540</v>
      </c>
      <c r="M9" s="189">
        <v>0.35</v>
      </c>
      <c r="N9" s="189">
        <v>0.4</v>
      </c>
      <c r="O9" s="169">
        <v>0.5</v>
      </c>
      <c r="P9" s="169">
        <v>0.5</v>
      </c>
      <c r="Q9" s="169">
        <f t="shared" si="0"/>
        <v>0.75</v>
      </c>
      <c r="R9" s="169">
        <v>1</v>
      </c>
      <c r="S9" s="169">
        <v>0</v>
      </c>
      <c r="T9" s="169">
        <v>0</v>
      </c>
      <c r="U9" s="170">
        <v>0</v>
      </c>
      <c r="V9" s="169">
        <v>0</v>
      </c>
      <c r="W9" s="169">
        <v>0</v>
      </c>
      <c r="X9" s="169">
        <v>0</v>
      </c>
      <c r="Y9" s="169">
        <v>0</v>
      </c>
      <c r="Z9" s="169">
        <v>0</v>
      </c>
      <c r="AA9" s="169">
        <v>0</v>
      </c>
      <c r="AB9" s="169">
        <f t="shared" si="5"/>
        <v>9.25</v>
      </c>
      <c r="AD9" s="175" t="str">
        <f>IF(AE9="","no NPT6 - Disconnection","NPT6 - Disconnection (NA)")</f>
        <v>no NPT6 - Disconnection</v>
      </c>
      <c r="AE9" s="193" t="str">
        <f t="shared" ref="AE9:AE17" si="14">IF(SUM(AF9:AK9)=0,"",AVERAGE(AF9:AK9))</f>
        <v/>
      </c>
      <c r="AF9" s="187" t="str">
        <f t="shared" ref="AF9:AH9" si="15">IF(AVERAGEIF($J$4:$J$26,AF$3,$T$4:$T$26)=0,"",AVERAGEIF($J$4:$J$26,AF$3,$T$4:$T$26))</f>
        <v/>
      </c>
      <c r="AG9" s="187" t="str">
        <f t="shared" si="15"/>
        <v/>
      </c>
      <c r="AH9" s="187" t="str">
        <f t="shared" si="15"/>
        <v/>
      </c>
      <c r="AI9" s="187" t="str">
        <f>IF(AVERAGEIF($J$4:$J$26,AI$3,$T$4:$T$26)=0,"",AVERAGEIF($J$4:$J$26,AI$3,$T$4:$T$26))</f>
        <v/>
      </c>
      <c r="AJ9" s="187" t="str">
        <f t="shared" ref="AJ9:AK9" si="16">IF(AVERAGEIF($J$4:$J$26,AJ$3,$T$4:$T$26)=0,"",AVERAGEIF($J$4:$J$26,AJ$3,$T$4:$T$26))</f>
        <v/>
      </c>
      <c r="AK9" s="187" t="str">
        <f t="shared" si="16"/>
        <v/>
      </c>
    </row>
    <row r="10" spans="2:40">
      <c r="B10" s="130" t="s">
        <v>358</v>
      </c>
      <c r="E10" s="173" t="s">
        <v>89</v>
      </c>
      <c r="H10" s="135" t="s">
        <v>425</v>
      </c>
      <c r="I10" s="136" t="s">
        <v>548</v>
      </c>
      <c r="J10" s="140">
        <v>42857</v>
      </c>
      <c r="K10" s="168">
        <f t="shared" si="4"/>
        <v>18</v>
      </c>
      <c r="L10" s="177" t="s">
        <v>541</v>
      </c>
      <c r="M10" s="189">
        <v>0.35</v>
      </c>
      <c r="N10" s="189">
        <v>0.4</v>
      </c>
      <c r="O10" s="169">
        <v>0.5</v>
      </c>
      <c r="P10" s="169">
        <v>0.5</v>
      </c>
      <c r="Q10" s="169">
        <f t="shared" si="0"/>
        <v>0.75</v>
      </c>
      <c r="R10" s="169">
        <v>1</v>
      </c>
      <c r="S10" s="169">
        <v>0</v>
      </c>
      <c r="T10" s="169">
        <v>0</v>
      </c>
      <c r="U10" s="170">
        <v>0</v>
      </c>
      <c r="V10" s="169">
        <v>0</v>
      </c>
      <c r="W10" s="169">
        <v>0</v>
      </c>
      <c r="X10" s="169">
        <v>0</v>
      </c>
      <c r="Y10" s="169">
        <v>0</v>
      </c>
      <c r="Z10" s="169">
        <v>0</v>
      </c>
      <c r="AA10" s="169">
        <v>1</v>
      </c>
      <c r="AB10" s="169">
        <f t="shared" si="5"/>
        <v>8.25</v>
      </c>
      <c r="AD10" s="175" t="str">
        <f>IF(AE10="","no NPT7 - Drills","NPT7 - Drills")</f>
        <v>no NPT7 - Drills</v>
      </c>
      <c r="AE10" s="193" t="str">
        <f t="shared" si="14"/>
        <v/>
      </c>
      <c r="AF10" s="187" t="str">
        <f t="shared" ref="AF10:AH10" si="17">IF(AVERAGEIF($J$4:$J$26,AF$3,$U$4:$U$26)=0,"",AVERAGEIF($J$4:$J$26,AF$3,$U$4:$U$26))</f>
        <v/>
      </c>
      <c r="AG10" s="187" t="str">
        <f t="shared" si="17"/>
        <v/>
      </c>
      <c r="AH10" s="187" t="str">
        <f t="shared" si="17"/>
        <v/>
      </c>
      <c r="AI10" s="187" t="str">
        <f>IF(AVERAGEIF($J$4:$J$26,AI$3,$U$4:$U$26)=0,"",AVERAGEIF($J$4:$J$26,AI$3,$U$4:$U$26))</f>
        <v/>
      </c>
      <c r="AJ10" s="187" t="str">
        <f t="shared" ref="AJ10:AK10" si="18">IF(AVERAGEIF($J$4:$J$26,AJ$3,$U$4:$U$26)=0,"",AVERAGEIF($J$4:$J$26,AJ$3,$U$4:$U$26))</f>
        <v/>
      </c>
      <c r="AK10" s="187" t="str">
        <f t="shared" si="18"/>
        <v/>
      </c>
    </row>
    <row r="11" spans="2:40">
      <c r="B11" s="130" t="s">
        <v>523</v>
      </c>
      <c r="E11" s="173" t="s">
        <v>90</v>
      </c>
      <c r="H11" s="135" t="s">
        <v>426</v>
      </c>
      <c r="I11" s="136" t="s">
        <v>548</v>
      </c>
      <c r="J11" s="140">
        <v>42857</v>
      </c>
      <c r="K11" s="168">
        <f t="shared" si="4"/>
        <v>18</v>
      </c>
      <c r="L11" s="177" t="s">
        <v>542</v>
      </c>
      <c r="M11" s="189">
        <v>0.35</v>
      </c>
      <c r="N11" s="189">
        <v>0.4</v>
      </c>
      <c r="O11" s="169">
        <v>0.5</v>
      </c>
      <c r="P11" s="169">
        <v>0.5</v>
      </c>
      <c r="Q11" s="169">
        <f t="shared" si="0"/>
        <v>0.75</v>
      </c>
      <c r="R11" s="169">
        <v>1</v>
      </c>
      <c r="S11" s="169">
        <v>0</v>
      </c>
      <c r="T11" s="169">
        <v>0</v>
      </c>
      <c r="U11" s="170">
        <v>0</v>
      </c>
      <c r="V11" s="169">
        <v>0</v>
      </c>
      <c r="W11" s="169">
        <v>0</v>
      </c>
      <c r="X11" s="169">
        <v>0</v>
      </c>
      <c r="Y11" s="169">
        <v>0</v>
      </c>
      <c r="Z11" s="169">
        <v>0</v>
      </c>
      <c r="AA11" s="169">
        <v>1</v>
      </c>
      <c r="AB11" s="169">
        <f t="shared" si="5"/>
        <v>8.25</v>
      </c>
      <c r="AD11" s="175" t="str">
        <f>IF(AE11="","no NPT8 - Weather","NPT8 - Weather")</f>
        <v>no NPT8 - Weather</v>
      </c>
      <c r="AE11" s="193" t="str">
        <f t="shared" si="14"/>
        <v/>
      </c>
      <c r="AF11" s="187" t="str">
        <f t="shared" ref="AF11:AH11" si="19">IF(AVERAGEIF($J$4:$J$26,AF$3,$V$4:$V$26)=0,"",AVERAGEIF($J$4:$J$26,AF$3,$V$4:$V$26))</f>
        <v/>
      </c>
      <c r="AG11" s="187" t="str">
        <f t="shared" si="19"/>
        <v/>
      </c>
      <c r="AH11" s="187" t="str">
        <f t="shared" si="19"/>
        <v/>
      </c>
      <c r="AI11" s="187" t="str">
        <f>IF(AVERAGEIF($J$4:$J$26,AI$3,$V$4:$V$26)=0,"",AVERAGEIF($J$4:$J$26,AI$3,$V$4:$V$26))</f>
        <v/>
      </c>
      <c r="AJ11" s="187" t="str">
        <f t="shared" ref="AJ11:AK11" si="20">IF(AVERAGEIF($J$4:$J$26,AJ$3,$V$4:$V$26)=0,"",AVERAGEIF($J$4:$J$26,AJ$3,$V$4:$V$26))</f>
        <v/>
      </c>
      <c r="AK11" s="187" t="str">
        <f t="shared" si="20"/>
        <v/>
      </c>
    </row>
    <row r="12" spans="2:40">
      <c r="B12" s="130" t="s">
        <v>524</v>
      </c>
      <c r="E12" s="173" t="s">
        <v>101</v>
      </c>
      <c r="H12" s="135" t="s">
        <v>427</v>
      </c>
      <c r="I12" s="136" t="s">
        <v>549</v>
      </c>
      <c r="J12" s="140">
        <v>42858</v>
      </c>
      <c r="K12" s="168">
        <f t="shared" si="4"/>
        <v>18</v>
      </c>
      <c r="L12" s="176" t="s">
        <v>543</v>
      </c>
      <c r="M12" s="189">
        <v>0.35</v>
      </c>
      <c r="N12" s="189">
        <v>0.4</v>
      </c>
      <c r="O12" s="169">
        <v>0.5</v>
      </c>
      <c r="P12" s="169">
        <v>0.5</v>
      </c>
      <c r="Q12" s="169">
        <f t="shared" si="0"/>
        <v>0.75</v>
      </c>
      <c r="R12" s="169">
        <v>1</v>
      </c>
      <c r="S12" s="169">
        <v>0</v>
      </c>
      <c r="T12" s="169">
        <v>0</v>
      </c>
      <c r="U12" s="170">
        <v>0</v>
      </c>
      <c r="V12" s="169">
        <v>0</v>
      </c>
      <c r="W12" s="169">
        <v>0</v>
      </c>
      <c r="X12" s="169">
        <v>0</v>
      </c>
      <c r="Y12" s="169">
        <v>0</v>
      </c>
      <c r="Z12" s="169">
        <v>0</v>
      </c>
      <c r="AA12" s="169">
        <v>0</v>
      </c>
      <c r="AB12" s="169">
        <f t="shared" si="5"/>
        <v>9.25</v>
      </c>
      <c r="AD12" s="175" t="str">
        <f>IF(AE12="","no NPT9 - CPY stand-by","NPT9 - CPY stand-by")</f>
        <v>no NPT9 - CPY stand-by</v>
      </c>
      <c r="AE12" s="193" t="str">
        <f t="shared" si="14"/>
        <v/>
      </c>
      <c r="AF12" s="187" t="str">
        <f t="shared" ref="AF12:AH12" si="21">IF(AVERAGEIF($J$4:$J$26,AF$3,$W$4:$W$26)=0,"",AVERAGEIF($J$4:$J$26,AF$3,$W$4:$W$26))</f>
        <v/>
      </c>
      <c r="AG12" s="187" t="str">
        <f t="shared" si="21"/>
        <v/>
      </c>
      <c r="AH12" s="187" t="str">
        <f t="shared" si="21"/>
        <v/>
      </c>
      <c r="AI12" s="187" t="str">
        <f>IF(AVERAGEIF($J$4:$J$26,AI$3,$W$4:$W$26)=0,"",AVERAGEIF($J$4:$J$26,AI$3,$W$4:$W$26))</f>
        <v/>
      </c>
      <c r="AJ12" s="187" t="str">
        <f t="shared" ref="AJ12:AK12" si="22">IF(AVERAGEIF($J$4:$J$26,AJ$3,$W$4:$W$26)=0,"",AVERAGEIF($J$4:$J$26,AJ$3,$W$4:$W$26))</f>
        <v/>
      </c>
      <c r="AK12" s="187" t="str">
        <f t="shared" si="22"/>
        <v/>
      </c>
    </row>
    <row r="13" spans="2:40">
      <c r="B13" s="130" t="s">
        <v>525</v>
      </c>
      <c r="E13" s="173" t="s">
        <v>97</v>
      </c>
      <c r="H13" s="135" t="s">
        <v>428</v>
      </c>
      <c r="I13" s="136" t="s">
        <v>549</v>
      </c>
      <c r="J13" s="140">
        <v>42858</v>
      </c>
      <c r="K13" s="168">
        <f t="shared" si="4"/>
        <v>18</v>
      </c>
      <c r="L13" s="176" t="s">
        <v>544</v>
      </c>
      <c r="M13" s="189">
        <v>0.35</v>
      </c>
      <c r="N13" s="189">
        <v>0.4</v>
      </c>
      <c r="O13" s="169">
        <v>0.5</v>
      </c>
      <c r="P13" s="169">
        <v>0.5</v>
      </c>
      <c r="Q13" s="169">
        <f t="shared" si="0"/>
        <v>0.75</v>
      </c>
      <c r="R13" s="169">
        <v>1</v>
      </c>
      <c r="S13" s="169">
        <v>0</v>
      </c>
      <c r="T13" s="169">
        <v>0</v>
      </c>
      <c r="U13" s="170">
        <v>0</v>
      </c>
      <c r="V13" s="169">
        <v>0</v>
      </c>
      <c r="W13" s="169">
        <v>0</v>
      </c>
      <c r="X13" s="169">
        <v>0</v>
      </c>
      <c r="Y13" s="169">
        <v>0</v>
      </c>
      <c r="Z13" s="169">
        <v>0</v>
      </c>
      <c r="AA13" s="169">
        <v>0</v>
      </c>
      <c r="AB13" s="169">
        <f t="shared" si="5"/>
        <v>9.25</v>
      </c>
      <c r="AD13" s="175" t="str">
        <f>IF(AE13="","no NPT10 - Induction","NPT10 - Induction")</f>
        <v>no NPT10 - Induction</v>
      </c>
      <c r="AE13" s="193" t="str">
        <f t="shared" si="14"/>
        <v/>
      </c>
      <c r="AF13" s="187" t="str">
        <f t="shared" ref="AF13:AH13" si="23">IF(AVERAGEIF($J$4:$J$26,AF$3,$X$4:$X$26)=0,"",AVERAGEIF($J$4:$J$26,AF$3,$X$4:$X$26))</f>
        <v/>
      </c>
      <c r="AG13" s="187" t="str">
        <f t="shared" si="23"/>
        <v/>
      </c>
      <c r="AH13" s="187" t="str">
        <f t="shared" si="23"/>
        <v/>
      </c>
      <c r="AI13" s="187" t="str">
        <f>IF(AVERAGEIF($J$4:$J$26,AI$3,$X$4:$X$26)=0,"",AVERAGEIF($J$4:$J$26,AI$3,$X$4:$X$26))</f>
        <v/>
      </c>
      <c r="AJ13" s="187" t="str">
        <f t="shared" ref="AJ13:AK13" si="24">IF(AVERAGEIF($J$4:$J$26,AJ$3,$X$4:$X$26)=0,"",AVERAGEIF($J$4:$J$26,AJ$3,$X$4:$X$26))</f>
        <v/>
      </c>
      <c r="AK13" s="187" t="str">
        <f t="shared" si="24"/>
        <v/>
      </c>
    </row>
    <row r="14" spans="2:40">
      <c r="B14" s="130" t="s">
        <v>526</v>
      </c>
      <c r="H14" s="135" t="s">
        <v>429</v>
      </c>
      <c r="I14" s="136" t="s">
        <v>549</v>
      </c>
      <c r="J14" s="172">
        <v>42859</v>
      </c>
      <c r="K14" s="168">
        <f t="shared" si="4"/>
        <v>18</v>
      </c>
      <c r="L14" s="136" t="s">
        <v>543</v>
      </c>
      <c r="M14" s="189">
        <v>0</v>
      </c>
      <c r="N14" s="189">
        <v>0.4</v>
      </c>
      <c r="O14" s="169">
        <v>0.5</v>
      </c>
      <c r="P14" s="169">
        <v>0.5</v>
      </c>
      <c r="Q14" s="169">
        <f t="shared" si="0"/>
        <v>0.4</v>
      </c>
      <c r="R14" s="169">
        <v>1</v>
      </c>
      <c r="S14" s="169">
        <v>0</v>
      </c>
      <c r="T14" s="169">
        <v>0</v>
      </c>
      <c r="U14" s="170">
        <v>0</v>
      </c>
      <c r="V14" s="169">
        <v>0</v>
      </c>
      <c r="W14" s="169">
        <v>0</v>
      </c>
      <c r="X14" s="169">
        <v>0</v>
      </c>
      <c r="Y14" s="169">
        <v>6</v>
      </c>
      <c r="Z14" s="169">
        <v>0</v>
      </c>
      <c r="AA14" s="169">
        <v>0</v>
      </c>
      <c r="AB14" s="169">
        <f t="shared" si="5"/>
        <v>3.5999999999999996</v>
      </c>
      <c r="AD14" s="175" t="str">
        <f>IF(AE14="","no NPT11 - Sunday Safety","NPT11 - Sunday Safety")</f>
        <v>NPT11 - Sunday Safety</v>
      </c>
      <c r="AE14" s="193">
        <f t="shared" si="14"/>
        <v>6</v>
      </c>
      <c r="AF14" s="187" t="str">
        <f t="shared" ref="AF14:AH14" si="25">IF(AVERAGEIF($J$4:$J$26,AF$3,$Y$4:$Y$26)=0,"",AVERAGEIF($J$4:$J$26,AF$3,$Y$4:$Y$26))</f>
        <v/>
      </c>
      <c r="AG14" s="187" t="str">
        <f t="shared" si="25"/>
        <v/>
      </c>
      <c r="AH14" s="187" t="str">
        <f t="shared" si="25"/>
        <v/>
      </c>
      <c r="AI14" s="187">
        <f>IF(AVERAGEIF($J$4:$J$26,AI$3,$Y$4:$Y$26)=0,"",AVERAGEIF($J$4:$J$26,AI$3,$Y$4:$Y$26))</f>
        <v>6</v>
      </c>
      <c r="AJ14" s="187" t="str">
        <f t="shared" ref="AJ14:AK14" si="26">IF(AVERAGEIF($J$4:$J$26,AJ$3,$Y$4:$Y$26)=0,"",AVERAGEIF($J$4:$J$26,AJ$3,$Y$4:$Y$26))</f>
        <v/>
      </c>
      <c r="AK14" s="187" t="str">
        <f t="shared" si="26"/>
        <v/>
      </c>
    </row>
    <row r="15" spans="2:40">
      <c r="B15" s="130" t="s">
        <v>527</v>
      </c>
      <c r="E15" s="132" t="s">
        <v>562</v>
      </c>
      <c r="H15" s="135" t="s">
        <v>430</v>
      </c>
      <c r="I15" s="136" t="s">
        <v>549</v>
      </c>
      <c r="J15" s="172">
        <v>42859</v>
      </c>
      <c r="K15" s="168">
        <f t="shared" si="4"/>
        <v>18</v>
      </c>
      <c r="L15" s="136" t="s">
        <v>544</v>
      </c>
      <c r="M15" s="189">
        <v>0</v>
      </c>
      <c r="N15" s="189">
        <v>0.4</v>
      </c>
      <c r="O15" s="169">
        <v>0.5</v>
      </c>
      <c r="P15" s="169">
        <v>0.5</v>
      </c>
      <c r="Q15" s="169">
        <f t="shared" si="0"/>
        <v>0.4</v>
      </c>
      <c r="R15" s="169">
        <v>1</v>
      </c>
      <c r="S15" s="169">
        <v>0</v>
      </c>
      <c r="T15" s="169">
        <v>0</v>
      </c>
      <c r="U15" s="170">
        <v>0</v>
      </c>
      <c r="V15" s="169">
        <v>0</v>
      </c>
      <c r="W15" s="169">
        <v>0</v>
      </c>
      <c r="X15" s="169">
        <v>0</v>
      </c>
      <c r="Y15" s="169">
        <v>6</v>
      </c>
      <c r="Z15" s="169">
        <v>0</v>
      </c>
      <c r="AA15" s="169">
        <v>0</v>
      </c>
      <c r="AB15" s="169">
        <f t="shared" si="5"/>
        <v>3.5999999999999996</v>
      </c>
      <c r="AD15" s="175" t="str">
        <f>IF(AE15="","no NPT12 - Crew Change","NPT12 - Crew Change")</f>
        <v>no NPT12 - Crew Change</v>
      </c>
      <c r="AE15" s="193" t="str">
        <f t="shared" si="14"/>
        <v/>
      </c>
      <c r="AF15" s="187" t="str">
        <f t="shared" ref="AF15:AH15" si="27">IF(AVERAGEIF($J$4:$J$26,AF$3,$Z$4:$Z$26)=0,"",AVERAGEIF($J$4:$J$26,AF$3,$Z$4:$Z$26))</f>
        <v/>
      </c>
      <c r="AG15" s="187" t="str">
        <f t="shared" si="27"/>
        <v/>
      </c>
      <c r="AH15" s="187" t="str">
        <f t="shared" si="27"/>
        <v/>
      </c>
      <c r="AI15" s="187" t="str">
        <f>IF(AVERAGEIF($J$4:$J$26,AI$3,$Z$4:$Z$26)=0,"",AVERAGEIF($J$4:$J$26,AI$3,$Z$4:$Z$26))</f>
        <v/>
      </c>
      <c r="AJ15" s="187" t="str">
        <f t="shared" ref="AJ15:AK15" si="28">IF(AVERAGEIF($J$4:$J$26,AJ$3,$Z$4:$Z$26)=0,"",AVERAGEIF($J$4:$J$26,AJ$3,$Z$4:$Z$26))</f>
        <v/>
      </c>
      <c r="AK15" s="187" t="str">
        <f t="shared" si="28"/>
        <v/>
      </c>
    </row>
    <row r="16" spans="2:40">
      <c r="B16" s="130" t="s">
        <v>528</v>
      </c>
      <c r="E16" s="173" t="s">
        <v>358</v>
      </c>
      <c r="H16" s="135" t="s">
        <v>431</v>
      </c>
      <c r="I16" s="136" t="s">
        <v>550</v>
      </c>
      <c r="J16" s="172">
        <v>42860</v>
      </c>
      <c r="K16" s="168">
        <f t="shared" si="4"/>
        <v>18</v>
      </c>
      <c r="L16" s="176" t="s">
        <v>545</v>
      </c>
      <c r="M16" s="189">
        <v>0.35</v>
      </c>
      <c r="N16" s="189">
        <v>0.4</v>
      </c>
      <c r="O16" s="169">
        <v>0.5</v>
      </c>
      <c r="P16" s="169">
        <v>0.5</v>
      </c>
      <c r="Q16" s="169">
        <f t="shared" si="0"/>
        <v>0.75</v>
      </c>
      <c r="R16" s="169">
        <v>1</v>
      </c>
      <c r="S16" s="169">
        <v>0</v>
      </c>
      <c r="T16" s="169">
        <v>0</v>
      </c>
      <c r="U16" s="170">
        <v>0</v>
      </c>
      <c r="V16" s="169">
        <v>0</v>
      </c>
      <c r="W16" s="169">
        <v>0</v>
      </c>
      <c r="X16" s="169">
        <v>0</v>
      </c>
      <c r="Y16" s="169">
        <v>0</v>
      </c>
      <c r="Z16" s="169">
        <v>0</v>
      </c>
      <c r="AA16" s="169">
        <v>0</v>
      </c>
      <c r="AB16" s="169">
        <f t="shared" si="5"/>
        <v>9.25</v>
      </c>
      <c r="AD16" s="175" t="str">
        <f>IF(AE16="","no NPT13 - Slack Period","NPT13 - Slack period")</f>
        <v>NPT13 - Slack period</v>
      </c>
      <c r="AE16" s="193">
        <f t="shared" si="14"/>
        <v>1</v>
      </c>
      <c r="AF16" s="187">
        <f t="shared" ref="AF16:AH16" si="29">IF(AVERAGEIF($J$4:$J$26,AF$3,$AA$4:$AA$26)=0,"",AVERAGEIF($J$4:$J$26,AF$3,$AA$4:$AA$26))</f>
        <v>1.5</v>
      </c>
      <c r="AG16" s="187">
        <f t="shared" si="29"/>
        <v>0.5</v>
      </c>
      <c r="AH16" s="187" t="str">
        <f t="shared" si="29"/>
        <v/>
      </c>
      <c r="AI16" s="187" t="str">
        <f>IF(AVERAGEIF($J$4:$J$26,AI$3,$AA$4:$AA$26)=0,"",AVERAGEIF($J$4:$J$26,AI$3,$AA$4:$AA$26))</f>
        <v/>
      </c>
      <c r="AJ16" s="187" t="str">
        <f t="shared" ref="AJ16:AK16" si="30">IF(AVERAGEIF($J$4:$J$26,AJ$3,$AA$4:$AA$26)=0,"",AVERAGEIF($J$4:$J$26,AJ$3,$AA$4:$AA$26))</f>
        <v/>
      </c>
      <c r="AK16" s="187" t="str">
        <f t="shared" si="30"/>
        <v/>
      </c>
    </row>
    <row r="17" spans="2:37" ht="13.5" thickBot="1">
      <c r="B17" s="130" t="s">
        <v>529</v>
      </c>
      <c r="E17" s="173" t="s">
        <v>82</v>
      </c>
      <c r="H17" s="135" t="s">
        <v>432</v>
      </c>
      <c r="I17" s="136" t="s">
        <v>550</v>
      </c>
      <c r="J17" s="172">
        <v>42860</v>
      </c>
      <c r="K17" s="168">
        <f t="shared" si="4"/>
        <v>18</v>
      </c>
      <c r="L17" s="176" t="s">
        <v>546</v>
      </c>
      <c r="M17" s="189">
        <v>0.35</v>
      </c>
      <c r="N17" s="189">
        <v>0.4</v>
      </c>
      <c r="O17" s="169">
        <v>0.5</v>
      </c>
      <c r="P17" s="169">
        <v>0.5</v>
      </c>
      <c r="Q17" s="169">
        <f t="shared" si="0"/>
        <v>0.75</v>
      </c>
      <c r="R17" s="169">
        <v>1</v>
      </c>
      <c r="S17" s="169">
        <v>0</v>
      </c>
      <c r="T17" s="169">
        <v>0</v>
      </c>
      <c r="U17" s="170">
        <v>0</v>
      </c>
      <c r="V17" s="169">
        <v>0</v>
      </c>
      <c r="W17" s="169">
        <v>0</v>
      </c>
      <c r="X17" s="169">
        <v>0</v>
      </c>
      <c r="Y17" s="169">
        <v>0</v>
      </c>
      <c r="Z17" s="169">
        <v>0</v>
      </c>
      <c r="AA17" s="169">
        <v>0</v>
      </c>
      <c r="AB17" s="169">
        <f t="shared" si="5"/>
        <v>9.25</v>
      </c>
      <c r="AD17" s="175" t="s">
        <v>565</v>
      </c>
      <c r="AE17" s="193">
        <f t="shared" si="14"/>
        <v>7.9750000000000005</v>
      </c>
      <c r="AF17" s="187">
        <f t="shared" ref="AF17:AH17" si="31">IF(AVERAGEIF($J$4:$J$26,AF$3,$AB$4:$AB$26)=0,"",AVERAGEIF($J$4:$J$26,AF$3,$AB$4:$AB$26))</f>
        <v>7.75</v>
      </c>
      <c r="AG17" s="187">
        <f t="shared" si="31"/>
        <v>8.75</v>
      </c>
      <c r="AH17" s="187">
        <f t="shared" si="31"/>
        <v>9.25</v>
      </c>
      <c r="AI17" s="187">
        <f>IF(AVERAGEIF($J$4:$J$26,AI$3,$AB$4:$AB$26)=0,"",AVERAGEIF($J$4:$J$26,AI$3,$AB$4:$AB$26))</f>
        <v>3.5999999999999996</v>
      </c>
      <c r="AJ17" s="187">
        <f t="shared" ref="AJ17:AK17" si="32">IF(AVERAGEIF($J$4:$J$26,AJ$3,$AB$4:$AB$26)=0,"",AVERAGEIF($J$4:$J$26,AJ$3,$AB$4:$AB$26))</f>
        <v>9.25</v>
      </c>
      <c r="AK17" s="187">
        <f t="shared" si="32"/>
        <v>9.25</v>
      </c>
    </row>
    <row r="18" spans="2:37" ht="13.5" thickBot="1">
      <c r="B18" s="130" t="s">
        <v>530</v>
      </c>
      <c r="D18" s="240" t="s">
        <v>564</v>
      </c>
      <c r="E18" s="173" t="s">
        <v>361</v>
      </c>
      <c r="H18" s="135" t="s">
        <v>433</v>
      </c>
      <c r="I18" s="136" t="s">
        <v>550</v>
      </c>
      <c r="J18" s="172">
        <v>42860</v>
      </c>
      <c r="K18" s="168">
        <f t="shared" si="4"/>
        <v>18</v>
      </c>
      <c r="L18" s="176" t="s">
        <v>547</v>
      </c>
      <c r="M18" s="189">
        <v>0.35</v>
      </c>
      <c r="N18" s="189">
        <v>0.4</v>
      </c>
      <c r="O18" s="169">
        <v>0.5</v>
      </c>
      <c r="P18" s="169">
        <v>0.5</v>
      </c>
      <c r="Q18" s="169">
        <f t="shared" si="0"/>
        <v>0.75</v>
      </c>
      <c r="R18" s="169">
        <v>1</v>
      </c>
      <c r="S18" s="169">
        <v>0</v>
      </c>
      <c r="T18" s="169">
        <v>0</v>
      </c>
      <c r="U18" s="170">
        <v>0</v>
      </c>
      <c r="V18" s="169">
        <v>0</v>
      </c>
      <c r="W18" s="169">
        <v>0</v>
      </c>
      <c r="X18" s="169">
        <v>0</v>
      </c>
      <c r="Y18" s="169">
        <v>0</v>
      </c>
      <c r="Z18" s="169">
        <v>0</v>
      </c>
      <c r="AA18" s="169">
        <v>0</v>
      </c>
      <c r="AB18" s="169">
        <f t="shared" si="5"/>
        <v>9.25</v>
      </c>
      <c r="AD18" s="180"/>
      <c r="AE18" s="181"/>
      <c r="AF18" s="182"/>
      <c r="AG18" s="167"/>
      <c r="AH18" s="167"/>
      <c r="AI18" s="167"/>
      <c r="AJ18" s="167"/>
      <c r="AK18" s="167"/>
    </row>
    <row r="19" spans="2:37" ht="13.5" thickBot="1">
      <c r="B19" s="130" t="s">
        <v>531</v>
      </c>
      <c r="D19" s="241"/>
      <c r="E19" s="173" t="s">
        <v>356</v>
      </c>
      <c r="H19" s="135" t="s">
        <v>434</v>
      </c>
      <c r="I19" s="136" t="s">
        <v>550</v>
      </c>
      <c r="J19" s="172">
        <v>42861</v>
      </c>
      <c r="K19" s="168">
        <f t="shared" si="4"/>
        <v>18</v>
      </c>
      <c r="L19" s="136" t="s">
        <v>545</v>
      </c>
      <c r="M19" s="189">
        <v>0.35</v>
      </c>
      <c r="N19" s="189">
        <v>0.4</v>
      </c>
      <c r="O19" s="169">
        <v>0.5</v>
      </c>
      <c r="P19" s="169">
        <v>0.5</v>
      </c>
      <c r="Q19" s="169">
        <f t="shared" si="0"/>
        <v>0.75</v>
      </c>
      <c r="R19" s="169">
        <v>1</v>
      </c>
      <c r="S19" s="169">
        <v>0</v>
      </c>
      <c r="T19" s="169">
        <v>0</v>
      </c>
      <c r="U19" s="170">
        <v>0</v>
      </c>
      <c r="V19" s="169">
        <v>0</v>
      </c>
      <c r="W19" s="169">
        <v>0</v>
      </c>
      <c r="X19" s="169">
        <v>0</v>
      </c>
      <c r="Y19" s="169">
        <v>0</v>
      </c>
      <c r="Z19" s="169">
        <v>0</v>
      </c>
      <c r="AA19" s="169">
        <v>0</v>
      </c>
      <c r="AB19" s="169">
        <f t="shared" si="5"/>
        <v>9.25</v>
      </c>
      <c r="AD19" s="242" t="s">
        <v>566</v>
      </c>
      <c r="AE19" s="243"/>
      <c r="AF19" s="183">
        <f>SUM(AF4:AF16)</f>
        <v>4.25</v>
      </c>
      <c r="AG19" s="184">
        <f t="shared" ref="AG19:AK19" si="33">SUM(AG4:AG16)</f>
        <v>3.25</v>
      </c>
      <c r="AH19" s="184">
        <f t="shared" si="33"/>
        <v>2.75</v>
      </c>
      <c r="AI19" s="184">
        <f t="shared" si="33"/>
        <v>8.4</v>
      </c>
      <c r="AJ19" s="184">
        <f t="shared" si="33"/>
        <v>2.75</v>
      </c>
      <c r="AK19" s="185">
        <f t="shared" si="33"/>
        <v>2.75</v>
      </c>
    </row>
    <row r="20" spans="2:37">
      <c r="B20" s="130" t="s">
        <v>532</v>
      </c>
      <c r="E20" s="173" t="s">
        <v>357</v>
      </c>
      <c r="H20" s="135" t="s">
        <v>435</v>
      </c>
      <c r="I20" s="136" t="s">
        <v>550</v>
      </c>
      <c r="J20" s="172">
        <v>42861</v>
      </c>
      <c r="K20" s="141">
        <f t="shared" si="4"/>
        <v>18</v>
      </c>
      <c r="L20" s="136" t="s">
        <v>546</v>
      </c>
      <c r="M20" s="189">
        <v>0.35</v>
      </c>
      <c r="N20" s="189">
        <v>0.4</v>
      </c>
      <c r="O20" s="169">
        <v>0.5</v>
      </c>
      <c r="P20" s="169">
        <v>0.5</v>
      </c>
      <c r="Q20" s="169">
        <f t="shared" si="0"/>
        <v>0.75</v>
      </c>
      <c r="R20" s="169">
        <v>1</v>
      </c>
      <c r="S20" s="169">
        <v>0</v>
      </c>
      <c r="T20" s="169">
        <v>0</v>
      </c>
      <c r="U20" s="170">
        <v>0</v>
      </c>
      <c r="V20" s="169">
        <v>0</v>
      </c>
      <c r="W20" s="169">
        <v>0</v>
      </c>
      <c r="X20" s="169">
        <v>0</v>
      </c>
      <c r="Y20" s="169">
        <v>0</v>
      </c>
      <c r="Z20" s="169">
        <v>0</v>
      </c>
      <c r="AA20" s="169">
        <v>0</v>
      </c>
      <c r="AB20" s="169">
        <f t="shared" si="5"/>
        <v>9.25</v>
      </c>
    </row>
    <row r="21" spans="2:37">
      <c r="B21" s="130" t="s">
        <v>533</v>
      </c>
      <c r="E21" s="173" t="s">
        <v>143</v>
      </c>
      <c r="H21" s="135" t="s">
        <v>436</v>
      </c>
      <c r="I21" s="136" t="s">
        <v>550</v>
      </c>
      <c r="J21" s="172">
        <v>42861</v>
      </c>
      <c r="K21" s="141">
        <f t="shared" si="4"/>
        <v>18</v>
      </c>
      <c r="L21" s="136" t="s">
        <v>547</v>
      </c>
      <c r="M21" s="189">
        <v>0.35</v>
      </c>
      <c r="N21" s="189">
        <v>0.4</v>
      </c>
      <c r="O21" s="169">
        <v>0.5</v>
      </c>
      <c r="P21" s="169">
        <v>0.5</v>
      </c>
      <c r="Q21" s="169">
        <f t="shared" si="0"/>
        <v>0.75</v>
      </c>
      <c r="R21" s="169">
        <v>1</v>
      </c>
      <c r="S21" s="169">
        <v>0</v>
      </c>
      <c r="T21" s="169">
        <v>0</v>
      </c>
      <c r="U21" s="170">
        <v>0</v>
      </c>
      <c r="V21" s="169">
        <v>0</v>
      </c>
      <c r="W21" s="169">
        <v>0</v>
      </c>
      <c r="X21" s="169">
        <v>0</v>
      </c>
      <c r="Y21" s="169">
        <v>0</v>
      </c>
      <c r="Z21" s="169">
        <v>0</v>
      </c>
      <c r="AA21" s="169">
        <v>0</v>
      </c>
      <c r="AB21" s="169">
        <f t="shared" si="5"/>
        <v>9.25</v>
      </c>
    </row>
    <row r="22" spans="2:37">
      <c r="B22" s="130" t="s">
        <v>534</v>
      </c>
      <c r="H22" s="135" t="s">
        <v>437</v>
      </c>
      <c r="I22" s="136" t="s">
        <v>551</v>
      </c>
      <c r="J22" s="172">
        <v>42869</v>
      </c>
      <c r="K22" s="141">
        <f t="shared" si="4"/>
        <v>20</v>
      </c>
      <c r="L22" s="136" t="s">
        <v>552</v>
      </c>
      <c r="M22" s="189">
        <v>0.35</v>
      </c>
      <c r="N22" s="189">
        <v>0.4</v>
      </c>
      <c r="O22" s="169">
        <v>0.5</v>
      </c>
      <c r="P22" s="169">
        <v>0.5</v>
      </c>
      <c r="Q22" s="169">
        <f t="shared" si="0"/>
        <v>0.75</v>
      </c>
      <c r="R22" s="169">
        <v>1</v>
      </c>
      <c r="S22" s="169">
        <v>0</v>
      </c>
      <c r="T22" s="169">
        <v>0</v>
      </c>
      <c r="U22" s="170">
        <v>0</v>
      </c>
      <c r="V22" s="169">
        <v>0</v>
      </c>
      <c r="W22" s="169">
        <v>0.5</v>
      </c>
      <c r="X22" s="169">
        <v>0</v>
      </c>
      <c r="Y22" s="169">
        <v>0</v>
      </c>
      <c r="Z22" s="169">
        <v>0</v>
      </c>
      <c r="AA22" s="169">
        <v>0</v>
      </c>
      <c r="AB22" s="169">
        <f t="shared" si="5"/>
        <v>8.75</v>
      </c>
    </row>
    <row r="23" spans="2:37">
      <c r="B23" s="130" t="s">
        <v>535</v>
      </c>
      <c r="E23" s="133"/>
      <c r="H23" s="135" t="s">
        <v>438</v>
      </c>
      <c r="I23" s="136" t="s">
        <v>551</v>
      </c>
      <c r="J23" s="172">
        <v>42869</v>
      </c>
      <c r="K23" s="141">
        <f t="shared" si="4"/>
        <v>20</v>
      </c>
      <c r="L23" s="136" t="s">
        <v>553</v>
      </c>
      <c r="M23" s="189">
        <v>0.35</v>
      </c>
      <c r="N23" s="189">
        <v>0.4</v>
      </c>
      <c r="O23" s="169">
        <v>0.5</v>
      </c>
      <c r="P23" s="169">
        <v>0.5</v>
      </c>
      <c r="Q23" s="169">
        <f t="shared" si="0"/>
        <v>0.75</v>
      </c>
      <c r="R23" s="169">
        <v>1</v>
      </c>
      <c r="S23" s="169">
        <v>0</v>
      </c>
      <c r="T23" s="169">
        <v>0</v>
      </c>
      <c r="U23" s="170">
        <v>0</v>
      </c>
      <c r="V23" s="169">
        <v>0</v>
      </c>
      <c r="W23" s="169">
        <v>0.5</v>
      </c>
      <c r="X23" s="169">
        <v>0</v>
      </c>
      <c r="Y23" s="169">
        <v>0</v>
      </c>
      <c r="Z23" s="169">
        <v>0</v>
      </c>
      <c r="AA23" s="169">
        <v>0</v>
      </c>
      <c r="AB23" s="169">
        <f t="shared" si="5"/>
        <v>8.75</v>
      </c>
    </row>
    <row r="24" spans="2:37">
      <c r="B24" s="130" t="s">
        <v>560</v>
      </c>
      <c r="H24" s="135" t="s">
        <v>439</v>
      </c>
      <c r="I24" s="136" t="s">
        <v>551</v>
      </c>
      <c r="J24" s="172">
        <v>42869</v>
      </c>
      <c r="K24" s="141">
        <f t="shared" si="4"/>
        <v>20</v>
      </c>
      <c r="L24" s="136" t="s">
        <v>554</v>
      </c>
      <c r="M24" s="189">
        <v>0.35</v>
      </c>
      <c r="N24" s="189">
        <v>0.4</v>
      </c>
      <c r="O24" s="169">
        <v>0.5</v>
      </c>
      <c r="P24" s="169">
        <v>0.5</v>
      </c>
      <c r="Q24" s="169">
        <f t="shared" si="0"/>
        <v>0.75</v>
      </c>
      <c r="R24" s="169">
        <v>1</v>
      </c>
      <c r="S24" s="169">
        <v>0</v>
      </c>
      <c r="T24" s="169">
        <v>0</v>
      </c>
      <c r="U24" s="170">
        <v>0</v>
      </c>
      <c r="V24" s="169">
        <v>0</v>
      </c>
      <c r="W24" s="169">
        <v>0.5</v>
      </c>
      <c r="X24" s="169">
        <v>0</v>
      </c>
      <c r="Y24" s="169">
        <v>0</v>
      </c>
      <c r="Z24" s="169">
        <v>0</v>
      </c>
      <c r="AA24" s="169">
        <v>0</v>
      </c>
      <c r="AB24" s="169">
        <f t="shared" si="5"/>
        <v>8.75</v>
      </c>
    </row>
    <row r="25" spans="2:37">
      <c r="H25" s="135" t="s">
        <v>440</v>
      </c>
      <c r="I25" s="141" t="s">
        <v>557</v>
      </c>
      <c r="J25" s="172">
        <v>42870</v>
      </c>
      <c r="K25" s="141">
        <f t="shared" si="4"/>
        <v>20</v>
      </c>
      <c r="L25" s="136" t="s">
        <v>558</v>
      </c>
      <c r="M25" s="189">
        <v>0</v>
      </c>
      <c r="N25" s="189">
        <v>0</v>
      </c>
      <c r="O25" s="169">
        <v>0</v>
      </c>
      <c r="P25" s="169">
        <v>0</v>
      </c>
      <c r="Q25" s="169">
        <f t="shared" si="0"/>
        <v>0</v>
      </c>
      <c r="R25" s="169">
        <v>0</v>
      </c>
      <c r="S25" s="169">
        <v>0</v>
      </c>
      <c r="T25" s="169">
        <v>0</v>
      </c>
      <c r="U25" s="169">
        <v>0</v>
      </c>
      <c r="V25" s="169">
        <v>0</v>
      </c>
      <c r="W25" s="169">
        <v>0</v>
      </c>
      <c r="X25" s="169">
        <v>12</v>
      </c>
      <c r="Y25" s="169">
        <v>0</v>
      </c>
      <c r="Z25" s="169">
        <v>0</v>
      </c>
      <c r="AA25" s="169">
        <v>0</v>
      </c>
      <c r="AB25" s="169">
        <f t="shared" si="5"/>
        <v>0</v>
      </c>
    </row>
    <row r="26" spans="2:37">
      <c r="H26" s="135" t="s">
        <v>441</v>
      </c>
      <c r="I26" s="141" t="s">
        <v>557</v>
      </c>
      <c r="J26" s="172">
        <v>42870</v>
      </c>
      <c r="K26" s="141">
        <f t="shared" si="4"/>
        <v>20</v>
      </c>
      <c r="L26" s="136" t="s">
        <v>559</v>
      </c>
      <c r="M26" s="189">
        <v>0</v>
      </c>
      <c r="N26" s="189">
        <v>0</v>
      </c>
      <c r="O26" s="169">
        <v>0</v>
      </c>
      <c r="P26" s="169">
        <v>0</v>
      </c>
      <c r="Q26" s="169">
        <f t="shared" si="0"/>
        <v>0</v>
      </c>
      <c r="R26" s="169">
        <v>0</v>
      </c>
      <c r="S26" s="169">
        <v>0</v>
      </c>
      <c r="T26" s="169">
        <v>0</v>
      </c>
      <c r="U26" s="169">
        <v>0</v>
      </c>
      <c r="V26" s="169">
        <v>0</v>
      </c>
      <c r="W26" s="169">
        <v>0</v>
      </c>
      <c r="X26" s="169">
        <v>12</v>
      </c>
      <c r="Y26" s="169">
        <v>0</v>
      </c>
      <c r="Z26" s="169">
        <v>0</v>
      </c>
      <c r="AA26" s="169">
        <v>0</v>
      </c>
      <c r="AB26" s="169">
        <f t="shared" si="5"/>
        <v>0</v>
      </c>
    </row>
    <row r="27" spans="2:37">
      <c r="E27" s="99"/>
      <c r="H27" s="143"/>
      <c r="I27" s="141"/>
      <c r="J27" s="141"/>
      <c r="K27" s="141"/>
      <c r="L27" s="141"/>
      <c r="M27" s="189"/>
      <c r="N27" s="18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</row>
    <row r="29" spans="2:37" ht="15">
      <c r="L29" s="111"/>
    </row>
    <row r="30" spans="2:37" ht="15">
      <c r="B30" s="111"/>
      <c r="F30" s="202"/>
    </row>
    <row r="52" spans="2:2" ht="15">
      <c r="B52" s="202"/>
    </row>
  </sheetData>
  <mergeCells count="2">
    <mergeCell ref="D18:D19"/>
    <mergeCell ref="AD19:AE19"/>
  </mergeCells>
  <pageMargins left="0.31496062992125984" right="0.11811023622047245" top="0.35433070866141736" bottom="0.35433070866141736" header="0.31496062992125984" footer="0.31496062992125984"/>
  <pageSetup paperSize="8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NameDB</vt:lpstr>
      <vt:lpstr>SubCat</vt:lpstr>
      <vt:lpstr>NameCheck</vt:lpstr>
      <vt:lpstr>DailyDB</vt:lpstr>
      <vt:lpstr>PermitDB</vt:lpstr>
      <vt:lpstr>ProgressDB</vt:lpstr>
      <vt:lpstr>Logistic Process DB</vt:lpstr>
      <vt:lpstr>PTW Process DB</vt:lpstr>
      <vt:lpstr>Daily Activity DB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 Fargeas</dc:creator>
  <cp:lastModifiedBy>JL Fargeas</cp:lastModifiedBy>
  <cp:lastPrinted>2017-06-12T15:34:44Z</cp:lastPrinted>
  <dcterms:created xsi:type="dcterms:W3CDTF">2017-03-10T09:08:44Z</dcterms:created>
  <dcterms:modified xsi:type="dcterms:W3CDTF">2017-07-18T14:14:16Z</dcterms:modified>
</cp:coreProperties>
</file>