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firstSheet="1" activeTab="1"/>
  </bookViews>
  <sheets>
    <sheet name="." sheetId="5" r:id="rId1"/>
    <sheet name="Base_Sinistre" sheetId="2" r:id="rId2"/>
    <sheet name="Base_Epave" sheetId="9" state="veryHidden" r:id="rId3"/>
    <sheet name="Modèle_Sinistre" sheetId="1" r:id="rId4"/>
    <sheet name="Modèle_Epave" sheetId="10" state="veryHidden" r:id="rId5"/>
    <sheet name="Autorisation" sheetId="3" r:id="rId6"/>
    <sheet name="Reseaux" sheetId="6" r:id="rId7"/>
    <sheet name="Récap" sheetId="8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52511"/>
</workbook>
</file>

<file path=xl/calcChain.xml><?xml version="1.0" encoding="utf-8"?>
<calcChain xmlns="http://schemas.openxmlformats.org/spreadsheetml/2006/main">
  <c r="P28" i="2" l="1"/>
  <c r="P27" i="2"/>
  <c r="O27" i="2"/>
  <c r="O23" i="2"/>
  <c r="E16" i="2"/>
  <c r="G17" i="2" l="1"/>
  <c r="G16" i="2"/>
  <c r="E22" i="10" l="1"/>
  <c r="B14" i="10"/>
  <c r="F13" i="10"/>
  <c r="G1" i="10"/>
  <c r="I18" i="9" l="1"/>
  <c r="H18" i="9"/>
  <c r="D18" i="9"/>
  <c r="O17" i="9"/>
  <c r="G17" i="9"/>
  <c r="O16" i="9"/>
  <c r="E16" i="9"/>
  <c r="F15" i="9" s="1"/>
  <c r="O15" i="9"/>
  <c r="O14" i="9"/>
  <c r="G14" i="9"/>
  <c r="O13" i="9"/>
  <c r="G13" i="9"/>
  <c r="G19" i="9" s="1"/>
  <c r="F13" i="9"/>
  <c r="F19" i="9" s="1"/>
  <c r="G12" i="9"/>
  <c r="G11" i="9"/>
  <c r="G10" i="9"/>
  <c r="G9" i="9"/>
  <c r="E9" i="9"/>
  <c r="P18" i="9" l="1"/>
  <c r="G15" i="9"/>
  <c r="P14" i="9" s="1"/>
  <c r="O19" i="9"/>
  <c r="F18" i="9"/>
  <c r="O20" i="9" s="1"/>
  <c r="O18" i="9"/>
  <c r="P15" i="9"/>
  <c r="P17" i="9"/>
  <c r="P16" i="9"/>
  <c r="S17" i="9"/>
  <c r="P19" i="9" l="1"/>
  <c r="F16" i="9"/>
  <c r="L9" i="2"/>
  <c r="G18" i="9" l="1"/>
  <c r="P20" i="9" s="1"/>
  <c r="F14" i="2"/>
  <c r="G16" i="9" l="1"/>
  <c r="P13" i="9" s="1"/>
  <c r="G10" i="2"/>
  <c r="G9" i="2"/>
  <c r="D24" i="2"/>
  <c r="F13" i="2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B5" i="5" s="1"/>
  <c r="G1" i="1"/>
  <c r="D25" i="2"/>
  <c r="I24" i="2"/>
  <c r="H24" i="2"/>
  <c r="G23" i="2"/>
  <c r="E21" i="2"/>
  <c r="G19" i="2"/>
  <c r="G14" i="2"/>
  <c r="G12" i="2"/>
  <c r="G11" i="2"/>
  <c r="G8" i="2"/>
  <c r="F20" i="2" l="1"/>
  <c r="G20" i="2" s="1"/>
  <c r="F21" i="2"/>
  <c r="G13" i="2"/>
  <c r="G18" i="2" s="1"/>
  <c r="T24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G21" i="2" l="1"/>
  <c r="S24" i="2"/>
  <c r="O24" i="2"/>
  <c r="F24" i="2"/>
  <c r="G5" i="5"/>
  <c r="L5" i="5" s="1"/>
  <c r="O21" i="2"/>
  <c r="O22" i="2"/>
  <c r="O25" i="2"/>
  <c r="F26" i="2"/>
  <c r="P23" i="2"/>
  <c r="G26" i="2"/>
  <c r="P29" i="2" s="1"/>
  <c r="P25" i="2"/>
  <c r="P24" i="2"/>
  <c r="P22" i="2"/>
  <c r="P5" i="5"/>
  <c r="AG5" i="5"/>
  <c r="AB5" i="5"/>
  <c r="M5" i="5"/>
  <c r="AQ5" i="5" s="1"/>
  <c r="S5" i="5"/>
  <c r="K5" i="5" s="1"/>
  <c r="O29" i="2" l="1"/>
  <c r="F25" i="2"/>
  <c r="O28" i="2" s="1"/>
  <c r="G24" i="2"/>
  <c r="G25" i="2"/>
  <c r="V5" i="5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CB5" i="5" l="1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AV5" i="5"/>
  <c r="AD5" i="5" s="1"/>
  <c r="CR5" i="5"/>
  <c r="CN5" i="5" s="1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F24" i="8"/>
  <c r="F12" i="8"/>
  <c r="I37" i="8"/>
  <c r="F17" i="8"/>
  <c r="E9" i="8"/>
  <c r="E3" i="8"/>
  <c r="H26" i="8"/>
  <c r="I4" i="8"/>
  <c r="I15" i="8"/>
  <c r="G32" i="8"/>
  <c r="B6" i="8"/>
  <c r="C24" i="8"/>
  <c r="D6" i="8"/>
  <c r="I30" i="8"/>
  <c r="F2" i="8"/>
  <c r="B12" i="8"/>
  <c r="H18" i="8"/>
  <c r="F19" i="8"/>
  <c r="I29" i="8"/>
  <c r="E11" i="8"/>
  <c r="H30" i="8"/>
  <c r="F18" i="8"/>
  <c r="C33" i="8"/>
  <c r="H23" i="8"/>
  <c r="D30" i="8"/>
  <c r="C18" i="8"/>
  <c r="I17" i="8"/>
  <c r="C13" i="8"/>
  <c r="E15" i="8"/>
  <c r="E5" i="8"/>
  <c r="F36" i="8"/>
  <c r="D11" i="8"/>
  <c r="E14" i="8"/>
  <c r="E22" i="8"/>
  <c r="B17" i="8"/>
  <c r="E34" i="8"/>
  <c r="G5" i="8"/>
  <c r="H29" i="8"/>
  <c r="F11" i="8"/>
  <c r="E4" i="8"/>
  <c r="B22" i="8"/>
  <c r="B34" i="8"/>
  <c r="B2" i="8"/>
  <c r="D28" i="8"/>
  <c r="B21" i="8"/>
  <c r="H36" i="8"/>
  <c r="D22" i="8"/>
  <c r="C32" i="8"/>
  <c r="B35" i="8"/>
  <c r="H27" i="8"/>
  <c r="G29" i="8"/>
  <c r="I6" i="8"/>
  <c r="I10" i="8"/>
  <c r="F4" i="8"/>
  <c r="E29" i="8"/>
  <c r="H19" i="8"/>
  <c r="B23" i="8"/>
  <c r="D2" i="8"/>
  <c r="B14" i="8"/>
  <c r="D10" i="8"/>
  <c r="B15" i="8"/>
  <c r="H32" i="8"/>
  <c r="G17" i="8"/>
  <c r="F26" i="8"/>
  <c r="B27" i="8"/>
  <c r="C20" i="8"/>
  <c r="D18" i="8"/>
  <c r="G34" i="8"/>
  <c r="E33" i="8"/>
  <c r="H16" i="8"/>
  <c r="F30" i="8"/>
  <c r="G21" i="8"/>
  <c r="C10" i="8"/>
  <c r="E26" i="8"/>
  <c r="E7" i="8"/>
  <c r="E31" i="8"/>
  <c r="F35" i="8"/>
  <c r="B24" i="8"/>
  <c r="D13" i="8"/>
  <c r="F7" i="8"/>
  <c r="C37" i="8"/>
  <c r="G16" i="8"/>
  <c r="H4" i="8"/>
  <c r="I24" i="8"/>
  <c r="G7" i="8"/>
  <c r="E37" i="8"/>
  <c r="D16" i="8"/>
  <c r="I20" i="8"/>
  <c r="H7" i="8"/>
  <c r="H5" i="8"/>
  <c r="I34" i="8"/>
  <c r="C25" i="8"/>
  <c r="D24" i="8"/>
  <c r="H13" i="8"/>
  <c r="C34" i="8"/>
  <c r="G30" i="8"/>
  <c r="I19" i="8"/>
  <c r="I28" i="8"/>
  <c r="H31" i="8"/>
  <c r="F31" i="8"/>
  <c r="C6" i="8"/>
  <c r="D29" i="8"/>
  <c r="B4" i="8"/>
  <c r="D19" i="8"/>
  <c r="B26" i="8"/>
  <c r="D12" i="8"/>
  <c r="C28" i="8"/>
  <c r="F20" i="8"/>
  <c r="E24" i="8"/>
  <c r="C26" i="8"/>
  <c r="G37" i="8"/>
  <c r="C23" i="8"/>
  <c r="C11" i="8"/>
  <c r="G14" i="8"/>
  <c r="D14" i="8"/>
  <c r="B33" i="8"/>
  <c r="G36" i="8"/>
  <c r="F14" i="8"/>
  <c r="G10" i="8"/>
  <c r="G23" i="8"/>
  <c r="H35" i="8"/>
  <c r="F37" i="8"/>
  <c r="E27" i="8"/>
  <c r="D17" i="8"/>
  <c r="H10" i="8"/>
  <c r="F5" i="8"/>
  <c r="G6" i="8"/>
  <c r="E23" i="8"/>
  <c r="C30" i="8"/>
  <c r="D9" i="8"/>
  <c r="B9" i="8"/>
  <c r="F13" i="8"/>
  <c r="E10" i="8"/>
  <c r="F32" i="8"/>
  <c r="E19" i="8"/>
  <c r="I23" i="8"/>
  <c r="G35" i="8"/>
  <c r="C2" i="8"/>
  <c r="G24" i="8"/>
  <c r="G26" i="8"/>
  <c r="H9" i="8"/>
  <c r="C14" i="8"/>
  <c r="I31" i="8"/>
  <c r="D20" i="8"/>
  <c r="H34" i="8"/>
  <c r="G22" i="8"/>
  <c r="C36" i="8"/>
  <c r="G27" i="8"/>
  <c r="H14" i="8"/>
  <c r="F9" i="8"/>
  <c r="D34" i="8"/>
  <c r="B3" i="8"/>
  <c r="D8" i="8"/>
  <c r="G8" i="8"/>
  <c r="C17" i="8"/>
  <c r="D37" i="8"/>
  <c r="H33" i="8"/>
  <c r="F16" i="8"/>
  <c r="E35" i="8"/>
  <c r="F6" i="8"/>
  <c r="E28" i="8"/>
  <c r="I35" i="8"/>
  <c r="D35" i="8"/>
  <c r="F22" i="8"/>
  <c r="E21" i="8"/>
  <c r="I8" i="8"/>
  <c r="C15" i="8"/>
  <c r="I16" i="8"/>
  <c r="I12" i="8"/>
  <c r="I25" i="8"/>
  <c r="D21" i="8"/>
  <c r="I27" i="8"/>
  <c r="H20" i="8"/>
  <c r="C3" i="8"/>
  <c r="E30" i="8"/>
  <c r="B28" i="8"/>
  <c r="H3" i="8"/>
  <c r="C16" i="8"/>
  <c r="C27" i="8"/>
  <c r="C8" i="8"/>
  <c r="H24" i="8"/>
  <c r="E2" i="8"/>
  <c r="I14" i="8"/>
  <c r="I32" i="8"/>
  <c r="F8" i="8"/>
  <c r="C19" i="8"/>
  <c r="E17" i="8"/>
  <c r="I2" i="8"/>
  <c r="E12" i="8"/>
  <c r="B7" i="8"/>
  <c r="H21" i="8"/>
  <c r="B8" i="8"/>
  <c r="B31" i="8"/>
  <c r="F21" i="8"/>
  <c r="F25" i="8"/>
  <c r="I18" i="8"/>
  <c r="G2" i="8"/>
  <c r="G20" i="8"/>
  <c r="D5" i="8"/>
  <c r="I11" i="8"/>
  <c r="F3" i="8"/>
  <c r="C21" i="8"/>
  <c r="D3" i="8"/>
  <c r="E18" i="8"/>
  <c r="F23" i="8"/>
  <c r="H37" i="8"/>
  <c r="E16" i="8"/>
  <c r="C7" i="8"/>
  <c r="E36" i="8"/>
  <c r="H2" i="8"/>
  <c r="G28" i="8"/>
  <c r="F27" i="8"/>
  <c r="I21" i="8"/>
  <c r="D4" i="8"/>
  <c r="B18" i="8"/>
  <c r="C35" i="8"/>
  <c r="H8" i="8"/>
  <c r="E8" i="8"/>
  <c r="E20" i="8"/>
  <c r="B10" i="8"/>
  <c r="B19" i="8"/>
  <c r="G3" i="8"/>
  <c r="F33" i="8"/>
  <c r="I26" i="8"/>
  <c r="C4" i="8"/>
  <c r="B30" i="8"/>
  <c r="H17" i="8"/>
  <c r="G33" i="8"/>
  <c r="H15" i="8"/>
  <c r="F29" i="8"/>
  <c r="E13" i="8"/>
  <c r="D23" i="8"/>
  <c r="C22" i="8"/>
  <c r="E6" i="8"/>
  <c r="B11" i="8"/>
  <c r="B5" i="8"/>
  <c r="I33" i="8"/>
  <c r="G13" i="8"/>
  <c r="D33" i="8"/>
  <c r="G18" i="8"/>
  <c r="H12" i="8"/>
  <c r="B25" i="8"/>
  <c r="H25" i="8"/>
  <c r="G4" i="8"/>
  <c r="G19" i="8"/>
  <c r="G31" i="8"/>
  <c r="F15" i="8"/>
  <c r="B36" i="8"/>
  <c r="D31" i="8"/>
  <c r="D32" i="8"/>
  <c r="B20" i="8"/>
  <c r="I22" i="8"/>
  <c r="G11" i="8"/>
  <c r="G12" i="8"/>
  <c r="C29" i="8"/>
  <c r="H6" i="8"/>
  <c r="C31" i="8"/>
  <c r="I7" i="8"/>
  <c r="F34" i="8"/>
  <c r="I36" i="8"/>
  <c r="G15" i="8"/>
  <c r="C12" i="8"/>
  <c r="I13" i="8"/>
  <c r="F28" i="8"/>
  <c r="B29" i="8"/>
  <c r="B32" i="8"/>
  <c r="D26" i="8"/>
  <c r="G9" i="8"/>
  <c r="F10" i="8"/>
  <c r="D15" i="8"/>
  <c r="D27" i="8"/>
  <c r="H22" i="8"/>
  <c r="D7" i="8"/>
  <c r="H28" i="8"/>
  <c r="H11" i="8"/>
  <c r="D36" i="8"/>
  <c r="G25" i="8"/>
  <c r="B37" i="8"/>
  <c r="D25" i="8"/>
  <c r="E25" i="8"/>
  <c r="E32" i="8"/>
  <c r="I5" i="8"/>
  <c r="B13" i="8"/>
  <c r="I9" i="8"/>
  <c r="B16" i="8"/>
  <c r="I3" i="8"/>
  <c r="C5" i="8"/>
  <c r="C9" i="8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Z5" i="5" l="1"/>
  <c r="CU5" i="5" s="1"/>
  <c r="C5" i="5" s="1"/>
  <c r="B14" i="1" s="1"/>
  <c r="O26" i="2" l="1"/>
  <c r="P26" i="2" l="1"/>
  <c r="P21" i="2"/>
</calcChain>
</file>

<file path=xl/sharedStrings.xml><?xml version="1.0" encoding="utf-8"?>
<sst xmlns="http://schemas.openxmlformats.org/spreadsheetml/2006/main" count="585" uniqueCount="182">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</sst>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30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43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43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43" fontId="8" fillId="0" borderId="5" xfId="1" applyFont="1" applyBorder="1" applyAlignment="1"/>
    <xf numFmtId="43" fontId="8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2" fillId="0" borderId="26" xfId="0" applyFont="1" applyBorder="1" applyProtection="1"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0" fontId="12" fillId="0" borderId="17" xfId="0" applyFont="1" applyBorder="1" applyProtection="1">
      <protection locked="0"/>
    </xf>
    <xf numFmtId="0" fontId="16" fillId="3" borderId="1" xfId="3" applyNumberFormat="1" applyFont="1" applyFill="1" applyBorder="1" applyAlignment="1" applyProtection="1">
      <alignment horizontal="center" vertical="center"/>
      <protection locked="0"/>
    </xf>
    <xf numFmtId="0" fontId="12" fillId="10" borderId="17" xfId="0" applyFont="1" applyFill="1" applyBorder="1" applyProtection="1">
      <protection locked="0"/>
    </xf>
    <xf numFmtId="9" fontId="15" fillId="10" borderId="1" xfId="3" applyFont="1" applyFill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Protection="1"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9" fillId="11" borderId="1" xfId="0" applyNumberFormat="1" applyFont="1" applyFill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8" fillId="3" borderId="18" xfId="0" applyNumberFormat="1" applyFont="1" applyFill="1" applyBorder="1" applyProtection="1">
      <protection locked="0"/>
    </xf>
    <xf numFmtId="43" fontId="8" fillId="3" borderId="28" xfId="0" applyNumberFormat="1" applyFont="1" applyFill="1" applyBorder="1" applyProtection="1"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43" fontId="22" fillId="13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43" fontId="21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9" borderId="29" xfId="0" applyFont="1" applyFill="1" applyBorder="1" applyAlignment="1">
      <alignment vertical="center"/>
    </xf>
    <xf numFmtId="0" fontId="12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43" fontId="22" fillId="13" borderId="18" xfId="0" applyNumberFormat="1" applyFont="1" applyFill="1" applyBorder="1" applyAlignment="1">
      <alignment horizontal="center" vertical="center"/>
    </xf>
    <xf numFmtId="43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43" fontId="9" fillId="11" borderId="17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43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2" fillId="7" borderId="17" xfId="0" applyFont="1" applyFill="1" applyBorder="1" applyAlignment="1" applyProtection="1">
      <alignment vertical="center"/>
      <protection locked="0"/>
    </xf>
    <xf numFmtId="0" fontId="24" fillId="16" borderId="17" xfId="0" applyFont="1" applyFill="1" applyBorder="1" applyAlignment="1" applyProtection="1">
      <alignment vertical="center"/>
      <protection locked="0"/>
    </xf>
    <xf numFmtId="43" fontId="26" fillId="17" borderId="2" xfId="0" applyNumberFormat="1" applyFont="1" applyFill="1" applyBorder="1" applyAlignment="1" applyProtection="1">
      <alignment horizontal="center" vertical="center"/>
      <protection locked="0"/>
    </xf>
    <xf numFmtId="43" fontId="26" fillId="17" borderId="17" xfId="0" applyNumberFormat="1" applyFont="1" applyFill="1" applyBorder="1" applyAlignment="1" applyProtection="1">
      <alignment horizontal="center" vertical="center"/>
      <protection locked="0"/>
    </xf>
    <xf numFmtId="43" fontId="26" fillId="17" borderId="30" xfId="0" applyNumberFormat="1" applyFont="1" applyFill="1" applyBorder="1" applyAlignment="1">
      <alignment horizontal="center" vertical="center"/>
    </xf>
    <xf numFmtId="43" fontId="25" fillId="17" borderId="28" xfId="0" applyNumberFormat="1" applyFont="1" applyFill="1" applyBorder="1" applyProtection="1">
      <protection locked="0"/>
    </xf>
    <xf numFmtId="9" fontId="15" fillId="17" borderId="1" xfId="3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/>
    <xf numFmtId="43" fontId="16" fillId="0" borderId="32" xfId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/>
    </xf>
    <xf numFmtId="43" fontId="26" fillId="17" borderId="17" xfId="0" applyNumberFormat="1" applyFont="1" applyFill="1" applyBorder="1" applyAlignment="1">
      <alignment horizontal="center" vertical="center"/>
    </xf>
    <xf numFmtId="43" fontId="25" fillId="17" borderId="20" xfId="0" applyNumberFormat="1" applyFont="1" applyFill="1" applyBorder="1" applyProtection="1">
      <protection locked="0"/>
    </xf>
    <xf numFmtId="0" fontId="0" fillId="8" borderId="0" xfId="0" applyFill="1" applyBorder="1" applyAlignment="1" applyProtection="1">
      <alignment horizontal="right"/>
      <protection locked="0"/>
    </xf>
    <xf numFmtId="43" fontId="3" fillId="3" borderId="1" xfId="0" applyNumberFormat="1" applyFont="1" applyFill="1" applyBorder="1" applyAlignment="1">
      <alignment horizontal="center" vertical="center"/>
    </xf>
    <xf numFmtId="43" fontId="22" fillId="1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43" fontId="16" fillId="0" borderId="18" xfId="1" applyFont="1" applyFill="1" applyBorder="1" applyAlignment="1">
      <alignment horizontal="center" vertical="center"/>
    </xf>
    <xf numFmtId="43" fontId="16" fillId="0" borderId="27" xfId="1" applyFont="1" applyFill="1" applyBorder="1" applyAlignment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43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2" fillId="0" borderId="14" xfId="0" applyFont="1" applyBorder="1" applyAlignment="1"/>
    <xf numFmtId="0" fontId="12" fillId="0" borderId="15" xfId="0" applyFont="1" applyBorder="1" applyAlignment="1"/>
    <xf numFmtId="43" fontId="8" fillId="0" borderId="9" xfId="1" applyFont="1" applyBorder="1" applyAlignment="1">
      <alignment horizontal="left"/>
    </xf>
    <xf numFmtId="43" fontId="8" fillId="0" borderId="11" xfId="1" applyFont="1" applyBorder="1" applyAlignment="1">
      <alignment horizontal="left"/>
    </xf>
    <xf numFmtId="43" fontId="12" fillId="0" borderId="9" xfId="1" applyFont="1" applyBorder="1" applyAlignment="1">
      <alignment horizontal="left" vertical="center"/>
    </xf>
    <xf numFmtId="43" fontId="12" fillId="0" borderId="11" xfId="1" applyFont="1" applyBorder="1" applyAlignment="1">
      <alignment horizontal="left" vertical="center"/>
    </xf>
    <xf numFmtId="43" fontId="12" fillId="0" borderId="14" xfId="1" applyFont="1" applyBorder="1" applyAlignment="1">
      <alignment horizontal="left" vertical="center"/>
    </xf>
    <xf numFmtId="43" fontId="12" fillId="0" borderId="15" xfId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6" xfId="0" applyFont="1" applyBorder="1" applyAlignment="1"/>
    <xf numFmtId="0" fontId="12" fillId="0" borderId="25" xfId="0" applyFont="1" applyBorder="1" applyAlignment="1"/>
    <xf numFmtId="0" fontId="12" fillId="0" borderId="11" xfId="0" applyFont="1" applyBorder="1" applyAlignment="1"/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43" fontId="8" fillId="0" borderId="5" xfId="1" applyFont="1" applyBorder="1" applyAlignment="1">
      <alignment horizontal="left"/>
    </xf>
    <xf numFmtId="43" fontId="8" fillId="0" borderId="7" xfId="1" applyFont="1" applyBorder="1" applyAlignment="1">
      <alignment horizontal="left"/>
    </xf>
    <xf numFmtId="43" fontId="8" fillId="0" borderId="12" xfId="1" applyFont="1" applyBorder="1" applyAlignment="1">
      <alignment horizontal="left"/>
    </xf>
    <xf numFmtId="43" fontId="8" fillId="0" borderId="13" xfId="1" applyFont="1" applyBorder="1" applyAlignment="1">
      <alignment horizontal="left"/>
    </xf>
    <xf numFmtId="9" fontId="16" fillId="0" borderId="17" xfId="3" applyFont="1" applyBorder="1" applyAlignment="1" applyProtection="1">
      <alignment horizontal="center" vertical="center"/>
      <protection locked="0"/>
    </xf>
    <xf numFmtId="9" fontId="16" fillId="14" borderId="17" xfId="3" applyFont="1" applyFill="1" applyBorder="1" applyAlignment="1">
      <alignment horizontal="center" vertical="center"/>
    </xf>
    <xf numFmtId="9" fontId="15" fillId="3" borderId="17" xfId="3" applyFont="1" applyFill="1" applyBorder="1" applyAlignment="1" applyProtection="1">
      <alignment horizontal="center" vertical="center"/>
      <protection locked="0"/>
    </xf>
    <xf numFmtId="9" fontId="0" fillId="3" borderId="17" xfId="3" applyFont="1" applyFill="1" applyBorder="1" applyProtection="1">
      <protection locked="0"/>
    </xf>
    <xf numFmtId="0" fontId="19" fillId="9" borderId="33" xfId="0" applyFont="1" applyFill="1" applyBorder="1" applyAlignment="1" applyProtection="1">
      <alignment vertical="center"/>
      <protection locked="0"/>
    </xf>
    <xf numFmtId="0" fontId="19" fillId="9" borderId="34" xfId="0" applyFont="1" applyFill="1" applyBorder="1" applyAlignment="1" applyProtection="1">
      <alignment vertical="center"/>
      <protection locked="0"/>
    </xf>
    <xf numFmtId="0" fontId="19" fillId="3" borderId="34" xfId="0" applyFont="1" applyFill="1" applyBorder="1" applyAlignment="1">
      <alignment vertical="center"/>
    </xf>
    <xf numFmtId="0" fontId="12" fillId="0" borderId="34" xfId="0" applyFont="1" applyBorder="1" applyAlignment="1" applyProtection="1">
      <alignment vertical="center"/>
      <protection locked="0"/>
    </xf>
    <xf numFmtId="0" fontId="12" fillId="0" borderId="34" xfId="0" applyFont="1" applyBorder="1" applyAlignment="1">
      <alignment vertical="center"/>
    </xf>
    <xf numFmtId="0" fontId="12" fillId="9" borderId="34" xfId="0" applyFont="1" applyFill="1" applyBorder="1" applyAlignment="1" applyProtection="1">
      <alignment vertical="center"/>
      <protection locked="0"/>
    </xf>
    <xf numFmtId="0" fontId="12" fillId="9" borderId="35" xfId="0" applyFont="1" applyFill="1" applyBorder="1" applyAlignment="1">
      <alignment vertical="center"/>
    </xf>
    <xf numFmtId="0" fontId="0" fillId="0" borderId="29" xfId="0" applyBorder="1" applyProtection="1">
      <protection locked="0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19050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11492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28576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24451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23</xdr:row>
      <xdr:rowOff>257175</xdr:rowOff>
    </xdr:from>
    <xdr:ext cx="3457575" cy="585545"/>
    <xdr:sp macro="" textlink="">
      <xdr:nvSpPr>
        <xdr:cNvPr id="53" name="Rectangle 52"/>
        <xdr:cNvSpPr/>
      </xdr:nvSpPr>
      <xdr:spPr>
        <a:xfrm>
          <a:off x="9048750" y="5734050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5" sqref="C5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Modèle_Sinistre!F13</f>
        <v>17342.857142857141</v>
      </c>
      <c r="C5" s="8" t="str">
        <f>UPPER(MID(CU5,1,1))&amp;MID(CU5,2,168)</f>
        <v>Dix-sept mille trois cent quarante deux Dinars et quatre-vingt-six  cents</v>
      </c>
      <c r="D5" s="8">
        <f>INT(B5/1000000)</f>
        <v>0</v>
      </c>
      <c r="E5" s="8">
        <f>INT((B5-D5*1000000)/1000)</f>
        <v>17</v>
      </c>
      <c r="F5" s="8">
        <f>INT(B5-D5*1000000-E5*1000)</f>
        <v>342</v>
      </c>
      <c r="G5" s="8">
        <f>ROUND(B5-D5*1000000-E5*1000-F5,2)*100</f>
        <v>86</v>
      </c>
      <c r="H5" s="8">
        <f>D5-M5*100</f>
        <v>0</v>
      </c>
      <c r="J5" s="8">
        <f>E5-P5*100</f>
        <v>17</v>
      </c>
      <c r="K5" s="8">
        <f>ROUND(F5-S5*100,0)</f>
        <v>42</v>
      </c>
      <c r="L5" s="8">
        <f>G5</f>
        <v>86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1</v>
      </c>
      <c r="R5" s="8">
        <f>E5-P5*100-Q5*10</f>
        <v>7</v>
      </c>
      <c r="S5" s="8">
        <f>INT(F5/100)</f>
        <v>3</v>
      </c>
      <c r="T5" s="8">
        <f>INT((F5-S5*100)/10)</f>
        <v>4</v>
      </c>
      <c r="U5" s="8">
        <f>F5-S5*100-T5*10</f>
        <v>2</v>
      </c>
      <c r="V5" s="8">
        <f>INT(G5/10)</f>
        <v>8</v>
      </c>
      <c r="W5" s="8">
        <f>ROUND(G5-V5*10,0)</f>
        <v>6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 xml:space="preserve">dix-sept </v>
      </c>
      <c r="AF5" s="8" t="str">
        <f>IF(E5=1,"",AX5)</f>
        <v/>
      </c>
      <c r="AG5" s="8" t="str">
        <f>IF(E5&gt;0,"mille ","")</f>
        <v xml:space="preserve">mille </v>
      </c>
      <c r="AH5" s="8" t="str">
        <f>IF(INT(B5)=0,"zéro ",IF(S5=0,"",IF(S5=1,"",IF(S5=2,"deux ",IF(S5=3,"trois ",IF(S5=4,"quatre ",IF(S5=5,"cinq ",AY5)))))))</f>
        <v xml:space="preserve">trois </v>
      </c>
      <c r="AI5" s="8" t="str">
        <f>IF(S5=0,"",IF(S5&lt;2,"cent ",AZ5))</f>
        <v xml:space="preserve">cent </v>
      </c>
      <c r="AJ5" s="8" t="str">
        <f>IF(T5=1,BA5,IF(T5=7,BQ5,IF(T5=9,CF5,CN5)))</f>
        <v xml:space="preserve">quarante </v>
      </c>
      <c r="AK5" s="8" t="str">
        <f>IF(K5=11,"",IF(K5=12,"",IF(K5=13,"",IF(K5=14,"",IF(K5=15,"",IF(K5=16,"",BB5))))))</f>
        <v xml:space="preserve">deux </v>
      </c>
      <c r="AL5" s="8" t="s">
        <v>38</v>
      </c>
      <c r="AM5" s="8" t="str">
        <f>IF(G5&gt;0," et ","")</f>
        <v xml:space="preserve"> et </v>
      </c>
      <c r="AN5" s="8" t="str">
        <f>IF(V5=1,BC5,IF(V5=7,BS5,IF(V5=9,CG5,CO5)))</f>
        <v>quatre-vingt-</v>
      </c>
      <c r="AO5" s="8" t="str">
        <f>IF(L5=11,"",IF(L5=12,"",IF(L5=13,"",IF(L5=14,"",IF(L5=15,"",IF(L5=16,"",BD5))))))</f>
        <v xml:space="preserve">six </v>
      </c>
      <c r="AP5" s="8" t="str">
        <f>IF(G5=0," ",IF(G5&lt;2," cent"," cents"))</f>
        <v xml:space="preserve"> cents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 </v>
      </c>
      <c r="AW5" s="8" t="str">
        <f>IF(J5=10,"dix ",IF(J5=11,"onze ",IF(J5=12,"douze ",IF(J5=13,"treize ",IF(J5=14,"quatorze ",IF(J5=15,"quinze ",BG5))))))</f>
        <v xml:space="preserve">dix-sept </v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 </v>
      </c>
      <c r="BA5" s="8" t="str">
        <f>IF(K5=10,"dix ",IF(K5=11,"onze ",IF(K5=12,"douze ",IF(K5=13,"treize ",IF(K5=14,"quatorze ",IF(K5=15,"quinze ",BI5))))))</f>
        <v xml:space="preserve">quarante </v>
      </c>
      <c r="BB5" s="8" t="str">
        <f>IF(K5=17,"",IF(K5=18,"",IF(K5=19,"",BJ5)))</f>
        <v xml:space="preserve">deux </v>
      </c>
      <c r="BC5" s="8" t="str">
        <f>IF(L5=10,"dix ",IF(L5=11,"onze ",IF(L5=12,"douze ",IF(L5=13,"treize ",IF(L5=14,"quatorze ",IF(L5=15,"quinze ",BK5))))))</f>
        <v>quatre-vingt-</v>
      </c>
      <c r="BD5" s="8" t="str">
        <f>IF(L5=17,"",IF(L5=18,"",IF(L5=19,"",BL5)))</f>
        <v xml:space="preserve">six </v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 xml:space="preserve">dix-sept </v>
      </c>
      <c r="BH5" s="8" t="str">
        <f>IF(J5=17,"",IF(J5=18,"",IF(J5=19,"",BP5)))</f>
        <v/>
      </c>
      <c r="BI5" s="8" t="str">
        <f>IF(K5=16,"seize ",IF(K5=17,"dix-sept ",IF(K5=18,"dix-huit ",IF(K5=19,"dix-neuf ",BQ5))))</f>
        <v xml:space="preserve">quarante </v>
      </c>
      <c r="BJ5" s="8" t="str">
        <f>IF(K5=21,"et un ",IF(K5=31,"et un ",IF(K5=41,"et un ",IF(K5=51,"et un ",IF(K5=61,"et un ",BR5)))))</f>
        <v xml:space="preserve">deux </v>
      </c>
      <c r="BK5" s="8" t="str">
        <f>IF(L5=16,"seize ",IF(L5=17,"dix-sept ",IF(L5=18,"dix-huit ",IF(L5=19,"dix-neuf ",BS5))))</f>
        <v>quatre-vingt-</v>
      </c>
      <c r="BL5" s="8" t="str">
        <f>IF(L5=21,"et un ",IF(L5=31,"et un ",IF(L5=41,"et un ",IF(L5=51,"et un ",IF(L5=61,"et un ",BT5)))))</f>
        <v xml:space="preserve">six </v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 xml:space="preserve">sept </v>
      </c>
      <c r="BQ5" s="8" t="str">
        <f>IF(K5=70,"soixante-dix ",IF(K5=71,"soixante et onze ",IF(K5=72,"soixante-douze ",IF(K5=73,"soixante-treize ",IF(K5=74,"soixante-quatorze ",IF(K5=75,"soixante-quinze ",BY5))))))</f>
        <v xml:space="preserve">quarante </v>
      </c>
      <c r="BR5" s="8" t="str">
        <f>IF(T5=9,"",IF(T5=7,"",IF(U5=0,"",IF(U5=1,"un ",IF(U5=2,"deux ",IF(U5=3,"trois ",IF(U5=4,"quatre ",IF(U5=5,"cinq ",BZ5))))))))</f>
        <v xml:space="preserve">deux </v>
      </c>
      <c r="BS5" s="8" t="str">
        <f>IF(L5=70,"soixante-dix ",IF(L5=71,"soixante et onze ",IF(L5=72,"soixante-douze ",IF(L5=73,"soixante-treize ",IF(L5=74,"soixante-quatorze ",IF(L5=75,"soixante-quinze ",CA5))))))</f>
        <v>quatre-vingt-</v>
      </c>
      <c r="BT5" s="8" t="str">
        <f>IF(V5=9,"",IF(V5=7,"",IF(W5=0,"",IF(W5=1,"un ",IF(W5=2,"deux ",IF(W5=3,"trois ",IF(W5=4,"quatre ",IF(W5=5,"cinq ",CB5))))))))</f>
        <v xml:space="preserve">six </v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 xml:space="preserve">sept </v>
      </c>
      <c r="BY5" s="8" t="str">
        <f>IF(K5=76,"soixante-seize ",IF(K5=77,"soixante-dix-sept ",IF(K5=78,"soixante-dix-huit ",IF(K5=79,"soixante-dix-neuf ",CF5))))</f>
        <v xml:space="preserve">quarante </v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>quatre-vingt-</v>
      </c>
      <c r="CB5" s="8" t="str">
        <f>IF(V5=9,"",IF(W5=6,"six ",IF(W5=7,"sept ",IF(W5=8,"huit ",IF(W5=9,"neuf ",)))))</f>
        <v xml:space="preserve">six 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 t="str">
        <f>IF(Q5=9,"",IF(R5=6,"six ",IF(R5=7,"sept ",IF(R5=8,"huit ",IF(R5=9,"neuf ",)))))</f>
        <v xml:space="preserve">sept </v>
      </c>
      <c r="CF5" s="8" t="str">
        <f>IF(K5=90,"quatre-vingt-dix ",IF(K5=91,"quatre-vingt-onze ",IF(K5=92,"quatre-vingt-douze ",IF(K5=93,"quatre-vingt-treize ",IF(K5=94,"quatre-vingt-quatorze ",IF(K5=95,"quatre-vingt-quinze ",CJ5))))))</f>
        <v xml:space="preserve">quarante </v>
      </c>
      <c r="CG5" s="8" t="str">
        <f>IF(L5=90,"quatre-vingt-dix ",IF(L5=91,"quatre-vingt-onze ",IF(L5=92,"quatre-vingt-douze ",IF(L5=93,"quatre-vingt-treize ",IF(L5=94,"quatre-vingt-quatorze ",IF(L5=95,"quatre-vingt-quinze ",CK5))))))</f>
        <v>quatre-vingt-</v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 xml:space="preserve">quarante </v>
      </c>
      <c r="CK5" s="8" t="str">
        <f>IF(L5=96,"quatre-vingt-seize ",IF(L5=97,"quatre-vingt-dix-sept ",IF(L5=98,"quatre-vingt-dix-huit ",IF(L5=99,"quatre-vingt-dix-neuf ",CO5))))</f>
        <v>quatre-vingt-</v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 xml:space="preserve">quarante </v>
      </c>
      <c r="CO5" s="8" t="str">
        <f>IF(V5=2,"vingt ",IF(V5=3,"trente ",IF(V5=4,"quarante ",IF(V5=5,"cinquante ",CS5))))</f>
        <v>quatre-vingt-</v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>quatre-vingt-</v>
      </c>
      <c r="CU5" s="8" t="str">
        <f>(X5&amp;Y5&amp;Z5&amp;AA5&amp;AB5&amp;AC5&amp;AD5&amp;AE5&amp;AF5&amp;AG5&amp;AH5&amp;AI5&amp;AJ5&amp;AK5&amp;AL5&amp;AM5&amp;AN5&amp;AO5&amp;AP5)</f>
        <v>dix-sept mille trois cent quarante deux Dinars et quatre-vingt-six  cents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T29"/>
  <sheetViews>
    <sheetView tabSelected="1" topLeftCell="B13" workbookViewId="0">
      <selection activeCell="F29" sqref="F29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2" spans="3:12" ht="11.25" customHeight="1" thickBot="1" x14ac:dyDescent="0.3"/>
    <row r="3" spans="3:12" ht="17.25" customHeight="1" x14ac:dyDescent="0.25">
      <c r="C3" s="132"/>
      <c r="D3" s="134"/>
      <c r="E3" s="135"/>
      <c r="F3" s="135"/>
      <c r="G3" s="135"/>
      <c r="H3" s="135"/>
      <c r="I3" s="136"/>
      <c r="J3" s="132" t="s">
        <v>147</v>
      </c>
    </row>
    <row r="4" spans="3:12" x14ac:dyDescent="0.25">
      <c r="C4" s="133"/>
      <c r="D4" s="137"/>
      <c r="E4" s="138"/>
      <c r="F4" s="138"/>
      <c r="G4" s="138"/>
      <c r="H4" s="138"/>
      <c r="I4" s="139"/>
      <c r="J4" s="133"/>
    </row>
    <row r="5" spans="3:12" x14ac:dyDescent="0.25">
      <c r="C5" s="133"/>
      <c r="D5" s="137"/>
      <c r="E5" s="138"/>
      <c r="F5" s="138"/>
      <c r="G5" s="138"/>
      <c r="H5" s="138"/>
      <c r="I5" s="139"/>
      <c r="J5" s="133"/>
    </row>
    <row r="6" spans="3:12" ht="15.75" thickBot="1" x14ac:dyDescent="0.3">
      <c r="C6" s="133"/>
      <c r="D6" s="140"/>
      <c r="E6" s="141"/>
      <c r="F6" s="141"/>
      <c r="G6" s="141"/>
      <c r="H6" s="141"/>
      <c r="I6" s="142"/>
      <c r="J6" s="133"/>
    </row>
    <row r="7" spans="3:12" ht="15.75" thickBot="1" x14ac:dyDescent="0.3">
      <c r="C7" s="133"/>
      <c r="D7" s="49"/>
      <c r="E7" s="50" t="s">
        <v>148</v>
      </c>
      <c r="F7" s="51" t="s">
        <v>149</v>
      </c>
      <c r="G7" s="51" t="s">
        <v>150</v>
      </c>
      <c r="H7" s="52" t="s">
        <v>151</v>
      </c>
      <c r="I7" s="53" t="s">
        <v>152</v>
      </c>
      <c r="J7" s="133"/>
      <c r="L7" s="47">
        <v>2019</v>
      </c>
    </row>
    <row r="8" spans="3:12" ht="20.100000000000001" customHeight="1" x14ac:dyDescent="0.25">
      <c r="C8" s="133"/>
      <c r="D8" s="54" t="s">
        <v>153</v>
      </c>
      <c r="E8" s="55"/>
      <c r="F8" s="56"/>
      <c r="G8" s="56">
        <f>F8/1.19</f>
        <v>0</v>
      </c>
      <c r="H8" s="117">
        <v>672.27</v>
      </c>
      <c r="I8" s="116">
        <v>0</v>
      </c>
      <c r="J8" s="133"/>
      <c r="L8" s="47">
        <v>1995</v>
      </c>
    </row>
    <row r="9" spans="3:12" ht="20.100000000000001" customHeight="1" x14ac:dyDescent="0.25">
      <c r="C9" s="133"/>
      <c r="D9" s="58" t="s">
        <v>154</v>
      </c>
      <c r="E9" s="59"/>
      <c r="F9" s="56"/>
      <c r="G9" s="56">
        <f>F9</f>
        <v>0</v>
      </c>
      <c r="H9" s="117">
        <v>13214.29</v>
      </c>
      <c r="I9" s="116"/>
      <c r="J9" s="133"/>
      <c r="L9" s="47">
        <f>L7-L8</f>
        <v>24</v>
      </c>
    </row>
    <row r="10" spans="3:12" ht="20.100000000000001" customHeight="1" x14ac:dyDescent="0.25">
      <c r="C10" s="133"/>
      <c r="D10" s="58" t="s">
        <v>155</v>
      </c>
      <c r="E10" s="55"/>
      <c r="F10" s="56"/>
      <c r="G10" s="56">
        <f>F10</f>
        <v>0</v>
      </c>
      <c r="H10" s="117"/>
      <c r="I10" s="116"/>
      <c r="J10" s="133"/>
    </row>
    <row r="11" spans="3:12" ht="20.100000000000001" customHeight="1" x14ac:dyDescent="0.25">
      <c r="C11" s="133"/>
      <c r="D11" s="60" t="s">
        <v>156</v>
      </c>
      <c r="E11" s="61"/>
      <c r="F11" s="62"/>
      <c r="G11" s="62">
        <f>F11/1.19</f>
        <v>0</v>
      </c>
      <c r="H11" s="117"/>
      <c r="I11" s="116"/>
      <c r="J11" s="133"/>
    </row>
    <row r="12" spans="3:12" ht="20.100000000000001" customHeight="1" x14ac:dyDescent="0.25">
      <c r="C12" s="133"/>
      <c r="D12" s="60" t="s">
        <v>157</v>
      </c>
      <c r="E12" s="61"/>
      <c r="F12" s="62"/>
      <c r="G12" s="62">
        <f>F12/1.19</f>
        <v>0</v>
      </c>
      <c r="H12" s="117"/>
      <c r="I12" s="116"/>
      <c r="J12" s="133"/>
    </row>
    <row r="13" spans="3:12" ht="22.5" customHeight="1" x14ac:dyDescent="0.25">
      <c r="C13" s="133"/>
      <c r="D13" s="63" t="s">
        <v>158</v>
      </c>
      <c r="E13" s="64">
        <v>0.15</v>
      </c>
      <c r="F13" s="65">
        <f>(F8-(F12+F11))*E13</f>
        <v>0</v>
      </c>
      <c r="G13" s="65">
        <f>F13/1.19</f>
        <v>0</v>
      </c>
      <c r="H13" s="117"/>
      <c r="I13" s="116"/>
      <c r="J13" s="133"/>
    </row>
    <row r="14" spans="3:12" ht="23.25" customHeight="1" x14ac:dyDescent="0.25">
      <c r="C14" s="133"/>
      <c r="D14" s="63" t="s">
        <v>159</v>
      </c>
      <c r="E14" s="64">
        <v>0.2</v>
      </c>
      <c r="F14" s="66">
        <f>F12*E14</f>
        <v>0</v>
      </c>
      <c r="G14" s="67">
        <f>F14/1.19</f>
        <v>0</v>
      </c>
      <c r="H14" s="117"/>
      <c r="I14" s="116"/>
      <c r="J14" s="133"/>
    </row>
    <row r="15" spans="3:12" ht="19.5" customHeight="1" x14ac:dyDescent="0.25">
      <c r="C15" s="133"/>
      <c r="D15" s="101" t="s">
        <v>177</v>
      </c>
      <c r="E15" s="102"/>
      <c r="F15" s="66">
        <v>0</v>
      </c>
      <c r="G15" s="67"/>
      <c r="H15" s="117"/>
      <c r="I15" s="116"/>
      <c r="J15" s="133"/>
    </row>
    <row r="16" spans="3:12" customFormat="1" ht="20.100000000000001" customHeight="1" x14ac:dyDescent="0.25">
      <c r="C16" s="133"/>
      <c r="D16" s="92" t="s">
        <v>175</v>
      </c>
      <c r="E16" s="148" t="str">
        <f>IF(ISERROR(F16*100/F17)-100,"",F16*100/F17-100)</f>
        <v/>
      </c>
      <c r="F16" s="127"/>
      <c r="G16" s="127">
        <f>F16</f>
        <v>0</v>
      </c>
      <c r="H16" s="124"/>
      <c r="I16" s="118"/>
      <c r="J16" s="133"/>
    </row>
    <row r="17" spans="3:20" customFormat="1" ht="21" customHeight="1" x14ac:dyDescent="0.25">
      <c r="C17" s="133"/>
      <c r="D17" s="92" t="s">
        <v>176</v>
      </c>
      <c r="E17" s="149"/>
      <c r="F17" s="127"/>
      <c r="G17" s="127">
        <f>F17</f>
        <v>0</v>
      </c>
      <c r="H17" s="124"/>
      <c r="I17" s="118"/>
      <c r="J17" s="133"/>
    </row>
    <row r="18" spans="3:20" ht="18.75" x14ac:dyDescent="0.25">
      <c r="C18" s="133"/>
      <c r="D18" s="143" t="s">
        <v>160</v>
      </c>
      <c r="E18" s="144"/>
      <c r="F18" s="68"/>
      <c r="G18" s="68">
        <f>(G8+G9+G10)-(G13+G14)</f>
        <v>0</v>
      </c>
      <c r="H18" s="117"/>
      <c r="I18" s="116"/>
      <c r="J18" s="133"/>
    </row>
    <row r="19" spans="3:20" ht="20.25" customHeight="1" x14ac:dyDescent="0.25">
      <c r="C19" s="133"/>
      <c r="D19" s="69" t="s">
        <v>161</v>
      </c>
      <c r="E19" s="70"/>
      <c r="F19" s="71"/>
      <c r="G19" s="71">
        <f>F19</f>
        <v>0</v>
      </c>
      <c r="H19" s="117"/>
      <c r="I19" s="116"/>
      <c r="J19" s="133"/>
    </row>
    <row r="20" spans="3:20" ht="20.25" customHeight="1" thickBot="1" x14ac:dyDescent="0.3">
      <c r="C20" s="133"/>
      <c r="D20" s="69" t="s">
        <v>178</v>
      </c>
      <c r="E20" s="70"/>
      <c r="F20" s="71" t="str">
        <f>IFERROR((F19*E21)+F19,"")</f>
        <v/>
      </c>
      <c r="G20" s="71" t="str">
        <f>IFERROR(F20,"")</f>
        <v/>
      </c>
      <c r="H20" s="117"/>
      <c r="I20" s="116"/>
      <c r="J20" s="133"/>
    </row>
    <row r="21" spans="3:20" ht="20.25" customHeight="1" x14ac:dyDescent="0.25">
      <c r="C21" s="133"/>
      <c r="D21" s="115" t="s">
        <v>172</v>
      </c>
      <c r="E21" s="64" t="str">
        <f>IFERROR(VLOOKUP($D$21,$M$21:$N$22,2,0),"")</f>
        <v/>
      </c>
      <c r="F21" s="73" t="e">
        <f>IF($D$21="S /Total REG PRP Capitaux",(F18)*F16/F17,IF($D$21="Sous total REG Prp AGE",F18*F19/(F19*E21+F19),IF($D$21="Sous total REG Prp Permis",F18*F19/(F19*E21+F19))))</f>
        <v>#DIV/0!</v>
      </c>
      <c r="G21" s="73" t="e">
        <f>IF($D$21="S /Total REG PRP Capitaux",G18*G16/G17,IF($D$21="Sous total REG Prp AGE",G18*G19/(G19*E21+G19),IF($D$21="Sous total REG Prp Permis",G18*G19/(G19*E21+G19))))</f>
        <v>#DIV/0!</v>
      </c>
      <c r="H21" s="117"/>
      <c r="I21" s="116"/>
      <c r="J21" s="133"/>
      <c r="M21" s="222" t="s">
        <v>162</v>
      </c>
      <c r="N21" s="218">
        <v>0.15</v>
      </c>
      <c r="O21" s="73" t="str">
        <f>IFERROR((F18*F19)/((ROUND(F20,2))),"")</f>
        <v/>
      </c>
      <c r="P21" s="73" t="str">
        <f>IFERROR((G24-G22)*G18/(G19+(ROUND(G19*F21,2))),"")</f>
        <v/>
      </c>
    </row>
    <row r="22" spans="3:20" ht="20.25" customHeight="1" x14ac:dyDescent="0.25">
      <c r="C22" s="133"/>
      <c r="D22" s="74" t="s">
        <v>140</v>
      </c>
      <c r="E22" s="64">
        <v>0.05</v>
      </c>
      <c r="F22" s="67">
        <v>50000</v>
      </c>
      <c r="G22" s="67">
        <v>0</v>
      </c>
      <c r="H22" s="117"/>
      <c r="I22" s="116"/>
      <c r="J22" s="133"/>
      <c r="M22" s="223" t="s">
        <v>163</v>
      </c>
      <c r="N22" s="218">
        <v>0.25</v>
      </c>
      <c r="O22" s="73" t="str">
        <f>IFERROR((F18)*F19/(ROUND(F20,2)),"")</f>
        <v/>
      </c>
      <c r="P22" s="73" t="str">
        <f>IFERROR((G23-G18)*G19/(G19+ROUND(G19*#REF!,2)),"")</f>
        <v/>
      </c>
    </row>
    <row r="23" spans="3:20" ht="23.25" customHeight="1" x14ac:dyDescent="0.25">
      <c r="C23" s="133"/>
      <c r="D23" s="75" t="s">
        <v>165</v>
      </c>
      <c r="E23" s="120"/>
      <c r="F23" s="56">
        <v>200</v>
      </c>
      <c r="G23" s="56">
        <f>F23</f>
        <v>200</v>
      </c>
      <c r="H23" s="117"/>
      <c r="I23" s="116"/>
      <c r="J23" s="133"/>
      <c r="M23" s="224" t="s">
        <v>172</v>
      </c>
      <c r="N23" s="219"/>
      <c r="O23" s="88" t="e">
        <f>(F18)*F16/F17</f>
        <v>#DIV/0!</v>
      </c>
      <c r="P23" s="88" t="e">
        <f>(G18)*G16/G17</f>
        <v>#DIV/0!</v>
      </c>
      <c r="S23" s="47" t="s">
        <v>164</v>
      </c>
    </row>
    <row r="24" spans="3:20" ht="21.75" customHeight="1" thickBot="1" x14ac:dyDescent="0.3">
      <c r="C24" s="133"/>
      <c r="D24" s="114" t="str">
        <f>INDEX($M$21:$M$28,MATCH($D$21,$M$21:$M$28,0)+3)</f>
        <v>Montant Rpr Capitaux</v>
      </c>
      <c r="E24" s="120"/>
      <c r="F24" s="77" t="e">
        <f>IF($D$24="Montant Rpr Âge",F18-F21,IF($D$24="Montant Rpr Permis",F18-F21,IF($D$24="Montant Rpr Capitaux",F18-F21,"")))</f>
        <v>#DIV/0!</v>
      </c>
      <c r="G24" s="77" t="e">
        <f>IF($D$24="Montant Rpr Âge",G18-G21,IF($D$24="Montant Rpr Permis",G18-G21,IF($D$24="Montant Rpr Capitaux",G18-G21,"")))</f>
        <v>#DIV/0!</v>
      </c>
      <c r="H24" s="125">
        <f>SUM(H8:H23)</f>
        <v>13886.560000000001</v>
      </c>
      <c r="I24" s="119">
        <f>SUM(I8:I23)</f>
        <v>0</v>
      </c>
      <c r="J24" s="133"/>
      <c r="M24" s="225" t="s">
        <v>166</v>
      </c>
      <c r="N24" s="220"/>
      <c r="O24" s="89">
        <f>(F16-F22)+F18</f>
        <v>-50000</v>
      </c>
      <c r="P24" s="89">
        <f>(G16-G22)+G18</f>
        <v>0</v>
      </c>
      <c r="S24" s="76">
        <f>F18*E22</f>
        <v>0</v>
      </c>
      <c r="T24" s="76">
        <f>G18*F22</f>
        <v>0</v>
      </c>
    </row>
    <row r="25" spans="3:20" ht="21" customHeight="1" x14ac:dyDescent="0.25">
      <c r="C25" s="133"/>
      <c r="D25" s="114" t="str">
        <f>INDEX($M$21:$M$29,MATCH($D$21,$M$21:$M$28,0)+6)</f>
        <v>Total à payer Rpr Capitaux</v>
      </c>
      <c r="E25" s="120"/>
      <c r="F25" s="77">
        <f>IFERROR(IF($D$25="Total à payer Rpr Âge",F18-F21-F22+F23,IF($D$25="Total à payer Rpr Permis",F15-F20+F21-F23,IF($D$25="Total à payer Rpr Capitaux",F16-F22+F23-F26))),"")</f>
        <v>0</v>
      </c>
      <c r="G25" s="77">
        <f>IFERROR(IF($D$25="Total à payer Rpr Âge",G18-G21-G22+G23,IF($D$25="Total à payer Rpr Permis",G15-G20+G21-G23,IF($D$25="Total à payer Rpr Capitaux",G16-G22+G23-G26))),"")</f>
        <v>0</v>
      </c>
      <c r="H25" s="145"/>
      <c r="I25" s="145"/>
      <c r="J25" s="133"/>
      <c r="M25" s="225" t="s">
        <v>167</v>
      </c>
      <c r="N25" s="220"/>
      <c r="O25" s="77">
        <f>(F18-F22)+F19</f>
        <v>-50000</v>
      </c>
      <c r="P25" s="77">
        <f>(G18-G22)+G19</f>
        <v>0</v>
      </c>
      <c r="S25" s="105">
        <v>2500</v>
      </c>
    </row>
    <row r="26" spans="3:20" ht="21.75" customHeight="1" thickBot="1" x14ac:dyDescent="0.3">
      <c r="C26" s="133"/>
      <c r="D26" s="83" t="s">
        <v>170</v>
      </c>
      <c r="E26" s="84"/>
      <c r="F26" s="128">
        <f>F18-F22+F23</f>
        <v>-49800</v>
      </c>
      <c r="G26" s="128">
        <f>G18-G22+G23</f>
        <v>200</v>
      </c>
      <c r="H26" s="146"/>
      <c r="I26" s="146"/>
      <c r="J26" s="133"/>
      <c r="M26" s="226" t="s">
        <v>173</v>
      </c>
      <c r="N26" s="220"/>
      <c r="O26" s="89" t="str">
        <f>IFERROR(F18-F21,"")</f>
        <v/>
      </c>
      <c r="P26" s="89" t="str">
        <f>IFERROR(G18-G21,"")</f>
        <v/>
      </c>
      <c r="S26" s="105">
        <v>3000</v>
      </c>
    </row>
    <row r="27" spans="3:20" ht="18.75" x14ac:dyDescent="0.25">
      <c r="C27" s="133"/>
      <c r="D27" s="95" t="s">
        <v>171</v>
      </c>
      <c r="E27" s="96"/>
      <c r="F27" s="126"/>
      <c r="G27" s="126"/>
      <c r="H27" s="147"/>
      <c r="I27" s="146"/>
      <c r="J27" s="133"/>
      <c r="M27" s="227" t="s">
        <v>168</v>
      </c>
      <c r="N27" s="221"/>
      <c r="O27" s="82" t="str">
        <f>IF(ISERROR(F18-F21+F22-F23),"",F18-F21+F22-F23)</f>
        <v/>
      </c>
      <c r="P27" s="82" t="str">
        <f>IF(ISERROR(G18-G21+G22-G23),"",G18-G21+G22-G23)</f>
        <v/>
      </c>
      <c r="S27" s="105">
        <v>10000</v>
      </c>
    </row>
    <row r="28" spans="3:20" ht="19.5" thickBot="1" x14ac:dyDescent="0.3">
      <c r="C28" s="133"/>
      <c r="D28" s="97"/>
      <c r="E28" s="98"/>
      <c r="F28" s="98"/>
      <c r="G28" s="98"/>
      <c r="H28" s="147"/>
      <c r="I28" s="146"/>
      <c r="J28" s="133"/>
      <c r="M28" s="227" t="s">
        <v>169</v>
      </c>
      <c r="N28" s="221"/>
      <c r="O28" s="100">
        <f>IF(ISERROR(F16-F22+F23-F25),"",F16-F22+F23-F25)</f>
        <v>-49800</v>
      </c>
      <c r="P28" s="100">
        <f>IF(ISERROR(G16-G22+G23-G25),"",G16-G22+G23-G25)</f>
        <v>200</v>
      </c>
      <c r="S28" s="105">
        <v>50000</v>
      </c>
    </row>
    <row r="29" spans="3:20" ht="19.5" thickBot="1" x14ac:dyDescent="0.3">
      <c r="M29" s="228" t="s">
        <v>174</v>
      </c>
      <c r="N29" s="229"/>
      <c r="O29" s="100">
        <f>F16-F22+F23-F26</f>
        <v>0</v>
      </c>
      <c r="P29" s="100">
        <f>G16-G22+G23-G26</f>
        <v>0</v>
      </c>
    </row>
  </sheetData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F22:G22">
      <formula1>$S$24:$S$28</formula1>
    </dataValidation>
    <dataValidation type="list" allowBlank="1" showInputMessage="1" showErrorMessage="1" sqref="D21">
      <formula1>$M$21:$M$23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S21"/>
  <sheetViews>
    <sheetView workbookViewId="0">
      <selection activeCell="A8" sqref="A8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3" spans="3:19" ht="15.75" thickBot="1" x14ac:dyDescent="0.3"/>
    <row r="4" spans="3:19" x14ac:dyDescent="0.25">
      <c r="C4" s="150"/>
      <c r="D4" s="152"/>
      <c r="E4" s="153"/>
      <c r="F4" s="153"/>
      <c r="G4" s="153"/>
      <c r="H4" s="153"/>
      <c r="I4" s="154"/>
      <c r="J4" s="150" t="s">
        <v>147</v>
      </c>
    </row>
    <row r="5" spans="3:19" x14ac:dyDescent="0.25">
      <c r="C5" s="151"/>
      <c r="D5" s="155"/>
      <c r="E5" s="156"/>
      <c r="F5" s="156"/>
      <c r="G5" s="156"/>
      <c r="H5" s="156"/>
      <c r="I5" s="157"/>
      <c r="J5" s="151"/>
    </row>
    <row r="6" spans="3:19" x14ac:dyDescent="0.25">
      <c r="C6" s="151"/>
      <c r="D6" s="155"/>
      <c r="E6" s="156"/>
      <c r="F6" s="156"/>
      <c r="G6" s="156"/>
      <c r="H6" s="156"/>
      <c r="I6" s="157"/>
      <c r="J6" s="151"/>
    </row>
    <row r="7" spans="3:19" ht="15.75" thickBot="1" x14ac:dyDescent="0.3">
      <c r="C7" s="151"/>
      <c r="D7" s="158"/>
      <c r="E7" s="159"/>
      <c r="F7" s="159"/>
      <c r="G7" s="159"/>
      <c r="H7" s="159"/>
      <c r="I7" s="160"/>
      <c r="J7" s="151"/>
    </row>
    <row r="8" spans="3:19" ht="15.75" thickBot="1" x14ac:dyDescent="0.3">
      <c r="C8" s="151"/>
      <c r="D8" s="49"/>
      <c r="E8" s="50" t="s">
        <v>148</v>
      </c>
      <c r="F8" s="51" t="s">
        <v>149</v>
      </c>
      <c r="G8" s="51" t="s">
        <v>150</v>
      </c>
      <c r="H8" s="52" t="s">
        <v>151</v>
      </c>
      <c r="I8" s="53" t="s">
        <v>152</v>
      </c>
      <c r="J8" s="151"/>
    </row>
    <row r="9" spans="3:19" ht="15.75" x14ac:dyDescent="0.25">
      <c r="C9" s="151"/>
      <c r="D9" s="92" t="s">
        <v>175</v>
      </c>
      <c r="E9" s="148">
        <f>F9*100/F10-100</f>
        <v>0</v>
      </c>
      <c r="F9" s="93">
        <v>2690395.25</v>
      </c>
      <c r="G9" s="94">
        <f>F9/1.19</f>
        <v>2260836.3445378151</v>
      </c>
      <c r="H9" s="56"/>
      <c r="I9" s="57"/>
      <c r="J9" s="151"/>
    </row>
    <row r="10" spans="3:19" ht="15.75" x14ac:dyDescent="0.25">
      <c r="C10" s="151"/>
      <c r="D10" s="92" t="s">
        <v>176</v>
      </c>
      <c r="E10" s="149"/>
      <c r="F10" s="93">
        <v>2690395.25</v>
      </c>
      <c r="G10" s="94">
        <f>F10/1.19</f>
        <v>2260836.3445378151</v>
      </c>
      <c r="H10" s="56"/>
      <c r="I10" s="57"/>
      <c r="J10" s="151"/>
    </row>
    <row r="11" spans="3:19" ht="15.75" x14ac:dyDescent="0.25">
      <c r="C11" s="151"/>
      <c r="D11" s="121" t="s">
        <v>179</v>
      </c>
      <c r="E11" s="122"/>
      <c r="F11" s="93">
        <v>269039.53000000003</v>
      </c>
      <c r="G11" s="123">
        <f>F11</f>
        <v>269039.53000000003</v>
      </c>
      <c r="H11" s="104"/>
      <c r="I11" s="57"/>
      <c r="J11" s="151"/>
    </row>
    <row r="12" spans="3:19" ht="15.75" x14ac:dyDescent="0.25">
      <c r="C12" s="151"/>
      <c r="D12" s="101" t="s">
        <v>177</v>
      </c>
      <c r="E12" s="102"/>
      <c r="F12" s="103">
        <v>726406.65</v>
      </c>
      <c r="G12" s="107">
        <f>F12</f>
        <v>726406.65</v>
      </c>
      <c r="H12" s="104"/>
      <c r="I12" s="57"/>
      <c r="J12" s="151"/>
    </row>
    <row r="13" spans="3:19" ht="18.75" x14ac:dyDescent="0.25">
      <c r="C13" s="151"/>
      <c r="D13" s="143" t="s">
        <v>160</v>
      </c>
      <c r="E13" s="144"/>
      <c r="F13" s="68">
        <f>F9-(F12+F11)</f>
        <v>1694949.0699999998</v>
      </c>
      <c r="G13" s="68">
        <f>G9-(G11+G12)</f>
        <v>1265390.1645378149</v>
      </c>
      <c r="H13" s="56"/>
      <c r="I13" s="57"/>
      <c r="J13" s="151"/>
      <c r="M13" s="72" t="s">
        <v>162</v>
      </c>
      <c r="N13" s="64">
        <v>0.15</v>
      </c>
      <c r="O13" s="73">
        <f>IFERROR((F9*F10)/((ROUND(F12,2))),"")</f>
        <v>9964427.7777778637</v>
      </c>
      <c r="P13" s="73" t="str">
        <f>IFERROR((G16-G14)*G9/(G10+(ROUND(G10*F13,2))),"")</f>
        <v/>
      </c>
    </row>
    <row r="14" spans="3:19" ht="15.75" x14ac:dyDescent="0.25">
      <c r="C14" s="151"/>
      <c r="D14" s="69" t="s">
        <v>161</v>
      </c>
      <c r="E14" s="70"/>
      <c r="F14" s="71">
        <v>0</v>
      </c>
      <c r="G14" s="71">
        <f>F14</f>
        <v>0</v>
      </c>
      <c r="H14" s="56"/>
      <c r="I14" s="57"/>
      <c r="J14" s="151"/>
      <c r="M14" s="72" t="s">
        <v>163</v>
      </c>
      <c r="N14" s="64">
        <v>0.25</v>
      </c>
      <c r="O14" s="73">
        <f>IFERROR((F9)*F10/(ROUND(F12,2)),"")</f>
        <v>9964427.7777778637</v>
      </c>
      <c r="P14" s="73" t="str">
        <f>IFERROR((G15-G9)*G10/(G10+ROUND(G10*#REF!,2)),"")</f>
        <v/>
      </c>
    </row>
    <row r="15" spans="3:19" ht="15.75" x14ac:dyDescent="0.25">
      <c r="C15" s="151"/>
      <c r="D15" s="69" t="s">
        <v>178</v>
      </c>
      <c r="E15" s="70"/>
      <c r="F15" s="71" t="e">
        <f>(F14*E16)+F14</f>
        <v>#VALUE!</v>
      </c>
      <c r="G15" s="71" t="e">
        <f>F15</f>
        <v>#VALUE!</v>
      </c>
      <c r="H15" s="56"/>
      <c r="I15" s="57"/>
      <c r="J15" s="151"/>
      <c r="M15" s="86" t="s">
        <v>172</v>
      </c>
      <c r="N15" s="87"/>
      <c r="O15" s="88" t="e">
        <f>(F9)*F7/F8</f>
        <v>#VALUE!</v>
      </c>
      <c r="P15" s="88" t="e">
        <f>(G9)*G7/G8</f>
        <v>#VALUE!</v>
      </c>
    </row>
    <row r="16" spans="3:19" ht="15.75" x14ac:dyDescent="0.25">
      <c r="C16" s="151"/>
      <c r="D16" s="106" t="s">
        <v>162</v>
      </c>
      <c r="E16" s="64" t="str">
        <f>IFERROR(VLOOKUP(#REF!,#REF!,2,0),"")</f>
        <v/>
      </c>
      <c r="F16" s="73" t="e">
        <f>VLOOKUP(#REF!,#REF!,3,0)</f>
        <v>#REF!</v>
      </c>
      <c r="G16" s="73" t="e">
        <f>VLOOKUP(#REF!,#REF!,4,0)</f>
        <v>#REF!</v>
      </c>
      <c r="H16" s="56"/>
      <c r="I16" s="57"/>
      <c r="J16" s="151"/>
      <c r="M16" s="75" t="s">
        <v>166</v>
      </c>
      <c r="N16" s="55"/>
      <c r="O16" s="89">
        <f>(F7-F14)+F9</f>
        <v>2690395.25</v>
      </c>
      <c r="P16" s="89">
        <f>(G7-G14)+G9</f>
        <v>2260836.3445378151</v>
      </c>
      <c r="S16" s="47" t="s">
        <v>164</v>
      </c>
    </row>
    <row r="17" spans="3:19" ht="15.75" x14ac:dyDescent="0.25">
      <c r="C17" s="151"/>
      <c r="D17" s="74" t="s">
        <v>140</v>
      </c>
      <c r="E17" s="64">
        <v>0.05</v>
      </c>
      <c r="F17" s="67">
        <v>10000</v>
      </c>
      <c r="G17" s="67">
        <f>F17</f>
        <v>10000</v>
      </c>
      <c r="H17" s="56"/>
      <c r="I17" s="57"/>
      <c r="J17" s="151"/>
      <c r="M17" s="75" t="s">
        <v>167</v>
      </c>
      <c r="N17" s="55"/>
      <c r="O17" s="77">
        <f>(F9-F14)+F10</f>
        <v>5380790.5</v>
      </c>
      <c r="P17" s="77">
        <f>(G9-G14)+G10</f>
        <v>4521672.6890756302</v>
      </c>
      <c r="S17" s="76">
        <f>F13*E17</f>
        <v>84747.453500000003</v>
      </c>
    </row>
    <row r="18" spans="3:19" ht="15.75" x14ac:dyDescent="0.25">
      <c r="C18" s="151"/>
      <c r="D18" s="75" t="e">
        <f>INDEX(#REF!,MATCH(#REF!,#REF!,0)+3)</f>
        <v>#REF!</v>
      </c>
      <c r="E18" s="55"/>
      <c r="F18" s="77" t="e">
        <f>VLOOKUP($D18,#REF!,3,0)</f>
        <v>#REF!</v>
      </c>
      <c r="G18" s="77" t="e">
        <f>VLOOKUP($D18,#REF!,4,0)</f>
        <v>#REF!</v>
      </c>
      <c r="H18" s="78">
        <f>SUM(H9:H17)</f>
        <v>0</v>
      </c>
      <c r="I18" s="79">
        <f>SUM(I9:I17)</f>
        <v>0</v>
      </c>
      <c r="J18" s="151"/>
      <c r="M18" s="90" t="s">
        <v>173</v>
      </c>
      <c r="N18" s="55"/>
      <c r="O18" s="89">
        <f>IFERROR(F9-F13,"")</f>
        <v>995446.18000000017</v>
      </c>
      <c r="P18" s="89">
        <f>IFERROR(G9-G13,"")</f>
        <v>995446.18000000017</v>
      </c>
      <c r="S18" s="105">
        <v>2500</v>
      </c>
    </row>
    <row r="19" spans="3:19" ht="19.5" thickBot="1" x14ac:dyDescent="0.3">
      <c r="C19" s="151"/>
      <c r="D19" s="83" t="s">
        <v>170</v>
      </c>
      <c r="E19" s="84"/>
      <c r="F19" s="85">
        <f>(F13-F17)</f>
        <v>1684949.0699999998</v>
      </c>
      <c r="G19" s="85">
        <f>G13-G17</f>
        <v>1255390.1645378149</v>
      </c>
      <c r="H19" s="147"/>
      <c r="I19" s="146"/>
      <c r="J19" s="151"/>
      <c r="M19" s="80" t="s">
        <v>169</v>
      </c>
      <c r="N19" s="81"/>
      <c r="O19" s="100" t="e">
        <f>F7-F14+F15-F17</f>
        <v>#VALUE!</v>
      </c>
      <c r="P19" s="100" t="e">
        <f>G7-G14+G15-G17</f>
        <v>#VALUE!</v>
      </c>
      <c r="S19" s="105">
        <v>10000</v>
      </c>
    </row>
    <row r="20" spans="3:19" ht="18.75" x14ac:dyDescent="0.25">
      <c r="C20" s="151"/>
      <c r="D20" s="95"/>
      <c r="E20" s="96"/>
      <c r="F20" s="96"/>
      <c r="G20" s="96"/>
      <c r="H20" s="147"/>
      <c r="I20" s="146"/>
      <c r="J20" s="151"/>
      <c r="M20" s="91" t="s">
        <v>174</v>
      </c>
      <c r="O20" s="99" t="e">
        <f>F7-F14+F15-F18</f>
        <v>#VALUE!</v>
      </c>
      <c r="P20" s="99" t="e">
        <f>G7-G14+G15-G18</f>
        <v>#VALUE!</v>
      </c>
      <c r="S20" s="105">
        <v>50000</v>
      </c>
    </row>
    <row r="21" spans="3:19" ht="15.75" thickBot="1" x14ac:dyDescent="0.3">
      <c r="C21" s="151"/>
      <c r="D21" s="97"/>
      <c r="E21" s="98"/>
      <c r="F21" s="98"/>
      <c r="G21" s="98"/>
      <c r="H21" s="147"/>
      <c r="I21" s="146"/>
      <c r="J21" s="151"/>
    </row>
  </sheetData>
  <mergeCells count="6">
    <mergeCell ref="C4:C21"/>
    <mergeCell ref="D4:I7"/>
    <mergeCell ref="J4:J21"/>
    <mergeCell ref="E9:E10"/>
    <mergeCell ref="D13:E13"/>
    <mergeCell ref="H19:I21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N13:N14">
    <cfRule type="dataBar" priority="2">
      <dataBar>
        <cfvo type="min"/>
        <cfvo type="max"/>
        <color rgb="FF63C384"/>
      </dataBar>
    </cfRule>
  </conditionalFormatting>
  <conditionalFormatting sqref="N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#REF!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topLeftCell="A3" zoomScale="85" zoomScaleNormal="85" workbookViewId="0">
      <selection activeCell="I5" sqref="I5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4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180"/>
      <c r="C1" s="180"/>
      <c r="F1" s="110" t="s">
        <v>9</v>
      </c>
      <c r="G1" s="111">
        <f ca="1">TODAY()</f>
        <v>43771</v>
      </c>
    </row>
    <row r="2" spans="2:30" x14ac:dyDescent="0.25">
      <c r="B2" s="180"/>
      <c r="C2" s="180"/>
      <c r="D2" s="183" t="s">
        <v>11</v>
      </c>
      <c r="E2" s="183"/>
    </row>
    <row r="3" spans="2:30" x14ac:dyDescent="0.25">
      <c r="B3" s="180"/>
      <c r="C3" s="180"/>
      <c r="D3" s="183" t="s">
        <v>12</v>
      </c>
      <c r="E3" s="183"/>
      <c r="I3" t="s">
        <v>180</v>
      </c>
      <c r="AD3" t="s">
        <v>32</v>
      </c>
    </row>
    <row r="4" spans="2:30" ht="24" thickBot="1" x14ac:dyDescent="0.4">
      <c r="B4" s="180"/>
      <c r="C4" s="180"/>
      <c r="D4" s="184" t="s">
        <v>29</v>
      </c>
      <c r="E4" s="184"/>
      <c r="F4" s="184"/>
      <c r="AD4" s="42" t="s">
        <v>33</v>
      </c>
    </row>
    <row r="5" spans="2:30" ht="18.75" x14ac:dyDescent="0.3">
      <c r="B5" s="185" t="s">
        <v>13</v>
      </c>
      <c r="C5" s="186"/>
      <c r="D5" s="186"/>
      <c r="E5" s="186"/>
      <c r="F5" s="186"/>
      <c r="G5" s="187"/>
      <c r="AD5" s="42" t="s">
        <v>34</v>
      </c>
    </row>
    <row r="6" spans="2:30" ht="19.5" thickBot="1" x14ac:dyDescent="0.35">
      <c r="B6" s="188" t="s">
        <v>20</v>
      </c>
      <c r="C6" s="189"/>
      <c r="D6" s="189"/>
      <c r="E6" s="189"/>
      <c r="F6" s="189"/>
      <c r="G6" s="190"/>
      <c r="AD6" s="42" t="s">
        <v>35</v>
      </c>
    </row>
    <row r="8" spans="2:30" ht="15.75" x14ac:dyDescent="0.25">
      <c r="B8" s="19" t="s">
        <v>14</v>
      </c>
      <c r="C8" s="191"/>
      <c r="D8" s="191"/>
      <c r="E8" s="20" t="s">
        <v>18</v>
      </c>
      <c r="F8" s="21"/>
      <c r="G8" s="22"/>
    </row>
    <row r="9" spans="2:30" ht="15.75" x14ac:dyDescent="0.25">
      <c r="B9" s="19" t="s">
        <v>15</v>
      </c>
      <c r="C9" s="192"/>
      <c r="D9" s="192"/>
      <c r="E9" s="20" t="s">
        <v>19</v>
      </c>
      <c r="F9" s="21"/>
      <c r="G9" s="22"/>
    </row>
    <row r="10" spans="2:30" ht="15.75" x14ac:dyDescent="0.25">
      <c r="B10" s="19" t="s">
        <v>16</v>
      </c>
      <c r="C10" s="192"/>
      <c r="D10" s="192"/>
      <c r="E10" s="20"/>
      <c r="F10" s="20"/>
      <c r="G10" s="22"/>
    </row>
    <row r="11" spans="2:30" ht="15.75" x14ac:dyDescent="0.25">
      <c r="B11" s="19" t="s">
        <v>17</v>
      </c>
      <c r="C11" s="192"/>
      <c r="D11" s="192"/>
      <c r="E11" s="20"/>
      <c r="F11" s="44"/>
      <c r="G11" s="22"/>
    </row>
    <row r="12" spans="2:30" ht="15.75" thickBot="1" x14ac:dyDescent="0.3"/>
    <row r="13" spans="2:30" ht="15" customHeight="1" x14ac:dyDescent="0.25">
      <c r="B13" s="165" t="s">
        <v>142</v>
      </c>
      <c r="C13" s="166"/>
      <c r="D13" s="166"/>
      <c r="E13" s="166"/>
      <c r="F13" s="167">
        <f>E33</f>
        <v>17342.857142857141</v>
      </c>
      <c r="G13" s="168"/>
    </row>
    <row r="14" spans="2:30" ht="15" customHeight="1" x14ac:dyDescent="0.25">
      <c r="B14" s="169" t="str">
        <f>'.'!C5</f>
        <v>Dix-sept mille trois cent quarante deux Dinars et quatre-vingt-six  cents</v>
      </c>
      <c r="C14" s="170"/>
      <c r="D14" s="170"/>
      <c r="E14" s="170"/>
      <c r="F14" s="170"/>
      <c r="G14" s="171"/>
    </row>
    <row r="15" spans="2:30" ht="15" customHeight="1" x14ac:dyDescent="0.25">
      <c r="B15" s="169"/>
      <c r="C15" s="170"/>
      <c r="D15" s="170"/>
      <c r="E15" s="170"/>
      <c r="F15" s="170"/>
      <c r="G15" s="171"/>
    </row>
    <row r="16" spans="2:30" ht="15.75" customHeight="1" x14ac:dyDescent="0.25">
      <c r="B16" s="209" t="s">
        <v>30</v>
      </c>
      <c r="C16" s="210"/>
      <c r="D16" s="210"/>
      <c r="E16" s="210"/>
      <c r="F16" s="210"/>
      <c r="G16" s="211"/>
    </row>
    <row r="17" spans="2:7" ht="20.25" customHeight="1" thickBot="1" x14ac:dyDescent="0.3">
      <c r="B17" s="108" t="s">
        <v>31</v>
      </c>
      <c r="C17" s="109" t="s">
        <v>35</v>
      </c>
      <c r="D17" s="212" t="s">
        <v>36</v>
      </c>
      <c r="E17" s="212"/>
      <c r="F17" s="212"/>
      <c r="G17" s="213"/>
    </row>
    <row r="18" spans="2:7" ht="16.5" thickBot="1" x14ac:dyDescent="0.3">
      <c r="B18" s="23"/>
      <c r="C18" s="193" t="s">
        <v>8</v>
      </c>
      <c r="D18" s="194"/>
      <c r="E18" s="214">
        <v>5000</v>
      </c>
      <c r="F18" s="215"/>
      <c r="G18" s="24"/>
    </row>
    <row r="19" spans="2:7" ht="16.5" thickBot="1" x14ac:dyDescent="0.3">
      <c r="B19" s="23"/>
      <c r="C19" s="193" t="s">
        <v>0</v>
      </c>
      <c r="D19" s="194"/>
      <c r="E19" s="214">
        <v>5000</v>
      </c>
      <c r="F19" s="215"/>
      <c r="G19" s="24"/>
    </row>
    <row r="20" spans="2:7" ht="16.5" thickBot="1" x14ac:dyDescent="0.3">
      <c r="B20" s="23"/>
      <c r="C20" s="193" t="s">
        <v>3</v>
      </c>
      <c r="D20" s="194"/>
      <c r="E20" s="214">
        <v>8403.361344537816</v>
      </c>
      <c r="F20" s="215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93" t="s">
        <v>4</v>
      </c>
      <c r="D22" s="194"/>
      <c r="E22" s="214">
        <f>E18+E19+E20</f>
        <v>18403.361344537814</v>
      </c>
      <c r="F22" s="215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93" t="s">
        <v>5</v>
      </c>
      <c r="D24" s="194"/>
      <c r="E24" s="214">
        <v>1260.5042016806724</v>
      </c>
      <c r="F24" s="215"/>
      <c r="G24" s="24"/>
    </row>
    <row r="25" spans="2:7" ht="16.5" thickBot="1" x14ac:dyDescent="0.3">
      <c r="B25" s="23"/>
      <c r="C25" s="172" t="s">
        <v>6</v>
      </c>
      <c r="D25" s="173"/>
      <c r="E25" s="216">
        <v>0</v>
      </c>
      <c r="F25" s="217"/>
      <c r="G25" s="24"/>
    </row>
    <row r="26" spans="2:7" ht="16.5" thickBot="1" x14ac:dyDescent="0.3">
      <c r="B26" s="23"/>
      <c r="C26" s="193" t="s">
        <v>37</v>
      </c>
      <c r="D26" s="194"/>
      <c r="E26" s="45"/>
      <c r="F26" s="46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193" t="s">
        <v>4</v>
      </c>
      <c r="D28" s="195"/>
      <c r="E28" s="214"/>
      <c r="F28" s="215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214">
        <v>0</v>
      </c>
      <c r="F30" s="215"/>
      <c r="G30" s="24"/>
    </row>
    <row r="31" spans="2:7" ht="16.5" thickBot="1" x14ac:dyDescent="0.3">
      <c r="B31" s="23"/>
      <c r="C31" s="196" t="s">
        <v>141</v>
      </c>
      <c r="D31" s="197"/>
      <c r="E31" s="174">
        <v>0</v>
      </c>
      <c r="F31" s="175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176">
        <v>17342.857142857141</v>
      </c>
      <c r="F33" s="177"/>
      <c r="G33" s="24"/>
    </row>
    <row r="34" spans="1:8" ht="16.5" thickBot="1" x14ac:dyDescent="0.3">
      <c r="A34" s="1"/>
      <c r="B34" s="23"/>
      <c r="C34" s="33"/>
      <c r="D34" s="34"/>
      <c r="E34" s="178"/>
      <c r="F34" s="179"/>
      <c r="G34" s="24"/>
      <c r="H34" s="1"/>
    </row>
    <row r="35" spans="1:8" ht="15.75" x14ac:dyDescent="0.25">
      <c r="A35" s="1"/>
      <c r="B35" s="23"/>
      <c r="C35" s="25"/>
      <c r="D35" s="161"/>
      <c r="E35" s="161"/>
      <c r="F35" s="161"/>
      <c r="G35" s="162"/>
      <c r="H35" s="1"/>
    </row>
    <row r="36" spans="1:8" ht="15.75" x14ac:dyDescent="0.25">
      <c r="A36" s="1"/>
      <c r="B36" s="181" t="s">
        <v>10</v>
      </c>
      <c r="C36" s="182"/>
      <c r="D36" s="161"/>
      <c r="E36" s="161"/>
      <c r="F36" s="161"/>
      <c r="G36" s="162"/>
      <c r="H36" s="1"/>
    </row>
    <row r="37" spans="1:8" ht="15.75" x14ac:dyDescent="0.25">
      <c r="A37" s="1"/>
      <c r="B37" s="23"/>
      <c r="C37" s="25"/>
      <c r="D37" s="161"/>
      <c r="E37" s="161"/>
      <c r="F37" s="161"/>
      <c r="G37" s="162"/>
      <c r="H37" s="1"/>
    </row>
    <row r="38" spans="1:8" ht="15.75" x14ac:dyDescent="0.25">
      <c r="A38" s="1"/>
      <c r="B38" s="23"/>
      <c r="C38" s="25"/>
      <c r="D38" s="161"/>
      <c r="E38" s="161"/>
      <c r="F38" s="161"/>
      <c r="G38" s="162"/>
      <c r="H38" s="1"/>
    </row>
    <row r="39" spans="1:8" ht="16.5" thickBot="1" x14ac:dyDescent="0.3">
      <c r="A39" s="1"/>
      <c r="B39" s="41"/>
      <c r="C39" s="35"/>
      <c r="D39" s="163"/>
      <c r="E39" s="163"/>
      <c r="F39" s="163"/>
      <c r="G39" s="164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207" t="s">
        <v>21</v>
      </c>
      <c r="C41" s="208"/>
      <c r="D41" s="112" t="s">
        <v>22</v>
      </c>
      <c r="E41" s="112" t="s">
        <v>23</v>
      </c>
      <c r="F41" s="207" t="s">
        <v>24</v>
      </c>
      <c r="G41" s="208"/>
    </row>
    <row r="42" spans="1:8" x14ac:dyDescent="0.25">
      <c r="B42" s="198"/>
      <c r="C42" s="199"/>
      <c r="D42" s="202"/>
      <c r="E42" s="202"/>
      <c r="F42" s="198"/>
      <c r="G42" s="199"/>
    </row>
    <row r="43" spans="1:8" x14ac:dyDescent="0.25">
      <c r="B43" s="200"/>
      <c r="C43" s="162"/>
      <c r="D43" s="203"/>
      <c r="E43" s="203"/>
      <c r="F43" s="200"/>
      <c r="G43" s="162"/>
    </row>
    <row r="44" spans="1:8" x14ac:dyDescent="0.25">
      <c r="B44" s="200"/>
      <c r="C44" s="162"/>
      <c r="D44" s="203"/>
      <c r="E44" s="203"/>
      <c r="F44" s="200"/>
      <c r="G44" s="162"/>
    </row>
    <row r="45" spans="1:8" x14ac:dyDescent="0.25">
      <c r="B45" s="200"/>
      <c r="C45" s="162"/>
      <c r="D45" s="203"/>
      <c r="E45" s="203"/>
      <c r="F45" s="200"/>
      <c r="G45" s="162"/>
    </row>
    <row r="46" spans="1:8" ht="15.75" thickBot="1" x14ac:dyDescent="0.3">
      <c r="B46" s="201"/>
      <c r="C46" s="164"/>
      <c r="D46" s="204"/>
      <c r="E46" s="204"/>
      <c r="F46" s="201"/>
      <c r="G46" s="164"/>
    </row>
    <row r="47" spans="1:8" ht="16.5" thickBot="1" x14ac:dyDescent="0.3">
      <c r="B47" s="205" t="s">
        <v>28</v>
      </c>
      <c r="C47" s="206"/>
      <c r="D47" s="113" t="s">
        <v>25</v>
      </c>
      <c r="E47" s="37" t="s">
        <v>26</v>
      </c>
      <c r="F47" s="205" t="s">
        <v>27</v>
      </c>
      <c r="G47" s="206"/>
    </row>
    <row r="48" spans="1:8" x14ac:dyDescent="0.25">
      <c r="B48" s="198"/>
      <c r="C48" s="199"/>
      <c r="D48" s="202"/>
      <c r="E48" s="202"/>
      <c r="F48" s="198"/>
      <c r="G48" s="199"/>
    </row>
    <row r="49" spans="1:8" x14ac:dyDescent="0.25">
      <c r="B49" s="200"/>
      <c r="C49" s="162"/>
      <c r="D49" s="203"/>
      <c r="E49" s="203"/>
      <c r="F49" s="200"/>
      <c r="G49" s="162"/>
    </row>
    <row r="50" spans="1:8" x14ac:dyDescent="0.25">
      <c r="B50" s="200"/>
      <c r="C50" s="162"/>
      <c r="D50" s="203"/>
      <c r="E50" s="203"/>
      <c r="F50" s="200"/>
      <c r="G50" s="162"/>
    </row>
    <row r="51" spans="1:8" x14ac:dyDescent="0.25">
      <c r="B51" s="200"/>
      <c r="C51" s="162"/>
      <c r="D51" s="203"/>
      <c r="E51" s="203"/>
      <c r="F51" s="200"/>
      <c r="G51" s="162"/>
    </row>
    <row r="52" spans="1:8" x14ac:dyDescent="0.25">
      <c r="B52" s="200"/>
      <c r="C52" s="162"/>
      <c r="D52" s="203"/>
      <c r="E52" s="203"/>
      <c r="F52" s="200"/>
      <c r="G52" s="162"/>
    </row>
    <row r="53" spans="1:8" s="3" customFormat="1" ht="15.75" thickBot="1" x14ac:dyDescent="0.3">
      <c r="A53" s="17">
        <v>11</v>
      </c>
      <c r="B53" s="201"/>
      <c r="C53" s="164"/>
      <c r="D53" s="204"/>
      <c r="E53" s="204"/>
      <c r="F53" s="201"/>
      <c r="G53" s="164"/>
    </row>
    <row r="56" spans="1:8" x14ac:dyDescent="0.25">
      <c r="H56" t="s">
        <v>181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52"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</mergeCells>
  <conditionalFormatting sqref="F8">
    <cfRule type="expression" dxfId="4" priority="2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OptionButton2">
          <controlPr defaultSize="0" autoLine="0" r:id="rId5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4" name="OptionButton2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30" r:id="rId8" name="ToggleButton1">
          <controlPr defaultSize="0" autoLine="0" r:id="rId9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8" name="Toggle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Reseaux!H2:H8</xm:f>
          </x14:formula1>
          <xm:sqref>F8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53"/>
  <sheetViews>
    <sheetView workbookViewId="0">
      <selection activeCell="I4" sqref="I4"/>
    </sheetView>
  </sheetViews>
  <sheetFormatPr baseColWidth="10" defaultRowHeight="15" x14ac:dyDescent="0.25"/>
  <sheetData>
    <row r="1" spans="2:7" x14ac:dyDescent="0.25">
      <c r="B1" s="180"/>
      <c r="C1" s="180"/>
      <c r="D1" s="18"/>
      <c r="E1" s="18"/>
      <c r="F1" s="110" t="s">
        <v>9</v>
      </c>
      <c r="G1" s="111">
        <f ca="1">TODAY()</f>
        <v>43771</v>
      </c>
    </row>
    <row r="2" spans="2:7" x14ac:dyDescent="0.25">
      <c r="B2" s="180"/>
      <c r="C2" s="180"/>
      <c r="D2" s="183" t="s">
        <v>11</v>
      </c>
      <c r="E2" s="183"/>
      <c r="F2" s="18"/>
    </row>
    <row r="3" spans="2:7" x14ac:dyDescent="0.25">
      <c r="B3" s="180"/>
      <c r="C3" s="180"/>
      <c r="D3" s="183" t="s">
        <v>12</v>
      </c>
      <c r="E3" s="183"/>
      <c r="F3" s="18"/>
    </row>
    <row r="4" spans="2:7" ht="24" thickBot="1" x14ac:dyDescent="0.4">
      <c r="B4" s="180"/>
      <c r="C4" s="180"/>
      <c r="D4" s="184" t="s">
        <v>29</v>
      </c>
      <c r="E4" s="184"/>
      <c r="F4" s="184"/>
    </row>
    <row r="5" spans="2:7" ht="18.75" x14ac:dyDescent="0.3">
      <c r="B5" s="185" t="s">
        <v>13</v>
      </c>
      <c r="C5" s="186"/>
      <c r="D5" s="186"/>
      <c r="E5" s="186"/>
      <c r="F5" s="186"/>
      <c r="G5" s="187"/>
    </row>
    <row r="6" spans="2:7" ht="19.5" thickBot="1" x14ac:dyDescent="0.35">
      <c r="B6" s="188" t="s">
        <v>20</v>
      </c>
      <c r="C6" s="189"/>
      <c r="D6" s="189"/>
      <c r="E6" s="189"/>
      <c r="F6" s="189"/>
      <c r="G6" s="190"/>
    </row>
    <row r="7" spans="2:7" x14ac:dyDescent="0.25">
      <c r="C7" s="18"/>
      <c r="D7" s="18"/>
      <c r="E7" s="18"/>
      <c r="F7" s="18"/>
    </row>
    <row r="8" spans="2:7" ht="15.75" x14ac:dyDescent="0.25">
      <c r="B8" s="19" t="s">
        <v>14</v>
      </c>
      <c r="C8" s="191">
        <v>250</v>
      </c>
      <c r="D8" s="191"/>
      <c r="E8" s="131" t="s">
        <v>18</v>
      </c>
      <c r="F8" s="21" t="s">
        <v>91</v>
      </c>
      <c r="G8" s="22"/>
    </row>
    <row r="9" spans="2:7" ht="15.75" x14ac:dyDescent="0.25">
      <c r="B9" s="19" t="s">
        <v>15</v>
      </c>
      <c r="C9" s="192"/>
      <c r="D9" s="192"/>
      <c r="E9" s="131" t="s">
        <v>19</v>
      </c>
      <c r="F9" s="21"/>
      <c r="G9" s="22"/>
    </row>
    <row r="10" spans="2:7" ht="15.75" x14ac:dyDescent="0.25">
      <c r="B10" s="19" t="s">
        <v>16</v>
      </c>
      <c r="C10" s="192"/>
      <c r="D10" s="192"/>
      <c r="E10" s="131"/>
      <c r="F10" s="131"/>
      <c r="G10" s="22"/>
    </row>
    <row r="11" spans="2:7" ht="15.75" x14ac:dyDescent="0.25">
      <c r="B11" s="19" t="s">
        <v>17</v>
      </c>
      <c r="C11" s="192"/>
      <c r="D11" s="192"/>
      <c r="E11" s="131"/>
      <c r="F11" s="131"/>
      <c r="G11" s="22"/>
    </row>
    <row r="12" spans="2:7" ht="15.75" thickBot="1" x14ac:dyDescent="0.3">
      <c r="C12" s="18"/>
      <c r="D12" s="18"/>
      <c r="E12" s="18"/>
      <c r="F12" s="18"/>
    </row>
    <row r="13" spans="2:7" ht="18" x14ac:dyDescent="0.25">
      <c r="B13" s="165" t="s">
        <v>142</v>
      </c>
      <c r="C13" s="166"/>
      <c r="D13" s="166"/>
      <c r="E13" s="166"/>
      <c r="F13" s="167">
        <f>E33</f>
        <v>18321.25</v>
      </c>
      <c r="G13" s="168"/>
    </row>
    <row r="14" spans="2:7" x14ac:dyDescent="0.25">
      <c r="B14" s="169">
        <f>'.'!C58</f>
        <v>0</v>
      </c>
      <c r="C14" s="170"/>
      <c r="D14" s="170"/>
      <c r="E14" s="170"/>
      <c r="F14" s="170"/>
      <c r="G14" s="171"/>
    </row>
    <row r="15" spans="2:7" x14ac:dyDescent="0.25">
      <c r="B15" s="169"/>
      <c r="C15" s="170"/>
      <c r="D15" s="170"/>
      <c r="E15" s="170"/>
      <c r="F15" s="170"/>
      <c r="G15" s="171"/>
    </row>
    <row r="16" spans="2:7" ht="18.75" x14ac:dyDescent="0.25">
      <c r="B16" s="209" t="s">
        <v>30</v>
      </c>
      <c r="C16" s="210"/>
      <c r="D16" s="210"/>
      <c r="E16" s="210"/>
      <c r="F16" s="210"/>
      <c r="G16" s="211"/>
    </row>
    <row r="17" spans="2:7" ht="38.25" thickBot="1" x14ac:dyDescent="0.3">
      <c r="B17" s="108" t="s">
        <v>31</v>
      </c>
      <c r="C17" s="109" t="s">
        <v>35</v>
      </c>
      <c r="D17" s="212" t="s">
        <v>36</v>
      </c>
      <c r="E17" s="212"/>
      <c r="F17" s="212"/>
      <c r="G17" s="213"/>
    </row>
    <row r="18" spans="2:7" ht="16.5" thickBot="1" x14ac:dyDescent="0.3">
      <c r="B18" s="23"/>
      <c r="C18" s="193" t="s">
        <v>8</v>
      </c>
      <c r="D18" s="194"/>
      <c r="E18" s="214">
        <v>5000</v>
      </c>
      <c r="F18" s="215"/>
      <c r="G18" s="24"/>
    </row>
    <row r="19" spans="2:7" ht="16.5" thickBot="1" x14ac:dyDescent="0.3">
      <c r="B19" s="23"/>
      <c r="C19" s="193" t="s">
        <v>0</v>
      </c>
      <c r="D19" s="194"/>
      <c r="E19" s="214">
        <v>5000</v>
      </c>
      <c r="F19" s="215"/>
      <c r="G19" s="24"/>
    </row>
    <row r="20" spans="2:7" ht="16.5" thickBot="1" x14ac:dyDescent="0.3">
      <c r="B20" s="23"/>
      <c r="C20" s="193" t="s">
        <v>3</v>
      </c>
      <c r="D20" s="194"/>
      <c r="E20" s="214">
        <v>10000</v>
      </c>
      <c r="F20" s="215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93" t="s">
        <v>4</v>
      </c>
      <c r="D22" s="194"/>
      <c r="E22" s="214">
        <f>E18+E19+E20</f>
        <v>20000</v>
      </c>
      <c r="F22" s="215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93" t="s">
        <v>5</v>
      </c>
      <c r="D24" s="194"/>
      <c r="E24" s="214">
        <v>1500</v>
      </c>
      <c r="F24" s="215"/>
      <c r="G24" s="24"/>
    </row>
    <row r="25" spans="2:7" ht="16.5" thickBot="1" x14ac:dyDescent="0.3">
      <c r="B25" s="23"/>
      <c r="C25" s="172" t="s">
        <v>6</v>
      </c>
      <c r="D25" s="173"/>
      <c r="E25" s="216">
        <v>25</v>
      </c>
      <c r="F25" s="217"/>
      <c r="G25" s="24"/>
    </row>
    <row r="26" spans="2:7" ht="16.5" thickBot="1" x14ac:dyDescent="0.3">
      <c r="B26" s="23"/>
      <c r="C26" s="193" t="s">
        <v>37</v>
      </c>
      <c r="D26" s="194"/>
      <c r="E26" s="45"/>
      <c r="F26" s="46"/>
      <c r="G26" s="24"/>
    </row>
    <row r="27" spans="2:7" ht="16.5" thickBot="1" x14ac:dyDescent="0.3">
      <c r="B27" s="23"/>
      <c r="C27" s="131"/>
      <c r="D27" s="131"/>
      <c r="E27" s="28"/>
      <c r="F27" s="28"/>
      <c r="G27" s="24"/>
    </row>
    <row r="28" spans="2:7" ht="16.5" thickBot="1" x14ac:dyDescent="0.3">
      <c r="B28" s="23"/>
      <c r="C28" s="193" t="s">
        <v>4</v>
      </c>
      <c r="D28" s="195"/>
      <c r="E28" s="214">
        <v>0</v>
      </c>
      <c r="F28" s="215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129" t="s">
        <v>1</v>
      </c>
      <c r="D30" s="130"/>
      <c r="E30" s="214">
        <v>2500</v>
      </c>
      <c r="F30" s="215"/>
      <c r="G30" s="24"/>
    </row>
    <row r="31" spans="2:7" ht="16.5" thickBot="1" x14ac:dyDescent="0.3">
      <c r="B31" s="23"/>
      <c r="C31" s="196" t="s">
        <v>141</v>
      </c>
      <c r="D31" s="197"/>
      <c r="E31" s="174">
        <v>200</v>
      </c>
      <c r="F31" s="175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7" ht="15.75" x14ac:dyDescent="0.25">
      <c r="A33" s="1"/>
      <c r="B33" s="23"/>
      <c r="C33" s="31" t="s">
        <v>7</v>
      </c>
      <c r="D33" s="32"/>
      <c r="E33" s="176">
        <v>18321.25</v>
      </c>
      <c r="F33" s="177"/>
      <c r="G33" s="24"/>
    </row>
    <row r="34" spans="1:7" ht="16.5" thickBot="1" x14ac:dyDescent="0.3">
      <c r="A34" s="1"/>
      <c r="B34" s="23"/>
      <c r="C34" s="33"/>
      <c r="D34" s="34"/>
      <c r="E34" s="178"/>
      <c r="F34" s="179"/>
      <c r="G34" s="24"/>
    </row>
    <row r="35" spans="1:7" ht="15.75" x14ac:dyDescent="0.25">
      <c r="A35" s="1"/>
      <c r="B35" s="23"/>
      <c r="C35" s="25"/>
      <c r="D35" s="161"/>
      <c r="E35" s="161"/>
      <c r="F35" s="161"/>
      <c r="G35" s="162"/>
    </row>
    <row r="36" spans="1:7" ht="15.75" x14ac:dyDescent="0.25">
      <c r="A36" s="1"/>
      <c r="B36" s="181" t="s">
        <v>10</v>
      </c>
      <c r="C36" s="182"/>
      <c r="D36" s="161"/>
      <c r="E36" s="161"/>
      <c r="F36" s="161"/>
      <c r="G36" s="162"/>
    </row>
    <row r="37" spans="1:7" ht="15.75" x14ac:dyDescent="0.25">
      <c r="A37" s="1"/>
      <c r="B37" s="23"/>
      <c r="C37" s="25"/>
      <c r="D37" s="161"/>
      <c r="E37" s="161"/>
      <c r="F37" s="161"/>
      <c r="G37" s="162"/>
    </row>
    <row r="38" spans="1:7" ht="15.75" x14ac:dyDescent="0.25">
      <c r="A38" s="1"/>
      <c r="B38" s="23"/>
      <c r="C38" s="25"/>
      <c r="D38" s="161"/>
      <c r="E38" s="161"/>
      <c r="F38" s="161"/>
      <c r="G38" s="162"/>
    </row>
    <row r="39" spans="1:7" ht="16.5" thickBot="1" x14ac:dyDescent="0.3">
      <c r="A39" s="1"/>
      <c r="B39" s="41"/>
      <c r="C39" s="35"/>
      <c r="D39" s="163"/>
      <c r="E39" s="163"/>
      <c r="F39" s="163"/>
      <c r="G39" s="164"/>
    </row>
    <row r="40" spans="1:7" ht="16.5" thickBot="1" x14ac:dyDescent="0.3">
      <c r="B40" s="22"/>
      <c r="C40" s="131"/>
      <c r="D40" s="35"/>
      <c r="E40" s="35"/>
      <c r="F40" s="35"/>
      <c r="G40" s="36"/>
    </row>
    <row r="41" spans="1:7" ht="16.5" thickBot="1" x14ac:dyDescent="0.3">
      <c r="B41" s="207" t="s">
        <v>21</v>
      </c>
      <c r="C41" s="208"/>
      <c r="D41" s="112" t="s">
        <v>22</v>
      </c>
      <c r="E41" s="112" t="s">
        <v>23</v>
      </c>
      <c r="F41" s="207" t="s">
        <v>24</v>
      </c>
      <c r="G41" s="208"/>
    </row>
    <row r="42" spans="1:7" x14ac:dyDescent="0.25">
      <c r="B42" s="198"/>
      <c r="C42" s="199"/>
      <c r="D42" s="202"/>
      <c r="E42" s="202"/>
      <c r="F42" s="198"/>
      <c r="G42" s="199"/>
    </row>
    <row r="43" spans="1:7" x14ac:dyDescent="0.25">
      <c r="B43" s="200"/>
      <c r="C43" s="162"/>
      <c r="D43" s="203"/>
      <c r="E43" s="203"/>
      <c r="F43" s="200"/>
      <c r="G43" s="162"/>
    </row>
    <row r="44" spans="1:7" x14ac:dyDescent="0.25">
      <c r="B44" s="200"/>
      <c r="C44" s="162"/>
      <c r="D44" s="203"/>
      <c r="E44" s="203"/>
      <c r="F44" s="200"/>
      <c r="G44" s="162"/>
    </row>
    <row r="45" spans="1:7" x14ac:dyDescent="0.25">
      <c r="B45" s="200"/>
      <c r="C45" s="162"/>
      <c r="D45" s="203"/>
      <c r="E45" s="203"/>
      <c r="F45" s="200"/>
      <c r="G45" s="162"/>
    </row>
    <row r="46" spans="1:7" ht="15.75" thickBot="1" x14ac:dyDescent="0.3">
      <c r="B46" s="201"/>
      <c r="C46" s="164"/>
      <c r="D46" s="204"/>
      <c r="E46" s="204"/>
      <c r="F46" s="201"/>
      <c r="G46" s="164"/>
    </row>
    <row r="47" spans="1:7" ht="16.5" thickBot="1" x14ac:dyDescent="0.3">
      <c r="B47" s="205" t="s">
        <v>28</v>
      </c>
      <c r="C47" s="206"/>
      <c r="D47" s="113" t="s">
        <v>25</v>
      </c>
      <c r="E47" s="37" t="s">
        <v>26</v>
      </c>
      <c r="F47" s="205" t="s">
        <v>27</v>
      </c>
      <c r="G47" s="206"/>
    </row>
    <row r="48" spans="1:7" x14ac:dyDescent="0.25">
      <c r="B48" s="198"/>
      <c r="C48" s="199"/>
      <c r="D48" s="202"/>
      <c r="E48" s="202"/>
      <c r="F48" s="198"/>
      <c r="G48" s="199"/>
    </row>
    <row r="49" spans="1:7" x14ac:dyDescent="0.25">
      <c r="B49" s="200"/>
      <c r="C49" s="162"/>
      <c r="D49" s="203"/>
      <c r="E49" s="203"/>
      <c r="F49" s="200"/>
      <c r="G49" s="162"/>
    </row>
    <row r="50" spans="1:7" x14ac:dyDescent="0.25">
      <c r="B50" s="200"/>
      <c r="C50" s="162"/>
      <c r="D50" s="203"/>
      <c r="E50" s="203"/>
      <c r="F50" s="200"/>
      <c r="G50" s="162"/>
    </row>
    <row r="51" spans="1:7" x14ac:dyDescent="0.25">
      <c r="B51" s="200"/>
      <c r="C51" s="162"/>
      <c r="D51" s="203"/>
      <c r="E51" s="203"/>
      <c r="F51" s="200"/>
      <c r="G51" s="162"/>
    </row>
    <row r="52" spans="1:7" x14ac:dyDescent="0.25">
      <c r="B52" s="200"/>
      <c r="C52" s="162"/>
      <c r="D52" s="203"/>
      <c r="E52" s="203"/>
      <c r="F52" s="200"/>
      <c r="G52" s="162"/>
    </row>
    <row r="53" spans="1:7" ht="15.75" thickBot="1" x14ac:dyDescent="0.3">
      <c r="A53" s="17">
        <v>11</v>
      </c>
      <c r="B53" s="201"/>
      <c r="C53" s="164"/>
      <c r="D53" s="204"/>
      <c r="E53" s="204"/>
      <c r="F53" s="201"/>
      <c r="G53" s="164"/>
    </row>
  </sheetData>
  <mergeCells count="52">
    <mergeCell ref="B1:C4"/>
    <mergeCell ref="D2:E2"/>
    <mergeCell ref="D3:E3"/>
    <mergeCell ref="D4:F4"/>
    <mergeCell ref="B5:G5"/>
    <mergeCell ref="B13:E13"/>
    <mergeCell ref="F13:G13"/>
    <mergeCell ref="B14:G15"/>
    <mergeCell ref="B16:G16"/>
    <mergeCell ref="D17:G17"/>
    <mergeCell ref="B6:G6"/>
    <mergeCell ref="C8:D8"/>
    <mergeCell ref="C9:D9"/>
    <mergeCell ref="C10:D10"/>
    <mergeCell ref="C11:D11"/>
    <mergeCell ref="C18:D18"/>
    <mergeCell ref="E18:F18"/>
    <mergeCell ref="C19:D19"/>
    <mergeCell ref="E19:F19"/>
    <mergeCell ref="C20:D20"/>
    <mergeCell ref="E20:F20"/>
    <mergeCell ref="E31:F31"/>
    <mergeCell ref="C22:D22"/>
    <mergeCell ref="E22:F22"/>
    <mergeCell ref="C24:D24"/>
    <mergeCell ref="E24:F24"/>
    <mergeCell ref="C25:D25"/>
    <mergeCell ref="E25:F25"/>
    <mergeCell ref="C26:D26"/>
    <mergeCell ref="C28:D28"/>
    <mergeCell ref="E28:F28"/>
    <mergeCell ref="E30:F30"/>
    <mergeCell ref="C31:D31"/>
    <mergeCell ref="E33:F34"/>
    <mergeCell ref="D35:G35"/>
    <mergeCell ref="B36:C36"/>
    <mergeCell ref="D36:G36"/>
    <mergeCell ref="D37:G37"/>
    <mergeCell ref="D38:G38"/>
    <mergeCell ref="D39:G39"/>
    <mergeCell ref="B41:C41"/>
    <mergeCell ref="F41:G41"/>
    <mergeCell ref="B42:C46"/>
    <mergeCell ref="D42:D46"/>
    <mergeCell ref="E42:E46"/>
    <mergeCell ref="F42:G46"/>
    <mergeCell ref="B47:C47"/>
    <mergeCell ref="F47:G47"/>
    <mergeCell ref="B48:C53"/>
    <mergeCell ref="D48:D53"/>
    <mergeCell ref="E48:E53"/>
    <mergeCell ref="F48:G53"/>
  </mergeCells>
  <conditionalFormatting sqref="F8">
    <cfRule type="expression" dxfId="3" priority="1">
      <formula>ISNA($F$8)</formula>
    </cfRule>
  </conditionalFormatting>
  <dataValidations count="3">
    <dataValidation type="list" allowBlank="1" showInputMessage="1" showErrorMessage="1" sqref="F9">
      <formula1>codeagence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Modèle_Sinistre!$F$9</f>
        <v>0</v>
      </c>
      <c r="E2" t="str">
        <f>IFERROR(VLOOKUP($C$2,$A$2:$B$262,2,FALSE),"")</f>
        <v/>
      </c>
      <c r="F2" s="13" t="str">
        <f t="array" ref="F2">IF(ROW()-1&gt;COUNTIF($B$1:$B$262,$C$3),"",INDEX($A$1:$A$262,SMALL(IF($B$1:$B$262=$C$3,ROW($A$1:$A$262),""),ROW()-1)))</f>
        <v/>
      </c>
      <c r="H2" s="12" t="s">
        <v>42</v>
      </c>
    </row>
    <row r="3" spans="1:9" x14ac:dyDescent="0.25">
      <c r="A3" s="11" t="s">
        <v>43</v>
      </c>
      <c r="B3" s="12" t="s">
        <v>42</v>
      </c>
      <c r="C3" s="16">
        <f>Modèle_Sinistre!$F$8</f>
        <v>0</v>
      </c>
      <c r="F3" s="13" t="str">
        <f t="array" ref="F3">IF(ROW()-1&gt;COUNTIF($B$1:$B$262,$C$3),"",INDEX($A$1:$A$262,SMALL(IF($B$1:$B$262=$C$3,ROW($A$1:$A$262),""),ROW()-1)))</f>
        <v/>
      </c>
      <c r="H3" s="12" t="s">
        <v>54</v>
      </c>
    </row>
    <row r="4" spans="1:9" x14ac:dyDescent="0.25">
      <c r="A4" s="11" t="s">
        <v>44</v>
      </c>
      <c r="B4" s="12" t="s">
        <v>42</v>
      </c>
      <c r="F4" s="13" t="str">
        <f t="array" ref="F4">IF(ROW()-1&gt;COUNTIF($B$1:$B$262,$C$3),"",INDEX($A$1:$A$262,SMALL(IF($B$1:$B$262=$C$3,ROW($A$1:$A$262),""),ROW()-1)))</f>
        <v/>
      </c>
      <c r="H4" s="12" t="s">
        <v>82</v>
      </c>
    </row>
    <row r="5" spans="1:9" x14ac:dyDescent="0.25">
      <c r="A5" s="11">
        <v>12053</v>
      </c>
      <c r="B5" s="12" t="s">
        <v>42</v>
      </c>
      <c r="F5" s="13" t="str">
        <f t="array" ref="F5">IF(ROW()-1&gt;COUNTIF($B$1:$B$262,$C$3),"",INDEX($A$1:$A$262,SMALL(IF($B$1:$B$262=$C$3,ROW($A$1:$A$262),""),ROW()-1)))</f>
        <v/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/>
      </c>
      <c r="H6" s="12" t="s">
        <v>98</v>
      </c>
    </row>
    <row r="7" spans="1:9" x14ac:dyDescent="0.25">
      <c r="A7" s="11" t="s">
        <v>46</v>
      </c>
      <c r="B7" s="12" t="s">
        <v>42</v>
      </c>
      <c r="F7" s="13" t="str">
        <f t="array" ref="F7">IF(ROW()-1&gt;COUNTIF($B$1:$B$262,$C$3),"",INDEX($A$1:$A$262,SMALL(IF($B$1:$B$262=$C$3,ROW($A$1:$A$262),""),ROW()-1)))</f>
        <v/>
      </c>
      <c r="H7" s="12" t="s">
        <v>117</v>
      </c>
    </row>
    <row r="8" spans="1:9" x14ac:dyDescent="0.25">
      <c r="A8" s="11">
        <v>12185</v>
      </c>
      <c r="B8" s="12" t="s">
        <v>42</v>
      </c>
      <c r="F8" s="13" t="str">
        <f t="array" ref="F8">IF(ROW()-1&gt;COUNTIF($B$1:$B$262,$C$3),"",INDEX($A$1:$A$262,SMALL(IF($B$1:$B$262=$C$3,ROW($A$1:$A$262),""),ROW()-1)))</f>
        <v/>
      </c>
      <c r="H8" s="12" t="s">
        <v>127</v>
      </c>
    </row>
    <row r="9" spans="1:9" x14ac:dyDescent="0.25">
      <c r="A9" s="11">
        <v>21060</v>
      </c>
      <c r="B9" s="12" t="s">
        <v>42</v>
      </c>
      <c r="F9" s="13" t="str">
        <f t="array" ref="F9">IF(ROW()-1&gt;COUNTIF($B$1:$B$262,$C$3),"",INDEX($A$1:$A$262,SMALL(IF($B$1:$B$262=$C$3,ROW($A$1:$A$262),""),ROW()-1)))</f>
        <v/>
      </c>
    </row>
    <row r="10" spans="1:9" x14ac:dyDescent="0.25">
      <c r="A10" s="11">
        <v>21085</v>
      </c>
      <c r="B10" s="12" t="s">
        <v>42</v>
      </c>
      <c r="F10" s="13" t="str">
        <f t="array" ref="F10">IF(ROW()-1&gt;COUNTIF($B$1:$B$262,$C$3),"",INDEX($A$1:$A$262,SMALL(IF($B$1:$B$262=$C$3,ROW($A$1:$A$262),""),ROW()-1)))</f>
        <v/>
      </c>
    </row>
    <row r="11" spans="1:9" x14ac:dyDescent="0.25">
      <c r="A11" s="11" t="s">
        <v>47</v>
      </c>
      <c r="B11" s="12" t="s">
        <v>42</v>
      </c>
      <c r="F11" s="13" t="str">
        <f t="array" ref="F11">IF(ROW()-1&gt;COUNTIF($B$1:$B$262,$C$3),"",INDEX($A$1:$A$262,SMALL(IF($B$1:$B$262=$C$3,ROW($A$1:$A$262),""),ROW()-1)))</f>
        <v/>
      </c>
    </row>
    <row r="12" spans="1:9" x14ac:dyDescent="0.25">
      <c r="A12" s="11">
        <v>21177</v>
      </c>
      <c r="B12" s="12" t="s">
        <v>42</v>
      </c>
      <c r="F12" s="13" t="str">
        <f t="array" ref="F12">IF(ROW()-1&gt;COUNTIF($B$1:$B$262,$C$3),"",INDEX($A$1:$A$262,SMALL(IF($B$1:$B$262=$C$3,ROW($A$1:$A$262),""),ROW()-1)))</f>
        <v/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/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 t="str">
        <f t="array" ref="F14">IF(ROW()-1&gt;COUNTIF($B$1:$B$262,$C$3),"",INDEX($A$1:$A$262,SMALL(IF($B$1:$B$262=$C$3,ROW($A$1:$A$262),""),ROW()-1)))</f>
        <v/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 t="str">
        <f t="array" ref="F15">IF(ROW()-1&gt;COUNTIF($B$1:$B$262,$C$3),"",INDEX($A$1:$A$262,SMALL(IF($B$1:$B$262=$C$3,ROW($A$1:$A$262),""),ROW()-1)))</f>
        <v/>
      </c>
    </row>
    <row r="16" spans="1:9" x14ac:dyDescent="0.25">
      <c r="A16" s="11">
        <v>23179</v>
      </c>
      <c r="B16" s="12" t="s">
        <v>42</v>
      </c>
      <c r="F16" s="13" t="str">
        <f t="array" ref="F16">IF(ROW()-1&gt;COUNTIF($B$1:$B$262,$C$3),"",INDEX($A$1:$A$262,SMALL(IF($B$1:$B$262=$C$3,ROW($A$1:$A$262),""),ROW()-1)))</f>
        <v/>
      </c>
    </row>
    <row r="17" spans="1:6" x14ac:dyDescent="0.25">
      <c r="A17" s="11">
        <v>23203</v>
      </c>
      <c r="B17" s="12" t="s">
        <v>42</v>
      </c>
      <c r="F17" s="13" t="str">
        <f t="array" ref="F17">IF(ROW()-1&gt;COUNTIF($B$1:$B$262,$C$3),"",INDEX($A$1:$A$262,SMALL(IF($B$1:$B$262=$C$3,ROW($A$1:$A$262),""),ROW()-1)))</f>
        <v/>
      </c>
    </row>
    <row r="18" spans="1:6" x14ac:dyDescent="0.25">
      <c r="A18" s="11">
        <v>23252</v>
      </c>
      <c r="B18" s="12" t="s">
        <v>42</v>
      </c>
      <c r="F18" s="13" t="str">
        <f t="array" ref="F18">IF(ROW()-1&gt;COUNTIF($B$1:$B$262,$C$3),"",INDEX($A$1:$A$262,SMALL(IF($B$1:$B$262=$C$3,ROW($A$1:$A$262),""),ROW()-1)))</f>
        <v/>
      </c>
    </row>
    <row r="19" spans="1:6" x14ac:dyDescent="0.25">
      <c r="A19" s="11" t="s">
        <v>48</v>
      </c>
      <c r="B19" s="12" t="s">
        <v>42</v>
      </c>
      <c r="F19" s="13" t="str">
        <f t="array" ref="F19">IF(ROW()-1&gt;COUNTIF($B$1:$B$262,$C$3),"",INDEX($A$1:$A$262,SMALL(IF($B$1:$B$262=$C$3,ROW($A$1:$A$262),""),ROW()-1)))</f>
        <v/>
      </c>
    </row>
    <row r="20" spans="1:6" x14ac:dyDescent="0.25">
      <c r="A20" s="11">
        <v>23277</v>
      </c>
      <c r="B20" s="12" t="s">
        <v>42</v>
      </c>
      <c r="F20" s="13" t="str">
        <f t="array" ref="F20">IF(ROW()-1&gt;COUNTIF($B$1:$B$262,$C$3),"",INDEX($A$1:$A$262,SMALL(IF($B$1:$B$262=$C$3,ROW($A$1:$A$262),""),ROW()-1)))</f>
        <v/>
      </c>
    </row>
    <row r="21" spans="1:6" x14ac:dyDescent="0.25">
      <c r="A21" s="11">
        <v>23549</v>
      </c>
      <c r="B21" s="12" t="s">
        <v>42</v>
      </c>
      <c r="F21" s="13" t="str">
        <f t="array" ref="F21">IF(ROW()-1&gt;COUNTIF($B$1:$B$262,$C$3),"",INDEX($A$1:$A$262,SMALL(IF($B$1:$B$262=$C$3,ROW($A$1:$A$262),""),ROW()-1)))</f>
        <v/>
      </c>
    </row>
    <row r="22" spans="1:6" x14ac:dyDescent="0.25">
      <c r="A22" s="11" t="s">
        <v>49</v>
      </c>
      <c r="B22" s="12" t="s">
        <v>42</v>
      </c>
      <c r="F22" s="13" t="str">
        <f t="array" ref="F22">IF(ROW()-1&gt;COUNTIF($B$1:$B$262,$C$3),"",INDEX($A$1:$A$262,SMALL(IF($B$1:$B$262=$C$3,ROW($A$1:$A$262),""),ROW()-1)))</f>
        <v/>
      </c>
    </row>
    <row r="23" spans="1:6" x14ac:dyDescent="0.25">
      <c r="A23" s="11">
        <v>23719</v>
      </c>
      <c r="B23" s="12" t="s">
        <v>42</v>
      </c>
      <c r="F23" s="13" t="str">
        <f t="array" ref="F23">IF(ROW()-1&gt;COUNTIF($B$1:$B$262,$C$3),"",INDEX($A$1:$A$262,SMALL(IF($B$1:$B$262=$C$3,ROW($A$1:$A$262),""),ROW()-1)))</f>
        <v/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/>
      </c>
    </row>
    <row r="25" spans="1:6" x14ac:dyDescent="0.25">
      <c r="A25" s="11">
        <v>23302</v>
      </c>
      <c r="B25" s="12" t="s">
        <v>42</v>
      </c>
      <c r="F25" s="13" t="str">
        <f t="array" ref="F25">IF(ROW()-1&gt;COUNTIF($B$1:$B$262,$C$3),"",INDEX($A$1:$A$262,SMALL(IF($B$1:$B$262=$C$3,ROW($A$1:$A$262),""),ROW()-1)))</f>
        <v/>
      </c>
    </row>
    <row r="26" spans="1:6" x14ac:dyDescent="0.25">
      <c r="A26" s="11">
        <v>24065</v>
      </c>
      <c r="B26" s="12" t="s">
        <v>42</v>
      </c>
      <c r="F26" s="13" t="str">
        <f t="array" ref="F26">IF(ROW()-1&gt;COUNTIF($B$1:$B$262,$C$3),"",INDEX($A$1:$A$262,SMALL(IF($B$1:$B$262=$C$3,ROW($A$1:$A$262),""),ROW()-1)))</f>
        <v/>
      </c>
    </row>
    <row r="27" spans="1:6" x14ac:dyDescent="0.25">
      <c r="A27" s="11" t="s">
        <v>50</v>
      </c>
      <c r="B27" s="12" t="s">
        <v>42</v>
      </c>
      <c r="F27" s="13" t="str">
        <f t="array" ref="F27">IF(ROW()-1&gt;COUNTIF($B$1:$B$262,$C$3),"",INDEX($A$1:$A$262,SMALL(IF($B$1:$B$262=$C$3,ROW($A$1:$A$262),""),ROW()-1)))</f>
        <v/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/>
      </c>
    </row>
    <row r="29" spans="1:6" x14ac:dyDescent="0.25">
      <c r="A29" s="11" t="s">
        <v>51</v>
      </c>
      <c r="B29" s="12" t="s">
        <v>42</v>
      </c>
      <c r="F29" s="13" t="str">
        <f t="array" ref="F29">IF(ROW()-1&gt;COUNTIF($B$1:$B$262,$C$3),"",INDEX($A$1:$A$262,SMALL(IF($B$1:$B$262=$C$3,ROW($A$1:$A$262),""),ROW()-1)))</f>
        <v/>
      </c>
    </row>
    <row r="30" spans="1:6" x14ac:dyDescent="0.25">
      <c r="A30" s="11">
        <v>24192</v>
      </c>
      <c r="B30" s="12" t="s">
        <v>42</v>
      </c>
      <c r="F30" s="13" t="str">
        <f t="array" ref="F30">IF(ROW()-1&gt;COUNTIF($B$1:$B$262,$C$3),"",INDEX($A$1:$A$262,SMALL(IF($B$1:$B$262=$C$3,ROW($A$1:$A$262),""),ROW()-1)))</f>
        <v/>
      </c>
    </row>
    <row r="31" spans="1:6" x14ac:dyDescent="0.25">
      <c r="A31" s="11" t="s">
        <v>52</v>
      </c>
      <c r="B31" s="12" t="s">
        <v>42</v>
      </c>
      <c r="F31" s="13" t="str">
        <f t="array" ref="F31">IF(ROW()-1&gt;COUNTIF($B$1:$B$262,$C$3),"",INDEX($A$1:$A$262,SMALL(IF($B$1:$B$262=$C$3,ROW($A$1:$A$262),""),ROW()-1)))</f>
        <v/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/>
      </c>
    </row>
    <row r="33" spans="1:6" x14ac:dyDescent="0.25">
      <c r="A33" s="11">
        <v>24287</v>
      </c>
      <c r="B33" s="12" t="s">
        <v>42</v>
      </c>
      <c r="F33" s="13" t="str">
        <f t="array" ref="F33">IF(ROW()-1&gt;COUNTIF($B$1:$B$262,$C$3),"",INDEX($A$1:$A$262,SMALL(IF($B$1:$B$262=$C$3,ROW($A$1:$A$262),""),ROW()-1)))</f>
        <v/>
      </c>
    </row>
    <row r="34" spans="1:6" x14ac:dyDescent="0.25">
      <c r="A34" s="11">
        <v>39037</v>
      </c>
      <c r="B34" s="12" t="s">
        <v>42</v>
      </c>
      <c r="F34" s="13" t="str">
        <f t="array" ref="F34">IF(ROW()-1&gt;COUNTIF($B$1:$B$262,$C$3),"",INDEX($A$1:$A$262,SMALL(IF($B$1:$B$262=$C$3,ROW($A$1:$A$262),""),ROW()-1)))</f>
        <v/>
      </c>
    </row>
    <row r="35" spans="1:6" x14ac:dyDescent="0.25">
      <c r="A35" s="11">
        <v>40664</v>
      </c>
      <c r="B35" s="12" t="s">
        <v>42</v>
      </c>
      <c r="F35" s="13" t="str">
        <f t="array" ref="F35">IF(ROW()-1&gt;COUNTIF($B$1:$B$262,$C$3),"",INDEX($A$1:$A$262,SMALL(IF($B$1:$B$262=$C$3,ROW($A$1:$A$262),""),ROW()-1)))</f>
        <v/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.</vt:lpstr>
      <vt:lpstr>Base_Sinistre</vt:lpstr>
      <vt:lpstr>Modèle_Sinistre</vt:lpstr>
      <vt:lpstr>Autorisation</vt:lpstr>
      <vt:lpstr>Reseaux</vt:lpstr>
      <vt:lpstr>Récap</vt:lpstr>
      <vt:lpstr>Base_Epave!codeagence</vt:lpstr>
      <vt:lpstr>codeagence</vt:lpstr>
      <vt:lpstr>dr</vt:lpstr>
      <vt:lpstr>Fourniture</vt:lpstr>
      <vt:lpstr>listeagence</vt:lpstr>
      <vt:lpstr>Base_Epave!listeDR</vt:lpstr>
      <vt:lpstr>listeDR</vt:lpstr>
      <vt:lpstr>Modèle_Sinistre!Zone_d_impression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André dede</cp:lastModifiedBy>
  <cp:lastPrinted>2019-11-01T20:18:31Z</cp:lastPrinted>
  <dcterms:created xsi:type="dcterms:W3CDTF">2018-11-07T08:15:07Z</dcterms:created>
  <dcterms:modified xsi:type="dcterms:W3CDTF">2019-11-01T23:38:25Z</dcterms:modified>
</cp:coreProperties>
</file>