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 tabRatio="602" activeTab="2"/>
  </bookViews>
  <sheets>
    <sheet name="." sheetId="5" r:id="rId1"/>
    <sheet name="Base_Sinistre" sheetId="2" state="veryHidden" r:id="rId2"/>
    <sheet name="Base_Epave" sheetId="9" r:id="rId3"/>
    <sheet name="Modèle_Sinistre" sheetId="1" state="veryHidden" r:id="rId4"/>
    <sheet name="Modèle_Epave" sheetId="10" r:id="rId5"/>
    <sheet name="Autorisation" sheetId="3" r:id="rId6"/>
    <sheet name="Reseaux" sheetId="6" r:id="rId7"/>
    <sheet name="Récap" sheetId="8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 localSheetId="2">'[3]URSSAF PAGE SAISIE'!#REF!</definedName>
    <definedName name="base100CPAcsgcrds">'[3]URSSAF PAGE SAISIE'!#REF!</definedName>
    <definedName name="base97CPAcsgcrds" localSheetId="2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 localSheetId="2">'[3]URSSAF PAGE SAISIE'!#REF!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 localSheetId="2">'[3]URSSAF PAGE SAISIE'!#REF!</definedName>
    <definedName name="basecatotalite">'[3]URSSAF PAGE SAISIE'!#REF!</definedName>
    <definedName name="BASECDGRG">[1]Feuil1!$AD$2</definedName>
    <definedName name="BASECDGTIT">[1]Feuil1!$AE$2</definedName>
    <definedName name="basececplafonnee" localSheetId="2">'[3]URSSAF PAGE SAISIE'!#REF!</definedName>
    <definedName name="basececplafonnee">'[3]URSSAF PAGE SAISIE'!#REF!</definedName>
    <definedName name="basecectotalite" localSheetId="2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 localSheetId="2">[1]BORDEREAU!#REF!</definedName>
    <definedName name="basehscaeT">[1]BORDEREAU!#REF!</definedName>
    <definedName name="basehscaplafonnée" localSheetId="2">'[3]URSSAF PAGE SAISIE'!#REF!</definedName>
    <definedName name="basehscaplafonnée">'[3]URSSAF PAGE SAISIE'!#REF!</definedName>
    <definedName name="basehscaT" localSheetId="2">'[3]URSSAF PAGE SAISIE'!#REF!</definedName>
    <definedName name="basehscaT">'[3]URSSAF PAGE SAISIE'!#REF!</definedName>
    <definedName name="basehscecplafonnée" localSheetId="2">'[3]URSSAF PAGE SAISIE'!#REF!</definedName>
    <definedName name="basehscecplafonnée">'[3]URSSAF PAGE SAISIE'!#REF!</definedName>
    <definedName name="basehscecT" localSheetId="2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 localSheetId="2">[1]BORDEREAU!#REF!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 localSheetId="2">Tableau1[agence]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Fourniture" localSheetId="2">Base_Epave!#REF!</definedName>
    <definedName name="Fourniture">Base_Sinistre!$M$14:$M$21</definedName>
    <definedName name="ircantectot">[1]IRCANTEC!$D$31</definedName>
    <definedName name="listeagence">Reseaux!$A$2:$A$262</definedName>
    <definedName name="listeDR" localSheetId="2">Tableau1[agence]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 localSheetId="2">#REF!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3">Modèle_Sinistre!$B$1:$G$53</definedName>
  </definedNames>
  <calcPr calcId="152511"/>
</workbook>
</file>

<file path=xl/calcChain.xml><?xml version="1.0" encoding="utf-8"?>
<calcChain xmlns="http://schemas.openxmlformats.org/spreadsheetml/2006/main">
  <c r="F17" i="9" l="1"/>
  <c r="E16" i="9" l="1"/>
  <c r="F13" i="9" l="1"/>
  <c r="F20" i="2" l="1"/>
  <c r="E16" i="2" l="1"/>
  <c r="G17" i="2" l="1"/>
  <c r="G16" i="2"/>
  <c r="E22" i="10" l="1"/>
  <c r="B14" i="10"/>
  <c r="F13" i="10"/>
  <c r="G1" i="10"/>
  <c r="I18" i="9" l="1"/>
  <c r="H18" i="9"/>
  <c r="D18" i="9"/>
  <c r="O17" i="9"/>
  <c r="G17" i="9"/>
  <c r="O16" i="9"/>
  <c r="F15" i="9"/>
  <c r="O15" i="9"/>
  <c r="O14" i="9"/>
  <c r="G14" i="9"/>
  <c r="O13" i="9"/>
  <c r="F19" i="9"/>
  <c r="G12" i="9"/>
  <c r="G11" i="9"/>
  <c r="G10" i="9"/>
  <c r="G9" i="9"/>
  <c r="G13" i="9" s="1"/>
  <c r="E9" i="9"/>
  <c r="G19" i="9" l="1"/>
  <c r="P18" i="9"/>
  <c r="G15" i="9"/>
  <c r="P14" i="9" s="1"/>
  <c r="O19" i="9"/>
  <c r="F18" i="9"/>
  <c r="O20" i="9" s="1"/>
  <c r="O18" i="9"/>
  <c r="P15" i="9"/>
  <c r="P17" i="9"/>
  <c r="P16" i="9"/>
  <c r="S17" i="9"/>
  <c r="P19" i="9" l="1"/>
  <c r="L9" i="2"/>
  <c r="G18" i="9" l="1"/>
  <c r="P20" i="9" s="1"/>
  <c r="F14" i="2"/>
  <c r="G16" i="9" l="1"/>
  <c r="P13" i="9" s="1"/>
  <c r="G10" i="2"/>
  <c r="G9" i="2"/>
  <c r="D24" i="2"/>
  <c r="F13" i="2"/>
  <c r="F18" i="2" s="1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C3" i="6"/>
  <c r="F262" i="6" s="1" a="1"/>
  <c r="F262" i="6" s="1"/>
  <c r="C2" i="6"/>
  <c r="E2" i="6" s="1"/>
  <c r="E22" i="1"/>
  <c r="F13" i="1"/>
  <c r="B5" i="5" s="1"/>
  <c r="G1" i="1"/>
  <c r="D25" i="2"/>
  <c r="I24" i="2"/>
  <c r="H24" i="2"/>
  <c r="G23" i="2"/>
  <c r="G19" i="2"/>
  <c r="G14" i="2"/>
  <c r="G12" i="2"/>
  <c r="G11" i="2"/>
  <c r="G8" i="2"/>
  <c r="O23" i="2" l="1"/>
  <c r="F21" i="2"/>
  <c r="F26" i="2" s="1"/>
  <c r="G20" i="2"/>
  <c r="G13" i="2"/>
  <c r="G18" i="2" s="1"/>
  <c r="F3" i="6" a="1"/>
  <c r="F3" i="6" s="1"/>
  <c r="F4" i="6" a="1"/>
  <c r="F4" i="6" s="1"/>
  <c r="F5" i="6" a="1"/>
  <c r="F5" i="6" s="1"/>
  <c r="F6" i="6" a="1"/>
  <c r="F6" i="6" s="1"/>
  <c r="F8" i="6" a="1"/>
  <c r="F8" i="6" s="1"/>
  <c r="F10" i="6" a="1"/>
  <c r="F10" i="6" s="1"/>
  <c r="F12" i="6" a="1"/>
  <c r="F12" i="6" s="1"/>
  <c r="F14" i="6" a="1"/>
  <c r="F14" i="6" s="1"/>
  <c r="F16" i="6" a="1"/>
  <c r="F16" i="6" s="1"/>
  <c r="F18" i="6" a="1"/>
  <c r="F18" i="6" s="1"/>
  <c r="F20" i="6" a="1"/>
  <c r="F20" i="6" s="1"/>
  <c r="F22" i="6" a="1"/>
  <c r="F22" i="6" s="1"/>
  <c r="F24" i="6" a="1"/>
  <c r="F24" i="6" s="1"/>
  <c r="F26" i="6" a="1"/>
  <c r="F26" i="6" s="1"/>
  <c r="F28" i="6" a="1"/>
  <c r="F28" i="6" s="1"/>
  <c r="F30" i="6" a="1"/>
  <c r="F30" i="6" s="1"/>
  <c r="F32" i="6" a="1"/>
  <c r="F32" i="6" s="1"/>
  <c r="F34" i="6" a="1"/>
  <c r="F34" i="6" s="1"/>
  <c r="F36" i="6" a="1"/>
  <c r="F36" i="6" s="1"/>
  <c r="F38" i="6" a="1"/>
  <c r="F38" i="6" s="1"/>
  <c r="F40" i="6" a="1"/>
  <c r="F40" i="6" s="1"/>
  <c r="F42" i="6" a="1"/>
  <c r="F42" i="6" s="1"/>
  <c r="F44" i="6" a="1"/>
  <c r="F44" i="6" s="1"/>
  <c r="F46" i="6" a="1"/>
  <c r="F46" i="6" s="1"/>
  <c r="F48" i="6" a="1"/>
  <c r="F48" i="6" s="1"/>
  <c r="F50" i="6" a="1"/>
  <c r="F50" i="6" s="1"/>
  <c r="F52" i="6" a="1"/>
  <c r="F52" i="6" s="1"/>
  <c r="F54" i="6" a="1"/>
  <c r="F54" i="6" s="1"/>
  <c r="F56" i="6" a="1"/>
  <c r="F56" i="6" s="1"/>
  <c r="F58" i="6" a="1"/>
  <c r="F58" i="6" s="1"/>
  <c r="F60" i="6" a="1"/>
  <c r="F60" i="6" s="1"/>
  <c r="F62" i="6" a="1"/>
  <c r="F62" i="6" s="1"/>
  <c r="F64" i="6" a="1"/>
  <c r="F64" i="6" s="1"/>
  <c r="F66" i="6" a="1"/>
  <c r="F66" i="6" s="1"/>
  <c r="F68" i="6" a="1"/>
  <c r="F68" i="6" s="1"/>
  <c r="F70" i="6" a="1"/>
  <c r="F70" i="6" s="1"/>
  <c r="F72" i="6" a="1"/>
  <c r="F72" i="6" s="1"/>
  <c r="F74" i="6" a="1"/>
  <c r="F74" i="6" s="1"/>
  <c r="F76" i="6" a="1"/>
  <c r="F76" i="6" s="1"/>
  <c r="F78" i="6" a="1"/>
  <c r="F78" i="6" s="1"/>
  <c r="F80" i="6" a="1"/>
  <c r="F80" i="6" s="1"/>
  <c r="F82" i="6" a="1"/>
  <c r="F82" i="6" s="1"/>
  <c r="F84" i="6" a="1"/>
  <c r="F84" i="6" s="1"/>
  <c r="F86" i="6" a="1"/>
  <c r="F86" i="6" s="1"/>
  <c r="F88" i="6" a="1"/>
  <c r="F88" i="6" s="1"/>
  <c r="F90" i="6" a="1"/>
  <c r="F90" i="6" s="1"/>
  <c r="F92" i="6" a="1"/>
  <c r="F92" i="6" s="1"/>
  <c r="F94" i="6" a="1"/>
  <c r="F94" i="6" s="1"/>
  <c r="F96" i="6" a="1"/>
  <c r="F96" i="6" s="1"/>
  <c r="F98" i="6" a="1"/>
  <c r="F98" i="6" s="1"/>
  <c r="F100" i="6" a="1"/>
  <c r="F100" i="6" s="1"/>
  <c r="F102" i="6" a="1"/>
  <c r="F102" i="6" s="1"/>
  <c r="F104" i="6" a="1"/>
  <c r="F104" i="6" s="1"/>
  <c r="F106" i="6" a="1"/>
  <c r="F106" i="6" s="1"/>
  <c r="F108" i="6" a="1"/>
  <c r="F108" i="6" s="1"/>
  <c r="F110" i="6" a="1"/>
  <c r="F110" i="6" s="1"/>
  <c r="F112" i="6" a="1"/>
  <c r="F112" i="6" s="1"/>
  <c r="F114" i="6" a="1"/>
  <c r="F114" i="6" s="1"/>
  <c r="F116" i="6" a="1"/>
  <c r="F116" i="6" s="1"/>
  <c r="F118" i="6" a="1"/>
  <c r="F118" i="6" s="1"/>
  <c r="F120" i="6" a="1"/>
  <c r="F120" i="6" s="1"/>
  <c r="F122" i="6" a="1"/>
  <c r="F122" i="6" s="1"/>
  <c r="F124" i="6" a="1"/>
  <c r="F124" i="6" s="1"/>
  <c r="F126" i="6" a="1"/>
  <c r="F126" i="6" s="1"/>
  <c r="F128" i="6" a="1"/>
  <c r="F128" i="6" s="1"/>
  <c r="F130" i="6" a="1"/>
  <c r="F130" i="6" s="1"/>
  <c r="F132" i="6" a="1"/>
  <c r="F132" i="6" s="1"/>
  <c r="F134" i="6" a="1"/>
  <c r="F134" i="6" s="1"/>
  <c r="F136" i="6" a="1"/>
  <c r="F136" i="6" s="1"/>
  <c r="F138" i="6" a="1"/>
  <c r="F138" i="6" s="1"/>
  <c r="F140" i="6" a="1"/>
  <c r="F140" i="6" s="1"/>
  <c r="F142" i="6" a="1"/>
  <c r="F142" i="6" s="1"/>
  <c r="F144" i="6" a="1"/>
  <c r="F144" i="6" s="1"/>
  <c r="F146" i="6" a="1"/>
  <c r="F146" i="6" s="1"/>
  <c r="F148" i="6" a="1"/>
  <c r="F148" i="6" s="1"/>
  <c r="F150" i="6" a="1"/>
  <c r="F150" i="6" s="1"/>
  <c r="F152" i="6" a="1"/>
  <c r="F152" i="6" s="1"/>
  <c r="F154" i="6" a="1"/>
  <c r="F154" i="6" s="1"/>
  <c r="F156" i="6" a="1"/>
  <c r="F156" i="6" s="1"/>
  <c r="F158" i="6" a="1"/>
  <c r="F158" i="6" s="1"/>
  <c r="F160" i="6" a="1"/>
  <c r="F160" i="6" s="1"/>
  <c r="F162" i="6" a="1"/>
  <c r="F162" i="6" s="1"/>
  <c r="F164" i="6" a="1"/>
  <c r="F164" i="6" s="1"/>
  <c r="F166" i="6" a="1"/>
  <c r="F166" i="6" s="1"/>
  <c r="F168" i="6" a="1"/>
  <c r="F168" i="6" s="1"/>
  <c r="F170" i="6" a="1"/>
  <c r="F170" i="6" s="1"/>
  <c r="F172" i="6" a="1"/>
  <c r="F172" i="6" s="1"/>
  <c r="F174" i="6" a="1"/>
  <c r="F174" i="6" s="1"/>
  <c r="F176" i="6" a="1"/>
  <c r="F176" i="6" s="1"/>
  <c r="F178" i="6" a="1"/>
  <c r="F178" i="6" s="1"/>
  <c r="F180" i="6" a="1"/>
  <c r="F180" i="6" s="1"/>
  <c r="F182" i="6" a="1"/>
  <c r="F182" i="6" s="1"/>
  <c r="F184" i="6" a="1"/>
  <c r="F184" i="6" s="1"/>
  <c r="F186" i="6" a="1"/>
  <c r="F186" i="6" s="1"/>
  <c r="F188" i="6" a="1"/>
  <c r="F188" i="6" s="1"/>
  <c r="F190" i="6" a="1"/>
  <c r="F190" i="6" s="1"/>
  <c r="F192" i="6" a="1"/>
  <c r="F192" i="6" s="1"/>
  <c r="F194" i="6" a="1"/>
  <c r="F194" i="6" s="1"/>
  <c r="F196" i="6" a="1"/>
  <c r="F196" i="6" s="1"/>
  <c r="F198" i="6" a="1"/>
  <c r="F198" i="6" s="1"/>
  <c r="F200" i="6" a="1"/>
  <c r="F200" i="6" s="1"/>
  <c r="F202" i="6" a="1"/>
  <c r="F202" i="6" s="1"/>
  <c r="F204" i="6" a="1"/>
  <c r="F204" i="6" s="1"/>
  <c r="F206" i="6" a="1"/>
  <c r="F206" i="6" s="1"/>
  <c r="F208" i="6" a="1"/>
  <c r="F208" i="6" s="1"/>
  <c r="F210" i="6" a="1"/>
  <c r="F210" i="6" s="1"/>
  <c r="F212" i="6" a="1"/>
  <c r="F212" i="6" s="1"/>
  <c r="F214" i="6" a="1"/>
  <c r="F214" i="6" s="1"/>
  <c r="F216" i="6" a="1"/>
  <c r="F216" i="6" s="1"/>
  <c r="F218" i="6" a="1"/>
  <c r="F218" i="6" s="1"/>
  <c r="F220" i="6" a="1"/>
  <c r="F220" i="6" s="1"/>
  <c r="F222" i="6" a="1"/>
  <c r="F222" i="6" s="1"/>
  <c r="F224" i="6" a="1"/>
  <c r="F224" i="6" s="1"/>
  <c r="F226" i="6" a="1"/>
  <c r="F226" i="6" s="1"/>
  <c r="F228" i="6" a="1"/>
  <c r="F228" i="6" s="1"/>
  <c r="F230" i="6" a="1"/>
  <c r="F230" i="6" s="1"/>
  <c r="F232" i="6" a="1"/>
  <c r="F232" i="6" s="1"/>
  <c r="F234" i="6" a="1"/>
  <c r="F234" i="6" s="1"/>
  <c r="F236" i="6" a="1"/>
  <c r="F236" i="6" s="1"/>
  <c r="F238" i="6" a="1"/>
  <c r="F238" i="6" s="1"/>
  <c r="F240" i="6" a="1"/>
  <c r="F240" i="6" s="1"/>
  <c r="F242" i="6" a="1"/>
  <c r="F242" i="6" s="1"/>
  <c r="F244" i="6" a="1"/>
  <c r="F244" i="6" s="1"/>
  <c r="F246" i="6" a="1"/>
  <c r="F246" i="6" s="1"/>
  <c r="F248" i="6" a="1"/>
  <c r="F248" i="6" s="1"/>
  <c r="F250" i="6" a="1"/>
  <c r="F250" i="6" s="1"/>
  <c r="F252" i="6" a="1"/>
  <c r="F252" i="6" s="1"/>
  <c r="F254" i="6" a="1"/>
  <c r="F254" i="6" s="1"/>
  <c r="F256" i="6" a="1"/>
  <c r="F256" i="6" s="1"/>
  <c r="F258" i="6" a="1"/>
  <c r="F258" i="6" s="1"/>
  <c r="F260" i="6" a="1"/>
  <c r="F260" i="6" s="1"/>
  <c r="D5" i="5"/>
  <c r="E5" i="5" s="1"/>
  <c r="F5" i="5" s="1"/>
  <c r="F2" i="6" a="1"/>
  <c r="F2" i="6" s="1"/>
  <c r="F7" i="6" a="1"/>
  <c r="F7" i="6" s="1"/>
  <c r="F9" i="6" a="1"/>
  <c r="F9" i="6" s="1"/>
  <c r="F11" i="6" a="1"/>
  <c r="F11" i="6" s="1"/>
  <c r="F13" i="6" a="1"/>
  <c r="F13" i="6" s="1"/>
  <c r="F15" i="6" a="1"/>
  <c r="F15" i="6" s="1"/>
  <c r="F17" i="6" a="1"/>
  <c r="F17" i="6" s="1"/>
  <c r="F19" i="6" a="1"/>
  <c r="F19" i="6" s="1"/>
  <c r="F21" i="6" a="1"/>
  <c r="F21" i="6" s="1"/>
  <c r="F23" i="6" a="1"/>
  <c r="F23" i="6" s="1"/>
  <c r="F25" i="6" a="1"/>
  <c r="F25" i="6" s="1"/>
  <c r="F27" i="6" a="1"/>
  <c r="F27" i="6" s="1"/>
  <c r="F29" i="6" a="1"/>
  <c r="F29" i="6" s="1"/>
  <c r="F31" i="6" a="1"/>
  <c r="F31" i="6" s="1"/>
  <c r="F33" i="6" a="1"/>
  <c r="F33" i="6" s="1"/>
  <c r="F35" i="6" a="1"/>
  <c r="F35" i="6" s="1"/>
  <c r="F37" i="6" a="1"/>
  <c r="F37" i="6" s="1"/>
  <c r="F39" i="6" a="1"/>
  <c r="F39" i="6" s="1"/>
  <c r="F41" i="6" a="1"/>
  <c r="F41" i="6" s="1"/>
  <c r="F43" i="6" a="1"/>
  <c r="F43" i="6" s="1"/>
  <c r="F45" i="6" a="1"/>
  <c r="F45" i="6" s="1"/>
  <c r="F47" i="6" a="1"/>
  <c r="F47" i="6" s="1"/>
  <c r="F49" i="6" a="1"/>
  <c r="F49" i="6" s="1"/>
  <c r="F51" i="6" a="1"/>
  <c r="F51" i="6" s="1"/>
  <c r="F53" i="6" a="1"/>
  <c r="F53" i="6" s="1"/>
  <c r="F55" i="6" a="1"/>
  <c r="F55" i="6" s="1"/>
  <c r="F57" i="6" a="1"/>
  <c r="F57" i="6" s="1"/>
  <c r="F59" i="6" a="1"/>
  <c r="F59" i="6" s="1"/>
  <c r="F61" i="6" a="1"/>
  <c r="F61" i="6" s="1"/>
  <c r="F63" i="6" a="1"/>
  <c r="F63" i="6" s="1"/>
  <c r="F65" i="6" a="1"/>
  <c r="F65" i="6" s="1"/>
  <c r="F67" i="6" a="1"/>
  <c r="F67" i="6" s="1"/>
  <c r="F69" i="6" a="1"/>
  <c r="F69" i="6" s="1"/>
  <c r="F71" i="6" a="1"/>
  <c r="F71" i="6" s="1"/>
  <c r="F73" i="6" a="1"/>
  <c r="F73" i="6" s="1"/>
  <c r="F75" i="6" a="1"/>
  <c r="F75" i="6" s="1"/>
  <c r="F77" i="6" a="1"/>
  <c r="F77" i="6" s="1"/>
  <c r="F79" i="6" a="1"/>
  <c r="F79" i="6" s="1"/>
  <c r="F81" i="6" a="1"/>
  <c r="F81" i="6" s="1"/>
  <c r="F83" i="6" a="1"/>
  <c r="F83" i="6" s="1"/>
  <c r="F85" i="6" a="1"/>
  <c r="F85" i="6" s="1"/>
  <c r="F87" i="6" a="1"/>
  <c r="F87" i="6" s="1"/>
  <c r="F89" i="6" a="1"/>
  <c r="F89" i="6" s="1"/>
  <c r="F91" i="6" a="1"/>
  <c r="F91" i="6" s="1"/>
  <c r="F93" i="6" a="1"/>
  <c r="F93" i="6" s="1"/>
  <c r="F95" i="6" a="1"/>
  <c r="F95" i="6" s="1"/>
  <c r="F97" i="6" a="1"/>
  <c r="F97" i="6" s="1"/>
  <c r="F99" i="6" a="1"/>
  <c r="F99" i="6" s="1"/>
  <c r="F101" i="6" a="1"/>
  <c r="F101" i="6" s="1"/>
  <c r="F103" i="6" a="1"/>
  <c r="F103" i="6" s="1"/>
  <c r="F105" i="6" a="1"/>
  <c r="F105" i="6" s="1"/>
  <c r="F107" i="6" a="1"/>
  <c r="F107" i="6" s="1"/>
  <c r="F109" i="6" a="1"/>
  <c r="F109" i="6" s="1"/>
  <c r="F111" i="6" a="1"/>
  <c r="F111" i="6" s="1"/>
  <c r="F113" i="6" a="1"/>
  <c r="F113" i="6" s="1"/>
  <c r="F115" i="6" a="1"/>
  <c r="F115" i="6" s="1"/>
  <c r="F117" i="6" a="1"/>
  <c r="F117" i="6" s="1"/>
  <c r="F119" i="6" a="1"/>
  <c r="F119" i="6" s="1"/>
  <c r="F121" i="6" a="1"/>
  <c r="F121" i="6" s="1"/>
  <c r="F123" i="6" a="1"/>
  <c r="F123" i="6" s="1"/>
  <c r="F125" i="6" a="1"/>
  <c r="F125" i="6" s="1"/>
  <c r="F127" i="6" a="1"/>
  <c r="F127" i="6" s="1"/>
  <c r="F129" i="6" a="1"/>
  <c r="F129" i="6" s="1"/>
  <c r="F131" i="6" a="1"/>
  <c r="F131" i="6" s="1"/>
  <c r="F133" i="6" a="1"/>
  <c r="F133" i="6" s="1"/>
  <c r="F135" i="6" a="1"/>
  <c r="F135" i="6" s="1"/>
  <c r="F137" i="6" a="1"/>
  <c r="F137" i="6" s="1"/>
  <c r="F139" i="6" a="1"/>
  <c r="F139" i="6" s="1"/>
  <c r="F141" i="6" a="1"/>
  <c r="F141" i="6" s="1"/>
  <c r="F143" i="6" a="1"/>
  <c r="F143" i="6" s="1"/>
  <c r="F145" i="6" a="1"/>
  <c r="F145" i="6" s="1"/>
  <c r="F147" i="6" a="1"/>
  <c r="F147" i="6" s="1"/>
  <c r="F149" i="6" a="1"/>
  <c r="F149" i="6" s="1"/>
  <c r="F151" i="6" a="1"/>
  <c r="F151" i="6" s="1"/>
  <c r="F153" i="6" a="1"/>
  <c r="F153" i="6" s="1"/>
  <c r="F155" i="6" a="1"/>
  <c r="F155" i="6" s="1"/>
  <c r="F157" i="6" a="1"/>
  <c r="F157" i="6" s="1"/>
  <c r="F159" i="6" a="1"/>
  <c r="F159" i="6" s="1"/>
  <c r="F161" i="6" a="1"/>
  <c r="F161" i="6" s="1"/>
  <c r="F163" i="6" a="1"/>
  <c r="F163" i="6" s="1"/>
  <c r="F165" i="6" a="1"/>
  <c r="F165" i="6" s="1"/>
  <c r="F167" i="6" a="1"/>
  <c r="F167" i="6" s="1"/>
  <c r="F169" i="6" a="1"/>
  <c r="F169" i="6" s="1"/>
  <c r="F171" i="6" a="1"/>
  <c r="F171" i="6" s="1"/>
  <c r="F173" i="6" a="1"/>
  <c r="F173" i="6" s="1"/>
  <c r="F175" i="6" a="1"/>
  <c r="F175" i="6" s="1"/>
  <c r="F177" i="6" a="1"/>
  <c r="F177" i="6" s="1"/>
  <c r="F179" i="6" a="1"/>
  <c r="F179" i="6" s="1"/>
  <c r="F181" i="6" a="1"/>
  <c r="F181" i="6" s="1"/>
  <c r="F183" i="6" a="1"/>
  <c r="F183" i="6" s="1"/>
  <c r="F185" i="6" a="1"/>
  <c r="F185" i="6" s="1"/>
  <c r="F187" i="6" a="1"/>
  <c r="F187" i="6" s="1"/>
  <c r="F189" i="6" a="1"/>
  <c r="F189" i="6" s="1"/>
  <c r="F191" i="6" a="1"/>
  <c r="F191" i="6" s="1"/>
  <c r="F193" i="6" a="1"/>
  <c r="F193" i="6" s="1"/>
  <c r="F195" i="6" a="1"/>
  <c r="F195" i="6" s="1"/>
  <c r="F197" i="6" a="1"/>
  <c r="F197" i="6" s="1"/>
  <c r="F199" i="6" a="1"/>
  <c r="F199" i="6" s="1"/>
  <c r="F201" i="6" a="1"/>
  <c r="F201" i="6" s="1"/>
  <c r="F203" i="6" a="1"/>
  <c r="F203" i="6" s="1"/>
  <c r="F205" i="6" a="1"/>
  <c r="F205" i="6" s="1"/>
  <c r="F207" i="6" a="1"/>
  <c r="F207" i="6" s="1"/>
  <c r="F209" i="6" a="1"/>
  <c r="F209" i="6" s="1"/>
  <c r="F211" i="6" a="1"/>
  <c r="F211" i="6" s="1"/>
  <c r="F213" i="6" a="1"/>
  <c r="F213" i="6" s="1"/>
  <c r="F215" i="6" a="1"/>
  <c r="F215" i="6" s="1"/>
  <c r="F217" i="6" a="1"/>
  <c r="F217" i="6" s="1"/>
  <c r="F219" i="6" a="1"/>
  <c r="F219" i="6" s="1"/>
  <c r="F221" i="6" a="1"/>
  <c r="F221" i="6" s="1"/>
  <c r="F223" i="6" a="1"/>
  <c r="F223" i="6" s="1"/>
  <c r="F225" i="6" a="1"/>
  <c r="F225" i="6" s="1"/>
  <c r="F227" i="6" a="1"/>
  <c r="F227" i="6" s="1"/>
  <c r="F229" i="6" a="1"/>
  <c r="F229" i="6" s="1"/>
  <c r="F231" i="6" a="1"/>
  <c r="F231" i="6" s="1"/>
  <c r="F233" i="6" a="1"/>
  <c r="F233" i="6" s="1"/>
  <c r="F235" i="6" a="1"/>
  <c r="F235" i="6" s="1"/>
  <c r="F237" i="6" a="1"/>
  <c r="F237" i="6" s="1"/>
  <c r="F239" i="6" a="1"/>
  <c r="F239" i="6" s="1"/>
  <c r="F241" i="6" a="1"/>
  <c r="F241" i="6" s="1"/>
  <c r="F243" i="6" a="1"/>
  <c r="F243" i="6" s="1"/>
  <c r="F245" i="6" a="1"/>
  <c r="F245" i="6" s="1"/>
  <c r="F247" i="6" a="1"/>
  <c r="F247" i="6" s="1"/>
  <c r="F249" i="6" a="1"/>
  <c r="F249" i="6" s="1"/>
  <c r="F251" i="6" a="1"/>
  <c r="F251" i="6" s="1"/>
  <c r="F253" i="6" a="1"/>
  <c r="F253" i="6" s="1"/>
  <c r="F255" i="6" a="1"/>
  <c r="F255" i="6" s="1"/>
  <c r="F257" i="6" a="1"/>
  <c r="F257" i="6" s="1"/>
  <c r="F259" i="6" a="1"/>
  <c r="F259" i="6" s="1"/>
  <c r="F261" i="6" a="1"/>
  <c r="F261" i="6" s="1"/>
  <c r="F24" i="2" l="1"/>
  <c r="G21" i="2"/>
  <c r="F25" i="2"/>
  <c r="O27" i="2"/>
  <c r="T24" i="2"/>
  <c r="S24" i="2"/>
  <c r="O24" i="2"/>
  <c r="G5" i="5"/>
  <c r="L5" i="5" s="1"/>
  <c r="O21" i="2"/>
  <c r="O22" i="2"/>
  <c r="O25" i="2"/>
  <c r="P23" i="2"/>
  <c r="P22" i="2"/>
  <c r="P5" i="5"/>
  <c r="AG5" i="5"/>
  <c r="AB5" i="5"/>
  <c r="M5" i="5"/>
  <c r="AQ5" i="5" s="1"/>
  <c r="S5" i="5"/>
  <c r="K5" i="5" s="1"/>
  <c r="G25" i="2" l="1"/>
  <c r="P28" i="2" s="1"/>
  <c r="G24" i="2"/>
  <c r="O29" i="2"/>
  <c r="O28" i="2"/>
  <c r="V5" i="5"/>
  <c r="W5" i="5" s="1"/>
  <c r="AM5" i="5"/>
  <c r="AP5" i="5"/>
  <c r="AZ5" i="5"/>
  <c r="AI5" i="5" s="1"/>
  <c r="X5" i="5"/>
  <c r="Y5" i="5"/>
  <c r="AU5" i="5"/>
  <c r="AC5" i="5"/>
  <c r="N5" i="5"/>
  <c r="AY5" i="5"/>
  <c r="AH5" i="5" s="1"/>
  <c r="T5" i="5"/>
  <c r="H5" i="5"/>
  <c r="Q5" i="5"/>
  <c r="R5" i="5" s="1"/>
  <c r="J5" i="5"/>
  <c r="P27" i="2" l="1"/>
  <c r="G26" i="2"/>
  <c r="P29" i="2" s="1"/>
  <c r="P25" i="2"/>
  <c r="P24" i="2"/>
  <c r="CB5" i="5"/>
  <c r="BT5" i="5" s="1"/>
  <c r="BL5" i="5" s="1"/>
  <c r="BD5" i="5" s="1"/>
  <c r="AO5" i="5" s="1"/>
  <c r="CS5" i="5"/>
  <c r="CO5" i="5" s="1"/>
  <c r="CK5" i="5" s="1"/>
  <c r="CG5" i="5" s="1"/>
  <c r="CA5" i="5" s="1"/>
  <c r="BS5" i="5" s="1"/>
  <c r="BK5" i="5" s="1"/>
  <c r="BC5" i="5" s="1"/>
  <c r="CQ5" i="5"/>
  <c r="CM5" i="5" s="1"/>
  <c r="CI5" i="5" s="1"/>
  <c r="CD5" i="5" s="1"/>
  <c r="BW5" i="5" s="1"/>
  <c r="BO5" i="5" s="1"/>
  <c r="BG5" i="5" s="1"/>
  <c r="AW5" i="5" s="1"/>
  <c r="AE5" i="5" s="1"/>
  <c r="CE5" i="5"/>
  <c r="BX5" i="5" s="1"/>
  <c r="BP5" i="5" s="1"/>
  <c r="BH5" i="5" s="1"/>
  <c r="AX5" i="5" s="1"/>
  <c r="AF5" i="5" s="1"/>
  <c r="AR5" i="5"/>
  <c r="CP5" i="5"/>
  <c r="CL5" i="5" s="1"/>
  <c r="AV5" i="5"/>
  <c r="AD5" i="5" s="1"/>
  <c r="CR5" i="5"/>
  <c r="CN5" i="5" s="1"/>
  <c r="CJ5" i="5" s="1"/>
  <c r="CF5" i="5" s="1"/>
  <c r="BY5" i="5" s="1"/>
  <c r="BQ5" i="5" s="1"/>
  <c r="BI5" i="5" s="1"/>
  <c r="BA5" i="5" s="1"/>
  <c r="U5" i="5"/>
  <c r="BZ5" i="5" s="1"/>
  <c r="O5" i="5"/>
  <c r="BN5" i="5" s="1"/>
  <c r="BF5" i="5" s="1"/>
  <c r="AT5" i="5" s="1"/>
  <c r="AA5" i="5" s="1"/>
  <c r="AN5" i="5" l="1"/>
  <c r="BR5" i="5"/>
  <c r="BJ5" i="5" s="1"/>
  <c r="BB5" i="5" s="1"/>
  <c r="AK5" i="5" s="1"/>
  <c r="AJ5" i="5"/>
  <c r="BV5" i="5"/>
  <c r="CH5" i="5"/>
  <c r="CC5" i="5" s="1"/>
  <c r="BU5" i="5" s="1"/>
  <c r="BM5" i="5" s="1"/>
  <c r="BE5" i="5" s="1"/>
  <c r="AS5" i="5" s="1"/>
  <c r="Z5" i="5" l="1"/>
  <c r="CU5" i="5" s="1"/>
  <c r="C5" i="5" s="1"/>
  <c r="B14" i="1" s="1"/>
  <c r="O26" i="2" l="1"/>
  <c r="P26" i="2" l="1"/>
  <c r="P21" i="2"/>
  <c r="F27" i="8"/>
  <c r="G36" i="8"/>
  <c r="F34" i="8"/>
  <c r="I5" i="8"/>
  <c r="G8" i="8"/>
  <c r="E35" i="8"/>
  <c r="F10" i="8"/>
  <c r="H17" i="8"/>
  <c r="E8" i="8"/>
  <c r="H27" i="8"/>
  <c r="I25" i="8"/>
  <c r="E22" i="8"/>
  <c r="F9" i="8"/>
  <c r="G21" i="8"/>
  <c r="C27" i="8"/>
  <c r="B4" i="8"/>
  <c r="H11" i="8"/>
  <c r="D5" i="8"/>
  <c r="G15" i="8"/>
  <c r="G23" i="8"/>
  <c r="C2" i="8"/>
  <c r="B26" i="8"/>
  <c r="D18" i="8"/>
  <c r="B30" i="8"/>
  <c r="G28" i="8"/>
  <c r="I9" i="8"/>
  <c r="G6" i="8"/>
  <c r="B7" i="8"/>
  <c r="F37" i="8"/>
  <c r="D23" i="8"/>
  <c r="D7" i="8"/>
  <c r="C37" i="8"/>
  <c r="E7" i="8"/>
  <c r="B15" i="8"/>
  <c r="E5" i="8"/>
  <c r="G27" i="8"/>
  <c r="B20" i="8"/>
  <c r="C5" i="8"/>
  <c r="F28" i="8"/>
  <c r="H5" i="8"/>
  <c r="C12" i="8"/>
  <c r="C10" i="8"/>
  <c r="G37" i="8"/>
  <c r="E3" i="8"/>
  <c r="B35" i="8"/>
  <c r="D27" i="8"/>
  <c r="E27" i="8"/>
  <c r="H13" i="8"/>
  <c r="H12" i="8"/>
  <c r="H19" i="8"/>
  <c r="E34" i="8"/>
  <c r="F26" i="8"/>
  <c r="G32" i="8"/>
  <c r="B9" i="8"/>
  <c r="G9" i="8"/>
  <c r="H35" i="8"/>
  <c r="H23" i="8"/>
  <c r="I29" i="8"/>
  <c r="D6" i="8"/>
  <c r="H9" i="8"/>
  <c r="I8" i="8"/>
  <c r="E37" i="8"/>
  <c r="C24" i="8"/>
  <c r="G10" i="8"/>
  <c r="B2" i="8"/>
  <c r="I4" i="8"/>
  <c r="C23" i="8"/>
  <c r="B33" i="8"/>
  <c r="D36" i="8"/>
  <c r="I30" i="8"/>
  <c r="F25" i="8"/>
  <c r="G26" i="8"/>
  <c r="G33" i="8"/>
  <c r="G13" i="8"/>
  <c r="C17" i="8"/>
  <c r="D11" i="8"/>
  <c r="B29" i="8"/>
  <c r="D14" i="8"/>
  <c r="C25" i="8"/>
  <c r="G20" i="8"/>
  <c r="E6" i="8"/>
  <c r="B23" i="8"/>
  <c r="F14" i="8"/>
  <c r="H29" i="8"/>
  <c r="B24" i="8"/>
  <c r="B22" i="8"/>
  <c r="H34" i="8"/>
  <c r="I16" i="8"/>
  <c r="B6" i="8"/>
  <c r="E29" i="8"/>
  <c r="D20" i="8"/>
  <c r="F21" i="8"/>
  <c r="C34" i="8"/>
  <c r="D26" i="8"/>
  <c r="G35" i="8"/>
  <c r="G24" i="8"/>
  <c r="F33" i="8"/>
  <c r="E19" i="8"/>
  <c r="D16" i="8"/>
  <c r="C31" i="8"/>
  <c r="C3" i="8"/>
  <c r="I3" i="8"/>
  <c r="B16" i="8"/>
  <c r="I12" i="8"/>
  <c r="C20" i="8"/>
  <c r="I10" i="8"/>
  <c r="G11" i="8"/>
  <c r="H4" i="8"/>
  <c r="B11" i="8"/>
  <c r="F12" i="8"/>
  <c r="C35" i="8"/>
  <c r="B13" i="8"/>
  <c r="E26" i="8"/>
  <c r="E36" i="8"/>
  <c r="I11" i="8"/>
  <c r="H16" i="8"/>
  <c r="G3" i="8"/>
  <c r="F13" i="8"/>
  <c r="E21" i="8"/>
  <c r="H32" i="8"/>
  <c r="H33" i="8"/>
  <c r="B5" i="8"/>
  <c r="F19" i="8"/>
  <c r="D4" i="8"/>
  <c r="I23" i="8"/>
  <c r="H14" i="8"/>
  <c r="E28" i="8"/>
  <c r="I24" i="8"/>
  <c r="D33" i="8"/>
  <c r="H18" i="8"/>
  <c r="B14" i="8"/>
  <c r="D15" i="8"/>
  <c r="D22" i="8"/>
  <c r="G17" i="8"/>
  <c r="F3" i="8"/>
  <c r="D3" i="8"/>
  <c r="E13" i="8"/>
  <c r="I20" i="8"/>
  <c r="B27" i="8"/>
  <c r="H2" i="8"/>
  <c r="I26" i="8"/>
  <c r="D37" i="8"/>
  <c r="D35" i="8"/>
  <c r="F11" i="8"/>
  <c r="E9" i="8"/>
  <c r="D34" i="8"/>
  <c r="H20" i="8"/>
  <c r="G22" i="8"/>
  <c r="H21" i="8"/>
  <c r="C16" i="8"/>
  <c r="D29" i="8"/>
  <c r="G16" i="8"/>
  <c r="I31" i="8"/>
  <c r="I35" i="8"/>
  <c r="E4" i="8"/>
  <c r="B32" i="8"/>
  <c r="D24" i="8"/>
  <c r="H31" i="8"/>
  <c r="H36" i="8"/>
  <c r="C33" i="8"/>
  <c r="F24" i="8"/>
  <c r="C32" i="8"/>
  <c r="C26" i="8"/>
  <c r="C6" i="8"/>
  <c r="E12" i="8"/>
  <c r="E30" i="8"/>
  <c r="I22" i="8"/>
  <c r="E2" i="8"/>
  <c r="I28" i="8"/>
  <c r="H37" i="8"/>
  <c r="D21" i="8"/>
  <c r="D25" i="8"/>
  <c r="G31" i="8"/>
  <c r="C13" i="8"/>
  <c r="G34" i="8"/>
  <c r="B12" i="8"/>
  <c r="H7" i="8"/>
  <c r="F29" i="8"/>
  <c r="C8" i="8"/>
  <c r="I6" i="8"/>
  <c r="G14" i="8"/>
  <c r="C18" i="8"/>
  <c r="I32" i="8"/>
  <c r="G5" i="8"/>
  <c r="F20" i="8"/>
  <c r="C30" i="8"/>
  <c r="F30" i="8"/>
  <c r="E18" i="8"/>
  <c r="C29" i="8"/>
  <c r="D32" i="8"/>
  <c r="E15" i="8"/>
  <c r="D19" i="8"/>
  <c r="F35" i="8"/>
  <c r="H3" i="8"/>
  <c r="H15" i="8"/>
  <c r="I36" i="8"/>
  <c r="E24" i="8"/>
  <c r="E10" i="8"/>
  <c r="D9" i="8"/>
  <c r="I14" i="8"/>
  <c r="I34" i="8"/>
  <c r="H22" i="8"/>
  <c r="F31" i="8"/>
  <c r="C19" i="8"/>
  <c r="E17" i="8"/>
  <c r="F15" i="8"/>
  <c r="B8" i="8"/>
  <c r="I7" i="8"/>
  <c r="C15" i="8"/>
  <c r="F2" i="8"/>
  <c r="B10" i="8"/>
  <c r="I27" i="8"/>
  <c r="F23" i="8"/>
  <c r="G19" i="8"/>
  <c r="C21" i="8"/>
  <c r="H28" i="8"/>
  <c r="E31" i="8"/>
  <c r="B21" i="8"/>
  <c r="D31" i="8"/>
  <c r="F5" i="8"/>
  <c r="G12" i="8"/>
  <c r="C9" i="8"/>
  <c r="I37" i="8"/>
  <c r="G29" i="8"/>
  <c r="D17" i="8"/>
  <c r="D8" i="8"/>
  <c r="I15" i="8"/>
  <c r="E11" i="8"/>
  <c r="E16" i="8"/>
  <c r="H10" i="8"/>
  <c r="G30" i="8"/>
  <c r="B31" i="8"/>
  <c r="F17" i="8"/>
  <c r="G7" i="8"/>
  <c r="C14" i="8"/>
  <c r="I33" i="8"/>
  <c r="D12" i="8"/>
  <c r="C22" i="8"/>
  <c r="I21" i="8"/>
  <c r="F16" i="8"/>
  <c r="B19" i="8"/>
  <c r="D28" i="8"/>
  <c r="C11" i="8"/>
  <c r="E33" i="8"/>
  <c r="B28" i="8"/>
  <c r="H24" i="8"/>
  <c r="H8" i="8"/>
  <c r="G25" i="8"/>
  <c r="F18" i="8"/>
  <c r="B34" i="8"/>
  <c r="B18" i="8"/>
  <c r="F4" i="8"/>
  <c r="D10" i="8"/>
  <c r="E20" i="8"/>
  <c r="C4" i="8"/>
  <c r="B25" i="8"/>
  <c r="I18" i="8"/>
  <c r="B3" i="8"/>
  <c r="F7" i="8"/>
  <c r="G4" i="8"/>
  <c r="B17" i="8"/>
  <c r="E32" i="8"/>
  <c r="H6" i="8"/>
  <c r="F6" i="8"/>
  <c r="E23" i="8"/>
  <c r="E14" i="8"/>
  <c r="C36" i="8"/>
  <c r="F32" i="8"/>
  <c r="D13" i="8"/>
  <c r="H30" i="8"/>
  <c r="D30" i="8"/>
  <c r="H25" i="8"/>
  <c r="G18" i="8"/>
  <c r="E25" i="8"/>
  <c r="G2" i="8"/>
  <c r="I19" i="8"/>
  <c r="F8" i="8"/>
  <c r="B37" i="8"/>
  <c r="B36" i="8"/>
  <c r="C28" i="8"/>
  <c r="F22" i="8"/>
  <c r="D2" i="8"/>
  <c r="I13" i="8"/>
  <c r="C7" i="8"/>
  <c r="I2" i="8"/>
  <c r="F36" i="8"/>
  <c r="I17" i="8"/>
  <c r="H26" i="8"/>
</calcChain>
</file>

<file path=xl/sharedStrings.xml><?xml version="1.0" encoding="utf-8"?>
<sst xmlns="http://schemas.openxmlformats.org/spreadsheetml/2006/main" count="583" uniqueCount="182">
  <si>
    <t>peinture</t>
  </si>
  <si>
    <t>franchise</t>
  </si>
  <si>
    <t>net a payer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</si>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</sst>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 Narrow"/>
      <family val="2"/>
    </font>
    <font>
      <b/>
      <sz val="12"/>
      <color rgb="FFFFFF66"/>
      <name val="Calibri"/>
      <family val="2"/>
      <scheme val="minor"/>
    </font>
    <font>
      <b/>
      <sz val="12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272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6" xfId="0" applyBorder="1"/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9" fillId="5" borderId="0" xfId="0" applyFont="1" applyFill="1" applyBorder="1"/>
    <xf numFmtId="0" fontId="0" fillId="0" borderId="0" xfId="0" applyAlignment="1"/>
    <xf numFmtId="0" fontId="11" fillId="0" borderId="0" xfId="0" applyFont="1" applyAlignment="1">
      <alignment horizontal="left"/>
    </xf>
    <xf numFmtId="0" fontId="8" fillId="0" borderId="0" xfId="0" applyFont="1" applyAlignment="1"/>
    <xf numFmtId="49" fontId="8" fillId="6" borderId="0" xfId="0" applyNumberFormat="1" applyFont="1" applyFill="1" applyAlignment="1"/>
    <xf numFmtId="0" fontId="8" fillId="0" borderId="0" xfId="0" applyFont="1"/>
    <xf numFmtId="0" fontId="8" fillId="0" borderId="12" xfId="0" applyFont="1" applyBorder="1"/>
    <xf numFmtId="0" fontId="8" fillId="0" borderId="13" xfId="0" applyFont="1" applyBorder="1"/>
    <xf numFmtId="0" fontId="8" fillId="0" borderId="0" xfId="0" applyFont="1" applyBorder="1" applyAlignment="1"/>
    <xf numFmtId="43" fontId="8" fillId="0" borderId="0" xfId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8" fillId="0" borderId="4" xfId="0" applyFont="1" applyBorder="1" applyAlignment="1"/>
    <xf numFmtId="0" fontId="8" fillId="0" borderId="4" xfId="0" applyFont="1" applyBorder="1"/>
    <xf numFmtId="0" fontId="12" fillId="0" borderId="22" xfId="0" applyFont="1" applyBorder="1" applyAlignment="1"/>
    <xf numFmtId="0" fontId="8" fillId="0" borderId="10" xfId="0" applyFont="1" applyBorder="1" applyAlignment="1"/>
    <xf numFmtId="43" fontId="8" fillId="0" borderId="10" xfId="1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4" xfId="0" applyFont="1" applyBorder="1"/>
    <xf numFmtId="0" fontId="1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/>
    <xf numFmtId="43" fontId="8" fillId="0" borderId="5" xfId="1" applyFont="1" applyBorder="1" applyAlignment="1"/>
    <xf numFmtId="43" fontId="8" fillId="0" borderId="7" xfId="1" applyFont="1" applyBorder="1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5" xfId="0" applyFill="1" applyBorder="1" applyProtection="1"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9" borderId="27" xfId="0" applyFont="1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/>
      <protection locked="0"/>
    </xf>
    <xf numFmtId="9" fontId="15" fillId="3" borderId="1" xfId="3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43" fontId="3" fillId="0" borderId="2" xfId="0" applyNumberFormat="1" applyFont="1" applyBorder="1" applyAlignment="1" applyProtection="1">
      <alignment horizontal="center" vertical="center"/>
      <protection locked="0"/>
    </xf>
    <xf numFmtId="43" fontId="3" fillId="10" borderId="1" xfId="0" applyNumberFormat="1" applyFont="1" applyFill="1" applyBorder="1" applyAlignment="1" applyProtection="1">
      <alignment horizontal="center" vertical="center"/>
      <protection locked="0"/>
    </xf>
    <xf numFmtId="9" fontId="16" fillId="0" borderId="1" xfId="3" applyFont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</xf>
    <xf numFmtId="43" fontId="18" fillId="11" borderId="1" xfId="0" applyNumberFormat="1" applyFont="1" applyFill="1" applyBorder="1" applyAlignment="1" applyProtection="1">
      <alignment horizontal="center" vertical="center"/>
      <protection locked="0"/>
    </xf>
    <xf numFmtId="43" fontId="20" fillId="12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19" fillId="3" borderId="1" xfId="0" applyFont="1" applyFill="1" applyBorder="1" applyAlignment="1" applyProtection="1">
      <alignment horizontal="center"/>
      <protection locked="0"/>
    </xf>
    <xf numFmtId="43" fontId="21" fillId="5" borderId="1" xfId="0" applyNumberFormat="1" applyFont="1" applyFill="1" applyBorder="1" applyAlignment="1" applyProtection="1">
      <alignment horizontal="center" vertical="center"/>
      <protection locked="0"/>
    </xf>
    <xf numFmtId="0" fontId="19" fillId="9" borderId="17" xfId="0" applyFont="1" applyFill="1" applyBorder="1" applyAlignment="1" applyProtection="1">
      <alignment vertical="center"/>
      <protection locked="0"/>
    </xf>
    <xf numFmtId="43" fontId="21" fillId="9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Alignment="1" applyProtection="1">
      <alignment vertical="center"/>
      <protection locked="0"/>
    </xf>
    <xf numFmtId="0" fontId="12" fillId="0" borderId="17" xfId="0" applyFont="1" applyBorder="1" applyAlignment="1" applyProtection="1">
      <alignment vertical="center"/>
      <protection locked="0"/>
    </xf>
    <xf numFmtId="43" fontId="0" fillId="0" borderId="0" xfId="0" applyNumberFormat="1" applyProtection="1">
      <protection locked="0"/>
    </xf>
    <xf numFmtId="43" fontId="2" fillId="11" borderId="1" xfId="0" applyNumberFormat="1" applyFont="1" applyFill="1" applyBorder="1" applyAlignment="1" applyProtection="1">
      <alignment horizontal="center" vertical="center"/>
      <protection locked="0"/>
    </xf>
    <xf numFmtId="43" fontId="8" fillId="3" borderId="18" xfId="0" applyNumberFormat="1" applyFont="1" applyFill="1" applyBorder="1" applyProtection="1">
      <protection locked="0"/>
    </xf>
    <xf numFmtId="43" fontId="8" fillId="3" borderId="28" xfId="0" applyNumberFormat="1" applyFont="1" applyFill="1" applyBorder="1" applyProtection="1">
      <protection locked="0"/>
    </xf>
    <xf numFmtId="0" fontId="12" fillId="9" borderId="17" xfId="0" applyFont="1" applyFill="1" applyBorder="1" applyAlignment="1" applyProtection="1">
      <alignment vertical="center"/>
      <protection locked="0"/>
    </xf>
    <xf numFmtId="9" fontId="0" fillId="3" borderId="1" xfId="3" applyFont="1" applyFill="1" applyBorder="1" applyProtection="1">
      <protection locked="0"/>
    </xf>
    <xf numFmtId="0" fontId="12" fillId="3" borderId="20" xfId="0" applyFont="1" applyFill="1" applyBorder="1" applyAlignment="1" applyProtection="1">
      <alignment horizontal="center" vertical="center"/>
      <protection locked="0"/>
    </xf>
    <xf numFmtId="9" fontId="0" fillId="3" borderId="18" xfId="3" applyFont="1" applyFill="1" applyBorder="1" applyAlignment="1" applyProtection="1">
      <alignment vertical="center"/>
      <protection locked="0"/>
    </xf>
    <xf numFmtId="43" fontId="22" fillId="12" borderId="18" xfId="0" applyNumberFormat="1" applyFont="1" applyFill="1" applyBorder="1" applyAlignment="1" applyProtection="1">
      <alignment horizontal="center" vertical="center"/>
      <protection locked="0"/>
    </xf>
    <xf numFmtId="0" fontId="19" fillId="3" borderId="29" xfId="0" applyFont="1" applyFill="1" applyBorder="1" applyAlignment="1">
      <alignment vertical="center"/>
    </xf>
    <xf numFmtId="9" fontId="16" fillId="14" borderId="1" xfId="3" applyFont="1" applyFill="1" applyBorder="1" applyAlignment="1">
      <alignment horizontal="center" vertical="center"/>
    </xf>
    <xf numFmtId="43" fontId="21" fillId="0" borderId="1" xfId="0" applyNumberFormat="1" applyFont="1" applyFill="1" applyBorder="1" applyAlignment="1">
      <alignment horizontal="center" vertical="center"/>
    </xf>
    <xf numFmtId="43" fontId="2" fillId="11" borderId="1" xfId="0" applyNumberFormat="1" applyFont="1" applyFill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0" fontId="12" fillId="9" borderId="29" xfId="0" applyFont="1" applyFill="1" applyBorder="1" applyAlignment="1">
      <alignment vertical="center"/>
    </xf>
    <xf numFmtId="0" fontId="12" fillId="3" borderId="31" xfId="0" applyFont="1" applyFill="1" applyBorder="1"/>
    <xf numFmtId="43" fontId="3" fillId="3" borderId="17" xfId="0" applyNumberFormat="1" applyFont="1" applyFill="1" applyBorder="1" applyAlignment="1">
      <alignment horizontal="center" vertical="center"/>
    </xf>
    <xf numFmtId="43" fontId="3" fillId="3" borderId="30" xfId="0" applyNumberFormat="1" applyFont="1" applyFill="1" applyBorder="1" applyAlignment="1">
      <alignment horizontal="center" vertical="center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0" xfId="0" applyFill="1" applyBorder="1" applyAlignment="1" applyProtection="1">
      <alignment horizontal="right"/>
      <protection locked="0"/>
    </xf>
    <xf numFmtId="0" fontId="0" fillId="8" borderId="14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43" fontId="22" fillId="13" borderId="18" xfId="0" applyNumberFormat="1" applyFont="1" applyFill="1" applyBorder="1" applyAlignment="1">
      <alignment horizontal="center" vertical="center"/>
    </xf>
    <xf numFmtId="43" fontId="22" fillId="13" borderId="1" xfId="0" applyNumberFormat="1" applyFont="1" applyFill="1" applyBorder="1" applyAlignment="1">
      <alignment horizontal="center" vertical="center"/>
    </xf>
    <xf numFmtId="0" fontId="17" fillId="0" borderId="21" xfId="0" applyFont="1" applyBorder="1" applyProtection="1">
      <protection locked="0"/>
    </xf>
    <xf numFmtId="9" fontId="16" fillId="0" borderId="18" xfId="3" applyFont="1" applyBorder="1" applyAlignment="1" applyProtection="1">
      <alignment horizontal="center" vertical="center"/>
      <protection locked="0"/>
    </xf>
    <xf numFmtId="43" fontId="9" fillId="11" borderId="17" xfId="0" applyNumberFormat="1" applyFont="1" applyFill="1" applyBorder="1" applyAlignment="1" applyProtection="1">
      <alignment horizontal="center" vertical="center"/>
      <protection locked="0"/>
    </xf>
    <xf numFmtId="43" fontId="3" fillId="0" borderId="17" xfId="0" applyNumberFormat="1" applyFont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9" fillId="15" borderId="17" xfId="0" applyFont="1" applyFill="1" applyBorder="1" applyAlignment="1" applyProtection="1">
      <alignment vertical="center"/>
      <protection locked="0"/>
    </xf>
    <xf numFmtId="43" fontId="9" fillId="11" borderId="2" xfId="0" applyNumberFormat="1" applyFont="1" applyFill="1" applyBorder="1" applyAlignment="1" applyProtection="1">
      <alignment horizontal="center" vertical="center"/>
      <protection locked="0"/>
    </xf>
    <xf numFmtId="0" fontId="5" fillId="5" borderId="12" xfId="0" applyFont="1" applyFill="1" applyBorder="1" applyAlignment="1">
      <alignment vertical="center" wrapText="1"/>
    </xf>
    <xf numFmtId="0" fontId="0" fillId="5" borderId="0" xfId="0" applyFont="1" applyFill="1" applyAlignment="1">
      <alignment horizontal="center"/>
    </xf>
    <xf numFmtId="0" fontId="3" fillId="0" borderId="0" xfId="0" applyFont="1" applyAlignment="1"/>
    <xf numFmtId="14" fontId="0" fillId="0" borderId="0" xfId="0" applyNumberForma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/>
    </xf>
    <xf numFmtId="0" fontId="24" fillId="16" borderId="17" xfId="0" applyFont="1" applyFill="1" applyBorder="1" applyAlignment="1" applyProtection="1">
      <alignment vertical="center"/>
      <protection locked="0"/>
    </xf>
    <xf numFmtId="0" fontId="12" fillId="3" borderId="21" xfId="0" applyFont="1" applyFill="1" applyBorder="1"/>
    <xf numFmtId="43" fontId="16" fillId="0" borderId="32" xfId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/>
    </xf>
    <xf numFmtId="0" fontId="12" fillId="0" borderId="5" xfId="0" applyFont="1" applyBorder="1" applyAlignment="1"/>
    <xf numFmtId="0" fontId="12" fillId="0" borderId="7" xfId="0" applyFont="1" applyBorder="1" applyAlignment="1"/>
    <xf numFmtId="0" fontId="8" fillId="0" borderId="0" xfId="0" applyFont="1" applyAlignment="1"/>
    <xf numFmtId="43" fontId="3" fillId="3" borderId="1" xfId="0" applyNumberFormat="1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</xf>
    <xf numFmtId="43" fontId="3" fillId="10" borderId="1" xfId="0" applyNumberFormat="1" applyFont="1" applyFill="1" applyBorder="1" applyAlignment="1" applyProtection="1">
      <alignment horizontal="center" vertical="center"/>
    </xf>
    <xf numFmtId="9" fontId="16" fillId="0" borderId="1" xfId="3" applyFont="1" applyBorder="1" applyAlignment="1" applyProtection="1">
      <alignment horizontal="center" vertical="center"/>
    </xf>
    <xf numFmtId="43" fontId="3" fillId="3" borderId="1" xfId="0" applyNumberFormat="1" applyFont="1" applyFill="1" applyBorder="1" applyAlignment="1" applyProtection="1">
      <alignment horizontal="center" vertical="center"/>
    </xf>
    <xf numFmtId="43" fontId="21" fillId="5" borderId="1" xfId="0" applyNumberFormat="1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0" fillId="0" borderId="0" xfId="0" applyProtection="1"/>
    <xf numFmtId="0" fontId="0" fillId="2" borderId="15" xfId="0" applyFill="1" applyBorder="1" applyProtection="1"/>
    <xf numFmtId="0" fontId="3" fillId="3" borderId="26" xfId="0" applyFont="1" applyFill="1" applyBorder="1" applyAlignment="1" applyProtection="1">
      <alignment horizontal="center" vertical="center"/>
    </xf>
    <xf numFmtId="0" fontId="3" fillId="3" borderId="27" xfId="0" applyFont="1" applyFill="1" applyBorder="1" applyAlignment="1" applyProtection="1">
      <alignment horizontal="center" vertical="center"/>
    </xf>
    <xf numFmtId="0" fontId="3" fillId="9" borderId="27" xfId="0" applyFont="1" applyFill="1" applyBorder="1" applyAlignment="1" applyProtection="1">
      <alignment horizontal="center" vertical="center"/>
    </xf>
    <xf numFmtId="0" fontId="3" fillId="9" borderId="19" xfId="0" applyFont="1" applyFill="1" applyBorder="1" applyAlignment="1" applyProtection="1">
      <alignment horizontal="center" vertical="center"/>
    </xf>
    <xf numFmtId="0" fontId="12" fillId="0" borderId="26" xfId="0" applyFont="1" applyBorder="1" applyProtection="1"/>
    <xf numFmtId="9" fontId="15" fillId="3" borderId="1" xfId="3" applyFont="1" applyFill="1" applyBorder="1" applyAlignment="1" applyProtection="1">
      <alignment horizontal="center" vertical="center"/>
    </xf>
    <xf numFmtId="43" fontId="26" fillId="17" borderId="17" xfId="0" applyNumberFormat="1" applyFont="1" applyFill="1" applyBorder="1" applyAlignment="1" applyProtection="1">
      <alignment horizontal="center" vertical="center"/>
    </xf>
    <xf numFmtId="43" fontId="26" fillId="17" borderId="2" xfId="0" applyNumberFormat="1" applyFont="1" applyFill="1" applyBorder="1" applyAlignment="1" applyProtection="1">
      <alignment horizontal="center" vertical="center"/>
    </xf>
    <xf numFmtId="0" fontId="12" fillId="0" borderId="17" xfId="0" applyFont="1" applyBorder="1" applyProtection="1"/>
    <xf numFmtId="0" fontId="16" fillId="3" borderId="1" xfId="3" applyNumberFormat="1" applyFont="1" applyFill="1" applyBorder="1" applyAlignment="1" applyProtection="1">
      <alignment horizontal="center" vertical="center"/>
    </xf>
    <xf numFmtId="0" fontId="12" fillId="10" borderId="17" xfId="0" applyFont="1" applyFill="1" applyBorder="1" applyProtection="1"/>
    <xf numFmtId="9" fontId="15" fillId="10" borderId="1" xfId="3" applyFont="1" applyFill="1" applyBorder="1" applyAlignment="1" applyProtection="1">
      <alignment horizontal="center" vertical="center"/>
    </xf>
    <xf numFmtId="0" fontId="17" fillId="0" borderId="17" xfId="0" applyFont="1" applyBorder="1" applyProtection="1"/>
    <xf numFmtId="43" fontId="9" fillId="11" borderId="1" xfId="0" applyNumberFormat="1" applyFont="1" applyFill="1" applyBorder="1" applyAlignment="1" applyProtection="1">
      <alignment horizontal="center" vertical="center"/>
    </xf>
    <xf numFmtId="0" fontId="17" fillId="0" borderId="21" xfId="0" applyFont="1" applyBorder="1" applyProtection="1"/>
    <xf numFmtId="9" fontId="16" fillId="0" borderId="18" xfId="3" applyFont="1" applyBorder="1" applyAlignment="1" applyProtection="1">
      <alignment horizontal="center" vertical="center"/>
    </xf>
    <xf numFmtId="0" fontId="12" fillId="3" borderId="31" xfId="0" applyFont="1" applyFill="1" applyBorder="1" applyProtection="1"/>
    <xf numFmtId="43" fontId="26" fillId="17" borderId="30" xfId="0" applyNumberFormat="1" applyFont="1" applyFill="1" applyBorder="1" applyAlignment="1" applyProtection="1">
      <alignment horizontal="center" vertical="center"/>
    </xf>
    <xf numFmtId="43" fontId="20" fillId="12" borderId="1" xfId="0" applyNumberFormat="1" applyFont="1" applyFill="1" applyBorder="1" applyAlignment="1" applyProtection="1">
      <alignment horizontal="center" vertical="center"/>
    </xf>
    <xf numFmtId="0" fontId="19" fillId="0" borderId="21" xfId="0" applyFont="1" applyBorder="1" applyAlignment="1" applyProtection="1">
      <alignment vertical="center"/>
    </xf>
    <xf numFmtId="0" fontId="19" fillId="3" borderId="1" xfId="0" applyFont="1" applyFill="1" applyBorder="1" applyAlignment="1" applyProtection="1">
      <alignment horizontal="center"/>
    </xf>
    <xf numFmtId="43" fontId="0" fillId="0" borderId="0" xfId="0" applyNumberFormat="1" applyProtection="1"/>
    <xf numFmtId="43" fontId="21" fillId="9" borderId="1" xfId="0" applyNumberFormat="1" applyFont="1" applyFill="1" applyBorder="1" applyAlignment="1" applyProtection="1">
      <alignment horizontal="center" vertical="center"/>
    </xf>
    <xf numFmtId="0" fontId="19" fillId="9" borderId="33" xfId="0" applyFont="1" applyFill="1" applyBorder="1" applyAlignment="1" applyProtection="1">
      <alignment vertical="center"/>
    </xf>
    <xf numFmtId="9" fontId="16" fillId="0" borderId="17" xfId="3" applyFont="1" applyBorder="1" applyAlignment="1" applyProtection="1">
      <alignment horizontal="center" vertical="center"/>
    </xf>
    <xf numFmtId="0" fontId="17" fillId="0" borderId="17" xfId="0" applyFont="1" applyBorder="1" applyAlignment="1" applyProtection="1">
      <alignment vertical="center"/>
    </xf>
    <xf numFmtId="0" fontId="19" fillId="9" borderId="34" xfId="0" applyFont="1" applyFill="1" applyBorder="1" applyAlignment="1" applyProtection="1">
      <alignment vertical="center"/>
    </xf>
    <xf numFmtId="0" fontId="12" fillId="0" borderId="17" xfId="0" applyFont="1" applyBorder="1" applyAlignment="1" applyProtection="1">
      <alignment vertical="center"/>
    </xf>
    <xf numFmtId="9" fontId="15" fillId="17" borderId="1" xfId="3" applyFont="1" applyFill="1" applyBorder="1" applyAlignment="1" applyProtection="1">
      <alignment horizontal="center" vertical="center"/>
    </xf>
    <xf numFmtId="0" fontId="19" fillId="3" borderId="34" xfId="0" applyFont="1" applyFill="1" applyBorder="1" applyAlignment="1" applyProtection="1">
      <alignment vertical="center"/>
    </xf>
    <xf numFmtId="9" fontId="16" fillId="14" borderId="17" xfId="3" applyFont="1" applyFill="1" applyBorder="1" applyAlignment="1" applyProtection="1">
      <alignment horizontal="center" vertical="center"/>
    </xf>
    <xf numFmtId="43" fontId="21" fillId="0" borderId="1" xfId="0" applyNumberFormat="1" applyFont="1" applyFill="1" applyBorder="1" applyAlignment="1" applyProtection="1">
      <alignment horizontal="center" vertical="center"/>
    </xf>
    <xf numFmtId="0" fontId="12" fillId="7" borderId="17" xfId="0" applyFont="1" applyFill="1" applyBorder="1" applyAlignment="1" applyProtection="1">
      <alignment vertical="center"/>
    </xf>
    <xf numFmtId="43" fontId="2" fillId="11" borderId="1" xfId="0" applyNumberFormat="1" applyFont="1" applyFill="1" applyBorder="1" applyAlignment="1" applyProtection="1">
      <alignment horizontal="center" vertical="center"/>
    </xf>
    <xf numFmtId="43" fontId="25" fillId="17" borderId="20" xfId="0" applyNumberFormat="1" applyFont="1" applyFill="1" applyBorder="1" applyProtection="1"/>
    <xf numFmtId="43" fontId="25" fillId="17" borderId="28" xfId="0" applyNumberFormat="1" applyFont="1" applyFill="1" applyBorder="1" applyProtection="1"/>
    <xf numFmtId="0" fontId="12" fillId="0" borderId="34" xfId="0" applyFont="1" applyBorder="1" applyAlignment="1" applyProtection="1">
      <alignment vertical="center"/>
    </xf>
    <xf numFmtId="9" fontId="15" fillId="3" borderId="17" xfId="3" applyFont="1" applyFill="1" applyBorder="1" applyAlignment="1" applyProtection="1">
      <alignment horizontal="center" vertical="center"/>
    </xf>
    <xf numFmtId="0" fontId="0" fillId="3" borderId="0" xfId="0" applyFill="1" applyProtection="1"/>
    <xf numFmtId="0" fontId="12" fillId="3" borderId="20" xfId="0" applyFont="1" applyFill="1" applyBorder="1" applyAlignment="1" applyProtection="1">
      <alignment horizontal="center" vertical="center"/>
    </xf>
    <xf numFmtId="9" fontId="0" fillId="3" borderId="18" xfId="3" applyFont="1" applyFill="1" applyBorder="1" applyAlignment="1" applyProtection="1">
      <alignment vertical="center"/>
    </xf>
    <xf numFmtId="43" fontId="22" fillId="12" borderId="1" xfId="0" applyNumberFormat="1" applyFont="1" applyFill="1" applyBorder="1" applyAlignment="1" applyProtection="1">
      <alignment horizontal="center" vertical="center"/>
    </xf>
    <xf numFmtId="0" fontId="0" fillId="8" borderId="9" xfId="0" applyFill="1" applyBorder="1" applyAlignment="1" applyProtection="1">
      <alignment horizontal="right"/>
    </xf>
    <xf numFmtId="0" fontId="0" fillId="8" borderId="10" xfId="0" applyFill="1" applyBorder="1" applyAlignment="1" applyProtection="1">
      <alignment horizontal="right"/>
    </xf>
    <xf numFmtId="0" fontId="0" fillId="8" borderId="0" xfId="0" applyFill="1" applyBorder="1" applyAlignment="1" applyProtection="1">
      <alignment horizontal="right"/>
    </xf>
    <xf numFmtId="0" fontId="12" fillId="9" borderId="34" xfId="0" applyFont="1" applyFill="1" applyBorder="1" applyAlignment="1" applyProtection="1">
      <alignment vertical="center"/>
    </xf>
    <xf numFmtId="9" fontId="0" fillId="3" borderId="17" xfId="3" applyFont="1" applyFill="1" applyBorder="1" applyProtection="1"/>
    <xf numFmtId="43" fontId="22" fillId="13" borderId="1" xfId="0" applyNumberFormat="1" applyFont="1" applyFill="1" applyBorder="1" applyAlignment="1" applyProtection="1">
      <alignment horizontal="center" vertical="center"/>
    </xf>
    <xf numFmtId="0" fontId="0" fillId="8" borderId="14" xfId="0" applyFill="1" applyBorder="1" applyAlignment="1" applyProtection="1">
      <alignment horizontal="right"/>
    </xf>
    <xf numFmtId="0" fontId="0" fillId="8" borderId="4" xfId="0" applyFill="1" applyBorder="1" applyAlignment="1" applyProtection="1">
      <alignment horizontal="right"/>
    </xf>
    <xf numFmtId="0" fontId="12" fillId="9" borderId="35" xfId="0" applyFont="1" applyFill="1" applyBorder="1" applyAlignment="1" applyProtection="1">
      <alignment vertical="center"/>
    </xf>
    <xf numFmtId="0" fontId="0" fillId="0" borderId="29" xfId="0" applyBorder="1" applyProtection="1"/>
    <xf numFmtId="43" fontId="8" fillId="0" borderId="0" xfId="1" applyFont="1" applyBorder="1" applyAlignment="1"/>
    <xf numFmtId="0" fontId="0" fillId="8" borderId="8" xfId="0" applyFill="1" applyBorder="1" applyAlignment="1" applyProtection="1">
      <alignment horizontal="center"/>
    </xf>
    <xf numFmtId="0" fontId="0" fillId="8" borderId="22" xfId="0" applyFill="1" applyBorder="1" applyAlignment="1" applyProtection="1">
      <alignment horizontal="center"/>
    </xf>
    <xf numFmtId="0" fontId="0" fillId="8" borderId="9" xfId="0" applyFill="1" applyBorder="1" applyAlignment="1" applyProtection="1">
      <alignment horizontal="center"/>
    </xf>
    <xf numFmtId="0" fontId="0" fillId="8" borderId="10" xfId="0" applyFill="1" applyBorder="1" applyAlignment="1" applyProtection="1">
      <alignment horizontal="center"/>
    </xf>
    <xf numFmtId="0" fontId="0" fillId="8" borderId="11" xfId="0" applyFill="1" applyBorder="1" applyAlignment="1" applyProtection="1">
      <alignment horizontal="center"/>
    </xf>
    <xf numFmtId="0" fontId="0" fillId="8" borderId="12" xfId="0" applyFill="1" applyBorder="1" applyAlignment="1" applyProtection="1">
      <alignment horizontal="center"/>
    </xf>
    <xf numFmtId="0" fontId="0" fillId="8" borderId="0" xfId="0" applyFill="1" applyBorder="1" applyAlignment="1" applyProtection="1">
      <alignment horizontal="center"/>
    </xf>
    <xf numFmtId="0" fontId="0" fillId="8" borderId="13" xfId="0" applyFill="1" applyBorder="1" applyAlignment="1" applyProtection="1">
      <alignment horizontal="center"/>
    </xf>
    <xf numFmtId="0" fontId="0" fillId="8" borderId="14" xfId="0" applyFill="1" applyBorder="1" applyAlignment="1" applyProtection="1">
      <alignment horizontal="center"/>
    </xf>
    <xf numFmtId="0" fontId="0" fillId="8" borderId="4" xfId="0" applyFill="1" applyBorder="1" applyAlignment="1" applyProtection="1">
      <alignment horizontal="center"/>
    </xf>
    <xf numFmtId="0" fontId="0" fillId="8" borderId="15" xfId="0" applyFill="1" applyBorder="1" applyAlignment="1" applyProtection="1">
      <alignment horizontal="center"/>
    </xf>
    <xf numFmtId="0" fontId="19" fillId="10" borderId="21" xfId="0" applyFont="1" applyFill="1" applyBorder="1" applyAlignment="1" applyProtection="1">
      <alignment horizontal="center" vertical="center"/>
    </xf>
    <xf numFmtId="0" fontId="19" fillId="10" borderId="17" xfId="0" applyFont="1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0" fontId="0" fillId="2" borderId="12" xfId="0" applyFill="1" applyBorder="1" applyAlignment="1" applyProtection="1">
      <alignment horizontal="center"/>
    </xf>
    <xf numFmtId="43" fontId="16" fillId="0" borderId="18" xfId="1" applyFont="1" applyFill="1" applyBorder="1" applyAlignment="1" applyProtection="1">
      <alignment horizontal="center" vertical="center"/>
    </xf>
    <xf numFmtId="43" fontId="16" fillId="0" borderId="27" xfId="1" applyFont="1" applyFill="1" applyBorder="1" applyAlignment="1" applyProtection="1">
      <alignment horizontal="center" vertical="center"/>
    </xf>
    <xf numFmtId="0" fontId="0" fillId="7" borderId="8" xfId="0" applyFill="1" applyBorder="1" applyAlignment="1" applyProtection="1">
      <alignment horizontal="center"/>
      <protection locked="0"/>
    </xf>
    <xf numFmtId="0" fontId="0" fillId="7" borderId="22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0" fillId="7" borderId="13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15" xfId="0" applyFill="1" applyBorder="1" applyAlignment="1" applyProtection="1">
      <alignment horizontal="center"/>
      <protection locked="0"/>
    </xf>
    <xf numFmtId="43" fontId="16" fillId="0" borderId="18" xfId="1" applyFont="1" applyFill="1" applyBorder="1" applyAlignment="1">
      <alignment horizontal="center" vertical="center"/>
    </xf>
    <xf numFmtId="43" fontId="16" fillId="0" borderId="27" xfId="1" applyFont="1" applyFill="1" applyBorder="1" applyAlignment="1">
      <alignment horizontal="center" vertical="center"/>
    </xf>
    <xf numFmtId="0" fontId="19" fillId="10" borderId="21" xfId="0" applyFont="1" applyFill="1" applyBorder="1" applyAlignment="1" applyProtection="1">
      <alignment horizontal="center" vertical="center"/>
      <protection locked="0"/>
    </xf>
    <xf numFmtId="0" fontId="19" fillId="10" borderId="17" xfId="0" applyFont="1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12" fillId="0" borderId="2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0" fontId="12" fillId="0" borderId="5" xfId="0" applyFont="1" applyBorder="1" applyAlignment="1"/>
    <xf numFmtId="0" fontId="12" fillId="0" borderId="7" xfId="0" applyFont="1" applyBorder="1" applyAlignment="1"/>
    <xf numFmtId="43" fontId="8" fillId="0" borderId="5" xfId="1" applyFont="1" applyBorder="1" applyAlignment="1">
      <alignment horizontal="left"/>
    </xf>
    <xf numFmtId="43" fontId="8" fillId="0" borderId="7" xfId="1" applyFont="1" applyBorder="1" applyAlignment="1">
      <alignment horizontal="left"/>
    </xf>
    <xf numFmtId="43" fontId="8" fillId="0" borderId="36" xfId="1" applyFont="1" applyBorder="1" applyAlignment="1">
      <alignment horizontal="left"/>
    </xf>
    <xf numFmtId="43" fontId="8" fillId="0" borderId="37" xfId="1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8" xfId="0" applyFont="1" applyBorder="1" applyAlignment="1"/>
    <xf numFmtId="0" fontId="8" fillId="0" borderId="22" xfId="0" applyFont="1" applyBorder="1" applyAlignment="1"/>
    <xf numFmtId="0" fontId="8" fillId="0" borderId="23" xfId="0" applyFont="1" applyBorder="1" applyAlignment="1"/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3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8" fillId="3" borderId="0" xfId="0" applyFont="1" applyFill="1" applyAlignment="1"/>
    <xf numFmtId="0" fontId="8" fillId="0" borderId="0" xfId="0" applyFont="1" applyAlignment="1"/>
    <xf numFmtId="0" fontId="12" fillId="0" borderId="0" xfId="0" applyFont="1" applyBorder="1" applyAlignment="1"/>
    <xf numFmtId="0" fontId="12" fillId="0" borderId="6" xfId="0" applyFont="1" applyBorder="1" applyAlignment="1"/>
    <xf numFmtId="0" fontId="12" fillId="0" borderId="25" xfId="0" applyFont="1" applyBorder="1" applyAlignment="1"/>
    <xf numFmtId="0" fontId="12" fillId="0" borderId="11" xfId="0" applyFont="1" applyBorder="1" applyAlignment="1"/>
    <xf numFmtId="0" fontId="8" fillId="0" borderId="4" xfId="0" applyFont="1" applyBorder="1" applyAlignment="1">
      <alignment horizont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43" fontId="14" fillId="5" borderId="10" xfId="0" applyNumberFormat="1" applyFont="1" applyFill="1" applyBorder="1" applyAlignment="1">
      <alignment horizontal="left" vertical="center" wrapText="1"/>
    </xf>
    <xf numFmtId="43" fontId="14" fillId="5" borderId="11" xfId="0" applyNumberFormat="1" applyFont="1" applyFill="1" applyBorder="1" applyAlignment="1">
      <alignment horizontal="left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12" fillId="0" borderId="36" xfId="0" applyFont="1" applyBorder="1" applyAlignment="1"/>
    <xf numFmtId="0" fontId="12" fillId="0" borderId="37" xfId="0" applyFont="1" applyBorder="1" applyAlignment="1"/>
    <xf numFmtId="43" fontId="8" fillId="0" borderId="9" xfId="1" applyFont="1" applyBorder="1" applyAlignment="1">
      <alignment horizontal="left"/>
    </xf>
    <xf numFmtId="43" fontId="8" fillId="0" borderId="11" xfId="1" applyFont="1" applyBorder="1" applyAlignment="1">
      <alignment horizontal="left"/>
    </xf>
    <xf numFmtId="43" fontId="12" fillId="0" borderId="9" xfId="1" applyFont="1" applyBorder="1" applyAlignment="1">
      <alignment horizontal="left" vertical="center"/>
    </xf>
    <xf numFmtId="43" fontId="12" fillId="0" borderId="11" xfId="1" applyFont="1" applyBorder="1" applyAlignment="1">
      <alignment horizontal="left" vertical="center"/>
    </xf>
    <xf numFmtId="43" fontId="12" fillId="0" borderId="14" xfId="1" applyFont="1" applyBorder="1" applyAlignment="1">
      <alignment horizontal="left" vertical="center"/>
    </xf>
    <xf numFmtId="43" fontId="12" fillId="0" borderId="15" xfId="1" applyFont="1" applyBorder="1" applyAlignment="1">
      <alignment horizontal="left" vertical="center"/>
    </xf>
    <xf numFmtId="0" fontId="12" fillId="0" borderId="14" xfId="0" applyFont="1" applyBorder="1" applyAlignment="1"/>
    <xf numFmtId="0" fontId="12" fillId="0" borderId="15" xfId="0" applyFont="1" applyBorder="1" applyAlignment="1"/>
    <xf numFmtId="43" fontId="8" fillId="0" borderId="12" xfId="1" applyFont="1" applyBorder="1" applyAlignment="1">
      <alignment horizontal="left"/>
    </xf>
    <xf numFmtId="43" fontId="8" fillId="0" borderId="13" xfId="1" applyFont="1" applyBorder="1" applyAlignment="1">
      <alignment horizontal="left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5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2</xdr:col>
      <xdr:colOff>1057275</xdr:colOff>
      <xdr:row>2</xdr:row>
      <xdr:rowOff>0</xdr:rowOff>
    </xdr:from>
    <xdr:ext cx="9915525" cy="718466"/>
    <xdr:sp macro="" textlink="">
      <xdr:nvSpPr>
        <xdr:cNvPr id="14" name="Rectangle 13"/>
        <xdr:cNvSpPr/>
      </xdr:nvSpPr>
      <xdr:spPr>
        <a:xfrm>
          <a:off x="2581275" y="333375"/>
          <a:ext cx="9915525" cy="718466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000" b="1" u="none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Décompte Sinistre </a:t>
          </a:r>
          <a:r>
            <a:rPr lang="fr-FR" sz="4000" b="1" u="none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4000" b="1" u="none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27734</xdr:colOff>
      <xdr:row>5</xdr:row>
      <xdr:rowOff>151754</xdr:rowOff>
    </xdr:from>
    <xdr:ext cx="1924891" cy="248851"/>
    <xdr:sp macro="" textlink="">
      <xdr:nvSpPr>
        <xdr:cNvPr id="15" name="Rectangle 14"/>
        <xdr:cNvSpPr/>
      </xdr:nvSpPr>
      <xdr:spPr>
        <a:xfrm>
          <a:off x="5152184" y="1123304"/>
          <a:ext cx="1924891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</a:t>
          </a:r>
        </a:p>
      </xdr:txBody>
    </xdr:sp>
    <xdr:clientData/>
  </xdr:oneCellAnchor>
  <xdr:oneCellAnchor>
    <xdr:from>
      <xdr:col>6</xdr:col>
      <xdr:colOff>1</xdr:colOff>
      <xdr:row>5</xdr:row>
      <xdr:rowOff>157707</xdr:rowOff>
    </xdr:from>
    <xdr:ext cx="1952624" cy="248851"/>
    <xdr:sp macro="" textlink="">
      <xdr:nvSpPr>
        <xdr:cNvPr id="16" name="Rectangle 15"/>
        <xdr:cNvSpPr/>
      </xdr:nvSpPr>
      <xdr:spPr>
        <a:xfrm>
          <a:off x="7086601" y="1119732"/>
          <a:ext cx="195262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9525</xdr:colOff>
      <xdr:row>5</xdr:row>
      <xdr:rowOff>179972</xdr:rowOff>
    </xdr:from>
    <xdr:ext cx="723900" cy="248851"/>
    <xdr:sp macro="" textlink="">
      <xdr:nvSpPr>
        <xdr:cNvPr id="17" name="Rectangle 16"/>
        <xdr:cNvSpPr/>
      </xdr:nvSpPr>
      <xdr:spPr>
        <a:xfrm>
          <a:off x="4419600" y="1113422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Taux</a:t>
          </a:r>
        </a:p>
      </xdr:txBody>
    </xdr:sp>
    <xdr:clientData/>
  </xdr:oneCellAnchor>
  <xdr:oneCellAnchor>
    <xdr:from>
      <xdr:col>3</xdr:col>
      <xdr:colOff>0</xdr:colOff>
      <xdr:row>5</xdr:row>
      <xdr:rowOff>161923</xdr:rowOff>
    </xdr:from>
    <xdr:ext cx="1820673" cy="217560"/>
    <xdr:sp macro="" textlink="">
      <xdr:nvSpPr>
        <xdr:cNvPr id="18" name="Rectangle 17"/>
        <xdr:cNvSpPr/>
      </xdr:nvSpPr>
      <xdr:spPr>
        <a:xfrm>
          <a:off x="2590800" y="1133473"/>
          <a:ext cx="1820673" cy="21756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endParaRPr lang="fr-FR" sz="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5</xdr:row>
      <xdr:rowOff>155117</xdr:rowOff>
    </xdr:from>
    <xdr:ext cx="1690045" cy="248851"/>
    <xdr:sp macro="" textlink="">
      <xdr:nvSpPr>
        <xdr:cNvPr id="19" name="Rectangle 18"/>
        <xdr:cNvSpPr/>
      </xdr:nvSpPr>
      <xdr:spPr>
        <a:xfrm>
          <a:off x="9048750" y="1117142"/>
          <a:ext cx="1690045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Tolerie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8</xdr:col>
      <xdr:colOff>19051</xdr:colOff>
      <xdr:row>5</xdr:row>
      <xdr:rowOff>155117</xdr:rowOff>
    </xdr:from>
    <xdr:ext cx="1781174" cy="248851"/>
    <xdr:sp macro="" textlink="">
      <xdr:nvSpPr>
        <xdr:cNvPr id="20" name="Rectangle 19"/>
        <xdr:cNvSpPr/>
      </xdr:nvSpPr>
      <xdr:spPr>
        <a:xfrm>
          <a:off x="10725151" y="1126667"/>
          <a:ext cx="178117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 Mécanique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2929</xdr:colOff>
      <xdr:row>7</xdr:row>
      <xdr:rowOff>0</xdr:rowOff>
    </xdr:from>
    <xdr:ext cx="1816345" cy="256737"/>
    <xdr:sp macro="" textlink="">
      <xdr:nvSpPr>
        <xdr:cNvPr id="30" name="Rectangle 29"/>
        <xdr:cNvSpPr/>
      </xdr:nvSpPr>
      <xdr:spPr>
        <a:xfrm>
          <a:off x="2593729" y="1371600"/>
          <a:ext cx="181634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Fournitures</a:t>
          </a:r>
        </a:p>
      </xdr:txBody>
    </xdr:sp>
    <xdr:clientData/>
  </xdr:oneCellAnchor>
  <xdr:oneCellAnchor>
    <xdr:from>
      <xdr:col>3</xdr:col>
      <xdr:colOff>5171</xdr:colOff>
      <xdr:row>8</xdr:row>
      <xdr:rowOff>6204</xdr:rowOff>
    </xdr:from>
    <xdr:ext cx="1816344" cy="256737"/>
    <xdr:sp macro="" textlink="">
      <xdr:nvSpPr>
        <xdr:cNvPr id="31" name="Rectangle 30"/>
        <xdr:cNvSpPr/>
      </xdr:nvSpPr>
      <xdr:spPr>
        <a:xfrm>
          <a:off x="2595971" y="1625454"/>
          <a:ext cx="181634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Main D'œuvre</a:t>
          </a:r>
        </a:p>
      </xdr:txBody>
    </xdr:sp>
    <xdr:clientData/>
  </xdr:oneCellAnchor>
  <xdr:oneCellAnchor>
    <xdr:from>
      <xdr:col>3</xdr:col>
      <xdr:colOff>9526</xdr:colOff>
      <xdr:row>9</xdr:row>
      <xdr:rowOff>12410</xdr:rowOff>
    </xdr:from>
    <xdr:ext cx="1806818" cy="256737"/>
    <xdr:sp macro="" textlink="">
      <xdr:nvSpPr>
        <xdr:cNvPr id="32" name="Rectangle 31"/>
        <xdr:cNvSpPr/>
      </xdr:nvSpPr>
      <xdr:spPr>
        <a:xfrm>
          <a:off x="2600326" y="1879310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Peinture</a:t>
          </a:r>
        </a:p>
      </xdr:txBody>
    </xdr:sp>
    <xdr:clientData/>
  </xdr:oneCellAnchor>
  <xdr:oneCellAnchor>
    <xdr:from>
      <xdr:col>3</xdr:col>
      <xdr:colOff>9525</xdr:colOff>
      <xdr:row>10</xdr:row>
      <xdr:rowOff>18617</xdr:rowOff>
    </xdr:from>
    <xdr:ext cx="1806818" cy="256737"/>
    <xdr:sp macro="" textlink="">
      <xdr:nvSpPr>
        <xdr:cNvPr id="33" name="Rectangle 32"/>
        <xdr:cNvSpPr/>
      </xdr:nvSpPr>
      <xdr:spPr>
        <a:xfrm>
          <a:off x="2600325" y="2133167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BDG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9525</xdr:colOff>
      <xdr:row>11</xdr:row>
      <xdr:rowOff>24824</xdr:rowOff>
    </xdr:from>
    <xdr:ext cx="1806818" cy="256737"/>
    <xdr:sp macro="" textlink="">
      <xdr:nvSpPr>
        <xdr:cNvPr id="34" name="Rectangle 33"/>
        <xdr:cNvSpPr/>
      </xdr:nvSpPr>
      <xdr:spPr>
        <a:xfrm>
          <a:off x="2600325" y="2387024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 Pneu</a:t>
          </a:r>
        </a:p>
      </xdr:txBody>
    </xdr:sp>
    <xdr:clientData/>
  </xdr:oneCellAnchor>
  <xdr:oneCellAnchor>
    <xdr:from>
      <xdr:col>4</xdr:col>
      <xdr:colOff>9524</xdr:colOff>
      <xdr:row>7</xdr:row>
      <xdr:rowOff>0</xdr:rowOff>
    </xdr:from>
    <xdr:ext cx="714375" cy="1243161"/>
    <xdr:sp macro="" textlink="">
      <xdr:nvSpPr>
        <xdr:cNvPr id="35" name="Rectangle 34"/>
        <xdr:cNvSpPr/>
      </xdr:nvSpPr>
      <xdr:spPr>
        <a:xfrm>
          <a:off x="4419599" y="1371600"/>
          <a:ext cx="714375" cy="124316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1</xdr:colOff>
      <xdr:row>15</xdr:row>
      <xdr:rowOff>9525</xdr:rowOff>
    </xdr:from>
    <xdr:ext cx="1819274" cy="256737"/>
    <xdr:sp macro="" textlink="">
      <xdr:nvSpPr>
        <xdr:cNvPr id="36" name="Rectangle 35"/>
        <xdr:cNvSpPr/>
      </xdr:nvSpPr>
      <xdr:spPr>
        <a:xfrm>
          <a:off x="2590801" y="3362325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assuré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1</xdr:colOff>
      <xdr:row>16</xdr:row>
      <xdr:rowOff>15688</xdr:rowOff>
    </xdr:from>
    <xdr:ext cx="1819274" cy="256737"/>
    <xdr:sp macro="" textlink="">
      <xdr:nvSpPr>
        <xdr:cNvPr id="37" name="Rectangle 36"/>
        <xdr:cNvSpPr/>
      </xdr:nvSpPr>
      <xdr:spPr>
        <a:xfrm>
          <a:off x="2590801" y="3616138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Venale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0</xdr:colOff>
      <xdr:row>12</xdr:row>
      <xdr:rowOff>38100</xdr:rowOff>
    </xdr:from>
    <xdr:ext cx="1819275" cy="256737"/>
    <xdr:sp macro="" textlink="">
      <xdr:nvSpPr>
        <xdr:cNvPr id="38" name="Rectangle 37"/>
        <xdr:cNvSpPr/>
      </xdr:nvSpPr>
      <xdr:spPr>
        <a:xfrm>
          <a:off x="2590800" y="2609850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</a:t>
          </a:r>
        </a:p>
      </xdr:txBody>
    </xdr:sp>
    <xdr:clientData/>
  </xdr:oneCellAnchor>
  <xdr:oneCellAnchor>
    <xdr:from>
      <xdr:col>3</xdr:col>
      <xdr:colOff>0</xdr:colOff>
      <xdr:row>13</xdr:row>
      <xdr:rowOff>32497</xdr:rowOff>
    </xdr:from>
    <xdr:ext cx="1819275" cy="256737"/>
    <xdr:sp macro="" textlink="">
      <xdr:nvSpPr>
        <xdr:cNvPr id="39" name="Rectangle 38"/>
        <xdr:cNvSpPr/>
      </xdr:nvSpPr>
      <xdr:spPr>
        <a:xfrm>
          <a:off x="2590800" y="2889997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 Pneumatique</a:t>
          </a:r>
        </a:p>
      </xdr:txBody>
    </xdr:sp>
    <xdr:clientData/>
  </xdr:oneCellAnchor>
  <xdr:oneCellAnchor>
    <xdr:from>
      <xdr:col>3</xdr:col>
      <xdr:colOff>1</xdr:colOff>
      <xdr:row>14</xdr:row>
      <xdr:rowOff>0</xdr:rowOff>
    </xdr:from>
    <xdr:ext cx="2543174" cy="256737"/>
    <xdr:sp macro="" textlink="">
      <xdr:nvSpPr>
        <xdr:cNvPr id="40" name="Rectangle 39"/>
        <xdr:cNvSpPr/>
      </xdr:nvSpPr>
      <xdr:spPr>
        <a:xfrm>
          <a:off x="2590801" y="3114675"/>
          <a:ext cx="25431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EPAVE</a:t>
          </a:r>
        </a:p>
      </xdr:txBody>
    </xdr:sp>
    <xdr:clientData/>
  </xdr:oneCellAnchor>
  <xdr:oneCellAnchor>
    <xdr:from>
      <xdr:col>2</xdr:col>
      <xdr:colOff>1057275</xdr:colOff>
      <xdr:row>16</xdr:row>
      <xdr:rowOff>257175</xdr:rowOff>
    </xdr:from>
    <xdr:ext cx="2543175" cy="256737"/>
    <xdr:sp macro="" textlink="">
      <xdr:nvSpPr>
        <xdr:cNvPr id="41" name="Rectangle 40"/>
        <xdr:cNvSpPr/>
      </xdr:nvSpPr>
      <xdr:spPr>
        <a:xfrm>
          <a:off x="2581275" y="3867150"/>
          <a:ext cx="25431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Sous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Total</a:t>
          </a:r>
        </a:p>
      </xdr:txBody>
    </xdr:sp>
    <xdr:clientData/>
  </xdr:oneCellAnchor>
  <xdr:oneCellAnchor>
    <xdr:from>
      <xdr:col>3</xdr:col>
      <xdr:colOff>0</xdr:colOff>
      <xdr:row>21</xdr:row>
      <xdr:rowOff>0</xdr:rowOff>
    </xdr:from>
    <xdr:ext cx="1819275" cy="256737"/>
    <xdr:sp macro="" textlink="">
      <xdr:nvSpPr>
        <xdr:cNvPr id="42" name="Rectangle 41"/>
        <xdr:cNvSpPr/>
      </xdr:nvSpPr>
      <xdr:spPr>
        <a:xfrm>
          <a:off x="2590800" y="4886325"/>
          <a:ext cx="18192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28575</xdr:rowOff>
    </xdr:from>
    <xdr:ext cx="1809750" cy="256737"/>
    <xdr:sp macro="" textlink="">
      <xdr:nvSpPr>
        <xdr:cNvPr id="44" name="Rectangle 43"/>
        <xdr:cNvSpPr/>
      </xdr:nvSpPr>
      <xdr:spPr>
        <a:xfrm>
          <a:off x="2590800" y="5210175"/>
          <a:ext cx="1809750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Immobilisation</a:t>
          </a:r>
        </a:p>
      </xdr:txBody>
    </xdr:sp>
    <xdr:clientData/>
  </xdr:oneCellAnchor>
  <xdr:oneCellAnchor>
    <xdr:from>
      <xdr:col>4</xdr:col>
      <xdr:colOff>19049</xdr:colOff>
      <xdr:row>22</xdr:row>
      <xdr:rowOff>9526</xdr:rowOff>
    </xdr:from>
    <xdr:ext cx="695325" cy="749949"/>
    <xdr:sp macro="" textlink="">
      <xdr:nvSpPr>
        <xdr:cNvPr id="46" name="Rectangle 45"/>
        <xdr:cNvSpPr/>
      </xdr:nvSpPr>
      <xdr:spPr>
        <a:xfrm>
          <a:off x="4429124" y="5191126"/>
          <a:ext cx="695325" cy="74994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9525</xdr:colOff>
      <xdr:row>18</xdr:row>
      <xdr:rowOff>9525</xdr:rowOff>
    </xdr:from>
    <xdr:ext cx="723900" cy="248851"/>
    <xdr:sp macro="" textlink="">
      <xdr:nvSpPr>
        <xdr:cNvPr id="48" name="Rectangle 47"/>
        <xdr:cNvSpPr/>
      </xdr:nvSpPr>
      <xdr:spPr>
        <a:xfrm>
          <a:off x="4419600" y="4124325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9525</xdr:colOff>
      <xdr:row>19</xdr:row>
      <xdr:rowOff>9525</xdr:rowOff>
    </xdr:from>
    <xdr:ext cx="723900" cy="248851"/>
    <xdr:sp macro="" textlink="">
      <xdr:nvSpPr>
        <xdr:cNvPr id="49" name="Rectangle 48"/>
        <xdr:cNvSpPr/>
      </xdr:nvSpPr>
      <xdr:spPr>
        <a:xfrm>
          <a:off x="4419600" y="4381500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0</xdr:colOff>
      <xdr:row>24</xdr:row>
      <xdr:rowOff>257175</xdr:rowOff>
    </xdr:from>
    <xdr:ext cx="2562225" cy="280205"/>
    <xdr:sp macro="" textlink="">
      <xdr:nvSpPr>
        <xdr:cNvPr id="50" name="Rectangle 49"/>
        <xdr:cNvSpPr/>
      </xdr:nvSpPr>
      <xdr:spPr>
        <a:xfrm>
          <a:off x="2590800" y="5876925"/>
          <a:ext cx="2562225" cy="28020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200" b="0" cap="none" spc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Montant</a:t>
          </a:r>
          <a:r>
            <a:rPr lang="fr-FR" sz="1200" b="0" cap="none" spc="0" baseline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de l'indemnité</a:t>
          </a:r>
          <a:endParaRPr lang="fr-FR" sz="1200" b="0" cap="none" spc="0">
            <a:ln w="10160">
              <a:solidFill>
                <a:schemeClr val="tx1"/>
              </a:solidFill>
              <a:prstDash val="solid"/>
            </a:ln>
            <a:solidFill>
              <a:srgbClr val="FFFF00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9525</xdr:colOff>
      <xdr:row>1</xdr:row>
      <xdr:rowOff>142874</xdr:rowOff>
    </xdr:from>
    <xdr:ext cx="1047750" cy="6372225"/>
    <xdr:sp macro="" textlink="">
      <xdr:nvSpPr>
        <xdr:cNvPr id="51" name="Rectangle 50"/>
        <xdr:cNvSpPr/>
      </xdr:nvSpPr>
      <xdr:spPr>
        <a:xfrm>
          <a:off x="1533525" y="333374"/>
          <a:ext cx="1047750" cy="637222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8</xdr:col>
      <xdr:colOff>1809749</xdr:colOff>
      <xdr:row>2</xdr:row>
      <xdr:rowOff>0</xdr:rowOff>
    </xdr:from>
    <xdr:ext cx="1371601" cy="6343650"/>
    <xdr:sp macro="" textlink="">
      <xdr:nvSpPr>
        <xdr:cNvPr id="52" name="Rectangle 51"/>
        <xdr:cNvSpPr/>
      </xdr:nvSpPr>
      <xdr:spPr>
        <a:xfrm>
          <a:off x="12515849" y="333375"/>
          <a:ext cx="1371601" cy="63436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19050</xdr:colOff>
      <xdr:row>24</xdr:row>
      <xdr:rowOff>0</xdr:rowOff>
    </xdr:from>
    <xdr:ext cx="3457575" cy="585545"/>
    <xdr:sp macro="" textlink="">
      <xdr:nvSpPr>
        <xdr:cNvPr id="53" name="Rectangle 52"/>
        <xdr:cNvSpPr/>
      </xdr:nvSpPr>
      <xdr:spPr>
        <a:xfrm>
          <a:off x="9067800" y="5753100"/>
          <a:ext cx="3457575" cy="58554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223805</xdr:colOff>
      <xdr:row>2</xdr:row>
      <xdr:rowOff>47626</xdr:rowOff>
    </xdr:from>
    <xdr:ext cx="5897384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633880" y="42862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Décompte Epave </a:t>
          </a:r>
          <a:r>
            <a:rPr lang="fr-FR" sz="5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</a:t>
          </a:r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665629</xdr:colOff>
      <xdr:row>3</xdr:row>
      <xdr:rowOff>234203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2559" y="32497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67875" y="828675"/>
          <a:ext cx="685714" cy="48571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7</xdr:col>
          <xdr:colOff>133350</xdr:colOff>
          <xdr:row>7</xdr:row>
          <xdr:rowOff>190500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7</xdr:col>
          <xdr:colOff>123825</xdr:colOff>
          <xdr:row>9</xdr:row>
          <xdr:rowOff>19050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9</xdr:row>
          <xdr:rowOff>28575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44824</xdr:colOff>
      <xdr:row>0</xdr:row>
      <xdr:rowOff>32497</xdr:rowOff>
    </xdr:from>
    <xdr:ext cx="1752599" cy="773206"/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1999" y="10938622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B5" sqref="B5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>
        <f>Modèle_Sinistre!F13</f>
        <v>0</v>
      </c>
      <c r="C5" s="8" t="str">
        <f>UPPER(MID(CU5,1,1))&amp;MID(CU5,2,168)</f>
        <v xml:space="preserve">Zéro Dinars </v>
      </c>
      <c r="D5" s="8">
        <f>INT(B5/1000000)</f>
        <v>0</v>
      </c>
      <c r="E5" s="8">
        <f>INT((B5-D5*1000000)/1000)</f>
        <v>0</v>
      </c>
      <c r="F5" s="8">
        <f>INT(B5-D5*1000000-E5*1000)</f>
        <v>0</v>
      </c>
      <c r="G5" s="8">
        <f>ROUND(B5-D5*1000000-E5*1000-F5,2)*100</f>
        <v>0</v>
      </c>
      <c r="H5" s="8">
        <f>D5-M5*100</f>
        <v>0</v>
      </c>
      <c r="J5" s="8">
        <f>E5-P5*100</f>
        <v>0</v>
      </c>
      <c r="K5" s="8">
        <f>ROUND(F5-S5*100,0)</f>
        <v>0</v>
      </c>
      <c r="L5" s="8">
        <f>G5</f>
        <v>0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0</v>
      </c>
      <c r="Q5" s="8">
        <f>INT((E5-P5*100)/10)</f>
        <v>0</v>
      </c>
      <c r="R5" s="8">
        <f>E5-P5*100-Q5*10</f>
        <v>0</v>
      </c>
      <c r="S5" s="8">
        <f>INT(F5/100)</f>
        <v>0</v>
      </c>
      <c r="T5" s="8">
        <f>INT((F5-S5*100)/10)</f>
        <v>0</v>
      </c>
      <c r="U5" s="8">
        <f>F5-S5*100-T5*10</f>
        <v>0</v>
      </c>
      <c r="V5" s="8">
        <f>INT(G5/10)</f>
        <v>0</v>
      </c>
      <c r="W5" s="8">
        <f>ROUND(G5-V5*10,0)</f>
        <v>0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/>
      </c>
      <c r="AD5" s="8" t="str">
        <f>IF(P5=0,"",IF(P5&lt;2,"cent ",AV5))</f>
        <v/>
      </c>
      <c r="AE5" s="8" t="str">
        <f>IF(Q5=1,AW5,IF(Q5=7,BO5,IF(Q5=9,CD5,CM5)))</f>
        <v/>
      </c>
      <c r="AF5" s="8" t="str">
        <f>IF(E5=1,"",AX5)</f>
        <v/>
      </c>
      <c r="AG5" s="8" t="str">
        <f>IF(E5&gt;0,"mille ","")</f>
        <v/>
      </c>
      <c r="AH5" s="8" t="str">
        <f>IF(INT(B5)=0,"zéro ",IF(S5=0,"",IF(S5=1,"",IF(S5=2,"deux ",IF(S5=3,"trois ",IF(S5=4,"quatre ",IF(S5=5,"cinq ",AY5)))))))</f>
        <v xml:space="preserve">zéro </v>
      </c>
      <c r="AI5" s="8" t="str">
        <f>IF(S5=0,"",IF(S5&lt;2,"cent ",AZ5))</f>
        <v/>
      </c>
      <c r="AJ5" s="8" t="str">
        <f>IF(T5=1,BA5,IF(T5=7,BQ5,IF(T5=9,CF5,CN5)))</f>
        <v/>
      </c>
      <c r="AK5" s="8" t="str">
        <f>IF(K5=11,"",IF(K5=12,"",IF(K5=13,"",IF(K5=14,"",IF(K5=15,"",IF(K5=16,"",BB5))))))</f>
        <v/>
      </c>
      <c r="AL5" s="8" t="s">
        <v>38</v>
      </c>
      <c r="AM5" s="8" t="str">
        <f>IF(G5&gt;0," et ","")</f>
        <v/>
      </c>
      <c r="AN5" s="8" t="str">
        <f>IF(V5=1,BC5,IF(V5=7,BS5,IF(V5=9,CG5,CO5)))</f>
        <v/>
      </c>
      <c r="AO5" s="8" t="str">
        <f>IF(L5=11,"",IF(L5=12,"",IF(L5=13,"",IF(L5=14,"",IF(L5=15,"",IF(L5=16,"",BD5))))))</f>
        <v/>
      </c>
      <c r="AP5" s="8" t="str">
        <f>IF(G5=0," ",IF(G5&lt;2," cent"," cents"))</f>
        <v xml:space="preserve"> 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cents </v>
      </c>
      <c r="AW5" s="8" t="str">
        <f>IF(J5=10,"dix ",IF(J5=11,"onze ",IF(J5=12,"douze ",IF(J5=13,"treize ",IF(J5=14,"quatorze ",IF(J5=15,"quinze ",BG5))))))</f>
        <v/>
      </c>
      <c r="AX5" s="8" t="str">
        <f>IF(J5=11,"",IF(J5=12,"",IF(J5=13,"",IF(J5=14,"",IF(J5=15,"",IF(J5=16,"",BH5))))))</f>
        <v/>
      </c>
      <c r="AY5" s="8">
        <f>IF(S5=6,"six ",IF(S5=7,"sept ",IF(S5=8,"huit ",IF(S5=9,"neuf ",))))</f>
        <v>0</v>
      </c>
      <c r="AZ5" s="8" t="str">
        <f>IF(K5&gt;0,"cent ", "cents ")</f>
        <v xml:space="preserve">cents </v>
      </c>
      <c r="BA5" s="8" t="str">
        <f>IF(K5=10,"dix ",IF(K5=11,"onze ",IF(K5=12,"douze ",IF(K5=13,"treize ",IF(K5=14,"quatorze ",IF(K5=15,"quinze ",BI5))))))</f>
        <v/>
      </c>
      <c r="BB5" s="8" t="str">
        <f>IF(K5=17,"",IF(K5=18,"",IF(K5=19,"",BJ5)))</f>
        <v/>
      </c>
      <c r="BC5" s="8" t="str">
        <f>IF(L5=10,"dix ",IF(L5=11,"onze ",IF(L5=12,"douze ",IF(L5=13,"treize ",IF(L5=14,"quatorze ",IF(L5=15,"quinze ",BK5))))))</f>
        <v/>
      </c>
      <c r="BD5" s="8" t="str">
        <f>IF(L5=17,"",IF(L5=18,"",IF(L5=19,"",BL5)))</f>
        <v/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/>
      </c>
      <c r="BH5" s="8" t="str">
        <f>IF(J5=17,"",IF(J5=18,"",IF(J5=19,"",BP5)))</f>
        <v/>
      </c>
      <c r="BI5" s="8" t="str">
        <f>IF(K5=16,"seize ",IF(K5=17,"dix-sept ",IF(K5=18,"dix-huit ",IF(K5=19,"dix-neuf ",BQ5))))</f>
        <v/>
      </c>
      <c r="BJ5" s="8" t="str">
        <f>IF(K5=21,"et un ",IF(K5=31,"et un ",IF(K5=41,"et un ",IF(K5=51,"et un ",IF(K5=61,"et un ",BR5)))))</f>
        <v/>
      </c>
      <c r="BK5" s="8" t="str">
        <f>IF(L5=16,"seize ",IF(L5=17,"dix-sept ",IF(L5=18,"dix-huit ",IF(L5=19,"dix-neuf ",BS5))))</f>
        <v/>
      </c>
      <c r="BL5" s="8" t="str">
        <f>IF(L5=21,"et un ",IF(L5=31,"et un ",IF(L5=41,"et un ",IF(L5=51,"et un ",IF(L5=61,"et un ",BT5)))))</f>
        <v/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/>
      </c>
      <c r="BP5" s="8" t="str">
        <f>IF(J5=21,"et un ",IF(J5=31,"et un ",IF(J5=41,"et un ",IF(J5=51,"et un ",IF(J5=61,"et un ",BX5)))))</f>
        <v/>
      </c>
      <c r="BQ5" s="8" t="str">
        <f>IF(K5=70,"soixante-dix ",IF(K5=71,"soixante et onze ",IF(K5=72,"soixante-douze ",IF(K5=73,"soixante-treize ",IF(K5=74,"soixante-quatorze ",IF(K5=75,"soixante-quinze ",BY5))))))</f>
        <v/>
      </c>
      <c r="BR5" s="8" t="str">
        <f>IF(T5=9,"",IF(T5=7,"",IF(U5=0,"",IF(U5=1,"un ",IF(U5=2,"deux ",IF(U5=3,"trois ",IF(U5=4,"quatre ",IF(U5=5,"cinq ",BZ5))))))))</f>
        <v/>
      </c>
      <c r="BS5" s="8" t="str">
        <f>IF(L5=70,"soixante-dix ",IF(L5=71,"soixante et onze ",IF(L5=72,"soixante-douze ",IF(L5=73,"soixante-treize ",IF(L5=74,"soixante-quatorze ",IF(L5=75,"soixante-quinze ",CA5))))))</f>
        <v/>
      </c>
      <c r="BT5" s="8" t="str">
        <f>IF(V5=9,"",IF(V5=7,"",IF(W5=0,"",IF(W5=1,"un ",IF(W5=2,"deux ",IF(W5=3,"trois ",IF(W5=4,"quatre ",IF(W5=5,"cinq ",CB5))))))))</f>
        <v/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/>
      </c>
      <c r="BX5" s="8" t="str">
        <f>IF(Q5=9,"",IF(Q5=7,"",IF(R5=0,"",IF(R5=1,"un ",IF(R5=2,"deux ",IF(R5=3,"trois ",IF(R5=4,"quatre ",IF(R5=5,"cinq ",CE5))))))))</f>
        <v/>
      </c>
      <c r="BY5" s="8" t="str">
        <f>IF(K5=76,"soixante-seize ",IF(K5=77,"soixante-dix-sept ",IF(K5=78,"soixante-dix-huit ",IF(K5=79,"soixante-dix-neuf ",CF5))))</f>
        <v/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/>
      </c>
      <c r="CB5" s="8">
        <f>IF(V5=9,"",IF(W5=6,"six ",IF(W5=7,"sept ",IF(W5=8,"huit ",IF(W5=9,"neuf ",)))))</f>
        <v>0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>
        <f>IF(Q5=9,"",IF(R5=6,"six ",IF(R5=7,"sept ",IF(R5=8,"huit ",IF(R5=9,"neuf ",)))))</f>
        <v>0</v>
      </c>
      <c r="CF5" s="8" t="str">
        <f>IF(K5=90,"quatre-vingt-dix ",IF(K5=91,"quatre-vingt-onze ",IF(K5=92,"quatre-vingt-douze ",IF(K5=93,"quatre-vingt-treize ",IF(K5=94,"quatre-vingt-quatorze ",IF(K5=95,"quatre-vingt-quinze ",CJ5))))))</f>
        <v/>
      </c>
      <c r="CG5" s="8" t="str">
        <f>IF(L5=90,"quatre-vingt-dix ",IF(L5=91,"quatre-vingt-onze ",IF(L5=92,"quatre-vingt-douze ",IF(L5=93,"quatre-vingt-treize ",IF(L5=94,"quatre-vingt-quatorze ",IF(L5=95,"quatre-vingt-quinze ",CK5))))))</f>
        <v/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/>
      </c>
      <c r="CK5" s="8" t="str">
        <f>IF(L5=96,"quatre-vingt-seize ",IF(L5=97,"quatre-vingt-dix-sept ",IF(L5=98,"quatre-vingt-dix-huit ",IF(L5=99,"quatre-vingt-dix-neuf ",CO5))))</f>
        <v/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/>
      </c>
      <c r="CO5" s="8" t="str">
        <f>IF(V5=2,"vingt ",IF(V5=3,"trente ",IF(V5=4,"quarante ",IF(V5=5,"cinquante ",CS5))))</f>
        <v/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/>
      </c>
      <c r="CU5" s="8" t="str">
        <f>(X5&amp;Y5&amp;Z5&amp;AA5&amp;AB5&amp;AC5&amp;AD5&amp;AE5&amp;AF5&amp;AG5&amp;AH5&amp;AI5&amp;AJ5&amp;AK5&amp;AL5&amp;AM5&amp;AN5&amp;AO5&amp;AP5)</f>
        <v xml:space="preserve">zéro Dinars 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T29"/>
  <sheetViews>
    <sheetView topLeftCell="C1" workbookViewId="0">
      <selection activeCell="I24" sqref="I24"/>
    </sheetView>
  </sheetViews>
  <sheetFormatPr baseColWidth="10" defaultRowHeight="15" x14ac:dyDescent="0.25"/>
  <cols>
    <col min="1" max="2" width="11.42578125" style="120"/>
    <col min="3" max="3" width="16" style="119" customWidth="1"/>
    <col min="4" max="4" width="27.28515625" style="120" bestFit="1" customWidth="1"/>
    <col min="5" max="5" width="10.7109375" style="120" customWidth="1"/>
    <col min="6" max="7" width="29.42578125" style="120" customWidth="1"/>
    <col min="8" max="8" width="24.85546875" style="120" customWidth="1"/>
    <col min="9" max="9" width="27.140625" style="120" customWidth="1"/>
    <col min="10" max="10" width="20.5703125" style="120" customWidth="1"/>
    <col min="11" max="12" width="11.42578125" style="120"/>
    <col min="13" max="13" width="26.85546875" style="120" bestFit="1" customWidth="1"/>
    <col min="14" max="14" width="11.42578125" style="120"/>
    <col min="15" max="15" width="22.140625" style="120" customWidth="1"/>
    <col min="16" max="16" width="21.42578125" style="120" customWidth="1"/>
    <col min="17" max="18" width="11.42578125" style="120"/>
    <col min="19" max="19" width="14.28515625" style="120" bestFit="1" customWidth="1"/>
    <col min="20" max="20" width="18.85546875" style="120" bestFit="1" customWidth="1"/>
    <col min="21" max="16384" width="11.42578125" style="120"/>
  </cols>
  <sheetData>
    <row r="2" spans="3:12" ht="11.25" customHeight="1" thickBot="1" x14ac:dyDescent="0.3"/>
    <row r="3" spans="3:12" ht="17.25" customHeight="1" x14ac:dyDescent="0.25">
      <c r="C3" s="175"/>
      <c r="D3" s="177"/>
      <c r="E3" s="178"/>
      <c r="F3" s="178"/>
      <c r="G3" s="178"/>
      <c r="H3" s="178"/>
      <c r="I3" s="179"/>
      <c r="J3" s="175" t="s">
        <v>147</v>
      </c>
    </row>
    <row r="4" spans="3:12" x14ac:dyDescent="0.25">
      <c r="C4" s="176"/>
      <c r="D4" s="180"/>
      <c r="E4" s="181"/>
      <c r="F4" s="181"/>
      <c r="G4" s="181"/>
      <c r="H4" s="181"/>
      <c r="I4" s="182"/>
      <c r="J4" s="176"/>
    </row>
    <row r="5" spans="3:12" x14ac:dyDescent="0.25">
      <c r="C5" s="176"/>
      <c r="D5" s="180"/>
      <c r="E5" s="181"/>
      <c r="F5" s="181"/>
      <c r="G5" s="181"/>
      <c r="H5" s="181"/>
      <c r="I5" s="182"/>
      <c r="J5" s="176"/>
    </row>
    <row r="6" spans="3:12" ht="15.75" thickBot="1" x14ac:dyDescent="0.3">
      <c r="C6" s="176"/>
      <c r="D6" s="183"/>
      <c r="E6" s="184"/>
      <c r="F6" s="184"/>
      <c r="G6" s="184"/>
      <c r="H6" s="184"/>
      <c r="I6" s="185"/>
      <c r="J6" s="176"/>
    </row>
    <row r="7" spans="3:12" ht="15.75" thickBot="1" x14ac:dyDescent="0.3">
      <c r="C7" s="176"/>
      <c r="D7" s="121"/>
      <c r="E7" s="122" t="s">
        <v>148</v>
      </c>
      <c r="F7" s="123" t="s">
        <v>149</v>
      </c>
      <c r="G7" s="123" t="s">
        <v>150</v>
      </c>
      <c r="H7" s="124" t="s">
        <v>151</v>
      </c>
      <c r="I7" s="125" t="s">
        <v>152</v>
      </c>
      <c r="J7" s="176"/>
      <c r="L7" s="120">
        <v>2019</v>
      </c>
    </row>
    <row r="8" spans="3:12" ht="20.100000000000001" customHeight="1" x14ac:dyDescent="0.25">
      <c r="C8" s="176"/>
      <c r="D8" s="126" t="s">
        <v>153</v>
      </c>
      <c r="E8" s="127"/>
      <c r="F8" s="55"/>
      <c r="G8" s="114">
        <f>F8/1.19</f>
        <v>0</v>
      </c>
      <c r="H8" s="128">
        <v>74389.289999999994</v>
      </c>
      <c r="I8" s="129">
        <v>0</v>
      </c>
      <c r="J8" s="176"/>
      <c r="L8" s="120">
        <v>1995</v>
      </c>
    </row>
    <row r="9" spans="3:12" ht="20.100000000000001" customHeight="1" x14ac:dyDescent="0.25">
      <c r="C9" s="176"/>
      <c r="D9" s="130" t="s">
        <v>154</v>
      </c>
      <c r="E9" s="131"/>
      <c r="F9" s="55"/>
      <c r="G9" s="114">
        <f>F9</f>
        <v>0</v>
      </c>
      <c r="H9" s="128">
        <v>14133.97</v>
      </c>
      <c r="I9" s="129"/>
      <c r="J9" s="176"/>
      <c r="L9" s="120">
        <f>L7-L8</f>
        <v>24</v>
      </c>
    </row>
    <row r="10" spans="3:12" ht="20.100000000000001" customHeight="1" x14ac:dyDescent="0.25">
      <c r="C10" s="176"/>
      <c r="D10" s="130" t="s">
        <v>155</v>
      </c>
      <c r="E10" s="127"/>
      <c r="F10" s="55"/>
      <c r="G10" s="114">
        <f>F10</f>
        <v>0</v>
      </c>
      <c r="H10" s="128"/>
      <c r="I10" s="129"/>
      <c r="J10" s="176"/>
    </row>
    <row r="11" spans="3:12" ht="20.100000000000001" customHeight="1" x14ac:dyDescent="0.25">
      <c r="C11" s="176"/>
      <c r="D11" s="132" t="s">
        <v>156</v>
      </c>
      <c r="E11" s="133"/>
      <c r="F11" s="57"/>
      <c r="G11" s="115">
        <f>F11/1.19</f>
        <v>0</v>
      </c>
      <c r="H11" s="128"/>
      <c r="I11" s="129"/>
      <c r="J11" s="176"/>
    </row>
    <row r="12" spans="3:12" ht="20.100000000000001" customHeight="1" x14ac:dyDescent="0.25">
      <c r="C12" s="176"/>
      <c r="D12" s="132" t="s">
        <v>157</v>
      </c>
      <c r="E12" s="133"/>
      <c r="F12" s="57"/>
      <c r="G12" s="115">
        <f>F12/1.19</f>
        <v>0</v>
      </c>
      <c r="H12" s="128"/>
      <c r="I12" s="129"/>
      <c r="J12" s="176"/>
    </row>
    <row r="13" spans="3:12" ht="22.5" customHeight="1" x14ac:dyDescent="0.25">
      <c r="C13" s="176"/>
      <c r="D13" s="134" t="s">
        <v>158</v>
      </c>
      <c r="E13" s="58">
        <v>0</v>
      </c>
      <c r="F13" s="59">
        <f>(F8-(F12+F11))*E13</f>
        <v>0</v>
      </c>
      <c r="G13" s="59">
        <f>F13/1.19</f>
        <v>0</v>
      </c>
      <c r="H13" s="128"/>
      <c r="I13" s="129"/>
      <c r="J13" s="176"/>
    </row>
    <row r="14" spans="3:12" ht="23.25" customHeight="1" x14ac:dyDescent="0.25">
      <c r="C14" s="176"/>
      <c r="D14" s="134" t="s">
        <v>159</v>
      </c>
      <c r="E14" s="58">
        <v>0.45</v>
      </c>
      <c r="F14" s="135">
        <f>F12*E14</f>
        <v>0</v>
      </c>
      <c r="G14" s="59">
        <f>F14/1.19</f>
        <v>0</v>
      </c>
      <c r="H14" s="128"/>
      <c r="I14" s="129"/>
      <c r="J14" s="176"/>
    </row>
    <row r="15" spans="3:12" ht="19.5" customHeight="1" x14ac:dyDescent="0.25">
      <c r="C15" s="176"/>
      <c r="D15" s="136" t="s">
        <v>177</v>
      </c>
      <c r="E15" s="137"/>
      <c r="F15" s="135">
        <v>0</v>
      </c>
      <c r="G15" s="59"/>
      <c r="H15" s="128"/>
      <c r="I15" s="129"/>
      <c r="J15" s="176"/>
    </row>
    <row r="16" spans="3:12" ht="20.100000000000001" customHeight="1" x14ac:dyDescent="0.25">
      <c r="C16" s="176"/>
      <c r="D16" s="138" t="s">
        <v>175</v>
      </c>
      <c r="E16" s="191" t="str">
        <f>IF(ISERROR(F16*100/F17)-100,"",F16*100/F17-100)</f>
        <v/>
      </c>
      <c r="F16" s="113"/>
      <c r="G16" s="117">
        <f>F16</f>
        <v>0</v>
      </c>
      <c r="H16" s="128"/>
      <c r="I16" s="139"/>
      <c r="J16" s="176"/>
    </row>
    <row r="17" spans="2:20" ht="21" customHeight="1" x14ac:dyDescent="0.25">
      <c r="C17" s="176"/>
      <c r="D17" s="138" t="s">
        <v>176</v>
      </c>
      <c r="E17" s="192"/>
      <c r="F17" s="113"/>
      <c r="G17" s="117">
        <f>F17</f>
        <v>0</v>
      </c>
      <c r="H17" s="128"/>
      <c r="I17" s="139"/>
      <c r="J17" s="176"/>
    </row>
    <row r="18" spans="2:20" ht="18.75" x14ac:dyDescent="0.25">
      <c r="C18" s="176"/>
      <c r="D18" s="186" t="s">
        <v>160</v>
      </c>
      <c r="E18" s="187"/>
      <c r="F18" s="140">
        <f>(F8+F9+F10)-(F13+F14)</f>
        <v>0</v>
      </c>
      <c r="G18" s="140">
        <f>(G8+G9+G10)-(G13+G14)</f>
        <v>0</v>
      </c>
      <c r="H18" s="128"/>
      <c r="I18" s="129"/>
      <c r="J18" s="176"/>
    </row>
    <row r="19" spans="2:20" ht="20.25" customHeight="1" x14ac:dyDescent="0.25">
      <c r="C19" s="176"/>
      <c r="D19" s="141" t="s">
        <v>161</v>
      </c>
      <c r="E19" s="142"/>
      <c r="F19" s="64"/>
      <c r="G19" s="118">
        <f>F19</f>
        <v>0</v>
      </c>
      <c r="H19" s="128"/>
      <c r="I19" s="129"/>
      <c r="J19" s="176"/>
    </row>
    <row r="20" spans="2:20" ht="20.25" customHeight="1" thickBot="1" x14ac:dyDescent="0.3">
      <c r="B20" s="143"/>
      <c r="C20" s="176"/>
      <c r="D20" s="141" t="s">
        <v>178</v>
      </c>
      <c r="E20" s="142"/>
      <c r="F20" s="118">
        <f>F19*E21+F19</f>
        <v>0</v>
      </c>
      <c r="G20" s="118">
        <f>IFERROR(F20,"")</f>
        <v>0</v>
      </c>
      <c r="H20" s="128"/>
      <c r="I20" s="129"/>
      <c r="J20" s="176"/>
    </row>
    <row r="21" spans="2:20" ht="20.25" customHeight="1" x14ac:dyDescent="0.25">
      <c r="B21" s="143"/>
      <c r="C21" s="176"/>
      <c r="D21" s="106"/>
      <c r="E21" s="116">
        <v>0.15</v>
      </c>
      <c r="F21" s="144" t="b">
        <f>IFERROR(IF($D$21="S /Total REG PRP Capitaux",(F18)*F16/F17,IF($D$21="Sous total REG Prp AGE",F18*F19/(F19*E21+F19),IF($D$21="Sous total REG Prp Permis",F18*F19/(F19*E21+F19)))),"")</f>
        <v>0</v>
      </c>
      <c r="G21" s="144" t="b">
        <f>IFERROR(IF($D$21="S /Total REG PRP Capitaux",G18*G16/G17,IF($D$21="Sous total REG Prp AGE",G18*G19/(G19*E21+G19),IF($D$21="Sous total REG Prp Permis",G18*G19/(G19*E21+G19)))),"")</f>
        <v>0</v>
      </c>
      <c r="H21" s="128"/>
      <c r="I21" s="129"/>
      <c r="J21" s="176"/>
      <c r="M21" s="145" t="s">
        <v>162</v>
      </c>
      <c r="N21" s="146">
        <v>0.15</v>
      </c>
      <c r="O21" s="144" t="str">
        <f>IFERROR((F18*F19)/((ROUND(F20,2))),"")</f>
        <v/>
      </c>
      <c r="P21" s="144" t="str">
        <f>IFERROR((G24-G22)*G18/(G19+(ROUND(G19*F21,2))),"")</f>
        <v/>
      </c>
    </row>
    <row r="22" spans="2:20" ht="20.25" customHeight="1" x14ac:dyDescent="0.25">
      <c r="C22" s="176"/>
      <c r="D22" s="147" t="s">
        <v>140</v>
      </c>
      <c r="E22" s="58">
        <v>0.05</v>
      </c>
      <c r="F22" s="59"/>
      <c r="G22" s="59"/>
      <c r="H22" s="128"/>
      <c r="I22" s="129"/>
      <c r="J22" s="176"/>
      <c r="M22" s="148" t="s">
        <v>163</v>
      </c>
      <c r="N22" s="146">
        <v>0.25</v>
      </c>
      <c r="O22" s="144" t="str">
        <f>IFERROR((F18)*F19/(ROUND(F20,2)),"")</f>
        <v/>
      </c>
      <c r="P22" s="144" t="str">
        <f>IFERROR((G23-G18)*G19/(G19+ROUND(G19*#REF!,2)),"")</f>
        <v/>
      </c>
    </row>
    <row r="23" spans="2:20" ht="23.25" customHeight="1" x14ac:dyDescent="0.25">
      <c r="C23" s="176"/>
      <c r="D23" s="149" t="s">
        <v>165</v>
      </c>
      <c r="E23" s="150"/>
      <c r="F23" s="55"/>
      <c r="G23" s="55">
        <f>F23</f>
        <v>0</v>
      </c>
      <c r="H23" s="128"/>
      <c r="I23" s="129"/>
      <c r="J23" s="176"/>
      <c r="M23" s="151" t="s">
        <v>172</v>
      </c>
      <c r="N23" s="152"/>
      <c r="O23" s="153" t="e">
        <f>(F18)*F16/F17</f>
        <v>#DIV/0!</v>
      </c>
      <c r="P23" s="153" t="e">
        <f>(G18)*G16/G17</f>
        <v>#DIV/0!</v>
      </c>
      <c r="S23" s="120" t="s">
        <v>164</v>
      </c>
    </row>
    <row r="24" spans="2:20" ht="21.75" customHeight="1" thickBot="1" x14ac:dyDescent="0.3">
      <c r="C24" s="176"/>
      <c r="D24" s="154" t="e">
        <f>INDEX($M$21:$M$28,MATCH($D$21,$M$21:$M$28,0)+3)</f>
        <v>#N/A</v>
      </c>
      <c r="E24" s="150"/>
      <c r="F24" s="155" t="str">
        <f>IFERROR(IF($D$24="Montant Rpr Âge",F18-F21,IF($D$24="Montant Rpr Permis",F18-F21,IF($D$24="Montant Rpr Capitaux",F18-F21,""))),"")</f>
        <v/>
      </c>
      <c r="G24" s="155" t="str">
        <f>IFERROR(IF($D$24="Montant Rpr Âge",G18-G21,IF($D$24="Montant Rpr Permis",G18-G21,IF($D$24="Montant Rpr Capitaux",G18-G21,""))),"")</f>
        <v/>
      </c>
      <c r="H24" s="156">
        <f>SUM(H8:H23)</f>
        <v>88523.26</v>
      </c>
      <c r="I24" s="157">
        <f>SUM(I8:I23)</f>
        <v>0</v>
      </c>
      <c r="J24" s="176"/>
      <c r="M24" s="158" t="s">
        <v>166</v>
      </c>
      <c r="N24" s="159"/>
      <c r="O24" s="155">
        <f>(F16-F22)+F18</f>
        <v>0</v>
      </c>
      <c r="P24" s="155">
        <f>(G16-G22)+G18</f>
        <v>0</v>
      </c>
      <c r="S24" s="143">
        <f>F18*E22</f>
        <v>0</v>
      </c>
      <c r="T24" s="143">
        <f>G18*F22</f>
        <v>0</v>
      </c>
    </row>
    <row r="25" spans="2:20" ht="21" customHeight="1" x14ac:dyDescent="0.25">
      <c r="C25" s="176"/>
      <c r="D25" s="154" t="e">
        <f>INDEX($M$21:$M$29,MATCH($D$21,$M$21:$M$28,0)+6)</f>
        <v>#N/A</v>
      </c>
      <c r="E25" s="150"/>
      <c r="F25" s="155" t="str">
        <f>IFERROR(IF($D$25="Total à payer Rpr Âge",F21-F22+F23,IF($D$25="Total à payer Rpr Permis",F21-F21+F21-F23,IF($D$25="Total à payer Rpr Capitaux",F21-F22+F23-F23))),"")</f>
        <v/>
      </c>
      <c r="G25" s="155" t="str">
        <f>IFERROR(IF($D$25="Total à payer Rpr Âge",G21-G22+G23,IF($D$25="Total à payer Rpr Permis",G21-G21+G21-G23,IF($D$25="Total à payer Rpr Capitaux",G21-G22+G23-G23))),"")</f>
        <v/>
      </c>
      <c r="H25" s="188"/>
      <c r="I25" s="188"/>
      <c r="J25" s="176"/>
      <c r="M25" s="158" t="s">
        <v>167</v>
      </c>
      <c r="N25" s="159"/>
      <c r="O25" s="155">
        <f>(F18-F22)+F19</f>
        <v>0</v>
      </c>
      <c r="P25" s="155">
        <f>(G18-G22)+G19</f>
        <v>0</v>
      </c>
      <c r="S25" s="160">
        <v>2500</v>
      </c>
    </row>
    <row r="26" spans="2:20" ht="21.75" customHeight="1" thickBot="1" x14ac:dyDescent="0.3">
      <c r="C26" s="176"/>
      <c r="D26" s="161" t="s">
        <v>170</v>
      </c>
      <c r="E26" s="162"/>
      <c r="F26" s="163">
        <f>F18-F22+F23</f>
        <v>0</v>
      </c>
      <c r="G26" s="163">
        <f>G18-G22+G23</f>
        <v>0</v>
      </c>
      <c r="H26" s="189"/>
      <c r="I26" s="189"/>
      <c r="J26" s="176"/>
      <c r="M26" s="158" t="s">
        <v>173</v>
      </c>
      <c r="N26" s="159"/>
      <c r="O26" s="155">
        <f>IFERROR(F18-F21,"")</f>
        <v>0</v>
      </c>
      <c r="P26" s="155">
        <f>IFERROR(G18-G21,"")</f>
        <v>0</v>
      </c>
      <c r="S26" s="160">
        <v>3000</v>
      </c>
    </row>
    <row r="27" spans="2:20" ht="18.75" x14ac:dyDescent="0.25">
      <c r="C27" s="176"/>
      <c r="D27" s="164" t="s">
        <v>171</v>
      </c>
      <c r="E27" s="165"/>
      <c r="F27" s="166"/>
      <c r="G27" s="166"/>
      <c r="H27" s="190"/>
      <c r="I27" s="189"/>
      <c r="J27" s="176"/>
      <c r="M27" s="167" t="s">
        <v>168</v>
      </c>
      <c r="N27" s="168"/>
      <c r="O27" s="169">
        <f>IF(ISERROR(F18-F21+F22-F23),"",F18-F21+F22-F23)</f>
        <v>0</v>
      </c>
      <c r="P27" s="169">
        <f>IF(ISERROR(G18-G21+G22-G23),"",G18-G21+G22-G23)</f>
        <v>0</v>
      </c>
      <c r="S27" s="160">
        <v>10000</v>
      </c>
    </row>
    <row r="28" spans="2:20" ht="19.5" thickBot="1" x14ac:dyDescent="0.3">
      <c r="C28" s="176"/>
      <c r="D28" s="170"/>
      <c r="E28" s="171"/>
      <c r="F28" s="171"/>
      <c r="G28" s="171"/>
      <c r="H28" s="190"/>
      <c r="I28" s="189"/>
      <c r="J28" s="176"/>
      <c r="M28" s="167" t="s">
        <v>169</v>
      </c>
      <c r="N28" s="168"/>
      <c r="O28" s="169" t="str">
        <f>IF(ISERROR(F16-F22+F23-F25),"",F16-F22+F23-F25)</f>
        <v/>
      </c>
      <c r="P28" s="169" t="str">
        <f>IF(ISERROR(G16-G22+G23-G25),"",G16-G22+G23-G25)</f>
        <v/>
      </c>
      <c r="S28" s="160">
        <v>50000</v>
      </c>
    </row>
    <row r="29" spans="2:20" ht="19.5" thickBot="1" x14ac:dyDescent="0.3">
      <c r="M29" s="172" t="s">
        <v>174</v>
      </c>
      <c r="N29" s="173"/>
      <c r="O29" s="169">
        <f>F16-F22+F23-F26</f>
        <v>0</v>
      </c>
      <c r="P29" s="169">
        <f>G16-G22+G23-G26</f>
        <v>0</v>
      </c>
    </row>
  </sheetData>
  <sheetProtection selectLockedCells="1"/>
  <mergeCells count="6">
    <mergeCell ref="C3:C28"/>
    <mergeCell ref="D3:I6"/>
    <mergeCell ref="J3:J28"/>
    <mergeCell ref="D18:E18"/>
    <mergeCell ref="H25:I28"/>
    <mergeCell ref="E16:E17"/>
  </mergeCells>
  <conditionalFormatting sqref="E13">
    <cfRule type="dataBar" priority="21">
      <dataBar>
        <cfvo type="min"/>
        <cfvo type="max"/>
        <color rgb="FF638EC6"/>
      </dataBar>
    </cfRule>
  </conditionalFormatting>
  <conditionalFormatting sqref="E14:E15">
    <cfRule type="dataBar" priority="20">
      <dataBar>
        <cfvo type="min"/>
        <cfvo type="max"/>
        <color rgb="FF638EC6"/>
      </dataBar>
    </cfRule>
  </conditionalFormatting>
  <conditionalFormatting sqref="E13:E15">
    <cfRule type="dataBar" priority="18">
      <dataBar>
        <cfvo type="min"/>
        <cfvo type="max"/>
        <color rgb="FFFFB628"/>
      </dataBar>
    </cfRule>
  </conditionalFormatting>
  <conditionalFormatting sqref="E22">
    <cfRule type="dataBar" priority="17">
      <dataBar>
        <cfvo type="min"/>
        <cfvo type="max"/>
        <color rgb="FFFF555A"/>
      </dataBar>
    </cfRule>
  </conditionalFormatting>
  <conditionalFormatting sqref="N21:N22">
    <cfRule type="dataBar" priority="16">
      <dataBar>
        <cfvo type="min"/>
        <cfvo type="max"/>
        <color rgb="FF63C384"/>
      </dataBar>
    </cfRule>
  </conditionalFormatting>
  <conditionalFormatting sqref="N23">
    <cfRule type="dataBar" priority="15">
      <dataBar>
        <cfvo type="min"/>
        <cfvo type="max"/>
        <color rgb="FF63C384"/>
      </dataBar>
    </cfRule>
  </conditionalFormatting>
  <conditionalFormatting sqref="E16:E17">
    <cfRule type="dataBar" priority="14">
      <dataBar>
        <cfvo type="min"/>
        <cfvo type="max"/>
        <color rgb="FFFF555A"/>
      </dataBar>
    </cfRule>
  </conditionalFormatting>
  <conditionalFormatting sqref="E21">
    <cfRule type="dataBar" priority="22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F22:G22">
      <formula1>$S$24:$S$28</formula1>
    </dataValidation>
    <dataValidation type="list" allowBlank="1" showInputMessage="1" showErrorMessage="1" sqref="D21">
      <formula1>$M$20:$M$23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3:S21"/>
  <sheetViews>
    <sheetView tabSelected="1" topLeftCell="A3" workbookViewId="0">
      <selection activeCell="A21" sqref="A21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3" spans="3:19" ht="15.75" thickBot="1" x14ac:dyDescent="0.3"/>
    <row r="4" spans="3:19" x14ac:dyDescent="0.25">
      <c r="C4" s="193"/>
      <c r="D4" s="195"/>
      <c r="E4" s="196"/>
      <c r="F4" s="196"/>
      <c r="G4" s="196"/>
      <c r="H4" s="196"/>
      <c r="I4" s="197"/>
      <c r="J4" s="193" t="s">
        <v>147</v>
      </c>
    </row>
    <row r="5" spans="3:19" x14ac:dyDescent="0.25">
      <c r="C5" s="194"/>
      <c r="D5" s="198"/>
      <c r="E5" s="199"/>
      <c r="F5" s="199"/>
      <c r="G5" s="199"/>
      <c r="H5" s="199"/>
      <c r="I5" s="200"/>
      <c r="J5" s="194"/>
    </row>
    <row r="6" spans="3:19" x14ac:dyDescent="0.25">
      <c r="C6" s="194"/>
      <c r="D6" s="198"/>
      <c r="E6" s="199"/>
      <c r="F6" s="199"/>
      <c r="G6" s="199"/>
      <c r="H6" s="199"/>
      <c r="I6" s="200"/>
      <c r="J6" s="194"/>
    </row>
    <row r="7" spans="3:19" ht="15.75" thickBot="1" x14ac:dyDescent="0.3">
      <c r="C7" s="194"/>
      <c r="D7" s="201"/>
      <c r="E7" s="202"/>
      <c r="F7" s="202"/>
      <c r="G7" s="202"/>
      <c r="H7" s="202"/>
      <c r="I7" s="203"/>
      <c r="J7" s="194"/>
    </row>
    <row r="8" spans="3:19" ht="15.75" thickBot="1" x14ac:dyDescent="0.3">
      <c r="C8" s="194"/>
      <c r="D8" s="49"/>
      <c r="E8" s="50" t="s">
        <v>148</v>
      </c>
      <c r="F8" s="51" t="s">
        <v>149</v>
      </c>
      <c r="G8" s="51" t="s">
        <v>150</v>
      </c>
      <c r="H8" s="52" t="s">
        <v>151</v>
      </c>
      <c r="I8" s="53" t="s">
        <v>152</v>
      </c>
      <c r="J8" s="194"/>
    </row>
    <row r="9" spans="3:19" ht="15.75" x14ac:dyDescent="0.25">
      <c r="C9" s="194"/>
      <c r="D9" s="84" t="s">
        <v>175</v>
      </c>
      <c r="E9" s="204">
        <f>F9*100/F10-100</f>
        <v>4.1666666666666714</v>
      </c>
      <c r="F9" s="85">
        <v>2500000</v>
      </c>
      <c r="G9" s="86">
        <f>F9/1.19</f>
        <v>2100840.3361344538</v>
      </c>
      <c r="H9" s="55"/>
      <c r="I9" s="56"/>
      <c r="J9" s="194"/>
    </row>
    <row r="10" spans="3:19" ht="15.75" x14ac:dyDescent="0.25">
      <c r="C10" s="194"/>
      <c r="D10" s="84" t="s">
        <v>176</v>
      </c>
      <c r="E10" s="205"/>
      <c r="F10" s="85">
        <v>2400000</v>
      </c>
      <c r="G10" s="86">
        <f>F10/1.19</f>
        <v>2016806.7226890756</v>
      </c>
      <c r="H10" s="55"/>
      <c r="I10" s="56"/>
      <c r="J10" s="194"/>
    </row>
    <row r="11" spans="3:19" ht="15.75" x14ac:dyDescent="0.25">
      <c r="C11" s="194"/>
      <c r="D11" s="107" t="s">
        <v>179</v>
      </c>
      <c r="E11" s="108"/>
      <c r="F11" s="85">
        <v>500000</v>
      </c>
      <c r="G11" s="109">
        <f>F11</f>
        <v>500000</v>
      </c>
      <c r="H11" s="96"/>
      <c r="I11" s="56"/>
      <c r="J11" s="194"/>
    </row>
    <row r="12" spans="3:19" ht="15.75" x14ac:dyDescent="0.25">
      <c r="C12" s="194"/>
      <c r="D12" s="93" t="s">
        <v>177</v>
      </c>
      <c r="E12" s="94"/>
      <c r="F12" s="95">
        <v>100000</v>
      </c>
      <c r="G12" s="99">
        <f>F12</f>
        <v>100000</v>
      </c>
      <c r="H12" s="96"/>
      <c r="I12" s="56"/>
      <c r="J12" s="194"/>
    </row>
    <row r="13" spans="3:19" ht="18.75" x14ac:dyDescent="0.25">
      <c r="C13" s="194"/>
      <c r="D13" s="206" t="s">
        <v>160</v>
      </c>
      <c r="E13" s="207"/>
      <c r="F13" s="61">
        <f>IF(F9&lt;F10,F9-(F12+F11),IF(F9&gt;F10,F10-(F12+F11)))</f>
        <v>1800000</v>
      </c>
      <c r="G13" s="61">
        <f>G9-(G11+G12)</f>
        <v>1500840.3361344538</v>
      </c>
      <c r="H13" s="55"/>
      <c r="I13" s="56"/>
      <c r="J13" s="194"/>
      <c r="M13" s="65" t="s">
        <v>162</v>
      </c>
      <c r="N13" s="58">
        <v>0.15</v>
      </c>
      <c r="O13" s="66">
        <f>IFERROR((F9*F10)/((ROUND(F12,2))),"")</f>
        <v>60000000</v>
      </c>
      <c r="P13" s="66" t="str">
        <f>IFERROR((G16-G14)*G9/(G10+(ROUND(G10*F13,2))),"")</f>
        <v/>
      </c>
    </row>
    <row r="14" spans="3:19" ht="15.75" x14ac:dyDescent="0.25">
      <c r="C14" s="194"/>
      <c r="D14" s="62" t="s">
        <v>161</v>
      </c>
      <c r="E14" s="63"/>
      <c r="F14" s="64">
        <v>0</v>
      </c>
      <c r="G14" s="64">
        <f>F14</f>
        <v>0</v>
      </c>
      <c r="H14" s="55"/>
      <c r="I14" s="56"/>
      <c r="J14" s="194"/>
      <c r="M14" s="65" t="s">
        <v>163</v>
      </c>
      <c r="N14" s="58">
        <v>0.25</v>
      </c>
      <c r="O14" s="66">
        <f>IFERROR((F9)*F10/(ROUND(F12,2)),"")</f>
        <v>60000000</v>
      </c>
      <c r="P14" s="66" t="str">
        <f>IFERROR((G15-G9)*G10/(G10+ROUND(G10*#REF!,2)),"")</f>
        <v/>
      </c>
    </row>
    <row r="15" spans="3:19" ht="15.75" x14ac:dyDescent="0.25">
      <c r="C15" s="194"/>
      <c r="D15" s="62" t="s">
        <v>178</v>
      </c>
      <c r="E15" s="63"/>
      <c r="F15" s="64" t="e">
        <f>(F14*E16)+F14</f>
        <v>#VALUE!</v>
      </c>
      <c r="G15" s="64" t="e">
        <f>F15</f>
        <v>#VALUE!</v>
      </c>
      <c r="H15" s="55"/>
      <c r="I15" s="56"/>
      <c r="J15" s="194"/>
      <c r="M15" s="78" t="s">
        <v>172</v>
      </c>
      <c r="N15" s="79"/>
      <c r="O15" s="80" t="e">
        <f>(F9)*F7/F8</f>
        <v>#VALUE!</v>
      </c>
      <c r="P15" s="80" t="e">
        <f>(G9)*G7/G8</f>
        <v>#VALUE!</v>
      </c>
    </row>
    <row r="16" spans="3:19" ht="15.75" x14ac:dyDescent="0.25">
      <c r="C16" s="194"/>
      <c r="D16" s="98" t="s">
        <v>162</v>
      </c>
      <c r="E16" s="58" t="str">
        <f>IFERROR(VLOOKUP(#REF!,#REF!,2,0),"")</f>
        <v/>
      </c>
      <c r="F16" s="66">
        <v>50000</v>
      </c>
      <c r="G16" s="66" t="e">
        <f>VLOOKUP(#REF!,#REF!,4,0)</f>
        <v>#REF!</v>
      </c>
      <c r="H16" s="55"/>
      <c r="I16" s="56"/>
      <c r="J16" s="194"/>
      <c r="M16" s="68" t="s">
        <v>166</v>
      </c>
      <c r="N16" s="54"/>
      <c r="O16" s="81">
        <f>(F7-F14)+F9</f>
        <v>2500000</v>
      </c>
      <c r="P16" s="81">
        <f>(G7-G14)+G9</f>
        <v>2100840.3361344538</v>
      </c>
      <c r="S16" s="47" t="s">
        <v>164</v>
      </c>
    </row>
    <row r="17" spans="3:19" ht="15.75" x14ac:dyDescent="0.25">
      <c r="C17" s="194"/>
      <c r="D17" s="67" t="s">
        <v>140</v>
      </c>
      <c r="E17" s="58">
        <v>0.1</v>
      </c>
      <c r="F17" s="60">
        <f>F16 * E17</f>
        <v>5000</v>
      </c>
      <c r="G17" s="60">
        <f>F17</f>
        <v>5000</v>
      </c>
      <c r="H17" s="55"/>
      <c r="I17" s="56"/>
      <c r="J17" s="194"/>
      <c r="M17" s="68" t="s">
        <v>167</v>
      </c>
      <c r="N17" s="54"/>
      <c r="O17" s="70">
        <f>(F9-F14)+F10</f>
        <v>4900000</v>
      </c>
      <c r="P17" s="70">
        <f>(G9-G14)+G10</f>
        <v>4117647.0588235296</v>
      </c>
      <c r="S17" s="69">
        <f>F13*E17</f>
        <v>180000</v>
      </c>
    </row>
    <row r="18" spans="3:19" ht="15.75" x14ac:dyDescent="0.25">
      <c r="C18" s="194"/>
      <c r="D18" s="68" t="e">
        <f>INDEX(#REF!,MATCH(#REF!,#REF!,0)+3)</f>
        <v>#REF!</v>
      </c>
      <c r="E18" s="54"/>
      <c r="F18" s="70" t="e">
        <f>VLOOKUP($D18,#REF!,3,0)</f>
        <v>#REF!</v>
      </c>
      <c r="G18" s="70" t="e">
        <f>VLOOKUP($D18,#REF!,4,0)</f>
        <v>#REF!</v>
      </c>
      <c r="H18" s="71">
        <f>SUM(H9:H17)</f>
        <v>0</v>
      </c>
      <c r="I18" s="72">
        <f>SUM(I9:I17)</f>
        <v>0</v>
      </c>
      <c r="J18" s="194"/>
      <c r="M18" s="82" t="s">
        <v>173</v>
      </c>
      <c r="N18" s="54"/>
      <c r="O18" s="81">
        <f>IFERROR(F9-F13,"")</f>
        <v>700000</v>
      </c>
      <c r="P18" s="81">
        <f>IFERROR(G9-G13,"")</f>
        <v>600000</v>
      </c>
      <c r="S18" s="97">
        <v>2500</v>
      </c>
    </row>
    <row r="19" spans="3:19" ht="19.5" thickBot="1" x14ac:dyDescent="0.3">
      <c r="C19" s="194"/>
      <c r="D19" s="75" t="s">
        <v>170</v>
      </c>
      <c r="E19" s="76"/>
      <c r="F19" s="77">
        <f>(F13-F17)</f>
        <v>1795000</v>
      </c>
      <c r="G19" s="77">
        <f>G13-G17</f>
        <v>1495840.3361344538</v>
      </c>
      <c r="H19" s="208"/>
      <c r="I19" s="209"/>
      <c r="J19" s="194"/>
      <c r="M19" s="73" t="s">
        <v>169</v>
      </c>
      <c r="N19" s="74"/>
      <c r="O19" s="92" t="e">
        <f>F7-F14+F15-F17</f>
        <v>#VALUE!</v>
      </c>
      <c r="P19" s="92" t="e">
        <f>G7-G14+G15-G17</f>
        <v>#VALUE!</v>
      </c>
      <c r="S19" s="97">
        <v>10000</v>
      </c>
    </row>
    <row r="20" spans="3:19" ht="18.75" x14ac:dyDescent="0.25">
      <c r="C20" s="194"/>
      <c r="D20" s="87"/>
      <c r="E20" s="88"/>
      <c r="F20" s="88"/>
      <c r="G20" s="88"/>
      <c r="H20" s="208"/>
      <c r="I20" s="209"/>
      <c r="J20" s="194"/>
      <c r="M20" s="83" t="s">
        <v>174</v>
      </c>
      <c r="O20" s="91" t="e">
        <f>F7-F14+F15-F18</f>
        <v>#VALUE!</v>
      </c>
      <c r="P20" s="91" t="e">
        <f>G7-G14+G15-G18</f>
        <v>#VALUE!</v>
      </c>
      <c r="S20" s="97">
        <v>50000</v>
      </c>
    </row>
    <row r="21" spans="3:19" ht="15.75" thickBot="1" x14ac:dyDescent="0.3">
      <c r="C21" s="194"/>
      <c r="D21" s="89"/>
      <c r="E21" s="90"/>
      <c r="F21" s="90"/>
      <c r="G21" s="90"/>
      <c r="H21" s="208"/>
      <c r="I21" s="209"/>
      <c r="J21" s="194"/>
    </row>
  </sheetData>
  <mergeCells count="6">
    <mergeCell ref="C4:C21"/>
    <mergeCell ref="D4:I7"/>
    <mergeCell ref="J4:J21"/>
    <mergeCell ref="E9:E10"/>
    <mergeCell ref="D13:E13"/>
    <mergeCell ref="H19:I21"/>
  </mergeCells>
  <conditionalFormatting sqref="N5:N7">
    <cfRule type="dataBar" priority="12">
      <dataBar>
        <cfvo type="min"/>
        <cfvo type="max"/>
        <color rgb="FF63C384"/>
      </dataBar>
    </cfRule>
  </conditionalFormatting>
  <conditionalFormatting sqref="N5:N6">
    <cfRule type="colorScale" priority="10">
      <colorScale>
        <cfvo type="min"/>
        <cfvo type="percentile" val="50"/>
        <cfvo type="max"/>
        <color rgb="FF5A8AC6"/>
        <color rgb="FFFFEB84"/>
        <color rgb="FFF8696B"/>
      </colorScale>
    </cfRule>
    <cfRule type="dataBar" priority="11">
      <dataBar>
        <cfvo type="min"/>
        <cfvo type="max"/>
        <color rgb="FF638EC6"/>
      </dataBar>
    </cfRule>
  </conditionalFormatting>
  <conditionalFormatting sqref="N5:N6">
    <cfRule type="dataBar" priority="9">
      <dataBar>
        <cfvo type="min"/>
        <cfvo type="max"/>
        <color rgb="FF63C384"/>
      </dataBar>
    </cfRule>
  </conditionalFormatting>
  <conditionalFormatting sqref="E9">
    <cfRule type="dataBar" priority="8">
      <dataBar>
        <cfvo type="min"/>
        <cfvo type="max"/>
        <color rgb="FF638EC6"/>
      </dataBar>
    </cfRule>
  </conditionalFormatting>
  <conditionalFormatting sqref="E10:E12">
    <cfRule type="dataBar" priority="7">
      <dataBar>
        <cfvo type="min"/>
        <cfvo type="max"/>
        <color rgb="FF638EC6"/>
      </dataBar>
    </cfRule>
  </conditionalFormatting>
  <conditionalFormatting sqref="E9:E12">
    <cfRule type="dataBar" priority="6">
      <dataBar>
        <cfvo type="min"/>
        <cfvo type="max"/>
        <color rgb="FFFFB628"/>
      </dataBar>
    </cfRule>
  </conditionalFormatting>
  <conditionalFormatting sqref="E17">
    <cfRule type="dataBar" priority="5">
      <dataBar>
        <cfvo type="min"/>
        <cfvo type="max"/>
        <color rgb="FFFF555A"/>
      </dataBar>
    </cfRule>
  </conditionalFormatting>
  <conditionalFormatting sqref="E16">
    <cfRule type="dataBar" priority="4">
      <dataBar>
        <cfvo type="min"/>
        <cfvo type="max"/>
        <color rgb="FF63C384"/>
      </dataBar>
    </cfRule>
  </conditionalFormatting>
  <conditionalFormatting sqref="E9:E11">
    <cfRule type="dataBar" priority="3">
      <dataBar>
        <cfvo type="min"/>
        <cfvo type="max"/>
        <color rgb="FFFF555A"/>
      </dataBar>
    </cfRule>
  </conditionalFormatting>
  <conditionalFormatting sqref="N13:N14">
    <cfRule type="dataBar" priority="2">
      <dataBar>
        <cfvo type="min"/>
        <cfvo type="max"/>
        <color rgb="FF63C384"/>
      </dataBar>
    </cfRule>
  </conditionalFormatting>
  <conditionalFormatting sqref="N15">
    <cfRule type="dataBar" priority="1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D16">
      <formula1>#REF!</formula1>
    </dataValidation>
    <dataValidation type="list" allowBlank="1" showInputMessage="1" showErrorMessage="1" sqref="F17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06"/>
  <sheetViews>
    <sheetView topLeftCell="A13" zoomScale="85" zoomScaleNormal="85" workbookViewId="0">
      <selection activeCell="E28" sqref="E28:F28"/>
    </sheetView>
  </sheetViews>
  <sheetFormatPr baseColWidth="10" defaultRowHeight="15" x14ac:dyDescent="0.25"/>
  <cols>
    <col min="1" max="1" width="3.85546875" customWidth="1"/>
    <col min="2" max="2" width="17" bestFit="1" customWidth="1"/>
    <col min="3" max="3" width="10.7109375" style="18" customWidth="1"/>
    <col min="4" max="4" width="24.28515625" style="18" customWidth="1"/>
    <col min="5" max="5" width="24" style="18" customWidth="1"/>
    <col min="6" max="6" width="8.85546875" style="18" bestFit="1" customWidth="1"/>
    <col min="7" max="7" width="20.5703125" bestFit="1" customWidth="1"/>
    <col min="8" max="8" width="8.140625" customWidth="1"/>
  </cols>
  <sheetData>
    <row r="1" spans="2:30" x14ac:dyDescent="0.25">
      <c r="B1" s="235"/>
      <c r="C1" s="235"/>
      <c r="F1" s="102" t="s">
        <v>9</v>
      </c>
      <c r="G1" s="103">
        <f ca="1">TODAY()</f>
        <v>43777</v>
      </c>
    </row>
    <row r="2" spans="2:30" x14ac:dyDescent="0.25">
      <c r="B2" s="235"/>
      <c r="C2" s="235"/>
      <c r="D2" s="238" t="s">
        <v>11</v>
      </c>
      <c r="E2" s="238"/>
    </row>
    <row r="3" spans="2:30" x14ac:dyDescent="0.25">
      <c r="B3" s="235"/>
      <c r="C3" s="235"/>
      <c r="D3" s="238" t="s">
        <v>12</v>
      </c>
      <c r="E3" s="238"/>
      <c r="I3" t="s">
        <v>180</v>
      </c>
      <c r="AD3" t="s">
        <v>32</v>
      </c>
    </row>
    <row r="4" spans="2:30" ht="24" thickBot="1" x14ac:dyDescent="0.4">
      <c r="B4" s="235"/>
      <c r="C4" s="235"/>
      <c r="D4" s="239" t="s">
        <v>29</v>
      </c>
      <c r="E4" s="239"/>
      <c r="F4" s="239"/>
      <c r="AD4" s="42" t="s">
        <v>33</v>
      </c>
    </row>
    <row r="5" spans="2:30" ht="18.75" x14ac:dyDescent="0.3">
      <c r="B5" s="240" t="s">
        <v>13</v>
      </c>
      <c r="C5" s="241"/>
      <c r="D5" s="241"/>
      <c r="E5" s="241"/>
      <c r="F5" s="241"/>
      <c r="G5" s="242"/>
      <c r="AD5" s="42" t="s">
        <v>34</v>
      </c>
    </row>
    <row r="6" spans="2:30" ht="19.5" thickBot="1" x14ac:dyDescent="0.35">
      <c r="B6" s="243" t="s">
        <v>20</v>
      </c>
      <c r="C6" s="244"/>
      <c r="D6" s="244"/>
      <c r="E6" s="244"/>
      <c r="F6" s="244"/>
      <c r="G6" s="245"/>
      <c r="AD6" s="42" t="s">
        <v>35</v>
      </c>
    </row>
    <row r="8" spans="2:30" ht="15.75" x14ac:dyDescent="0.25">
      <c r="B8" s="19" t="s">
        <v>14</v>
      </c>
      <c r="C8" s="246"/>
      <c r="D8" s="246"/>
      <c r="E8" s="20" t="s">
        <v>18</v>
      </c>
      <c r="F8" s="21"/>
      <c r="G8" s="22"/>
    </row>
    <row r="9" spans="2:30" ht="15.75" x14ac:dyDescent="0.25">
      <c r="B9" s="19" t="s">
        <v>15</v>
      </c>
      <c r="C9" s="247"/>
      <c r="D9" s="247"/>
      <c r="E9" s="20" t="s">
        <v>19</v>
      </c>
      <c r="F9" s="21"/>
      <c r="G9" s="22"/>
    </row>
    <row r="10" spans="2:30" ht="15.75" x14ac:dyDescent="0.25">
      <c r="B10" s="19" t="s">
        <v>16</v>
      </c>
      <c r="C10" s="247"/>
      <c r="D10" s="247"/>
      <c r="E10" s="20"/>
      <c r="F10" s="20"/>
      <c r="G10" s="22"/>
    </row>
    <row r="11" spans="2:30" ht="15.75" x14ac:dyDescent="0.25">
      <c r="B11" s="19" t="s">
        <v>17</v>
      </c>
      <c r="C11" s="247"/>
      <c r="D11" s="247"/>
      <c r="E11" s="20"/>
      <c r="F11" s="44"/>
      <c r="G11" s="22"/>
    </row>
    <row r="12" spans="2:30" ht="15.75" thickBot="1" x14ac:dyDescent="0.3"/>
    <row r="13" spans="2:30" ht="15" customHeight="1" x14ac:dyDescent="0.25">
      <c r="B13" s="253" t="s">
        <v>142</v>
      </c>
      <c r="C13" s="254"/>
      <c r="D13" s="254"/>
      <c r="E13" s="254"/>
      <c r="F13" s="255">
        <f>E33</f>
        <v>0</v>
      </c>
      <c r="G13" s="256"/>
    </row>
    <row r="14" spans="2:30" ht="15" customHeight="1" x14ac:dyDescent="0.25">
      <c r="B14" s="257" t="str">
        <f>'.'!C5</f>
        <v xml:space="preserve">Zéro Dinars </v>
      </c>
      <c r="C14" s="258"/>
      <c r="D14" s="258"/>
      <c r="E14" s="258"/>
      <c r="F14" s="258"/>
      <c r="G14" s="259"/>
    </row>
    <row r="15" spans="2:30" ht="15" customHeight="1" x14ac:dyDescent="0.25">
      <c r="B15" s="257"/>
      <c r="C15" s="258"/>
      <c r="D15" s="258"/>
      <c r="E15" s="258"/>
      <c r="F15" s="258"/>
      <c r="G15" s="259"/>
    </row>
    <row r="16" spans="2:30" ht="15.75" customHeight="1" x14ac:dyDescent="0.25">
      <c r="B16" s="212" t="s">
        <v>30</v>
      </c>
      <c r="C16" s="213"/>
      <c r="D16" s="213"/>
      <c r="E16" s="213"/>
      <c r="F16" s="213"/>
      <c r="G16" s="214"/>
    </row>
    <row r="17" spans="2:7" ht="20.25" customHeight="1" thickBot="1" x14ac:dyDescent="0.3">
      <c r="B17" s="100" t="s">
        <v>31</v>
      </c>
      <c r="C17" s="101" t="s">
        <v>33</v>
      </c>
      <c r="D17" s="215" t="s">
        <v>36</v>
      </c>
      <c r="E17" s="215"/>
      <c r="F17" s="215"/>
      <c r="G17" s="216"/>
    </row>
    <row r="18" spans="2:7" ht="16.5" thickBot="1" x14ac:dyDescent="0.3">
      <c r="B18" s="23"/>
      <c r="C18" s="217" t="s">
        <v>8</v>
      </c>
      <c r="D18" s="218"/>
      <c r="E18" s="219">
        <v>0</v>
      </c>
      <c r="F18" s="220"/>
      <c r="G18" s="24"/>
    </row>
    <row r="19" spans="2:7" ht="16.5" thickBot="1" x14ac:dyDescent="0.3">
      <c r="B19" s="23"/>
      <c r="C19" s="217" t="s">
        <v>0</v>
      </c>
      <c r="D19" s="218"/>
      <c r="E19" s="219">
        <v>0</v>
      </c>
      <c r="F19" s="220"/>
      <c r="G19" s="24"/>
    </row>
    <row r="20" spans="2:7" ht="16.5" thickBot="1" x14ac:dyDescent="0.3">
      <c r="B20" s="23"/>
      <c r="C20" s="217" t="s">
        <v>3</v>
      </c>
      <c r="D20" s="218"/>
      <c r="E20" s="219">
        <v>0</v>
      </c>
      <c r="F20" s="220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217" t="s">
        <v>4</v>
      </c>
      <c r="D22" s="218"/>
      <c r="E22" s="219">
        <f>E18+E19+E20</f>
        <v>0</v>
      </c>
      <c r="F22" s="220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217" t="s">
        <v>5</v>
      </c>
      <c r="D24" s="218"/>
      <c r="E24" s="219">
        <v>0</v>
      </c>
      <c r="F24" s="220"/>
      <c r="G24" s="24"/>
    </row>
    <row r="25" spans="2:7" ht="15.75" x14ac:dyDescent="0.25">
      <c r="B25" s="23"/>
      <c r="C25" s="260" t="s">
        <v>6</v>
      </c>
      <c r="D25" s="261"/>
      <c r="E25" s="221">
        <v>0</v>
      </c>
      <c r="F25" s="222"/>
      <c r="G25" s="24"/>
    </row>
    <row r="26" spans="2:7" ht="15.75" x14ac:dyDescent="0.25">
      <c r="B26" s="23"/>
      <c r="C26" s="248"/>
      <c r="D26" s="248"/>
      <c r="E26" s="174"/>
      <c r="F26" s="174"/>
      <c r="G26" s="24"/>
    </row>
    <row r="27" spans="2:7" ht="16.5" thickBot="1" x14ac:dyDescent="0.3">
      <c r="B27" s="23"/>
      <c r="C27" s="20"/>
      <c r="D27" s="20"/>
      <c r="E27" s="28"/>
      <c r="F27" s="28"/>
      <c r="G27" s="24"/>
    </row>
    <row r="28" spans="2:7" ht="16.5" thickBot="1" x14ac:dyDescent="0.3">
      <c r="B28" s="23"/>
      <c r="C28" s="217" t="s">
        <v>4</v>
      </c>
      <c r="D28" s="249"/>
      <c r="E28" s="219"/>
      <c r="F28" s="220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29" t="s">
        <v>1</v>
      </c>
      <c r="D30" s="30"/>
      <c r="E30" s="219"/>
      <c r="F30" s="220"/>
      <c r="G30" s="24"/>
    </row>
    <row r="31" spans="2:7" ht="16.5" thickBot="1" x14ac:dyDescent="0.3">
      <c r="B31" s="23"/>
      <c r="C31" s="250" t="s">
        <v>141</v>
      </c>
      <c r="D31" s="251"/>
      <c r="E31" s="262">
        <v>0</v>
      </c>
      <c r="F31" s="263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8" ht="15.75" x14ac:dyDescent="0.25">
      <c r="A33" s="1"/>
      <c r="B33" s="23"/>
      <c r="C33" s="31" t="s">
        <v>7</v>
      </c>
      <c r="D33" s="32"/>
      <c r="E33" s="264">
        <v>0</v>
      </c>
      <c r="F33" s="265"/>
      <c r="G33" s="24"/>
    </row>
    <row r="34" spans="1:8" ht="16.5" thickBot="1" x14ac:dyDescent="0.3">
      <c r="A34" s="1"/>
      <c r="B34" s="23"/>
      <c r="C34" s="33"/>
      <c r="D34" s="34"/>
      <c r="E34" s="266"/>
      <c r="F34" s="267"/>
      <c r="G34" s="24"/>
      <c r="H34" s="1"/>
    </row>
    <row r="35" spans="1:8" ht="15.75" x14ac:dyDescent="0.25">
      <c r="A35" s="1"/>
      <c r="B35" s="23"/>
      <c r="C35" s="25"/>
      <c r="D35" s="223"/>
      <c r="E35" s="223"/>
      <c r="F35" s="223"/>
      <c r="G35" s="224"/>
      <c r="H35" s="1"/>
    </row>
    <row r="36" spans="1:8" ht="15.75" x14ac:dyDescent="0.25">
      <c r="A36" s="1"/>
      <c r="B36" s="236" t="s">
        <v>10</v>
      </c>
      <c r="C36" s="237"/>
      <c r="D36" s="223"/>
      <c r="E36" s="223"/>
      <c r="F36" s="223"/>
      <c r="G36" s="224"/>
      <c r="H36" s="1"/>
    </row>
    <row r="37" spans="1:8" ht="15.75" x14ac:dyDescent="0.25">
      <c r="A37" s="1"/>
      <c r="B37" s="23"/>
      <c r="C37" s="25"/>
      <c r="D37" s="223"/>
      <c r="E37" s="223"/>
      <c r="F37" s="223"/>
      <c r="G37" s="224"/>
      <c r="H37" s="1"/>
    </row>
    <row r="38" spans="1:8" ht="15.75" x14ac:dyDescent="0.25">
      <c r="A38" s="1"/>
      <c r="B38" s="23"/>
      <c r="C38" s="25"/>
      <c r="D38" s="223"/>
      <c r="E38" s="223"/>
      <c r="F38" s="223"/>
      <c r="G38" s="224"/>
      <c r="H38" s="1"/>
    </row>
    <row r="39" spans="1:8" ht="16.5" thickBot="1" x14ac:dyDescent="0.3">
      <c r="A39" s="1"/>
      <c r="B39" s="41"/>
      <c r="C39" s="35"/>
      <c r="D39" s="252"/>
      <c r="E39" s="252"/>
      <c r="F39" s="252"/>
      <c r="G39" s="229"/>
      <c r="H39" s="1"/>
    </row>
    <row r="40" spans="1:8" ht="16.5" thickBot="1" x14ac:dyDescent="0.3">
      <c r="B40" s="22"/>
      <c r="C40" s="20"/>
      <c r="D40" s="35"/>
      <c r="E40" s="35"/>
      <c r="F40" s="35"/>
      <c r="G40" s="36"/>
      <c r="H40" s="1"/>
    </row>
    <row r="41" spans="1:8" ht="18" customHeight="1" thickBot="1" x14ac:dyDescent="0.3">
      <c r="B41" s="210" t="s">
        <v>21</v>
      </c>
      <c r="C41" s="211"/>
      <c r="D41" s="104" t="s">
        <v>22</v>
      </c>
      <c r="E41" s="104" t="s">
        <v>23</v>
      </c>
      <c r="F41" s="210" t="s">
        <v>24</v>
      </c>
      <c r="G41" s="211"/>
    </row>
    <row r="42" spans="1:8" x14ac:dyDescent="0.25">
      <c r="B42" s="225"/>
      <c r="C42" s="226"/>
      <c r="D42" s="230"/>
      <c r="E42" s="230"/>
      <c r="F42" s="225"/>
      <c r="G42" s="226"/>
    </row>
    <row r="43" spans="1:8" x14ac:dyDescent="0.25">
      <c r="B43" s="227"/>
      <c r="C43" s="224"/>
      <c r="D43" s="231"/>
      <c r="E43" s="231"/>
      <c r="F43" s="227"/>
      <c r="G43" s="224"/>
    </row>
    <row r="44" spans="1:8" x14ac:dyDescent="0.25">
      <c r="B44" s="227"/>
      <c r="C44" s="224"/>
      <c r="D44" s="231"/>
      <c r="E44" s="231"/>
      <c r="F44" s="227"/>
      <c r="G44" s="224"/>
    </row>
    <row r="45" spans="1:8" x14ac:dyDescent="0.25">
      <c r="B45" s="227"/>
      <c r="C45" s="224"/>
      <c r="D45" s="231"/>
      <c r="E45" s="231"/>
      <c r="F45" s="227"/>
      <c r="G45" s="224"/>
    </row>
    <row r="46" spans="1:8" ht="15.75" thickBot="1" x14ac:dyDescent="0.3">
      <c r="B46" s="228"/>
      <c r="C46" s="229"/>
      <c r="D46" s="232"/>
      <c r="E46" s="232"/>
      <c r="F46" s="228"/>
      <c r="G46" s="229"/>
    </row>
    <row r="47" spans="1:8" ht="16.5" thickBot="1" x14ac:dyDescent="0.3">
      <c r="B47" s="233" t="s">
        <v>28</v>
      </c>
      <c r="C47" s="234"/>
      <c r="D47" s="105" t="s">
        <v>25</v>
      </c>
      <c r="E47" s="37" t="s">
        <v>26</v>
      </c>
      <c r="F47" s="233" t="s">
        <v>27</v>
      </c>
      <c r="G47" s="234"/>
    </row>
    <row r="48" spans="1:8" x14ac:dyDescent="0.25">
      <c r="B48" s="225"/>
      <c r="C48" s="226"/>
      <c r="D48" s="230"/>
      <c r="E48" s="230"/>
      <c r="F48" s="225"/>
      <c r="G48" s="226"/>
    </row>
    <row r="49" spans="1:8" x14ac:dyDescent="0.25">
      <c r="B49" s="227"/>
      <c r="C49" s="224"/>
      <c r="D49" s="231"/>
      <c r="E49" s="231"/>
      <c r="F49" s="227"/>
      <c r="G49" s="224"/>
    </row>
    <row r="50" spans="1:8" x14ac:dyDescent="0.25">
      <c r="B50" s="227"/>
      <c r="C50" s="224"/>
      <c r="D50" s="231"/>
      <c r="E50" s="231"/>
      <c r="F50" s="227"/>
      <c r="G50" s="224"/>
    </row>
    <row r="51" spans="1:8" x14ac:dyDescent="0.25">
      <c r="B51" s="227"/>
      <c r="C51" s="224"/>
      <c r="D51" s="231"/>
      <c r="E51" s="231"/>
      <c r="F51" s="227"/>
      <c r="G51" s="224"/>
    </row>
    <row r="52" spans="1:8" x14ac:dyDescent="0.25">
      <c r="B52" s="227"/>
      <c r="C52" s="224"/>
      <c r="D52" s="231"/>
      <c r="E52" s="231"/>
      <c r="F52" s="227"/>
      <c r="G52" s="224"/>
    </row>
    <row r="53" spans="1:8" s="3" customFormat="1" ht="15.75" thickBot="1" x14ac:dyDescent="0.3">
      <c r="A53" s="17">
        <v>11</v>
      </c>
      <c r="B53" s="228"/>
      <c r="C53" s="229"/>
      <c r="D53" s="232"/>
      <c r="E53" s="232"/>
      <c r="F53" s="228"/>
      <c r="G53" s="229"/>
    </row>
    <row r="56" spans="1:8" x14ac:dyDescent="0.25">
      <c r="H56" t="s">
        <v>181</v>
      </c>
    </row>
    <row r="87" spans="8:8" x14ac:dyDescent="0.25">
      <c r="H87" s="1"/>
    </row>
    <row r="88" spans="8:8" x14ac:dyDescent="0.25">
      <c r="H88" s="1"/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106" spans="8:8" x14ac:dyDescent="0.25">
      <c r="H106" s="3"/>
    </row>
  </sheetData>
  <mergeCells count="52">
    <mergeCell ref="D37:G37"/>
    <mergeCell ref="D38:G38"/>
    <mergeCell ref="D39:G39"/>
    <mergeCell ref="B13:E13"/>
    <mergeCell ref="F13:G13"/>
    <mergeCell ref="B14:G15"/>
    <mergeCell ref="C25:D25"/>
    <mergeCell ref="D35:G35"/>
    <mergeCell ref="E31:F31"/>
    <mergeCell ref="E33:F34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</mergeCells>
  <conditionalFormatting sqref="F8">
    <cfRule type="expression" dxfId="4" priority="2">
      <formula>ISNA($F$8)</formula>
    </cfRule>
  </conditionalFormatting>
  <dataValidations count="4"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F9">
      <formula1>codeagence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ToggleButton1">
          <controlPr defaultSize="0" autoLine="0" r:id="rId5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9</xdr:row>
                <xdr:rowOff>28575</xdr:rowOff>
              </to>
            </anchor>
          </controlPr>
        </control>
      </mc:Choice>
      <mc:Fallback>
        <control shapeId="1030" r:id="rId4" name="ToggleButton1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7</xdr:col>
                <xdr:colOff>133350</xdr:colOff>
                <xdr:row>7</xdr:row>
                <xdr:rowOff>190500</xdr:rowOff>
              </to>
            </anchor>
          </controlPr>
        </control>
      </mc:Choice>
      <mc:Fallback>
        <control shapeId="1027" r:id="rId6" name="OptionButton1"/>
      </mc:Fallback>
    </mc:AlternateContent>
    <mc:AlternateContent xmlns:mc="http://schemas.openxmlformats.org/markup-compatibility/2006">
      <mc:Choice Requires="x14">
        <control shapeId="1029" r:id="rId8" name="OptionButton2">
          <controlPr defaultSize="0" autoLine="0" r:id="rId9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7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1029" r:id="rId8" name="OptionButton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53"/>
  <sheetViews>
    <sheetView workbookViewId="0">
      <selection activeCell="I4" sqref="I4"/>
    </sheetView>
  </sheetViews>
  <sheetFormatPr baseColWidth="10" defaultRowHeight="15" x14ac:dyDescent="0.25"/>
  <sheetData>
    <row r="1" spans="2:7" x14ac:dyDescent="0.25">
      <c r="B1" s="235"/>
      <c r="C1" s="235"/>
      <c r="D1" s="18"/>
      <c r="E1" s="18"/>
      <c r="F1" s="102" t="s">
        <v>9</v>
      </c>
      <c r="G1" s="103">
        <f ca="1">TODAY()</f>
        <v>43777</v>
      </c>
    </row>
    <row r="2" spans="2:7" x14ac:dyDescent="0.25">
      <c r="B2" s="235"/>
      <c r="C2" s="235"/>
      <c r="D2" s="238" t="s">
        <v>11</v>
      </c>
      <c r="E2" s="238"/>
      <c r="F2" s="18"/>
    </row>
    <row r="3" spans="2:7" x14ac:dyDescent="0.25">
      <c r="B3" s="235"/>
      <c r="C3" s="235"/>
      <c r="D3" s="238" t="s">
        <v>12</v>
      </c>
      <c r="E3" s="238"/>
      <c r="F3" s="18"/>
    </row>
    <row r="4" spans="2:7" ht="24" thickBot="1" x14ac:dyDescent="0.4">
      <c r="B4" s="235"/>
      <c r="C4" s="235"/>
      <c r="D4" s="239" t="s">
        <v>29</v>
      </c>
      <c r="E4" s="239"/>
      <c r="F4" s="239"/>
    </row>
    <row r="5" spans="2:7" ht="18.75" x14ac:dyDescent="0.3">
      <c r="B5" s="240" t="s">
        <v>13</v>
      </c>
      <c r="C5" s="241"/>
      <c r="D5" s="241"/>
      <c r="E5" s="241"/>
      <c r="F5" s="241"/>
      <c r="G5" s="242"/>
    </row>
    <row r="6" spans="2:7" ht="19.5" thickBot="1" x14ac:dyDescent="0.35">
      <c r="B6" s="243" t="s">
        <v>20</v>
      </c>
      <c r="C6" s="244"/>
      <c r="D6" s="244"/>
      <c r="E6" s="244"/>
      <c r="F6" s="244"/>
      <c r="G6" s="245"/>
    </row>
    <row r="7" spans="2:7" x14ac:dyDescent="0.25">
      <c r="C7" s="18"/>
      <c r="D7" s="18"/>
      <c r="E7" s="18"/>
      <c r="F7" s="18"/>
    </row>
    <row r="8" spans="2:7" ht="15.75" x14ac:dyDescent="0.25">
      <c r="B8" s="19" t="s">
        <v>14</v>
      </c>
      <c r="C8" s="246">
        <v>250</v>
      </c>
      <c r="D8" s="246"/>
      <c r="E8" s="112" t="s">
        <v>18</v>
      </c>
      <c r="F8" s="21" t="s">
        <v>91</v>
      </c>
      <c r="G8" s="22"/>
    </row>
    <row r="9" spans="2:7" ht="15.75" x14ac:dyDescent="0.25">
      <c r="B9" s="19" t="s">
        <v>15</v>
      </c>
      <c r="C9" s="247"/>
      <c r="D9" s="247"/>
      <c r="E9" s="112" t="s">
        <v>19</v>
      </c>
      <c r="F9" s="21"/>
      <c r="G9" s="22"/>
    </row>
    <row r="10" spans="2:7" ht="15.75" x14ac:dyDescent="0.25">
      <c r="B10" s="19" t="s">
        <v>16</v>
      </c>
      <c r="C10" s="247"/>
      <c r="D10" s="247"/>
      <c r="E10" s="112"/>
      <c r="F10" s="112"/>
      <c r="G10" s="22"/>
    </row>
    <row r="11" spans="2:7" ht="15.75" x14ac:dyDescent="0.25">
      <c r="B11" s="19" t="s">
        <v>17</v>
      </c>
      <c r="C11" s="247"/>
      <c r="D11" s="247"/>
      <c r="E11" s="112"/>
      <c r="F11" s="112"/>
      <c r="G11" s="22"/>
    </row>
    <row r="12" spans="2:7" ht="15.75" thickBot="1" x14ac:dyDescent="0.3">
      <c r="C12" s="18"/>
      <c r="D12" s="18"/>
      <c r="E12" s="18"/>
      <c r="F12" s="18"/>
    </row>
    <row r="13" spans="2:7" ht="18" x14ac:dyDescent="0.25">
      <c r="B13" s="253" t="s">
        <v>142</v>
      </c>
      <c r="C13" s="254"/>
      <c r="D13" s="254"/>
      <c r="E13" s="254"/>
      <c r="F13" s="255">
        <f>E33</f>
        <v>18321.25</v>
      </c>
      <c r="G13" s="256"/>
    </row>
    <row r="14" spans="2:7" x14ac:dyDescent="0.25">
      <c r="B14" s="257">
        <f>'.'!C58</f>
        <v>0</v>
      </c>
      <c r="C14" s="258"/>
      <c r="D14" s="258"/>
      <c r="E14" s="258"/>
      <c r="F14" s="258"/>
      <c r="G14" s="259"/>
    </row>
    <row r="15" spans="2:7" x14ac:dyDescent="0.25">
      <c r="B15" s="257"/>
      <c r="C15" s="258"/>
      <c r="D15" s="258"/>
      <c r="E15" s="258"/>
      <c r="F15" s="258"/>
      <c r="G15" s="259"/>
    </row>
    <row r="16" spans="2:7" ht="18.75" x14ac:dyDescent="0.25">
      <c r="B16" s="212" t="s">
        <v>30</v>
      </c>
      <c r="C16" s="213"/>
      <c r="D16" s="213"/>
      <c r="E16" s="213"/>
      <c r="F16" s="213"/>
      <c r="G16" s="214"/>
    </row>
    <row r="17" spans="2:7" ht="38.25" thickBot="1" x14ac:dyDescent="0.3">
      <c r="B17" s="100" t="s">
        <v>31</v>
      </c>
      <c r="C17" s="101" t="s">
        <v>35</v>
      </c>
      <c r="D17" s="215" t="s">
        <v>36</v>
      </c>
      <c r="E17" s="215"/>
      <c r="F17" s="215"/>
      <c r="G17" s="216"/>
    </row>
    <row r="18" spans="2:7" ht="16.5" thickBot="1" x14ac:dyDescent="0.3">
      <c r="B18" s="23"/>
      <c r="C18" s="217" t="s">
        <v>8</v>
      </c>
      <c r="D18" s="218"/>
      <c r="E18" s="219">
        <v>5000</v>
      </c>
      <c r="F18" s="220"/>
      <c r="G18" s="24"/>
    </row>
    <row r="19" spans="2:7" ht="16.5" thickBot="1" x14ac:dyDescent="0.3">
      <c r="B19" s="23"/>
      <c r="C19" s="217" t="s">
        <v>0</v>
      </c>
      <c r="D19" s="218"/>
      <c r="E19" s="219">
        <v>5000</v>
      </c>
      <c r="F19" s="220"/>
      <c r="G19" s="24"/>
    </row>
    <row r="20" spans="2:7" ht="16.5" thickBot="1" x14ac:dyDescent="0.3">
      <c r="B20" s="23"/>
      <c r="C20" s="217" t="s">
        <v>3</v>
      </c>
      <c r="D20" s="218"/>
      <c r="E20" s="219">
        <v>10000</v>
      </c>
      <c r="F20" s="220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217" t="s">
        <v>4</v>
      </c>
      <c r="D22" s="218"/>
      <c r="E22" s="219">
        <f>E18+E19+E20</f>
        <v>20000</v>
      </c>
      <c r="F22" s="220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217" t="s">
        <v>5</v>
      </c>
      <c r="D24" s="218"/>
      <c r="E24" s="219">
        <v>1500</v>
      </c>
      <c r="F24" s="220"/>
      <c r="G24" s="24"/>
    </row>
    <row r="25" spans="2:7" ht="16.5" thickBot="1" x14ac:dyDescent="0.3">
      <c r="B25" s="23"/>
      <c r="C25" s="268" t="s">
        <v>6</v>
      </c>
      <c r="D25" s="269"/>
      <c r="E25" s="270">
        <v>25</v>
      </c>
      <c r="F25" s="271"/>
      <c r="G25" s="24"/>
    </row>
    <row r="26" spans="2:7" ht="16.5" thickBot="1" x14ac:dyDescent="0.3">
      <c r="B26" s="23"/>
      <c r="C26" s="217" t="s">
        <v>37</v>
      </c>
      <c r="D26" s="218"/>
      <c r="E26" s="45"/>
      <c r="F26" s="46"/>
      <c r="G26" s="24"/>
    </row>
    <row r="27" spans="2:7" ht="16.5" thickBot="1" x14ac:dyDescent="0.3">
      <c r="B27" s="23"/>
      <c r="C27" s="112"/>
      <c r="D27" s="112"/>
      <c r="E27" s="28"/>
      <c r="F27" s="28"/>
      <c r="G27" s="24"/>
    </row>
    <row r="28" spans="2:7" ht="16.5" thickBot="1" x14ac:dyDescent="0.3">
      <c r="B28" s="23"/>
      <c r="C28" s="217" t="s">
        <v>4</v>
      </c>
      <c r="D28" s="249"/>
      <c r="E28" s="219">
        <v>0</v>
      </c>
      <c r="F28" s="220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110" t="s">
        <v>1</v>
      </c>
      <c r="D30" s="111"/>
      <c r="E30" s="219">
        <v>2500</v>
      </c>
      <c r="F30" s="220"/>
      <c r="G30" s="24"/>
    </row>
    <row r="31" spans="2:7" ht="16.5" thickBot="1" x14ac:dyDescent="0.3">
      <c r="B31" s="23"/>
      <c r="C31" s="250" t="s">
        <v>141</v>
      </c>
      <c r="D31" s="251"/>
      <c r="E31" s="262">
        <v>200</v>
      </c>
      <c r="F31" s="263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7" ht="15.75" x14ac:dyDescent="0.25">
      <c r="A33" s="1"/>
      <c r="B33" s="23"/>
      <c r="C33" s="31" t="s">
        <v>7</v>
      </c>
      <c r="D33" s="32"/>
      <c r="E33" s="264">
        <v>18321.25</v>
      </c>
      <c r="F33" s="265"/>
      <c r="G33" s="24"/>
    </row>
    <row r="34" spans="1:7" ht="16.5" thickBot="1" x14ac:dyDescent="0.3">
      <c r="A34" s="1"/>
      <c r="B34" s="23"/>
      <c r="C34" s="33"/>
      <c r="D34" s="34"/>
      <c r="E34" s="266"/>
      <c r="F34" s="267"/>
      <c r="G34" s="24"/>
    </row>
    <row r="35" spans="1:7" ht="15.75" x14ac:dyDescent="0.25">
      <c r="A35" s="1"/>
      <c r="B35" s="23"/>
      <c r="C35" s="25"/>
      <c r="D35" s="223"/>
      <c r="E35" s="223"/>
      <c r="F35" s="223"/>
      <c r="G35" s="224"/>
    </row>
    <row r="36" spans="1:7" ht="15.75" x14ac:dyDescent="0.25">
      <c r="A36" s="1"/>
      <c r="B36" s="236" t="s">
        <v>10</v>
      </c>
      <c r="C36" s="237"/>
      <c r="D36" s="223"/>
      <c r="E36" s="223"/>
      <c r="F36" s="223"/>
      <c r="G36" s="224"/>
    </row>
    <row r="37" spans="1:7" ht="15.75" x14ac:dyDescent="0.25">
      <c r="A37" s="1"/>
      <c r="B37" s="23"/>
      <c r="C37" s="25"/>
      <c r="D37" s="223"/>
      <c r="E37" s="223"/>
      <c r="F37" s="223"/>
      <c r="G37" s="224"/>
    </row>
    <row r="38" spans="1:7" ht="15.75" x14ac:dyDescent="0.25">
      <c r="A38" s="1"/>
      <c r="B38" s="23"/>
      <c r="C38" s="25"/>
      <c r="D38" s="223"/>
      <c r="E38" s="223"/>
      <c r="F38" s="223"/>
      <c r="G38" s="224"/>
    </row>
    <row r="39" spans="1:7" ht="16.5" thickBot="1" x14ac:dyDescent="0.3">
      <c r="A39" s="1"/>
      <c r="B39" s="41"/>
      <c r="C39" s="35"/>
      <c r="D39" s="252"/>
      <c r="E39" s="252"/>
      <c r="F39" s="252"/>
      <c r="G39" s="229"/>
    </row>
    <row r="40" spans="1:7" ht="16.5" thickBot="1" x14ac:dyDescent="0.3">
      <c r="B40" s="22"/>
      <c r="C40" s="112"/>
      <c r="D40" s="35"/>
      <c r="E40" s="35"/>
      <c r="F40" s="35"/>
      <c r="G40" s="36"/>
    </row>
    <row r="41" spans="1:7" ht="16.5" thickBot="1" x14ac:dyDescent="0.3">
      <c r="B41" s="210" t="s">
        <v>21</v>
      </c>
      <c r="C41" s="211"/>
      <c r="D41" s="104" t="s">
        <v>22</v>
      </c>
      <c r="E41" s="104" t="s">
        <v>23</v>
      </c>
      <c r="F41" s="210" t="s">
        <v>24</v>
      </c>
      <c r="G41" s="211"/>
    </row>
    <row r="42" spans="1:7" x14ac:dyDescent="0.25">
      <c r="B42" s="225"/>
      <c r="C42" s="226"/>
      <c r="D42" s="230"/>
      <c r="E42" s="230"/>
      <c r="F42" s="225"/>
      <c r="G42" s="226"/>
    </row>
    <row r="43" spans="1:7" x14ac:dyDescent="0.25">
      <c r="B43" s="227"/>
      <c r="C43" s="224"/>
      <c r="D43" s="231"/>
      <c r="E43" s="231"/>
      <c r="F43" s="227"/>
      <c r="G43" s="224"/>
    </row>
    <row r="44" spans="1:7" x14ac:dyDescent="0.25">
      <c r="B44" s="227"/>
      <c r="C44" s="224"/>
      <c r="D44" s="231"/>
      <c r="E44" s="231"/>
      <c r="F44" s="227"/>
      <c r="G44" s="224"/>
    </row>
    <row r="45" spans="1:7" x14ac:dyDescent="0.25">
      <c r="B45" s="227"/>
      <c r="C45" s="224"/>
      <c r="D45" s="231"/>
      <c r="E45" s="231"/>
      <c r="F45" s="227"/>
      <c r="G45" s="224"/>
    </row>
    <row r="46" spans="1:7" ht="15.75" thickBot="1" x14ac:dyDescent="0.3">
      <c r="B46" s="228"/>
      <c r="C46" s="229"/>
      <c r="D46" s="232"/>
      <c r="E46" s="232"/>
      <c r="F46" s="228"/>
      <c r="G46" s="229"/>
    </row>
    <row r="47" spans="1:7" ht="16.5" thickBot="1" x14ac:dyDescent="0.3">
      <c r="B47" s="233" t="s">
        <v>28</v>
      </c>
      <c r="C47" s="234"/>
      <c r="D47" s="105" t="s">
        <v>25</v>
      </c>
      <c r="E47" s="37" t="s">
        <v>26</v>
      </c>
      <c r="F47" s="233" t="s">
        <v>27</v>
      </c>
      <c r="G47" s="234"/>
    </row>
    <row r="48" spans="1:7" x14ac:dyDescent="0.25">
      <c r="B48" s="225"/>
      <c r="C48" s="226"/>
      <c r="D48" s="230"/>
      <c r="E48" s="230"/>
      <c r="F48" s="225"/>
      <c r="G48" s="226"/>
    </row>
    <row r="49" spans="1:7" x14ac:dyDescent="0.25">
      <c r="B49" s="227"/>
      <c r="C49" s="224"/>
      <c r="D49" s="231"/>
      <c r="E49" s="231"/>
      <c r="F49" s="227"/>
      <c r="G49" s="224"/>
    </row>
    <row r="50" spans="1:7" x14ac:dyDescent="0.25">
      <c r="B50" s="227"/>
      <c r="C50" s="224"/>
      <c r="D50" s="231"/>
      <c r="E50" s="231"/>
      <c r="F50" s="227"/>
      <c r="G50" s="224"/>
    </row>
    <row r="51" spans="1:7" x14ac:dyDescent="0.25">
      <c r="B51" s="227"/>
      <c r="C51" s="224"/>
      <c r="D51" s="231"/>
      <c r="E51" s="231"/>
      <c r="F51" s="227"/>
      <c r="G51" s="224"/>
    </row>
    <row r="52" spans="1:7" x14ac:dyDescent="0.25">
      <c r="B52" s="227"/>
      <c r="C52" s="224"/>
      <c r="D52" s="231"/>
      <c r="E52" s="231"/>
      <c r="F52" s="227"/>
      <c r="G52" s="224"/>
    </row>
    <row r="53" spans="1:7" ht="15.75" thickBot="1" x14ac:dyDescent="0.3">
      <c r="A53" s="17">
        <v>11</v>
      </c>
      <c r="B53" s="228"/>
      <c r="C53" s="229"/>
      <c r="D53" s="232"/>
      <c r="E53" s="232"/>
      <c r="F53" s="228"/>
      <c r="G53" s="229"/>
    </row>
  </sheetData>
  <mergeCells count="52">
    <mergeCell ref="B47:C47"/>
    <mergeCell ref="F47:G47"/>
    <mergeCell ref="B48:C53"/>
    <mergeCell ref="D48:D53"/>
    <mergeCell ref="E48:E53"/>
    <mergeCell ref="F48:G53"/>
    <mergeCell ref="D38:G38"/>
    <mergeCell ref="D39:G39"/>
    <mergeCell ref="B41:C41"/>
    <mergeCell ref="F41:G41"/>
    <mergeCell ref="B42:C46"/>
    <mergeCell ref="D42:D46"/>
    <mergeCell ref="E42:E46"/>
    <mergeCell ref="F42:G46"/>
    <mergeCell ref="E33:F34"/>
    <mergeCell ref="D35:G35"/>
    <mergeCell ref="B36:C36"/>
    <mergeCell ref="D36:G36"/>
    <mergeCell ref="D37:G37"/>
    <mergeCell ref="E31:F31"/>
    <mergeCell ref="C22:D22"/>
    <mergeCell ref="E22:F22"/>
    <mergeCell ref="C24:D24"/>
    <mergeCell ref="E24:F24"/>
    <mergeCell ref="C25:D25"/>
    <mergeCell ref="E25:F25"/>
    <mergeCell ref="C26:D26"/>
    <mergeCell ref="C28:D28"/>
    <mergeCell ref="E28:F28"/>
    <mergeCell ref="E30:F30"/>
    <mergeCell ref="C31:D31"/>
    <mergeCell ref="C18:D18"/>
    <mergeCell ref="E18:F18"/>
    <mergeCell ref="C19:D19"/>
    <mergeCell ref="E19:F19"/>
    <mergeCell ref="C20:D20"/>
    <mergeCell ref="E20:F20"/>
    <mergeCell ref="B6:G6"/>
    <mergeCell ref="C8:D8"/>
    <mergeCell ref="C9:D9"/>
    <mergeCell ref="C10:D10"/>
    <mergeCell ref="C11:D11"/>
    <mergeCell ref="B13:E13"/>
    <mergeCell ref="F13:G13"/>
    <mergeCell ref="B14:G15"/>
    <mergeCell ref="B16:G16"/>
    <mergeCell ref="D17:G17"/>
    <mergeCell ref="B1:C4"/>
    <mergeCell ref="D2:E2"/>
    <mergeCell ref="D3:E3"/>
    <mergeCell ref="D4:F4"/>
    <mergeCell ref="B5:G5"/>
  </mergeCells>
  <conditionalFormatting sqref="F8">
    <cfRule type="expression" dxfId="3" priority="1">
      <formula>ISNA($F$8)</formula>
    </cfRule>
  </conditionalFormatting>
  <dataValidations count="3">
    <dataValidation type="list" allowBlank="1" showInputMessage="1" showErrorMessage="1" sqref="F9">
      <formula1>codeagence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errorTitle="Choisir dans la liste" sqref="C17">
      <formula1>$AD$3:$AD$6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8" sqref="C28"/>
    </sheetView>
  </sheetViews>
  <sheetFormatPr baseColWidth="10" defaultRowHeight="15" x14ac:dyDescent="0.2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A16" sqref="A16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39</v>
      </c>
      <c r="B1" s="12" t="s">
        <v>40</v>
      </c>
      <c r="E1" s="14" t="s">
        <v>132</v>
      </c>
      <c r="F1" s="15" t="s">
        <v>133</v>
      </c>
    </row>
    <row r="2" spans="1:9" x14ac:dyDescent="0.25">
      <c r="A2" s="11" t="s">
        <v>41</v>
      </c>
      <c r="B2" s="12" t="s">
        <v>42</v>
      </c>
      <c r="C2" s="14">
        <f>Modèle_Sinistre!$F$9</f>
        <v>0</v>
      </c>
      <c r="E2" t="str">
        <f>IFERROR(VLOOKUP($C$2,$A$2:$B$262,2,FALSE),"")</f>
        <v/>
      </c>
      <c r="F2" s="13" t="str">
        <f t="array" ref="F2">IF(ROW()-1&gt;COUNTIF($B$1:$B$262,$C$3),"",INDEX($A$1:$A$262,SMALL(IF($B$1:$B$262=$C$3,ROW($A$1:$A$262),""),ROW()-1)))</f>
        <v/>
      </c>
      <c r="H2" s="12" t="s">
        <v>42</v>
      </c>
    </row>
    <row r="3" spans="1:9" x14ac:dyDescent="0.25">
      <c r="A3" s="11" t="s">
        <v>43</v>
      </c>
      <c r="B3" s="12" t="s">
        <v>42</v>
      </c>
      <c r="C3" s="16">
        <f>Modèle_Sinistre!$F$8</f>
        <v>0</v>
      </c>
      <c r="F3" s="13" t="str">
        <f t="array" ref="F3">IF(ROW()-1&gt;COUNTIF($B$1:$B$262,$C$3),"",INDEX($A$1:$A$262,SMALL(IF($B$1:$B$262=$C$3,ROW($A$1:$A$262),""),ROW()-1)))</f>
        <v/>
      </c>
      <c r="H3" s="12" t="s">
        <v>54</v>
      </c>
    </row>
    <row r="4" spans="1:9" x14ac:dyDescent="0.25">
      <c r="A4" s="11" t="s">
        <v>44</v>
      </c>
      <c r="B4" s="12" t="s">
        <v>42</v>
      </c>
      <c r="F4" s="13" t="str">
        <f t="array" ref="F4">IF(ROW()-1&gt;COUNTIF($B$1:$B$262,$C$3),"",INDEX($A$1:$A$262,SMALL(IF($B$1:$B$262=$C$3,ROW($A$1:$A$262),""),ROW()-1)))</f>
        <v/>
      </c>
      <c r="H4" s="12" t="s">
        <v>82</v>
      </c>
    </row>
    <row r="5" spans="1:9" x14ac:dyDescent="0.25">
      <c r="A5" s="11">
        <v>12053</v>
      </c>
      <c r="B5" s="12" t="s">
        <v>42</v>
      </c>
      <c r="F5" s="13" t="str">
        <f t="array" ref="F5">IF(ROW()-1&gt;COUNTIF($B$1:$B$262,$C$3),"",INDEX($A$1:$A$262,SMALL(IF($B$1:$B$262=$C$3,ROW($A$1:$A$262),""),ROW()-1)))</f>
        <v/>
      </c>
      <c r="H5" s="12" t="s">
        <v>91</v>
      </c>
    </row>
    <row r="6" spans="1:9" x14ac:dyDescent="0.25">
      <c r="A6" s="11" t="s">
        <v>45</v>
      </c>
      <c r="B6" s="12" t="s">
        <v>42</v>
      </c>
      <c r="F6" s="13" t="str">
        <f t="array" ref="F6">IF(ROW()-1&gt;COUNTIF($B$1:$B$262,$C$3),"",INDEX($A$1:$A$262,SMALL(IF($B$1:$B$262=$C$3,ROW($A$1:$A$262),""),ROW()-1)))</f>
        <v/>
      </c>
      <c r="H6" s="12" t="s">
        <v>98</v>
      </c>
    </row>
    <row r="7" spans="1:9" x14ac:dyDescent="0.25">
      <c r="A7" s="11" t="s">
        <v>46</v>
      </c>
      <c r="B7" s="12" t="s">
        <v>42</v>
      </c>
      <c r="F7" s="13" t="str">
        <f t="array" ref="F7">IF(ROW()-1&gt;COUNTIF($B$1:$B$262,$C$3),"",INDEX($A$1:$A$262,SMALL(IF($B$1:$B$262=$C$3,ROW($A$1:$A$262),""),ROW()-1)))</f>
        <v/>
      </c>
      <c r="H7" s="12" t="s">
        <v>117</v>
      </c>
    </row>
    <row r="8" spans="1:9" x14ac:dyDescent="0.25">
      <c r="A8" s="11">
        <v>12185</v>
      </c>
      <c r="B8" s="12" t="s">
        <v>42</v>
      </c>
      <c r="F8" s="13" t="str">
        <f t="array" ref="F8">IF(ROW()-1&gt;COUNTIF($B$1:$B$262,$C$3),"",INDEX($A$1:$A$262,SMALL(IF($B$1:$B$262=$C$3,ROW($A$1:$A$262),""),ROW()-1)))</f>
        <v/>
      </c>
      <c r="H8" s="12" t="s">
        <v>127</v>
      </c>
    </row>
    <row r="9" spans="1:9" x14ac:dyDescent="0.25">
      <c r="A9" s="11">
        <v>21060</v>
      </c>
      <c r="B9" s="12" t="s">
        <v>42</v>
      </c>
      <c r="F9" s="13" t="str">
        <f t="array" ref="F9">IF(ROW()-1&gt;COUNTIF($B$1:$B$262,$C$3),"",INDEX($A$1:$A$262,SMALL(IF($B$1:$B$262=$C$3,ROW($A$1:$A$262),""),ROW()-1)))</f>
        <v/>
      </c>
    </row>
    <row r="10" spans="1:9" x14ac:dyDescent="0.25">
      <c r="A10" s="11">
        <v>21085</v>
      </c>
      <c r="B10" s="12" t="s">
        <v>42</v>
      </c>
      <c r="F10" s="13" t="str">
        <f t="array" ref="F10">IF(ROW()-1&gt;COUNTIF($B$1:$B$262,$C$3),"",INDEX($A$1:$A$262,SMALL(IF($B$1:$B$262=$C$3,ROW($A$1:$A$262),""),ROW()-1)))</f>
        <v/>
      </c>
    </row>
    <row r="11" spans="1:9" x14ac:dyDescent="0.25">
      <c r="A11" s="11" t="s">
        <v>47</v>
      </c>
      <c r="B11" s="12" t="s">
        <v>42</v>
      </c>
      <c r="F11" s="13" t="str">
        <f t="array" ref="F11">IF(ROW()-1&gt;COUNTIF($B$1:$B$262,$C$3),"",INDEX($A$1:$A$262,SMALL(IF($B$1:$B$262=$C$3,ROW($A$1:$A$262),""),ROW()-1)))</f>
        <v/>
      </c>
    </row>
    <row r="12" spans="1:9" x14ac:dyDescent="0.25">
      <c r="A12" s="11">
        <v>21177</v>
      </c>
      <c r="B12" s="12" t="s">
        <v>42</v>
      </c>
      <c r="F12" s="13" t="str">
        <f t="array" ref="F12">IF(ROW()-1&gt;COUNTIF($B$1:$B$262,$C$3),"",INDEX($A$1:$A$262,SMALL(IF($B$1:$B$262=$C$3,ROW($A$1:$A$262),""),ROW()-1)))</f>
        <v/>
      </c>
      <c r="H12" s="12" t="s">
        <v>134</v>
      </c>
      <c r="I12" t="s">
        <v>135</v>
      </c>
    </row>
    <row r="13" spans="1:9" x14ac:dyDescent="0.25">
      <c r="A13" s="11">
        <v>23036</v>
      </c>
      <c r="B13" s="12" t="s">
        <v>42</v>
      </c>
      <c r="F13" s="13" t="str">
        <f t="array" ref="F13">IF(ROW()-1&gt;COUNTIF($B$1:$B$262,$C$3),"",INDEX($A$1:$A$262,SMALL(IF($B$1:$B$262=$C$3,ROW($A$1:$A$262),""),ROW()-1)))</f>
        <v/>
      </c>
      <c r="H13" s="12" t="s">
        <v>136</v>
      </c>
      <c r="I13" t="s">
        <v>137</v>
      </c>
    </row>
    <row r="14" spans="1:9" x14ac:dyDescent="0.25">
      <c r="A14" s="11">
        <v>23652</v>
      </c>
      <c r="B14" s="12" t="s">
        <v>42</v>
      </c>
      <c r="F14" s="13" t="str">
        <f t="array" ref="F14">IF(ROW()-1&gt;COUNTIF($B$1:$B$262,$C$3),"",INDEX($A$1:$A$262,SMALL(IF($B$1:$B$262=$C$3,ROW($A$1:$A$262),""),ROW()-1)))</f>
        <v/>
      </c>
      <c r="H14" s="12" t="s">
        <v>138</v>
      </c>
      <c r="I14" t="s">
        <v>139</v>
      </c>
    </row>
    <row r="15" spans="1:9" x14ac:dyDescent="0.25">
      <c r="A15" s="11">
        <v>23658</v>
      </c>
      <c r="B15" s="12" t="s">
        <v>42</v>
      </c>
      <c r="F15" s="13" t="str">
        <f t="array" ref="F15">IF(ROW()-1&gt;COUNTIF($B$1:$B$262,$C$3),"",INDEX($A$1:$A$262,SMALL(IF($B$1:$B$262=$C$3,ROW($A$1:$A$262),""),ROW()-1)))</f>
        <v/>
      </c>
    </row>
    <row r="16" spans="1:9" x14ac:dyDescent="0.25">
      <c r="A16" s="11">
        <v>23179</v>
      </c>
      <c r="B16" s="12" t="s">
        <v>42</v>
      </c>
      <c r="F16" s="13" t="str">
        <f t="array" ref="F16">IF(ROW()-1&gt;COUNTIF($B$1:$B$262,$C$3),"",INDEX($A$1:$A$262,SMALL(IF($B$1:$B$262=$C$3,ROW($A$1:$A$262),""),ROW()-1)))</f>
        <v/>
      </c>
    </row>
    <row r="17" spans="1:6" x14ac:dyDescent="0.25">
      <c r="A17" s="11">
        <v>23203</v>
      </c>
      <c r="B17" s="12" t="s">
        <v>42</v>
      </c>
      <c r="F17" s="13" t="str">
        <f t="array" ref="F17">IF(ROW()-1&gt;COUNTIF($B$1:$B$262,$C$3),"",INDEX($A$1:$A$262,SMALL(IF($B$1:$B$262=$C$3,ROW($A$1:$A$262),""),ROW()-1)))</f>
        <v/>
      </c>
    </row>
    <row r="18" spans="1:6" x14ac:dyDescent="0.25">
      <c r="A18" s="11">
        <v>23252</v>
      </c>
      <c r="B18" s="12" t="s">
        <v>42</v>
      </c>
      <c r="F18" s="13" t="str">
        <f t="array" ref="F18">IF(ROW()-1&gt;COUNTIF($B$1:$B$262,$C$3),"",INDEX($A$1:$A$262,SMALL(IF($B$1:$B$262=$C$3,ROW($A$1:$A$262),""),ROW()-1)))</f>
        <v/>
      </c>
    </row>
    <row r="19" spans="1:6" x14ac:dyDescent="0.25">
      <c r="A19" s="11" t="s">
        <v>48</v>
      </c>
      <c r="B19" s="12" t="s">
        <v>42</v>
      </c>
      <c r="F19" s="13" t="str">
        <f t="array" ref="F19">IF(ROW()-1&gt;COUNTIF($B$1:$B$262,$C$3),"",INDEX($A$1:$A$262,SMALL(IF($B$1:$B$262=$C$3,ROW($A$1:$A$262),""),ROW()-1)))</f>
        <v/>
      </c>
    </row>
    <row r="20" spans="1:6" x14ac:dyDescent="0.25">
      <c r="A20" s="11">
        <v>23277</v>
      </c>
      <c r="B20" s="12" t="s">
        <v>42</v>
      </c>
      <c r="F20" s="13" t="str">
        <f t="array" ref="F20">IF(ROW()-1&gt;COUNTIF($B$1:$B$262,$C$3),"",INDEX($A$1:$A$262,SMALL(IF($B$1:$B$262=$C$3,ROW($A$1:$A$262),""),ROW()-1)))</f>
        <v/>
      </c>
    </row>
    <row r="21" spans="1:6" x14ac:dyDescent="0.25">
      <c r="A21" s="11">
        <v>23549</v>
      </c>
      <c r="B21" s="12" t="s">
        <v>42</v>
      </c>
      <c r="F21" s="13" t="str">
        <f t="array" ref="F21">IF(ROW()-1&gt;COUNTIF($B$1:$B$262,$C$3),"",INDEX($A$1:$A$262,SMALL(IF($B$1:$B$262=$C$3,ROW($A$1:$A$262),""),ROW()-1)))</f>
        <v/>
      </c>
    </row>
    <row r="22" spans="1:6" x14ac:dyDescent="0.25">
      <c r="A22" s="11" t="s">
        <v>49</v>
      </c>
      <c r="B22" s="12" t="s">
        <v>42</v>
      </c>
      <c r="F22" s="13" t="str">
        <f t="array" ref="F22">IF(ROW()-1&gt;COUNTIF($B$1:$B$262,$C$3),"",INDEX($A$1:$A$262,SMALL(IF($B$1:$B$262=$C$3,ROW($A$1:$A$262),""),ROW()-1)))</f>
        <v/>
      </c>
    </row>
    <row r="23" spans="1:6" x14ac:dyDescent="0.25">
      <c r="A23" s="11">
        <v>23719</v>
      </c>
      <c r="B23" s="12" t="s">
        <v>42</v>
      </c>
      <c r="F23" s="13" t="str">
        <f t="array" ref="F23">IF(ROW()-1&gt;COUNTIF($B$1:$B$262,$C$3),"",INDEX($A$1:$A$262,SMALL(IF($B$1:$B$262=$C$3,ROW($A$1:$A$262),""),ROW()-1)))</f>
        <v/>
      </c>
    </row>
    <row r="24" spans="1:6" x14ac:dyDescent="0.25">
      <c r="A24" s="11">
        <v>23279</v>
      </c>
      <c r="B24" s="12" t="s">
        <v>42</v>
      </c>
      <c r="F24" s="13" t="str">
        <f t="array" ref="F24">IF(ROW()-1&gt;COUNTIF($B$1:$B$262,$C$3),"",INDEX($A$1:$A$262,SMALL(IF($B$1:$B$262=$C$3,ROW($A$1:$A$262),""),ROW()-1)))</f>
        <v/>
      </c>
    </row>
    <row r="25" spans="1:6" x14ac:dyDescent="0.25">
      <c r="A25" s="11">
        <v>23302</v>
      </c>
      <c r="B25" s="12" t="s">
        <v>42</v>
      </c>
      <c r="F25" s="13" t="str">
        <f t="array" ref="F25">IF(ROW()-1&gt;COUNTIF($B$1:$B$262,$C$3),"",INDEX($A$1:$A$262,SMALL(IF($B$1:$B$262=$C$3,ROW($A$1:$A$262),""),ROW()-1)))</f>
        <v/>
      </c>
    </row>
    <row r="26" spans="1:6" x14ac:dyDescent="0.25">
      <c r="A26" s="11">
        <v>24065</v>
      </c>
      <c r="B26" s="12" t="s">
        <v>42</v>
      </c>
      <c r="F26" s="13" t="str">
        <f t="array" ref="F26">IF(ROW()-1&gt;COUNTIF($B$1:$B$262,$C$3),"",INDEX($A$1:$A$262,SMALL(IF($B$1:$B$262=$C$3,ROW($A$1:$A$262),""),ROW()-1)))</f>
        <v/>
      </c>
    </row>
    <row r="27" spans="1:6" x14ac:dyDescent="0.25">
      <c r="A27" s="11" t="s">
        <v>50</v>
      </c>
      <c r="B27" s="12" t="s">
        <v>42</v>
      </c>
      <c r="F27" s="13" t="str">
        <f t="array" ref="F27">IF(ROW()-1&gt;COUNTIF($B$1:$B$262,$C$3),"",INDEX($A$1:$A$262,SMALL(IF($B$1:$B$262=$C$3,ROW($A$1:$A$262),""),ROW()-1)))</f>
        <v/>
      </c>
    </row>
    <row r="28" spans="1:6" x14ac:dyDescent="0.25">
      <c r="A28" s="11">
        <v>24129</v>
      </c>
      <c r="B28" s="12" t="s">
        <v>42</v>
      </c>
      <c r="F28" s="13" t="str">
        <f t="array" ref="F28">IF(ROW()-1&gt;COUNTIF($B$1:$B$262,$C$3),"",INDEX($A$1:$A$262,SMALL(IF($B$1:$B$262=$C$3,ROW($A$1:$A$262),""),ROW()-1)))</f>
        <v/>
      </c>
    </row>
    <row r="29" spans="1:6" x14ac:dyDescent="0.25">
      <c r="A29" s="11" t="s">
        <v>51</v>
      </c>
      <c r="B29" s="12" t="s">
        <v>42</v>
      </c>
      <c r="F29" s="13" t="str">
        <f t="array" ref="F29">IF(ROW()-1&gt;COUNTIF($B$1:$B$262,$C$3),"",INDEX($A$1:$A$262,SMALL(IF($B$1:$B$262=$C$3,ROW($A$1:$A$262),""),ROW()-1)))</f>
        <v/>
      </c>
    </row>
    <row r="30" spans="1:6" x14ac:dyDescent="0.25">
      <c r="A30" s="11">
        <v>24192</v>
      </c>
      <c r="B30" s="12" t="s">
        <v>42</v>
      </c>
      <c r="F30" s="13" t="str">
        <f t="array" ref="F30">IF(ROW()-1&gt;COUNTIF($B$1:$B$262,$C$3),"",INDEX($A$1:$A$262,SMALL(IF($B$1:$B$262=$C$3,ROW($A$1:$A$262),""),ROW()-1)))</f>
        <v/>
      </c>
    </row>
    <row r="31" spans="1:6" x14ac:dyDescent="0.25">
      <c r="A31" s="11" t="s">
        <v>52</v>
      </c>
      <c r="B31" s="12" t="s">
        <v>42</v>
      </c>
      <c r="F31" s="13" t="str">
        <f t="array" ref="F31">IF(ROW()-1&gt;COUNTIF($B$1:$B$262,$C$3),"",INDEX($A$1:$A$262,SMALL(IF($B$1:$B$262=$C$3,ROW($A$1:$A$262),""),ROW()-1)))</f>
        <v/>
      </c>
    </row>
    <row r="32" spans="1:6" x14ac:dyDescent="0.25">
      <c r="A32" s="11">
        <v>24282</v>
      </c>
      <c r="B32" s="12" t="s">
        <v>42</v>
      </c>
      <c r="F32" s="13" t="str">
        <f t="array" ref="F32">IF(ROW()-1&gt;COUNTIF($B$1:$B$262,$C$3),"",INDEX($A$1:$A$262,SMALL(IF($B$1:$B$262=$C$3,ROW($A$1:$A$262),""),ROW()-1)))</f>
        <v/>
      </c>
    </row>
    <row r="33" spans="1:6" x14ac:dyDescent="0.25">
      <c r="A33" s="11">
        <v>24287</v>
      </c>
      <c r="B33" s="12" t="s">
        <v>42</v>
      </c>
      <c r="F33" s="13" t="str">
        <f t="array" ref="F33">IF(ROW()-1&gt;COUNTIF($B$1:$B$262,$C$3),"",INDEX($A$1:$A$262,SMALL(IF($B$1:$B$262=$C$3,ROW($A$1:$A$262),""),ROW()-1)))</f>
        <v/>
      </c>
    </row>
    <row r="34" spans="1:6" x14ac:dyDescent="0.25">
      <c r="A34" s="11">
        <v>39037</v>
      </c>
      <c r="B34" s="12" t="s">
        <v>42</v>
      </c>
      <c r="F34" s="13" t="str">
        <f t="array" ref="F34">IF(ROW()-1&gt;COUNTIF($B$1:$B$262,$C$3),"",INDEX($A$1:$A$262,SMALL(IF($B$1:$B$262=$C$3,ROW($A$1:$A$262),""),ROW()-1)))</f>
        <v/>
      </c>
    </row>
    <row r="35" spans="1:6" x14ac:dyDescent="0.25">
      <c r="A35" s="11">
        <v>40664</v>
      </c>
      <c r="B35" s="12" t="s">
        <v>42</v>
      </c>
      <c r="F35" s="13" t="str">
        <f t="array" ref="F35">IF(ROW()-1&gt;COUNTIF($B$1:$B$262,$C$3),"",INDEX($A$1:$A$262,SMALL(IF($B$1:$B$262=$C$3,ROW($A$1:$A$262),""),ROW()-1)))</f>
        <v/>
      </c>
    </row>
    <row r="36" spans="1:6" x14ac:dyDescent="0.25">
      <c r="A36" s="11">
        <v>41029</v>
      </c>
      <c r="B36" s="12" t="s">
        <v>42</v>
      </c>
      <c r="F36" s="13" t="str">
        <f t="array" ref="F36">IF(ROW()-1&gt;COUNTIF($B$1:$B$262,$C$3),"",INDEX($A$1:$A$262,SMALL(IF($B$1:$B$262=$C$3,ROW($A$1:$A$262),""),ROW()-1)))</f>
        <v/>
      </c>
    </row>
    <row r="37" spans="1:6" x14ac:dyDescent="0.25">
      <c r="A37" s="11">
        <v>41707</v>
      </c>
      <c r="B37" s="12" t="s">
        <v>42</v>
      </c>
      <c r="F37" s="13" t="str">
        <f t="array" ref="F37">IF(ROW()-1&gt;COUNTIF($B$1:$B$262,$C$3),"",INDEX($A$1:$A$262,SMALL(IF($B$1:$B$262=$C$3,ROW($A$1:$A$262),""),ROW()-1)))</f>
        <v/>
      </c>
    </row>
    <row r="38" spans="1:6" x14ac:dyDescent="0.25">
      <c r="A38" s="11">
        <v>41248</v>
      </c>
      <c r="B38" s="12" t="s">
        <v>42</v>
      </c>
      <c r="F38" s="13" t="str">
        <f t="array" ref="F38">IF(ROW()-1&gt;COUNTIF($B$1:$B$262,$C$3),"",INDEX($A$1:$A$262,SMALL(IF($B$1:$B$262=$C$3,ROW($A$1:$A$262),""),ROW()-1)))</f>
        <v/>
      </c>
    </row>
    <row r="39" spans="1:6" x14ac:dyDescent="0.25">
      <c r="A39" s="11" t="s">
        <v>53</v>
      </c>
      <c r="B39" s="12" t="s">
        <v>54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55</v>
      </c>
      <c r="B40" s="12" t="s">
        <v>54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56</v>
      </c>
      <c r="B41" s="12" t="s">
        <v>54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57</v>
      </c>
      <c r="B42" s="12" t="s">
        <v>54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58</v>
      </c>
      <c r="B43" s="12" t="s">
        <v>54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59</v>
      </c>
      <c r="B44" s="12" t="s">
        <v>54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60</v>
      </c>
      <c r="B45" s="12" t="s">
        <v>54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61</v>
      </c>
      <c r="B46" s="12" t="s">
        <v>54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62</v>
      </c>
      <c r="B47" s="12" t="s">
        <v>54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63</v>
      </c>
      <c r="B48" s="12" t="s">
        <v>54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64</v>
      </c>
      <c r="B49" s="12" t="s">
        <v>54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65</v>
      </c>
      <c r="B50" s="12" t="s">
        <v>54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66</v>
      </c>
      <c r="B51" s="12" t="s">
        <v>54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54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67</v>
      </c>
      <c r="B53" s="12" t="s">
        <v>54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68</v>
      </c>
      <c r="B54" s="12" t="s">
        <v>54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54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69</v>
      </c>
      <c r="B56" s="12" t="s">
        <v>54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54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54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70</v>
      </c>
      <c r="B59" s="12" t="s">
        <v>54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71</v>
      </c>
      <c r="B60" s="12" t="s">
        <v>54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54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54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72</v>
      </c>
      <c r="B63" s="12" t="s">
        <v>54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54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73</v>
      </c>
      <c r="B65" s="12" t="s">
        <v>54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54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54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54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54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74</v>
      </c>
      <c r="B70" s="12" t="s">
        <v>54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75</v>
      </c>
      <c r="B71" s="12" t="s">
        <v>54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54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54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54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54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76</v>
      </c>
      <c r="B76" s="12" t="s">
        <v>54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54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54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77</v>
      </c>
      <c r="B79" s="12" t="s">
        <v>54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54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54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54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54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54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54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54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54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54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78</v>
      </c>
      <c r="B89" s="12" t="s">
        <v>54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54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79</v>
      </c>
      <c r="B91" s="12" t="s">
        <v>54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54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54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54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80</v>
      </c>
      <c r="B95" s="12" t="s">
        <v>54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54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54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54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54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54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54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81</v>
      </c>
      <c r="B102" s="12" t="s">
        <v>82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82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83</v>
      </c>
      <c r="B104" s="12" t="s">
        <v>82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84</v>
      </c>
      <c r="B105" s="12" t="s">
        <v>82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82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82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82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82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82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82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85</v>
      </c>
      <c r="B112" s="12" t="s">
        <v>82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82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82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82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86</v>
      </c>
      <c r="B116" s="12" t="s">
        <v>82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82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82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82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82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87</v>
      </c>
      <c r="B121" s="12" t="s">
        <v>82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82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82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82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82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88</v>
      </c>
      <c r="B126" s="12" t="s">
        <v>82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82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82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82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82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82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89</v>
      </c>
      <c r="B132" s="12" t="s">
        <v>82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82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82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82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82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82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82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82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90</v>
      </c>
      <c r="B140" s="12" t="s">
        <v>82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82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82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82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91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91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91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91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92</v>
      </c>
      <c r="B148" s="12" t="s">
        <v>91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91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91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91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91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91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91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93</v>
      </c>
      <c r="B155" s="12" t="s">
        <v>91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91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91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91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91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91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91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91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91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91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91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94</v>
      </c>
      <c r="B166" s="12" t="s">
        <v>91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91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91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91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95</v>
      </c>
      <c r="B170" s="12" t="s">
        <v>91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91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91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91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96</v>
      </c>
      <c r="B174" s="12" t="s">
        <v>91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91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91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91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97</v>
      </c>
      <c r="B178" s="12" t="s">
        <v>98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99</v>
      </c>
      <c r="B179" s="12" t="s">
        <v>98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100</v>
      </c>
      <c r="B180" s="12" t="s">
        <v>98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101</v>
      </c>
      <c r="B181" s="12" t="s">
        <v>98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102</v>
      </c>
      <c r="B182" s="12" t="s">
        <v>98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103</v>
      </c>
      <c r="B183" s="12" t="s">
        <v>98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104</v>
      </c>
      <c r="B184" s="12" t="s">
        <v>98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105</v>
      </c>
      <c r="B185" s="12" t="s">
        <v>98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106</v>
      </c>
      <c r="B186" s="12" t="s">
        <v>98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107</v>
      </c>
      <c r="B187" s="12" t="s">
        <v>98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108</v>
      </c>
      <c r="B188" s="12" t="s">
        <v>98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109</v>
      </c>
      <c r="B189" s="12" t="s">
        <v>98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110</v>
      </c>
      <c r="B190" s="12" t="s">
        <v>98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111</v>
      </c>
      <c r="B191" s="12" t="s">
        <v>98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98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112</v>
      </c>
      <c r="B193" s="12" t="s">
        <v>98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98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98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98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98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98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98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98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98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113</v>
      </c>
      <c r="B202" s="12" t="s">
        <v>98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114</v>
      </c>
      <c r="B203" s="12" t="s">
        <v>98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115</v>
      </c>
      <c r="B204" s="12" t="s">
        <v>98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98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98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116</v>
      </c>
      <c r="B207" s="12" t="s">
        <v>117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117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117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117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117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117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117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118</v>
      </c>
      <c r="B214" s="12" t="s">
        <v>117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117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117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119</v>
      </c>
      <c r="B217" s="12" t="s">
        <v>117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117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120</v>
      </c>
      <c r="B219" s="12" t="s">
        <v>117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117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117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117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121</v>
      </c>
      <c r="B223" s="12" t="s">
        <v>117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117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117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122</v>
      </c>
      <c r="B226" s="12" t="s">
        <v>117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117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117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117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117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123</v>
      </c>
      <c r="B231" s="12" t="s">
        <v>117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117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117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117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117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117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117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117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117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117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117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117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124</v>
      </c>
      <c r="B243" s="12" t="s">
        <v>117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117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117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125</v>
      </c>
      <c r="B246" s="12" t="s">
        <v>117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126</v>
      </c>
      <c r="B247" s="12" t="s">
        <v>127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128</v>
      </c>
      <c r="B248" s="12" t="s">
        <v>127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127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129</v>
      </c>
      <c r="B250" s="12" t="s">
        <v>127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127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127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127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130</v>
      </c>
      <c r="B254" s="12" t="s">
        <v>127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127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127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127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127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127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131</v>
      </c>
      <c r="B260" s="12" t="s">
        <v>127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127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127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84</v>
      </c>
    </row>
    <row r="272" spans="1:6" x14ac:dyDescent="0.25">
      <c r="A272" s="11" t="s">
        <v>84</v>
      </c>
    </row>
    <row r="273" spans="1:1" x14ac:dyDescent="0.25">
      <c r="A273" s="11" t="s">
        <v>84</v>
      </c>
    </row>
    <row r="274" spans="1:1" x14ac:dyDescent="0.25">
      <c r="A274" s="11" t="s">
        <v>84</v>
      </c>
    </row>
    <row r="275" spans="1:1" x14ac:dyDescent="0.25">
      <c r="A275" s="11" t="s">
        <v>84</v>
      </c>
    </row>
    <row r="276" spans="1:1" x14ac:dyDescent="0.25">
      <c r="A276" s="11" t="s">
        <v>84</v>
      </c>
    </row>
    <row r="277" spans="1:1" x14ac:dyDescent="0.25">
      <c r="A277" s="11" t="s">
        <v>84</v>
      </c>
    </row>
    <row r="278" spans="1:1" x14ac:dyDescent="0.25">
      <c r="A278" s="11" t="s">
        <v>84</v>
      </c>
    </row>
    <row r="279" spans="1:1" x14ac:dyDescent="0.25">
      <c r="A279" s="11" t="s">
        <v>84</v>
      </c>
    </row>
    <row r="280" spans="1:1" x14ac:dyDescent="0.25">
      <c r="A280" s="11" t="s">
        <v>84</v>
      </c>
    </row>
    <row r="281" spans="1:1" x14ac:dyDescent="0.25">
      <c r="A281" s="11" t="s">
        <v>84</v>
      </c>
    </row>
    <row r="282" spans="1:1" x14ac:dyDescent="0.25">
      <c r="A282" s="11" t="s">
        <v>84</v>
      </c>
    </row>
    <row r="283" spans="1:1" x14ac:dyDescent="0.25">
      <c r="A283" s="11" t="s">
        <v>84</v>
      </c>
    </row>
    <row r="284" spans="1:1" x14ac:dyDescent="0.25">
      <c r="A284" s="11" t="s">
        <v>84</v>
      </c>
    </row>
    <row r="285" spans="1:1" x14ac:dyDescent="0.25">
      <c r="A285" s="11" t="s">
        <v>84</v>
      </c>
    </row>
    <row r="286" spans="1:1" x14ac:dyDescent="0.25">
      <c r="A286" s="11" t="s">
        <v>84</v>
      </c>
    </row>
    <row r="287" spans="1:1" x14ac:dyDescent="0.25">
      <c r="A287" s="11" t="s">
        <v>84</v>
      </c>
    </row>
    <row r="288" spans="1:1" x14ac:dyDescent="0.25">
      <c r="A288" s="11" t="s">
        <v>84</v>
      </c>
    </row>
    <row r="289" spans="1:1" x14ac:dyDescent="0.25">
      <c r="A289" s="11" t="s">
        <v>84</v>
      </c>
    </row>
    <row r="290" spans="1:1" x14ac:dyDescent="0.25">
      <c r="A290" s="11" t="s">
        <v>84</v>
      </c>
    </row>
    <row r="291" spans="1:1" x14ac:dyDescent="0.25">
      <c r="A291" s="11" t="s">
        <v>84</v>
      </c>
    </row>
    <row r="292" spans="1:1" x14ac:dyDescent="0.25">
      <c r="A292" s="11" t="s">
        <v>84</v>
      </c>
    </row>
    <row r="293" spans="1:1" x14ac:dyDescent="0.25">
      <c r="A293" s="11" t="s">
        <v>84</v>
      </c>
    </row>
    <row r="294" spans="1:1" x14ac:dyDescent="0.25">
      <c r="A294" s="11" t="s">
        <v>84</v>
      </c>
    </row>
    <row r="295" spans="1:1" x14ac:dyDescent="0.25">
      <c r="A295" s="11" t="s">
        <v>84</v>
      </c>
    </row>
    <row r="296" spans="1:1" x14ac:dyDescent="0.25">
      <c r="A296" s="11" t="s">
        <v>84</v>
      </c>
    </row>
    <row r="297" spans="1:1" x14ac:dyDescent="0.25">
      <c r="A297" s="11" t="s">
        <v>84</v>
      </c>
    </row>
    <row r="298" spans="1:1" x14ac:dyDescent="0.25">
      <c r="A298" s="11" t="s">
        <v>84</v>
      </c>
    </row>
    <row r="299" spans="1:1" x14ac:dyDescent="0.25">
      <c r="A299" s="11" t="s">
        <v>84</v>
      </c>
    </row>
    <row r="300" spans="1:1" x14ac:dyDescent="0.25">
      <c r="A300" s="11" t="s">
        <v>84</v>
      </c>
    </row>
    <row r="301" spans="1:1" x14ac:dyDescent="0.25">
      <c r="A301" s="11" t="s">
        <v>84</v>
      </c>
    </row>
    <row r="302" spans="1:1" x14ac:dyDescent="0.25">
      <c r="A302" s="11" t="s">
        <v>84</v>
      </c>
    </row>
    <row r="303" spans="1:1" x14ac:dyDescent="0.25">
      <c r="A303" s="11" t="s">
        <v>84</v>
      </c>
    </row>
    <row r="304" spans="1:1" x14ac:dyDescent="0.25">
      <c r="A304" s="11" t="s">
        <v>84</v>
      </c>
    </row>
    <row r="305" spans="1:1" x14ac:dyDescent="0.25">
      <c r="A305" s="11" t="s">
        <v>84</v>
      </c>
    </row>
    <row r="306" spans="1:1" x14ac:dyDescent="0.25">
      <c r="A306" s="11" t="s">
        <v>84</v>
      </c>
    </row>
    <row r="307" spans="1:1" x14ac:dyDescent="0.25">
      <c r="A307" s="11" t="s">
        <v>84</v>
      </c>
    </row>
    <row r="308" spans="1:1" x14ac:dyDescent="0.25">
      <c r="A308" s="11" t="s">
        <v>84</v>
      </c>
    </row>
    <row r="309" spans="1:1" x14ac:dyDescent="0.25">
      <c r="A309" s="11" t="s">
        <v>84</v>
      </c>
    </row>
    <row r="310" spans="1:1" x14ac:dyDescent="0.25">
      <c r="A310" s="11" t="s">
        <v>84</v>
      </c>
    </row>
    <row r="311" spans="1:1" x14ac:dyDescent="0.25">
      <c r="A311" s="11" t="s">
        <v>84</v>
      </c>
    </row>
    <row r="312" spans="1:1" x14ac:dyDescent="0.25">
      <c r="A312" s="11" t="s">
        <v>84</v>
      </c>
    </row>
    <row r="313" spans="1:1" x14ac:dyDescent="0.25">
      <c r="A313" s="11" t="s">
        <v>84</v>
      </c>
    </row>
    <row r="314" spans="1:1" x14ac:dyDescent="0.25">
      <c r="A314" s="11" t="s">
        <v>84</v>
      </c>
    </row>
    <row r="315" spans="1:1" x14ac:dyDescent="0.25">
      <c r="A315" s="11" t="s">
        <v>84</v>
      </c>
    </row>
    <row r="316" spans="1:1" x14ac:dyDescent="0.25">
      <c r="A316" s="11" t="s">
        <v>84</v>
      </c>
    </row>
    <row r="317" spans="1:1" x14ac:dyDescent="0.25">
      <c r="A317" s="11" t="s">
        <v>84</v>
      </c>
    </row>
    <row r="318" spans="1:1" x14ac:dyDescent="0.25">
      <c r="A318" s="11" t="s">
        <v>84</v>
      </c>
    </row>
    <row r="319" spans="1:1" x14ac:dyDescent="0.25">
      <c r="A319" s="11" t="s">
        <v>84</v>
      </c>
    </row>
    <row r="320" spans="1:1" x14ac:dyDescent="0.25">
      <c r="A320" s="11" t="s">
        <v>84</v>
      </c>
    </row>
    <row r="321" spans="1:1" x14ac:dyDescent="0.25">
      <c r="A321" s="11" t="s">
        <v>84</v>
      </c>
    </row>
    <row r="322" spans="1:1" x14ac:dyDescent="0.25">
      <c r="A322" s="11" t="s">
        <v>84</v>
      </c>
    </row>
    <row r="323" spans="1:1" x14ac:dyDescent="0.25">
      <c r="A323" s="11" t="s">
        <v>84</v>
      </c>
    </row>
    <row r="324" spans="1:1" x14ac:dyDescent="0.25">
      <c r="A324" s="11" t="s">
        <v>84</v>
      </c>
    </row>
    <row r="325" spans="1:1" x14ac:dyDescent="0.25">
      <c r="A325" s="11" t="s">
        <v>84</v>
      </c>
    </row>
    <row r="326" spans="1:1" x14ac:dyDescent="0.25">
      <c r="A326" s="11" t="s">
        <v>84</v>
      </c>
    </row>
    <row r="327" spans="1:1" x14ac:dyDescent="0.25">
      <c r="A327" s="11" t="s">
        <v>84</v>
      </c>
    </row>
    <row r="328" spans="1:1" x14ac:dyDescent="0.25">
      <c r="A328" s="11" t="s">
        <v>84</v>
      </c>
    </row>
    <row r="329" spans="1:1" x14ac:dyDescent="0.25">
      <c r="A329" s="11" t="s">
        <v>84</v>
      </c>
    </row>
    <row r="330" spans="1:1" x14ac:dyDescent="0.25">
      <c r="A330" s="11" t="s">
        <v>84</v>
      </c>
    </row>
    <row r="331" spans="1:1" x14ac:dyDescent="0.25">
      <c r="A331" s="11" t="s">
        <v>84</v>
      </c>
    </row>
    <row r="332" spans="1:1" x14ac:dyDescent="0.25">
      <c r="A332" s="11" t="s">
        <v>84</v>
      </c>
    </row>
    <row r="333" spans="1:1" x14ac:dyDescent="0.25">
      <c r="A333" s="11" t="s">
        <v>84</v>
      </c>
    </row>
    <row r="334" spans="1:1" x14ac:dyDescent="0.25">
      <c r="A334" s="11" t="s">
        <v>84</v>
      </c>
    </row>
    <row r="335" spans="1:1" x14ac:dyDescent="0.25">
      <c r="A335" s="11" t="s">
        <v>84</v>
      </c>
    </row>
    <row r="336" spans="1:1" x14ac:dyDescent="0.25">
      <c r="A336" s="11" t="s">
        <v>84</v>
      </c>
    </row>
    <row r="337" spans="1:1" x14ac:dyDescent="0.25">
      <c r="A337" s="11" t="s">
        <v>84</v>
      </c>
    </row>
    <row r="338" spans="1:1" x14ac:dyDescent="0.25">
      <c r="A338" s="11" t="s">
        <v>84</v>
      </c>
    </row>
    <row r="339" spans="1:1" x14ac:dyDescent="0.25">
      <c r="A339" s="11" t="s">
        <v>84</v>
      </c>
    </row>
    <row r="340" spans="1:1" x14ac:dyDescent="0.25">
      <c r="A340" s="11" t="s">
        <v>84</v>
      </c>
    </row>
    <row r="341" spans="1:1" x14ac:dyDescent="0.25">
      <c r="A341" s="11" t="s">
        <v>84</v>
      </c>
    </row>
    <row r="342" spans="1:1" x14ac:dyDescent="0.25">
      <c r="A342" s="11" t="s">
        <v>84</v>
      </c>
    </row>
    <row r="343" spans="1:1" x14ac:dyDescent="0.25">
      <c r="A343" s="11" t="s">
        <v>84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143</v>
      </c>
      <c r="B1" s="10" t="s">
        <v>14</v>
      </c>
      <c r="C1" s="2" t="s">
        <v>18</v>
      </c>
      <c r="D1" s="2" t="s">
        <v>19</v>
      </c>
      <c r="E1" s="43" t="s">
        <v>2</v>
      </c>
      <c r="F1" s="9" t="s">
        <v>144</v>
      </c>
      <c r="G1" t="s">
        <v>1</v>
      </c>
      <c r="H1" t="s">
        <v>145</v>
      </c>
      <c r="I1" t="s">
        <v>146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.</vt:lpstr>
      <vt:lpstr>Base_Epave</vt:lpstr>
      <vt:lpstr>Modèle_Epave</vt:lpstr>
      <vt:lpstr>Autorisation</vt:lpstr>
      <vt:lpstr>Reseaux</vt:lpstr>
      <vt:lpstr>Récap</vt:lpstr>
      <vt:lpstr>Base_Epave!codeagence</vt:lpstr>
      <vt:lpstr>codeagence</vt:lpstr>
      <vt:lpstr>dr</vt:lpstr>
      <vt:lpstr>Fourniture</vt:lpstr>
      <vt:lpstr>listeagence</vt:lpstr>
      <vt:lpstr>Base_Epave!listeDR</vt:lpstr>
      <vt:lpstr>listeDR</vt:lpstr>
      <vt:lpstr>Modèle_Sinistre!Zone_d_impression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André dede</cp:lastModifiedBy>
  <cp:lastPrinted>2019-11-03T15:11:19Z</cp:lastPrinted>
  <dcterms:created xsi:type="dcterms:W3CDTF">2018-11-07T08:15:07Z</dcterms:created>
  <dcterms:modified xsi:type="dcterms:W3CDTF">2019-11-08T18:02:44Z</dcterms:modified>
</cp:coreProperties>
</file>