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mc:AlternateContent xmlns:mc="http://schemas.openxmlformats.org/markup-compatibility/2006">
    <mc:Choice Requires="x15">
      <x15ac:absPath xmlns:x15ac="http://schemas.microsoft.com/office/spreadsheetml/2010/11/ac" url="C:\Users\starr\Desktop\"/>
    </mc:Choice>
  </mc:AlternateContent>
  <bookViews>
    <workbookView xWindow="0" yWindow="0" windowWidth="19200" windowHeight="6855" tabRatio="929"/>
  </bookViews>
  <sheets>
    <sheet name="Dépôt" sheetId="18" r:id="rId1"/>
    <sheet name="Chiffre d’affaires " sheetId="2" r:id="rId2"/>
    <sheet name="Janvier" sheetId="5" r:id="rId3"/>
    <sheet name="Fevrier" sheetId="7" r:id="rId4"/>
    <sheet name="Mars" sheetId="8" r:id="rId5"/>
    <sheet name="Avril" sheetId="9" r:id="rId6"/>
    <sheet name="Mai" sheetId="10" r:id="rId7"/>
    <sheet name="Juin" sheetId="11" r:id="rId8"/>
    <sheet name="Juillet" sheetId="12" r:id="rId9"/>
    <sheet name="Août" sheetId="13" r:id="rId10"/>
    <sheet name="Septembre" sheetId="14" r:id="rId11"/>
    <sheet name="Otobre" sheetId="15" r:id="rId12"/>
    <sheet name="Novembre" sheetId="16" r:id="rId13"/>
    <sheet name="Décembre" sheetId="17" r:id="rId14"/>
    <sheet name="Frais" sheetId="3" r:id="rId15"/>
    <sheet name="Charge" sheetId="4" r:id="rId16"/>
  </sheets>
  <definedNames>
    <definedName name="AnnéeCalendrier">Janvier!$K$2</definedName>
    <definedName name="DébutSemaine">Janvier!$K$3</definedName>
    <definedName name="FYMonthNo">IF(FYMonthStart="JANV",1,IF(FYMonthStart="FÉVR",2,IF(FYMonthStart="MARS",3,IF(FYMonthStart="AVR",4,IF(FYMonthStart="MAI",5,IF(FYMonthStart="JUIN",6,IF(FYMonthStart="JUIL",7,IF(FYMonthStart="AOÛT",8,IF(FYMonthStart="SEPT",9,IF(FYMonthStart="OCT",10,IF(FYMonthStart="NOV",11,12)))))))))))</definedName>
    <definedName name="FYMonthStart">'Chiffre d’affaires '!$AC$2</definedName>
    <definedName name="FYStartYear">'Chiffre d’affaires '!$AD$2</definedName>
    <definedName name="_xlnm.Print_Titles" localSheetId="15">Charge!$3:$4</definedName>
    <definedName name="_xlnm.Print_Titles" localSheetId="1">'Chiffre d’affaires '!$3:$4</definedName>
    <definedName name="_xlnm.Print_Titles" localSheetId="14">Frais!$3:$4</definedName>
    <definedName name="JoursEtSemaines">{0,1,2,3,4,5,6} + {0;1;2;3;4;5}*7</definedName>
    <definedName name="Nom_Entreprise">'Chiffre d’affaires '!$AD$1</definedName>
    <definedName name="Titre_Feuille_Calcul">'Chiffre d’affaires '!$B$2</definedName>
    <definedName name="Titre_Période_Prévisions">'Chiffre d’affaires '!$B$1</definedName>
    <definedName name="Titre1">Chiffre_daffaires[[#Headers],[CHIFFRE D’AFFAIRES (VENTES)]]</definedName>
    <definedName name="Titre2">CoûtdesVentes[[#Headers],[COÛT DES VENTES]]</definedName>
    <definedName name="Titre3">tblDépenses[[#Headers],[DÉPENSES]]</definedName>
  </definedNames>
  <calcPr calcId="152511"/>
</workbook>
</file>

<file path=xl/calcChain.xml><?xml version="1.0" encoding="utf-8"?>
<calcChain xmlns="http://schemas.openxmlformats.org/spreadsheetml/2006/main">
  <c r="T10" i="18" l="1"/>
  <c r="S10" i="18"/>
  <c r="R10" i="18"/>
  <c r="Q10" i="18"/>
  <c r="U10" i="18" l="1"/>
  <c r="T9" i="18" l="1"/>
  <c r="S9" i="18"/>
  <c r="R9" i="18"/>
  <c r="Q9" i="18"/>
  <c r="T8" i="18"/>
  <c r="S8" i="18"/>
  <c r="R8" i="18"/>
  <c r="Q8" i="18"/>
  <c r="T7" i="18"/>
  <c r="S7" i="18"/>
  <c r="R7" i="18"/>
  <c r="Q7" i="18"/>
  <c r="U9" i="18" l="1"/>
  <c r="U8" i="18"/>
  <c r="U7" i="18"/>
  <c r="T6" i="18"/>
  <c r="S6" i="18"/>
  <c r="R6" i="18"/>
  <c r="Q6" i="18"/>
  <c r="T5" i="18"/>
  <c r="S5" i="18"/>
  <c r="R5" i="18"/>
  <c r="Q5" i="18"/>
  <c r="U5" i="18" l="1"/>
  <c r="U6" i="18"/>
  <c r="T4" i="18"/>
  <c r="S4" i="18"/>
  <c r="R4" i="18"/>
  <c r="Q4" i="18"/>
  <c r="T3" i="18"/>
  <c r="S3" i="18"/>
  <c r="R3" i="18"/>
  <c r="Q3" i="18"/>
  <c r="T2" i="18"/>
  <c r="S2" i="18"/>
  <c r="R2" i="18"/>
  <c r="Q2" i="18"/>
  <c r="AN1" i="18"/>
  <c r="AM1" i="18"/>
  <c r="AL1" i="18"/>
  <c r="AL4" i="2"/>
  <c r="U2" i="18" l="1"/>
  <c r="U3" i="18"/>
  <c r="U4" i="18"/>
  <c r="D6" i="2" l="1"/>
  <c r="F5" i="2"/>
  <c r="D4" i="5"/>
  <c r="E5" i="2"/>
  <c r="I14" i="11" l="1"/>
  <c r="K2" i="17"/>
  <c r="K2" i="16"/>
  <c r="K2" i="15"/>
  <c r="K2" i="14"/>
  <c r="K2" i="13"/>
  <c r="K2" i="12"/>
  <c r="K2" i="11"/>
  <c r="K2" i="10"/>
  <c r="K2" i="9"/>
  <c r="K2" i="8"/>
  <c r="K2" i="7"/>
  <c r="I10" i="7"/>
  <c r="E8" i="2" s="1"/>
  <c r="I12" i="7"/>
  <c r="E9" i="2" s="1"/>
  <c r="I10" i="8"/>
  <c r="I12" i="8"/>
  <c r="I10" i="9"/>
  <c r="I12" i="9"/>
  <c r="I10" i="10"/>
  <c r="I12" i="10"/>
  <c r="I10" i="11"/>
  <c r="I12" i="11"/>
  <c r="I10" i="12"/>
  <c r="I12" i="12"/>
  <c r="I10" i="13"/>
  <c r="I12" i="13"/>
  <c r="I10" i="14"/>
  <c r="I12" i="14"/>
  <c r="I10" i="15"/>
  <c r="I12" i="15"/>
  <c r="I10" i="16"/>
  <c r="I12" i="16"/>
  <c r="I10" i="17"/>
  <c r="I12" i="17"/>
  <c r="I10" i="5"/>
  <c r="I12" i="5"/>
  <c r="I8" i="7"/>
  <c r="I8" i="8"/>
  <c r="F7" i="2" s="1"/>
  <c r="I8" i="9"/>
  <c r="G7" i="2" s="1"/>
  <c r="I8" i="10"/>
  <c r="H7" i="2" s="1"/>
  <c r="I8" i="11"/>
  <c r="I8" i="12"/>
  <c r="I8" i="13"/>
  <c r="I8" i="14"/>
  <c r="I8" i="15"/>
  <c r="I8" i="16"/>
  <c r="I8" i="17"/>
  <c r="I8" i="5"/>
  <c r="I6" i="7"/>
  <c r="I6" i="8"/>
  <c r="I6" i="9"/>
  <c r="I6" i="10"/>
  <c r="I6" i="11"/>
  <c r="I6" i="12"/>
  <c r="I6" i="13"/>
  <c r="I6" i="14"/>
  <c r="I6" i="15"/>
  <c r="I6" i="16"/>
  <c r="I6" i="17"/>
  <c r="I6" i="5"/>
  <c r="I4" i="7"/>
  <c r="I4" i="8"/>
  <c r="I4" i="9"/>
  <c r="I4" i="10"/>
  <c r="I4" i="11"/>
  <c r="I4" i="12"/>
  <c r="I4" i="13"/>
  <c r="I4" i="14"/>
  <c r="I4" i="15"/>
  <c r="I4" i="16"/>
  <c r="I4" i="17"/>
  <c r="E7" i="2"/>
  <c r="E6" i="2"/>
  <c r="D9" i="2"/>
  <c r="D8" i="2"/>
  <c r="D7" i="2"/>
  <c r="O7" i="2" l="1"/>
  <c r="O8" i="2"/>
  <c r="O9" i="2"/>
  <c r="O6" i="2"/>
  <c r="O5" i="2"/>
  <c r="N7" i="2"/>
  <c r="N8" i="2"/>
  <c r="N9" i="2"/>
  <c r="N6" i="2"/>
  <c r="N5" i="2"/>
  <c r="M7" i="2"/>
  <c r="M8" i="2"/>
  <c r="M9" i="2"/>
  <c r="M6" i="2"/>
  <c r="M5" i="2"/>
  <c r="L7" i="2"/>
  <c r="L8" i="2"/>
  <c r="L9" i="2"/>
  <c r="L6" i="2"/>
  <c r="L5" i="2"/>
  <c r="K7" i="2"/>
  <c r="K8" i="2"/>
  <c r="K9" i="2"/>
  <c r="K6" i="2"/>
  <c r="K5" i="2"/>
  <c r="J7" i="2"/>
  <c r="J8" i="2"/>
  <c r="J9" i="2"/>
  <c r="J6" i="2"/>
  <c r="J5" i="2"/>
  <c r="I7" i="2"/>
  <c r="I8" i="2"/>
  <c r="I9" i="2"/>
  <c r="I6" i="2"/>
  <c r="I5" i="2"/>
  <c r="H8" i="2"/>
  <c r="H9" i="2"/>
  <c r="H6" i="2"/>
  <c r="H5" i="2"/>
  <c r="G8" i="2"/>
  <c r="G9" i="2"/>
  <c r="G6" i="2"/>
  <c r="G5" i="2"/>
  <c r="F8" i="2"/>
  <c r="F9" i="2"/>
  <c r="F6" i="2"/>
  <c r="B2" i="8"/>
  <c r="B2" i="9"/>
  <c r="B2" i="10"/>
  <c r="B2" i="11"/>
  <c r="B2" i="12"/>
  <c r="B2" i="13"/>
  <c r="B2" i="14"/>
  <c r="B2" i="15"/>
  <c r="B2" i="16"/>
  <c r="B2" i="17"/>
  <c r="B2" i="7"/>
  <c r="AD2" i="2"/>
  <c r="Q10" i="2"/>
  <c r="B1" i="7"/>
  <c r="B2" i="5"/>
  <c r="B1" i="9" l="1"/>
  <c r="B1" i="17"/>
  <c r="B1" i="16"/>
  <c r="B1" i="15"/>
  <c r="B1" i="13"/>
  <c r="B1" i="14"/>
  <c r="B1" i="12"/>
  <c r="B1" i="11"/>
  <c r="B1" i="10"/>
  <c r="B1" i="8"/>
  <c r="B13" i="10" a="1"/>
  <c r="C13" i="10" s="1"/>
  <c r="B11" i="5" a="1"/>
  <c r="D11" i="5" s="1"/>
  <c r="B13" i="13" a="1"/>
  <c r="B13" i="12" a="1"/>
  <c r="B13" i="14" a="1"/>
  <c r="B13" i="16" a="1"/>
  <c r="B13" i="7" a="1"/>
  <c r="B13" i="17" a="1"/>
  <c r="B13" i="15" a="1"/>
  <c r="B13" i="5" a="1"/>
  <c r="C13" i="5" s="1"/>
  <c r="B1" i="5"/>
  <c r="B3" i="5" a="1"/>
  <c r="B5" i="5" a="1"/>
  <c r="B7" i="5" a="1"/>
  <c r="B9" i="5" a="1"/>
  <c r="P6" i="4"/>
  <c r="P7" i="4"/>
  <c r="P8" i="4"/>
  <c r="P9" i="4"/>
  <c r="P10" i="4"/>
  <c r="P11" i="4"/>
  <c r="P12" i="4"/>
  <c r="P13" i="4"/>
  <c r="P14" i="4"/>
  <c r="P15" i="4"/>
  <c r="P16" i="4"/>
  <c r="P17" i="4"/>
  <c r="P18" i="4"/>
  <c r="P19" i="4"/>
  <c r="P20" i="4"/>
  <c r="P21" i="4"/>
  <c r="P22" i="4"/>
  <c r="P23" i="4"/>
  <c r="P5" i="4"/>
  <c r="AD1" i="4"/>
  <c r="B2" i="4"/>
  <c r="B1" i="4"/>
  <c r="P6" i="3"/>
  <c r="P7" i="3"/>
  <c r="P8" i="3"/>
  <c r="P9" i="3"/>
  <c r="P5" i="3"/>
  <c r="AC2" i="3"/>
  <c r="AD1" i="3"/>
  <c r="B2" i="3"/>
  <c r="B1" i="3"/>
  <c r="P6" i="2"/>
  <c r="P7" i="2"/>
  <c r="P8" i="2"/>
  <c r="P9" i="2"/>
  <c r="H11" i="5" l="1"/>
  <c r="B13" i="10"/>
  <c r="F11" i="5"/>
  <c r="E11" i="5"/>
  <c r="B11" i="5"/>
  <c r="B13" i="17"/>
  <c r="C13" i="17"/>
  <c r="C13" i="7"/>
  <c r="B13" i="7"/>
  <c r="C13" i="14"/>
  <c r="B13" i="14"/>
  <c r="B13" i="12"/>
  <c r="C13" i="12"/>
  <c r="G11" i="5"/>
  <c r="C11" i="5"/>
  <c r="B13" i="15"/>
  <c r="C13" i="15"/>
  <c r="C13" i="16"/>
  <c r="B13" i="16"/>
  <c r="C13" i="13"/>
  <c r="B13" i="13"/>
  <c r="B13" i="5"/>
  <c r="G9" i="5"/>
  <c r="E9" i="5"/>
  <c r="C9" i="5"/>
  <c r="H9" i="5"/>
  <c r="F9" i="5"/>
  <c r="D9" i="5"/>
  <c r="B9" i="5"/>
  <c r="G5" i="5"/>
  <c r="E5" i="5"/>
  <c r="C5" i="5"/>
  <c r="H5" i="5"/>
  <c r="F5" i="5"/>
  <c r="D5" i="5"/>
  <c r="B5" i="5"/>
  <c r="G7" i="5"/>
  <c r="E7" i="5"/>
  <c r="C7" i="5"/>
  <c r="H7" i="5"/>
  <c r="F7" i="5"/>
  <c r="D7" i="5"/>
  <c r="B7" i="5"/>
  <c r="G3" i="5"/>
  <c r="G2" i="5" s="1"/>
  <c r="E3" i="5"/>
  <c r="E2" i="5" s="1"/>
  <c r="C3" i="5"/>
  <c r="C2" i="5" s="1"/>
  <c r="H3" i="5"/>
  <c r="H2" i="5" s="1"/>
  <c r="F3" i="5"/>
  <c r="F2" i="5" s="1"/>
  <c r="D3" i="5"/>
  <c r="B3" i="5"/>
  <c r="D2" i="5" l="1"/>
  <c r="I4" i="5"/>
  <c r="D5" i="2" s="1"/>
  <c r="O3" i="4"/>
  <c r="AC3" i="4" s="1"/>
  <c r="M3" i="4"/>
  <c r="AA3" i="4" s="1"/>
  <c r="K3" i="4"/>
  <c r="Y3" i="4" s="1"/>
  <c r="I3" i="4"/>
  <c r="W3" i="4" s="1"/>
  <c r="G3" i="4"/>
  <c r="U3" i="4" s="1"/>
  <c r="E3" i="4"/>
  <c r="S3" i="4" s="1"/>
  <c r="N3" i="4"/>
  <c r="AB3" i="4" s="1"/>
  <c r="L3" i="4"/>
  <c r="Z3" i="4" s="1"/>
  <c r="J3" i="4"/>
  <c r="X3" i="4" s="1"/>
  <c r="H3" i="4"/>
  <c r="V3" i="4" s="1"/>
  <c r="F3" i="4"/>
  <c r="T3" i="4" s="1"/>
  <c r="D3" i="4"/>
  <c r="R3" i="4" s="1"/>
  <c r="I3" i="3"/>
  <c r="W3" i="3" s="1"/>
  <c r="N3" i="3"/>
  <c r="AB3" i="3" s="1"/>
  <c r="L3" i="3"/>
  <c r="Z3" i="3" s="1"/>
  <c r="J3" i="3"/>
  <c r="X3" i="3" s="1"/>
  <c r="H3" i="3"/>
  <c r="V3" i="3" s="1"/>
  <c r="F3" i="3"/>
  <c r="T3" i="3" s="1"/>
  <c r="D3" i="3"/>
  <c r="R3" i="3" s="1"/>
  <c r="O3" i="3"/>
  <c r="AC3" i="3" s="1"/>
  <c r="M3" i="3"/>
  <c r="AA3" i="3" s="1"/>
  <c r="K3" i="3"/>
  <c r="Y3" i="3" s="1"/>
  <c r="G3" i="3"/>
  <c r="U3" i="3" s="1"/>
  <c r="E3" i="3"/>
  <c r="S3" i="3" s="1"/>
  <c r="D3" i="2"/>
  <c r="R3" i="2" s="1"/>
  <c r="O3" i="2"/>
  <c r="AC3" i="2" s="1"/>
  <c r="M3" i="2"/>
  <c r="AA3" i="2" s="1"/>
  <c r="K3" i="2"/>
  <c r="Y3" i="2" s="1"/>
  <c r="I3" i="2"/>
  <c r="W3" i="2" s="1"/>
  <c r="G3" i="2"/>
  <c r="U3" i="2" s="1"/>
  <c r="E3" i="2"/>
  <c r="S3" i="2" s="1"/>
  <c r="N3" i="2"/>
  <c r="AB3" i="2" s="1"/>
  <c r="L3" i="2"/>
  <c r="Z3" i="2" s="1"/>
  <c r="J3" i="2"/>
  <c r="X3" i="2" s="1"/>
  <c r="H3" i="2"/>
  <c r="V3" i="2" s="1"/>
  <c r="F3" i="2"/>
  <c r="T3" i="2" s="1"/>
  <c r="AD2" i="4"/>
  <c r="AC2" i="4"/>
  <c r="AD2" i="3"/>
  <c r="P5" i="2" l="1"/>
  <c r="Q24" i="4"/>
  <c r="O24" i="4"/>
  <c r="N24" i="4"/>
  <c r="M24" i="4"/>
  <c r="L24" i="4"/>
  <c r="K24" i="4"/>
  <c r="J24" i="4"/>
  <c r="I24" i="4"/>
  <c r="H24" i="4"/>
  <c r="G24" i="4"/>
  <c r="F24" i="4"/>
  <c r="E24" i="4"/>
  <c r="D24" i="4"/>
  <c r="D10" i="2"/>
  <c r="E10" i="2"/>
  <c r="F10" i="2"/>
  <c r="G10" i="2"/>
  <c r="H10" i="2"/>
  <c r="I10" i="2"/>
  <c r="J10" i="2"/>
  <c r="K10" i="2"/>
  <c r="L10" i="2"/>
  <c r="M10" i="2"/>
  <c r="N10" i="2"/>
  <c r="O10" i="2"/>
  <c r="Q10" i="3"/>
  <c r="O10" i="3"/>
  <c r="N10" i="3"/>
  <c r="M10" i="3"/>
  <c r="L10" i="3"/>
  <c r="K10" i="3"/>
  <c r="J10" i="3"/>
  <c r="I10" i="3"/>
  <c r="H10" i="3"/>
  <c r="G10" i="3"/>
  <c r="F10" i="3"/>
  <c r="E10" i="3"/>
  <c r="D10" i="3"/>
  <c r="AB6" i="2" l="1"/>
  <c r="AB8" i="2"/>
  <c r="AB5" i="2"/>
  <c r="AB7" i="2"/>
  <c r="AB9" i="2"/>
  <c r="Z6" i="2"/>
  <c r="Z8" i="2"/>
  <c r="Z5" i="2"/>
  <c r="Z7" i="2"/>
  <c r="Z9" i="2"/>
  <c r="X6" i="2"/>
  <c r="X8" i="2"/>
  <c r="X5" i="2"/>
  <c r="X7" i="2"/>
  <c r="X9" i="2"/>
  <c r="V6" i="2"/>
  <c r="V8" i="2"/>
  <c r="V5" i="2"/>
  <c r="V7" i="2"/>
  <c r="V9" i="2"/>
  <c r="T6" i="2"/>
  <c r="T8" i="2"/>
  <c r="T5" i="2"/>
  <c r="T7" i="2"/>
  <c r="T9" i="2"/>
  <c r="R6" i="2"/>
  <c r="R8" i="2"/>
  <c r="R5" i="2"/>
  <c r="R7" i="2"/>
  <c r="R9" i="2"/>
  <c r="AC5" i="2"/>
  <c r="AC7" i="2"/>
  <c r="AC9" i="2"/>
  <c r="AC6" i="2"/>
  <c r="AC8" i="2"/>
  <c r="AA5" i="2"/>
  <c r="AA7" i="2"/>
  <c r="AA9" i="2"/>
  <c r="AA6" i="2"/>
  <c r="AA8" i="2"/>
  <c r="Y5" i="2"/>
  <c r="Y7" i="2"/>
  <c r="Y9" i="2"/>
  <c r="Y6" i="2"/>
  <c r="Y8" i="2"/>
  <c r="W5" i="2"/>
  <c r="W7" i="2"/>
  <c r="W9" i="2"/>
  <c r="W6" i="2"/>
  <c r="W8" i="2"/>
  <c r="U5" i="2"/>
  <c r="U7" i="2"/>
  <c r="U9" i="2"/>
  <c r="U6" i="2"/>
  <c r="U8" i="2"/>
  <c r="S5" i="2"/>
  <c r="S7" i="2"/>
  <c r="S9" i="2"/>
  <c r="S6" i="2"/>
  <c r="S8" i="2"/>
  <c r="U6" i="3"/>
  <c r="U8" i="3"/>
  <c r="U5" i="3"/>
  <c r="U7" i="3"/>
  <c r="U9" i="3"/>
  <c r="W6" i="3"/>
  <c r="W8" i="3"/>
  <c r="W5" i="3"/>
  <c r="W7" i="3"/>
  <c r="W9" i="3"/>
  <c r="Y6" i="3"/>
  <c r="Y8" i="3"/>
  <c r="Y5" i="3"/>
  <c r="Y7" i="3"/>
  <c r="Y9" i="3"/>
  <c r="AA7" i="3"/>
  <c r="AA9" i="3"/>
  <c r="AA8" i="3"/>
  <c r="AA5" i="3"/>
  <c r="AA6" i="3"/>
  <c r="AC7" i="3"/>
  <c r="AC9" i="3"/>
  <c r="AC6" i="3"/>
  <c r="AC8" i="3"/>
  <c r="AC5" i="3"/>
  <c r="N12" i="3"/>
  <c r="N26" i="4" s="1"/>
  <c r="L12" i="3"/>
  <c r="L26" i="4" s="1"/>
  <c r="J12" i="3"/>
  <c r="J26" i="4" s="1"/>
  <c r="H12" i="3"/>
  <c r="H26" i="4" s="1"/>
  <c r="F12" i="3"/>
  <c r="F26" i="4" s="1"/>
  <c r="D12" i="3"/>
  <c r="D26" i="4" s="1"/>
  <c r="S7" i="4"/>
  <c r="S9" i="4"/>
  <c r="S11" i="4"/>
  <c r="S13" i="4"/>
  <c r="S15" i="4"/>
  <c r="S17" i="4"/>
  <c r="S19" i="4"/>
  <c r="S21" i="4"/>
  <c r="S23" i="4"/>
  <c r="S6" i="4"/>
  <c r="S8" i="4"/>
  <c r="S10" i="4"/>
  <c r="S12" i="4"/>
  <c r="S14" i="4"/>
  <c r="S16" i="4"/>
  <c r="S18" i="4"/>
  <c r="S20" i="4"/>
  <c r="S22" i="4"/>
  <c r="S5" i="4"/>
  <c r="U6" i="4"/>
  <c r="U8" i="4"/>
  <c r="U10" i="4"/>
  <c r="U7" i="4"/>
  <c r="U11" i="4"/>
  <c r="U13" i="4"/>
  <c r="U15" i="4"/>
  <c r="U17" i="4"/>
  <c r="U19" i="4"/>
  <c r="U21" i="4"/>
  <c r="U23" i="4"/>
  <c r="U9" i="4"/>
  <c r="U12" i="4"/>
  <c r="U14" i="4"/>
  <c r="U16" i="4"/>
  <c r="U18" i="4"/>
  <c r="U20" i="4"/>
  <c r="U22" i="4"/>
  <c r="U5" i="4"/>
  <c r="W6" i="4"/>
  <c r="W8" i="4"/>
  <c r="W10" i="4"/>
  <c r="W12" i="4"/>
  <c r="W14" i="4"/>
  <c r="W16" i="4"/>
  <c r="W18" i="4"/>
  <c r="W20" i="4"/>
  <c r="W22" i="4"/>
  <c r="W5" i="4"/>
  <c r="W9" i="4"/>
  <c r="W13" i="4"/>
  <c r="W17" i="4"/>
  <c r="W21" i="4"/>
  <c r="W7" i="4"/>
  <c r="W11" i="4"/>
  <c r="W15" i="4"/>
  <c r="W19" i="4"/>
  <c r="W23" i="4"/>
  <c r="Y6" i="4"/>
  <c r="Y8" i="4"/>
  <c r="Y10" i="4"/>
  <c r="Y12" i="4"/>
  <c r="Y14" i="4"/>
  <c r="Y16" i="4"/>
  <c r="Y18" i="4"/>
  <c r="Y20" i="4"/>
  <c r="Y22" i="4"/>
  <c r="Y5" i="4"/>
  <c r="Y7" i="4"/>
  <c r="Y11" i="4"/>
  <c r="Y15" i="4"/>
  <c r="Y19" i="4"/>
  <c r="Y23" i="4"/>
  <c r="Y9" i="4"/>
  <c r="Y13" i="4"/>
  <c r="Y17" i="4"/>
  <c r="Y21" i="4"/>
  <c r="AA6" i="4"/>
  <c r="AA8" i="4"/>
  <c r="AA10" i="4"/>
  <c r="AA12" i="4"/>
  <c r="AA14" i="4"/>
  <c r="AA16" i="4"/>
  <c r="AA18" i="4"/>
  <c r="AA20" i="4"/>
  <c r="AA22" i="4"/>
  <c r="AA5" i="4"/>
  <c r="AA9" i="4"/>
  <c r="AA13" i="4"/>
  <c r="AA17" i="4"/>
  <c r="AA21" i="4"/>
  <c r="AA7" i="4"/>
  <c r="AA11" i="4"/>
  <c r="AA15" i="4"/>
  <c r="AA19" i="4"/>
  <c r="AA23" i="4"/>
  <c r="AC6" i="4"/>
  <c r="AC24" i="4" s="1"/>
  <c r="AC8" i="4"/>
  <c r="AC10" i="4"/>
  <c r="AC12" i="4"/>
  <c r="AC14" i="4"/>
  <c r="AC16" i="4"/>
  <c r="AC18" i="4"/>
  <c r="AC20" i="4"/>
  <c r="AC22" i="4"/>
  <c r="AC5" i="4"/>
  <c r="AC7" i="4"/>
  <c r="AC11" i="4"/>
  <c r="AC15" i="4"/>
  <c r="AC19" i="4"/>
  <c r="AC23" i="4"/>
  <c r="AC9" i="4"/>
  <c r="AC13" i="4"/>
  <c r="AC17" i="4"/>
  <c r="AC21" i="4"/>
  <c r="S6" i="3"/>
  <c r="S8" i="3"/>
  <c r="S5" i="3"/>
  <c r="S7" i="3"/>
  <c r="S9" i="3"/>
  <c r="R7" i="3"/>
  <c r="R9" i="3"/>
  <c r="R6" i="3"/>
  <c r="R8" i="3"/>
  <c r="R5" i="3"/>
  <c r="T7" i="3"/>
  <c r="T9" i="3"/>
  <c r="T6" i="3"/>
  <c r="T8" i="3"/>
  <c r="T5" i="3"/>
  <c r="V7" i="3"/>
  <c r="V9" i="3"/>
  <c r="V6" i="3"/>
  <c r="V8" i="3"/>
  <c r="V5" i="3"/>
  <c r="X7" i="3"/>
  <c r="X9" i="3"/>
  <c r="X6" i="3"/>
  <c r="X8" i="3"/>
  <c r="X5" i="3"/>
  <c r="Z6" i="3"/>
  <c r="Z8" i="3"/>
  <c r="Z9" i="3"/>
  <c r="Z7" i="3"/>
  <c r="Z5" i="3"/>
  <c r="AB6" i="3"/>
  <c r="AB8" i="3"/>
  <c r="AB5" i="3"/>
  <c r="AB7" i="3"/>
  <c r="AB9" i="3"/>
  <c r="O12" i="3"/>
  <c r="O26" i="4" s="1"/>
  <c r="M12" i="3"/>
  <c r="M26" i="4" s="1"/>
  <c r="K12" i="3"/>
  <c r="K26" i="4" s="1"/>
  <c r="I12" i="3"/>
  <c r="I26" i="4" s="1"/>
  <c r="G12" i="3"/>
  <c r="G26" i="4" s="1"/>
  <c r="E12" i="3"/>
  <c r="E26" i="4" s="1"/>
  <c r="R6" i="4"/>
  <c r="R8" i="4"/>
  <c r="R10" i="4"/>
  <c r="R12" i="4"/>
  <c r="R14" i="4"/>
  <c r="R16" i="4"/>
  <c r="R18" i="4"/>
  <c r="R20" i="4"/>
  <c r="R22" i="4"/>
  <c r="R7" i="4"/>
  <c r="R9" i="4"/>
  <c r="R11" i="4"/>
  <c r="R13" i="4"/>
  <c r="R15" i="4"/>
  <c r="R17" i="4"/>
  <c r="R19" i="4"/>
  <c r="R21" i="4"/>
  <c r="R23" i="4"/>
  <c r="T6" i="4"/>
  <c r="T24" i="4" s="1"/>
  <c r="T8" i="4"/>
  <c r="T10" i="4"/>
  <c r="T12" i="4"/>
  <c r="T14" i="4"/>
  <c r="T16" i="4"/>
  <c r="T18" i="4"/>
  <c r="T20" i="4"/>
  <c r="T22" i="4"/>
  <c r="T5" i="4"/>
  <c r="T7" i="4"/>
  <c r="T9" i="4"/>
  <c r="T11" i="4"/>
  <c r="T13" i="4"/>
  <c r="T15" i="4"/>
  <c r="T17" i="4"/>
  <c r="T19" i="4"/>
  <c r="T21" i="4"/>
  <c r="T23" i="4"/>
  <c r="V7" i="4"/>
  <c r="V9" i="4"/>
  <c r="V11" i="4"/>
  <c r="V13" i="4"/>
  <c r="V15" i="4"/>
  <c r="V17" i="4"/>
  <c r="V19" i="4"/>
  <c r="V21" i="4"/>
  <c r="V23" i="4"/>
  <c r="V6" i="4"/>
  <c r="V10" i="4"/>
  <c r="V14" i="4"/>
  <c r="V18" i="4"/>
  <c r="V22" i="4"/>
  <c r="V8" i="4"/>
  <c r="V12" i="4"/>
  <c r="V16" i="4"/>
  <c r="V20" i="4"/>
  <c r="V5" i="4"/>
  <c r="X7" i="4"/>
  <c r="X9" i="4"/>
  <c r="X11" i="4"/>
  <c r="X13" i="4"/>
  <c r="X15" i="4"/>
  <c r="X17" i="4"/>
  <c r="X19" i="4"/>
  <c r="X21" i="4"/>
  <c r="X23" i="4"/>
  <c r="X8" i="4"/>
  <c r="X12" i="4"/>
  <c r="X16" i="4"/>
  <c r="X20" i="4"/>
  <c r="X5" i="4"/>
  <c r="X6" i="4"/>
  <c r="X10" i="4"/>
  <c r="X14" i="4"/>
  <c r="X18" i="4"/>
  <c r="X22" i="4"/>
  <c r="Z7" i="4"/>
  <c r="Z9" i="4"/>
  <c r="Z11" i="4"/>
  <c r="Z13" i="4"/>
  <c r="Z15" i="4"/>
  <c r="Z17" i="4"/>
  <c r="Z19" i="4"/>
  <c r="Z21" i="4"/>
  <c r="Z23" i="4"/>
  <c r="Z6" i="4"/>
  <c r="Z10" i="4"/>
  <c r="Z14" i="4"/>
  <c r="Z18" i="4"/>
  <c r="Z22" i="4"/>
  <c r="Z8" i="4"/>
  <c r="Z12" i="4"/>
  <c r="Z16" i="4"/>
  <c r="Z20" i="4"/>
  <c r="Z5" i="4"/>
  <c r="AB7" i="4"/>
  <c r="AB9" i="4"/>
  <c r="AB11" i="4"/>
  <c r="AB13" i="4"/>
  <c r="AB15" i="4"/>
  <c r="AB17" i="4"/>
  <c r="AB19" i="4"/>
  <c r="AB21" i="4"/>
  <c r="AB23" i="4"/>
  <c r="AB8" i="4"/>
  <c r="AB12" i="4"/>
  <c r="AB16" i="4"/>
  <c r="AB20" i="4"/>
  <c r="AB5" i="4"/>
  <c r="AB6" i="4"/>
  <c r="AB24" i="4" s="1"/>
  <c r="AB10" i="4"/>
  <c r="AB14" i="4"/>
  <c r="AB18" i="4"/>
  <c r="AB22" i="4"/>
  <c r="R5" i="4"/>
  <c r="Y24" i="4"/>
  <c r="U24" i="4"/>
  <c r="P24" i="4"/>
  <c r="X24" i="4"/>
  <c r="P10" i="2"/>
  <c r="P10" i="3"/>
  <c r="AD5" i="2" l="1"/>
  <c r="AD6" i="2"/>
  <c r="AD7" i="2"/>
  <c r="AD8" i="2"/>
  <c r="AD9" i="2"/>
  <c r="S10" i="2"/>
  <c r="W10" i="2"/>
  <c r="AA10" i="2"/>
  <c r="R10" i="2"/>
  <c r="V10" i="2"/>
  <c r="Z10" i="2"/>
  <c r="U10" i="2"/>
  <c r="Y10" i="2"/>
  <c r="AC10" i="2"/>
  <c r="T10" i="2"/>
  <c r="X10" i="2"/>
  <c r="AB10" i="2"/>
  <c r="P12" i="3"/>
  <c r="Z12" i="3" s="1"/>
  <c r="AD7" i="4"/>
  <c r="AD9" i="4"/>
  <c r="AD11" i="4"/>
  <c r="AD13" i="4"/>
  <c r="AD15" i="4"/>
  <c r="AD17" i="4"/>
  <c r="AD19" i="4"/>
  <c r="AD21" i="4"/>
  <c r="AD23" i="4"/>
  <c r="AD20" i="4"/>
  <c r="AD16" i="4"/>
  <c r="AD12" i="4"/>
  <c r="AD8" i="4"/>
  <c r="AD22" i="4"/>
  <c r="AD18" i="4"/>
  <c r="AD14" i="4"/>
  <c r="AD10" i="4"/>
  <c r="AD6" i="4"/>
  <c r="AD5" i="4"/>
  <c r="AD7" i="3"/>
  <c r="AD8" i="3"/>
  <c r="AD9" i="3"/>
  <c r="AD6" i="3"/>
  <c r="AD5" i="3"/>
  <c r="X10" i="3"/>
  <c r="AC10" i="3"/>
  <c r="AB10" i="3"/>
  <c r="V24" i="4"/>
  <c r="R24" i="4"/>
  <c r="Z24" i="4"/>
  <c r="W24" i="4"/>
  <c r="S24" i="4"/>
  <c r="P26" i="4"/>
  <c r="X26" i="4" s="1"/>
  <c r="AA24" i="4"/>
  <c r="U10" i="3"/>
  <c r="T10" i="3"/>
  <c r="W10" i="3"/>
  <c r="Y10" i="3"/>
  <c r="S10" i="3"/>
  <c r="AA10" i="3"/>
  <c r="Z10" i="3"/>
  <c r="R10" i="3"/>
  <c r="V10" i="3"/>
  <c r="AD10" i="2" l="1"/>
  <c r="AD10" i="3"/>
  <c r="AD24" i="4"/>
  <c r="T26" i="4"/>
  <c r="V26" i="4"/>
  <c r="AB26" i="4"/>
  <c r="U26" i="4"/>
  <c r="R26" i="4"/>
  <c r="AD26" i="4"/>
  <c r="S26" i="4"/>
  <c r="W26" i="4"/>
  <c r="AA26" i="4"/>
  <c r="AC26" i="4"/>
  <c r="Z26" i="4"/>
  <c r="Y26" i="4"/>
  <c r="AA12" i="3"/>
  <c r="U12" i="3"/>
  <c r="AD12" i="3"/>
  <c r="V12" i="3"/>
  <c r="T12" i="3"/>
  <c r="X12" i="3"/>
  <c r="W12" i="3"/>
  <c r="AB12" i="3"/>
  <c r="Y12" i="3"/>
  <c r="AC12" i="3"/>
  <c r="R12" i="3"/>
  <c r="S12" i="3"/>
</calcChain>
</file>

<file path=xl/sharedStrings.xml><?xml version="1.0" encoding="utf-8"?>
<sst xmlns="http://schemas.openxmlformats.org/spreadsheetml/2006/main" count="308" uniqueCount="98">
  <si>
    <t>Douze mois</t>
  </si>
  <si>
    <t>CHIFFRE D’AFFAIRES (VENTES)</t>
  </si>
  <si>
    <t>TOTAL DES VENTES</t>
  </si>
  <si>
    <t>TENDANCE</t>
  </si>
  <si>
    <t>Mars</t>
  </si>
  <si>
    <t>Mai</t>
  </si>
  <si>
    <t>Juin</t>
  </si>
  <si>
    <t>Août</t>
  </si>
  <si>
    <t>ANNUEL</t>
  </si>
  <si>
    <t>Annuel</t>
  </si>
  <si>
    <t>DÉBUT DE L’EXERCICE :</t>
  </si>
  <si>
    <t>Nom de l’entreprise</t>
  </si>
  <si>
    <t>COÛT DES VENTES</t>
  </si>
  <si>
    <t>COÛT TOTAL DES VENTES</t>
  </si>
  <si>
    <t>Marge brute</t>
  </si>
  <si>
    <t>EXERCICE :</t>
  </si>
  <si>
    <t>DÉPENSES</t>
  </si>
  <si>
    <t xml:space="preserve">Dépenses salariales </t>
  </si>
  <si>
    <t xml:space="preserve">Charges sociales </t>
  </si>
  <si>
    <t>Services extérieurs</t>
  </si>
  <si>
    <t>Fournitures (bureau et exploitation)</t>
  </si>
  <si>
    <t>Réparations et entretien</t>
  </si>
  <si>
    <t>Publicité</t>
  </si>
  <si>
    <t>Voiture, livraison et transport</t>
  </si>
  <si>
    <t>Comptabilité et juridique</t>
  </si>
  <si>
    <t>Loyer</t>
  </si>
  <si>
    <t>Téléphone</t>
  </si>
  <si>
    <t>Charges</t>
  </si>
  <si>
    <t>Assurance</t>
  </si>
  <si>
    <t>Taxes (immobilier, etc.)</t>
  </si>
  <si>
    <t>Intérêts</t>
  </si>
  <si>
    <t>Amortissement</t>
  </si>
  <si>
    <t>Autres dépenses (à préciser)</t>
  </si>
  <si>
    <t>Divers (non spécifié)</t>
  </si>
  <si>
    <t>DÉPENSES TOTALES</t>
  </si>
  <si>
    <t>Bénéfices nets</t>
  </si>
  <si>
    <t xml:space="preserve"> </t>
  </si>
  <si>
    <t>Colonne1</t>
  </si>
  <si>
    <t>INDEX %</t>
  </si>
  <si>
    <t>ANNÉE %</t>
  </si>
  <si>
    <t>JANV</t>
  </si>
  <si>
    <t>Janv</t>
  </si>
  <si>
    <t>Févr</t>
  </si>
  <si>
    <t>Avr</t>
  </si>
  <si>
    <t>Juil</t>
  </si>
  <si>
    <t>Sept</t>
  </si>
  <si>
    <t>Oct</t>
  </si>
  <si>
    <t>Nov</t>
  </si>
  <si>
    <t>Déc</t>
  </si>
  <si>
    <t>Index %</t>
  </si>
  <si>
    <t>Avr %</t>
  </si>
  <si>
    <t>Mai %</t>
  </si>
  <si>
    <t>Oct %</t>
  </si>
  <si>
    <t>Nov %</t>
  </si>
  <si>
    <t>Déc %</t>
  </si>
  <si>
    <t>Année %</t>
  </si>
  <si>
    <t>Jan %</t>
  </si>
  <si>
    <t>Fév %</t>
  </si>
  <si>
    <t>Mar %</t>
  </si>
  <si>
    <t>Jui %</t>
  </si>
  <si>
    <t>Aoû %</t>
  </si>
  <si>
    <t>Sep %</t>
  </si>
  <si>
    <t xml:space="preserve">Jui % </t>
  </si>
  <si>
    <t>Semaine 1</t>
  </si>
  <si>
    <t>Semaine 2</t>
  </si>
  <si>
    <t>Semaine 3</t>
  </si>
  <si>
    <t>Semaine 4</t>
  </si>
  <si>
    <t>Semaine 5</t>
  </si>
  <si>
    <t>PARAMÈTRES DU CALENDRIER</t>
  </si>
  <si>
    <t>ANNÉE</t>
  </si>
  <si>
    <t>DÉBUT DE LA SEMAINE</t>
  </si>
  <si>
    <t>DIMANCHE</t>
  </si>
  <si>
    <t>NOTES</t>
  </si>
  <si>
    <t>CA de la semaine</t>
  </si>
  <si>
    <t>SAMEDI</t>
  </si>
  <si>
    <t>LUNDI</t>
  </si>
  <si>
    <t>MARDI</t>
  </si>
  <si>
    <t>MERCREDI</t>
  </si>
  <si>
    <t>JEUDI</t>
  </si>
  <si>
    <t>VENDREDI</t>
  </si>
  <si>
    <t>DEPÔT en Banque</t>
  </si>
  <si>
    <t>Nbres de billets</t>
  </si>
  <si>
    <t>Nbres de Pièces</t>
  </si>
  <si>
    <t>BILLETS</t>
  </si>
  <si>
    <t>PIECES</t>
  </si>
  <si>
    <t>TOTAUX GLOBALES</t>
  </si>
  <si>
    <t>DATE</t>
  </si>
  <si>
    <t>mercredi 06 février 2019 17:41</t>
  </si>
  <si>
    <t>mercredi 06 février 2019 17:47</t>
  </si>
  <si>
    <t>mercredi 06 février 2019 17:48</t>
  </si>
  <si>
    <t>mercredi 06 février 2019 19:37</t>
  </si>
  <si>
    <t>mercredi 06 février 2019 19:39</t>
  </si>
  <si>
    <t>Réf</t>
  </si>
  <si>
    <t>vendredi 08 février 2019 14:44</t>
  </si>
  <si>
    <t>vendredi 08 février 2019 14:46</t>
  </si>
  <si>
    <t>vendredi 08 février 2019-14:46</t>
  </si>
  <si>
    <t>vendredi 08 février 2019 17:50</t>
  </si>
  <si>
    <t>&lt;== ne pas supprimer w1</t>
  </si>
</sst>
</file>

<file path=xl/styles.xml><?xml version="1.0" encoding="utf-8"?>
<styleSheet xmlns="http://schemas.openxmlformats.org/spreadsheetml/2006/main" xmlns:mc="http://schemas.openxmlformats.org/markup-compatibility/2006" xmlns:x14ac="http://schemas.microsoft.com/office/spreadsheetml/2009/9/ac" mc:Ignorable="x14ac">
  <numFmts count="12">
    <numFmt numFmtId="42" formatCode="_-* #,##0\ &quot;€&quot;_-;\-* #,##0\ &quot;€&quot;_-;_-* &quot;-&quot;\ &quot;€&quot;_-;_-@_-"/>
    <numFmt numFmtId="44" formatCode="_-* #,##0.00\ &quot;€&quot;_-;\-* #,##0.00\ &quot;€&quot;_-;_-* &quot;-&quot;??\ &quot;€&quot;_-;_-@_-"/>
    <numFmt numFmtId="164" formatCode="_(&quot;$&quot;* #,##0_);_(&quot;$&quot;* \(#,##0\);_(&quot;$&quot;* &quot;-&quot;_);_(@_)"/>
    <numFmt numFmtId="165" formatCode="_(* #,##0_);_(* \(#,##0\);_(* &quot;-&quot;_);_(@_)"/>
    <numFmt numFmtId="166" formatCode="_(* #,##0.00_);_(* \(#,##0.00\);_(* &quot;-&quot;??_);_(@_)"/>
    <numFmt numFmtId="167" formatCode=";;;"/>
    <numFmt numFmtId="168" formatCode="0%;;&quot;-&quot;;"/>
    <numFmt numFmtId="169" formatCode="[$-40C]mmm\-yy;@"/>
    <numFmt numFmtId="170" formatCode="d"/>
    <numFmt numFmtId="171" formatCode="#,##0.00\ &quot;€&quot;"/>
    <numFmt numFmtId="172" formatCode="_-* #,##0\ &quot;€&quot;_-;\-* #,##0\ &quot;€&quot;_-;_-* &quot;-&quot;??\ &quot;€&quot;_-;_-@_-"/>
    <numFmt numFmtId="173" formatCode="dd\ mmmm\ yyyy\ hh:mm"/>
  </numFmts>
  <fonts count="43" x14ac:knownFonts="1">
    <font>
      <sz val="11"/>
      <color theme="1"/>
      <name val="Century Gothic"/>
      <family val="2"/>
      <scheme val="minor"/>
    </font>
    <font>
      <sz val="11"/>
      <color theme="1"/>
      <name val="Century Gothic"/>
      <family val="2"/>
      <scheme val="minor"/>
    </font>
    <font>
      <b/>
      <sz val="12"/>
      <color theme="0"/>
      <name val="Century Gothic"/>
      <family val="2"/>
      <scheme val="minor"/>
    </font>
    <font>
      <b/>
      <sz val="12"/>
      <color theme="8"/>
      <name val="Bookman Old Style"/>
      <family val="1"/>
      <scheme val="major"/>
    </font>
    <font>
      <b/>
      <sz val="26"/>
      <color theme="3"/>
      <name val="Century Gothic"/>
      <family val="2"/>
      <scheme val="minor"/>
    </font>
    <font>
      <b/>
      <sz val="22"/>
      <color theme="3"/>
      <name val="Century Gothic"/>
      <family val="2"/>
      <scheme val="minor"/>
    </font>
    <font>
      <b/>
      <sz val="12"/>
      <color theme="3"/>
      <name val="Century Gothic"/>
      <family val="2"/>
      <scheme val="minor"/>
    </font>
    <font>
      <b/>
      <i/>
      <sz val="22"/>
      <color theme="7"/>
      <name val="Bookman Old Style"/>
      <family val="1"/>
      <scheme val="major"/>
    </font>
    <font>
      <b/>
      <sz val="11"/>
      <color theme="8"/>
      <name val="Century Gothic"/>
      <family val="2"/>
      <scheme val="minor"/>
    </font>
    <font>
      <b/>
      <sz val="11"/>
      <color theme="0"/>
      <name val="Century Gothic"/>
      <family val="2"/>
      <scheme val="minor"/>
    </font>
    <font>
      <sz val="11"/>
      <color theme="3"/>
      <name val="Bookman Old Style"/>
      <family val="1"/>
      <scheme val="major"/>
    </font>
    <font>
      <sz val="11"/>
      <name val="Century Gothic"/>
      <family val="2"/>
      <scheme val="minor"/>
    </font>
    <font>
      <b/>
      <i/>
      <sz val="16"/>
      <color theme="7" tint="-0.24994659260841701"/>
      <name val="Bookman Old Style"/>
      <family val="1"/>
      <scheme val="major"/>
    </font>
    <font>
      <b/>
      <i/>
      <sz val="22"/>
      <color theme="7" tint="-0.24994659260841701"/>
      <name val="Bookman Old Style"/>
      <family val="1"/>
      <scheme val="major"/>
    </font>
    <font>
      <sz val="11"/>
      <color theme="1"/>
      <name val="Arial"/>
      <family val="2"/>
    </font>
    <font>
      <b/>
      <i/>
      <sz val="16"/>
      <color theme="7" tint="-0.24994659260841701"/>
      <name val="Arial"/>
      <family val="2"/>
    </font>
    <font>
      <b/>
      <i/>
      <sz val="22"/>
      <color theme="7"/>
      <name val="Arial"/>
      <family val="2"/>
    </font>
    <font>
      <b/>
      <i/>
      <sz val="22"/>
      <color theme="7" tint="-0.24994659260841701"/>
      <name val="Arial"/>
      <family val="2"/>
    </font>
    <font>
      <b/>
      <sz val="22"/>
      <color theme="3"/>
      <name val="Arial"/>
      <family val="2"/>
    </font>
    <font>
      <b/>
      <sz val="26"/>
      <color theme="3"/>
      <name val="Arial"/>
      <family val="2"/>
    </font>
    <font>
      <b/>
      <sz val="11"/>
      <color theme="8"/>
      <name val="Arial"/>
      <family val="2"/>
    </font>
    <font>
      <b/>
      <sz val="12"/>
      <color theme="8"/>
      <name val="Arial"/>
      <family val="2"/>
    </font>
    <font>
      <sz val="11"/>
      <color theme="3"/>
      <name val="Arial"/>
      <family val="2"/>
    </font>
    <font>
      <b/>
      <sz val="12"/>
      <color theme="3"/>
      <name val="Arial"/>
      <family val="2"/>
    </font>
    <font>
      <sz val="10"/>
      <color theme="1"/>
      <name val="Arial"/>
      <family val="2"/>
    </font>
    <font>
      <sz val="11"/>
      <name val="Arial"/>
      <family val="2"/>
    </font>
    <font>
      <b/>
      <sz val="11"/>
      <color theme="1"/>
      <name val="Arial"/>
      <family val="2"/>
    </font>
    <font>
      <sz val="12"/>
      <color theme="4" tint="-0.24994659260841701"/>
      <name val="Bookman Old Style"/>
      <family val="1"/>
      <scheme val="major"/>
    </font>
    <font>
      <sz val="11"/>
      <color theme="1" tint="0.34998626667073579"/>
      <name val="Century Gothic"/>
      <family val="2"/>
      <scheme val="minor"/>
    </font>
    <font>
      <sz val="10"/>
      <name val="Arial"/>
      <family val="2"/>
    </font>
    <font>
      <sz val="12"/>
      <color theme="4" tint="-0.24994659260841701"/>
      <name val="Arial"/>
      <family val="2"/>
    </font>
    <font>
      <sz val="11"/>
      <color theme="1" tint="0.34998626667073579"/>
      <name val="Arial"/>
      <family val="2"/>
    </font>
    <font>
      <b/>
      <sz val="11"/>
      <color theme="1" tint="0.34998626667073579"/>
      <name val="Arial"/>
      <family val="2"/>
    </font>
    <font>
      <sz val="11"/>
      <color theme="0"/>
      <name val="Arial"/>
      <family val="2"/>
    </font>
    <font>
      <b/>
      <sz val="11"/>
      <color rgb="FFFF0000"/>
      <name val="Arial"/>
      <family val="2"/>
    </font>
    <font>
      <sz val="11"/>
      <color rgb="FF000000"/>
      <name val="Calibri"/>
      <family val="2"/>
    </font>
    <font>
      <sz val="9"/>
      <color theme="1"/>
      <name val="Arial"/>
      <family val="2"/>
    </font>
    <font>
      <b/>
      <sz val="11"/>
      <color rgb="FFFFFF00"/>
      <name val="Arial"/>
      <family val="2"/>
    </font>
    <font>
      <b/>
      <sz val="10"/>
      <color theme="0"/>
      <name val="Arial"/>
      <family val="2"/>
    </font>
    <font>
      <sz val="8"/>
      <color theme="1"/>
      <name val="Arial"/>
      <family val="2"/>
    </font>
    <font>
      <b/>
      <sz val="10"/>
      <color theme="1"/>
      <name val="Arial"/>
      <family val="2"/>
    </font>
    <font>
      <b/>
      <sz val="10"/>
      <color rgb="FFFFFF00"/>
      <name val="Arial"/>
      <family val="2"/>
    </font>
    <font>
      <sz val="20"/>
      <color theme="0"/>
      <name val="Arial"/>
      <family val="2"/>
    </font>
  </fonts>
  <fills count="18">
    <fill>
      <patternFill patternType="none"/>
    </fill>
    <fill>
      <patternFill patternType="gray125"/>
    </fill>
    <fill>
      <patternFill patternType="solid">
        <fgColor theme="3"/>
        <bgColor indexed="64"/>
      </patternFill>
    </fill>
    <fill>
      <patternFill patternType="solid">
        <fgColor theme="4" tint="0.39997558519241921"/>
        <bgColor indexed="64"/>
      </patternFill>
    </fill>
    <fill>
      <patternFill patternType="solid">
        <fgColor rgb="FFFFFFCC"/>
      </patternFill>
    </fill>
    <fill>
      <patternFill patternType="solid">
        <fgColor theme="5" tint="0.39994506668294322"/>
        <bgColor indexed="64"/>
      </patternFill>
    </fill>
    <fill>
      <patternFill patternType="solid">
        <fgColor theme="6" tint="0.39994506668294322"/>
        <bgColor indexed="64"/>
      </patternFill>
    </fill>
    <fill>
      <patternFill patternType="solid">
        <fgColor rgb="FFFFFF00"/>
        <bgColor indexed="64"/>
      </patternFill>
    </fill>
    <fill>
      <patternFill patternType="solid">
        <fgColor indexed="9"/>
        <bgColor indexed="64"/>
      </patternFill>
    </fill>
    <fill>
      <patternFill patternType="solid">
        <fgColor theme="2"/>
        <bgColor indexed="64"/>
      </patternFill>
    </fill>
    <fill>
      <patternFill patternType="solid">
        <fgColor theme="3" tint="0.749992370372631"/>
        <bgColor indexed="64"/>
      </patternFill>
    </fill>
    <fill>
      <patternFill patternType="solid">
        <fgColor theme="0"/>
        <bgColor indexed="64"/>
      </patternFill>
    </fill>
    <fill>
      <patternFill patternType="solid">
        <fgColor rgb="FF00FF00"/>
        <bgColor indexed="64"/>
      </patternFill>
    </fill>
    <fill>
      <patternFill patternType="solid">
        <fgColor theme="2" tint="-4.9989318521683403E-2"/>
        <bgColor indexed="64"/>
      </patternFill>
    </fill>
    <fill>
      <patternFill patternType="solid">
        <fgColor theme="3" tint="0.79998168889431442"/>
        <bgColor indexed="64"/>
      </patternFill>
    </fill>
    <fill>
      <patternFill patternType="solid">
        <fgColor theme="5" tint="0.59999389629810485"/>
        <bgColor indexed="64"/>
      </patternFill>
    </fill>
    <fill>
      <patternFill patternType="solid">
        <fgColor theme="3" tint="-0.249977111117893"/>
        <bgColor indexed="64"/>
      </patternFill>
    </fill>
    <fill>
      <patternFill patternType="solid">
        <fgColor rgb="FFFF0000"/>
        <bgColor indexed="64"/>
      </patternFill>
    </fill>
  </fills>
  <borders count="7">
    <border>
      <left/>
      <right/>
      <top/>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bottom style="thin">
        <color auto="1"/>
      </bottom>
      <diagonal/>
    </border>
    <border>
      <left/>
      <right/>
      <top/>
      <bottom style="dotted">
        <color theme="3"/>
      </bottom>
      <diagonal/>
    </border>
    <border>
      <left/>
      <right/>
      <top style="thin">
        <color theme="0"/>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s>
  <cellStyleXfs count="23">
    <xf numFmtId="0" fontId="0" fillId="0" borderId="0"/>
    <xf numFmtId="9" fontId="11" fillId="0" borderId="0" applyFill="0" applyBorder="0" applyProtection="0">
      <alignment horizontal="right"/>
    </xf>
    <xf numFmtId="0" fontId="5" fillId="0" borderId="0" applyNumberFormat="0" applyFill="0" applyBorder="0" applyProtection="0">
      <alignment vertical="center"/>
    </xf>
    <xf numFmtId="0" fontId="12" fillId="0" borderId="3" applyProtection="0">
      <alignment vertical="center"/>
    </xf>
    <xf numFmtId="166" fontId="1" fillId="0" borderId="0" applyFont="0" applyFill="0" applyBorder="0" applyAlignment="0" applyProtection="0"/>
    <xf numFmtId="165" fontId="1" fillId="0" borderId="0" applyFont="0" applyFill="0" applyBorder="0" applyAlignment="0" applyProtection="0"/>
    <xf numFmtId="42" fontId="11" fillId="0" borderId="0" applyFill="0" applyBorder="0" applyAlignment="0" applyProtection="0"/>
    <xf numFmtId="0" fontId="1" fillId="4" borderId="1" applyNumberFormat="0" applyFont="0" applyAlignment="0" applyProtection="0"/>
    <xf numFmtId="0" fontId="2" fillId="2" borderId="0">
      <alignment horizontal="right" vertical="center" indent="1"/>
    </xf>
    <xf numFmtId="42" fontId="9" fillId="2" borderId="0" applyBorder="0" applyAlignment="0" applyProtection="0"/>
    <xf numFmtId="9" fontId="9" fillId="2" borderId="0" applyBorder="0" applyAlignment="0" applyProtection="0"/>
    <xf numFmtId="0" fontId="1" fillId="0" borderId="0">
      <alignment horizontal="right" wrapText="1" indent="1"/>
    </xf>
    <xf numFmtId="0" fontId="13" fillId="0" borderId="0" applyFill="0" applyProtection="0">
      <alignment horizontal="right" vertical="center"/>
    </xf>
    <xf numFmtId="0" fontId="3" fillId="0" borderId="0" applyFill="0" applyProtection="0">
      <alignment horizontal="right" vertical="center"/>
    </xf>
    <xf numFmtId="169" fontId="10" fillId="0" borderId="2" applyFill="0" applyProtection="0">
      <alignment horizontal="center" vertical="center"/>
    </xf>
    <xf numFmtId="0" fontId="6" fillId="0" borderId="0">
      <alignment horizontal="right" indent="1"/>
    </xf>
    <xf numFmtId="164" fontId="1" fillId="5" borderId="4" applyNumberFormat="0" applyFont="0" applyAlignment="0">
      <alignment horizontal="center"/>
    </xf>
    <xf numFmtId="42" fontId="11" fillId="3" borderId="4" applyNumberFormat="0" applyFont="0" applyAlignment="0"/>
    <xf numFmtId="164" fontId="11" fillId="6" borderId="4" applyNumberFormat="0" applyFont="0" applyAlignment="0"/>
    <xf numFmtId="0" fontId="27" fillId="0" borderId="0">
      <alignment horizontal="left" indent="1"/>
    </xf>
    <xf numFmtId="170" fontId="28" fillId="0" borderId="0">
      <alignment horizontal="left" indent="1"/>
    </xf>
    <xf numFmtId="0" fontId="11" fillId="9" borderId="0" applyNumberFormat="0" applyFont="0" applyBorder="0" applyAlignment="0">
      <alignment horizontal="left" vertical="center" indent="1"/>
    </xf>
    <xf numFmtId="44" fontId="1" fillId="0" borderId="0" applyFont="0" applyFill="0" applyBorder="0" applyAlignment="0" applyProtection="0"/>
  </cellStyleXfs>
  <cellXfs count="119">
    <xf numFmtId="0" fontId="0" fillId="0" borderId="0" xfId="0"/>
    <xf numFmtId="0" fontId="0" fillId="0" borderId="0" xfId="0" applyBorder="1"/>
    <xf numFmtId="0" fontId="0" fillId="0" borderId="0" xfId="0" applyAlignment="1"/>
    <xf numFmtId="0" fontId="4" fillId="0" borderId="0" xfId="0" applyFont="1" applyBorder="1" applyAlignment="1">
      <alignment vertical="center"/>
    </xf>
    <xf numFmtId="0" fontId="5" fillId="0" borderId="0" xfId="2" applyBorder="1" applyAlignment="1">
      <alignment vertical="center"/>
    </xf>
    <xf numFmtId="0" fontId="8" fillId="0" borderId="0" xfId="0" applyFont="1"/>
    <xf numFmtId="0" fontId="0" fillId="0" borderId="0" xfId="0" applyNumberFormat="1"/>
    <xf numFmtId="0" fontId="7" fillId="0" borderId="0" xfId="0" applyFont="1" applyBorder="1" applyAlignment="1">
      <alignment horizontal="right" vertical="center"/>
    </xf>
    <xf numFmtId="0" fontId="0" fillId="0" borderId="0" xfId="0" applyAlignment="1">
      <alignment horizontal="center"/>
    </xf>
    <xf numFmtId="0" fontId="0" fillId="0" borderId="0" xfId="0" applyFont="1" applyFill="1" applyBorder="1" applyAlignment="1">
      <alignment horizontal="right" indent="1"/>
    </xf>
    <xf numFmtId="0" fontId="0" fillId="0" borderId="0" xfId="0" applyFont="1" applyFill="1" applyBorder="1" applyAlignment="1">
      <alignment horizontal="center"/>
    </xf>
    <xf numFmtId="0" fontId="0" fillId="0" borderId="0" xfId="0"/>
    <xf numFmtId="0" fontId="2" fillId="2" borderId="0" xfId="8">
      <alignment horizontal="right" vertical="center" indent="1"/>
    </xf>
    <xf numFmtId="9" fontId="9" fillId="2" borderId="0" xfId="10" applyFill="1" applyAlignment="1">
      <alignment horizontal="right" vertical="center" indent="1"/>
    </xf>
    <xf numFmtId="0" fontId="1" fillId="0" borderId="0" xfId="11">
      <alignment horizontal="right" wrapText="1" indent="1"/>
    </xf>
    <xf numFmtId="168" fontId="0" fillId="0" borderId="0" xfId="0" applyNumberFormat="1" applyFont="1" applyFill="1" applyBorder="1" applyAlignment="1">
      <alignment horizontal="right"/>
    </xf>
    <xf numFmtId="0" fontId="0" fillId="0" borderId="0" xfId="0" applyAlignment="1">
      <alignment horizontal="center"/>
    </xf>
    <xf numFmtId="0" fontId="13" fillId="0" borderId="0" xfId="12">
      <alignment horizontal="right" vertical="center"/>
    </xf>
    <xf numFmtId="0" fontId="3" fillId="0" borderId="0" xfId="13">
      <alignment horizontal="right" vertical="center"/>
    </xf>
    <xf numFmtId="169" fontId="10" fillId="0" borderId="2" xfId="14">
      <alignment horizontal="center" vertical="center"/>
    </xf>
    <xf numFmtId="0" fontId="12" fillId="0" borderId="3" xfId="3">
      <alignment vertical="center"/>
    </xf>
    <xf numFmtId="167" fontId="0" fillId="0" borderId="0" xfId="0" applyNumberFormat="1" applyFont="1" applyFill="1" applyBorder="1" applyAlignment="1">
      <alignment horizontal="center"/>
    </xf>
    <xf numFmtId="167" fontId="0" fillId="0" borderId="0" xfId="0" applyNumberFormat="1" applyFont="1" applyFill="1" applyBorder="1" applyAlignment="1">
      <alignment horizontal="right"/>
    </xf>
    <xf numFmtId="42" fontId="0" fillId="0" borderId="0" xfId="6" applyFont="1" applyFill="1" applyBorder="1"/>
    <xf numFmtId="9" fontId="0" fillId="0" borderId="0" xfId="1" applyFont="1" applyFill="1" applyBorder="1" applyAlignment="1">
      <alignment horizontal="right"/>
    </xf>
    <xf numFmtId="0" fontId="0" fillId="0" borderId="0" xfId="0" applyFont="1" applyFill="1" applyBorder="1"/>
    <xf numFmtId="9" fontId="0" fillId="0" borderId="0" xfId="0" applyNumberFormat="1" applyFont="1" applyFill="1" applyBorder="1" applyAlignment="1">
      <alignment horizontal="right"/>
    </xf>
    <xf numFmtId="0" fontId="6" fillId="0" borderId="0" xfId="15">
      <alignment horizontal="right" indent="1"/>
    </xf>
    <xf numFmtId="0" fontId="5" fillId="0" borderId="0" xfId="2" applyBorder="1">
      <alignment vertical="center"/>
    </xf>
    <xf numFmtId="0" fontId="0" fillId="3" borderId="4" xfId="17" applyNumberFormat="1" applyFont="1"/>
    <xf numFmtId="0" fontId="0" fillId="6" borderId="4" xfId="18" applyNumberFormat="1" applyFont="1" applyAlignment="1">
      <alignment horizontal="center"/>
    </xf>
    <xf numFmtId="42" fontId="11" fillId="6" borderId="4" xfId="6" applyFill="1" applyBorder="1"/>
    <xf numFmtId="9" fontId="11" fillId="6" borderId="4" xfId="1" applyFill="1" applyBorder="1" applyAlignment="1">
      <alignment horizontal="right"/>
    </xf>
    <xf numFmtId="169" fontId="10" fillId="0" borderId="2" xfId="14" applyNumberFormat="1">
      <alignment horizontal="center" vertical="center"/>
    </xf>
    <xf numFmtId="42" fontId="0" fillId="0" borderId="0" xfId="0" applyNumberFormat="1" applyFont="1" applyFill="1" applyBorder="1"/>
    <xf numFmtId="42" fontId="9" fillId="2" borderId="0" xfId="9" applyNumberFormat="1" applyFill="1" applyAlignment="1">
      <alignment horizontal="right" vertical="center" indent="1"/>
    </xf>
    <xf numFmtId="42" fontId="11" fillId="3" borderId="4" xfId="6" applyFill="1" applyBorder="1"/>
    <xf numFmtId="9" fontId="11" fillId="3" borderId="4" xfId="1" applyFill="1" applyBorder="1">
      <alignment horizontal="right"/>
    </xf>
    <xf numFmtId="0" fontId="14" fillId="0" borderId="0" xfId="0" applyNumberFormat="1" applyFont="1"/>
    <xf numFmtId="0" fontId="15" fillId="0" borderId="3" xfId="3" applyFont="1">
      <alignment vertical="center"/>
    </xf>
    <xf numFmtId="0" fontId="14" fillId="0" borderId="0" xfId="0" applyFont="1"/>
    <xf numFmtId="0" fontId="14" fillId="0" borderId="0" xfId="0" applyFont="1" applyAlignment="1">
      <alignment horizontal="center"/>
    </xf>
    <xf numFmtId="0" fontId="16" fillId="0" borderId="0" xfId="0" applyFont="1" applyBorder="1" applyAlignment="1">
      <alignment horizontal="right" vertical="center"/>
    </xf>
    <xf numFmtId="0" fontId="17" fillId="0" borderId="0" xfId="12" applyFont="1">
      <alignment horizontal="right" vertical="center"/>
    </xf>
    <xf numFmtId="0" fontId="18" fillId="0" borderId="0" xfId="2" applyFont="1" applyBorder="1" applyAlignment="1">
      <alignment vertical="center"/>
    </xf>
    <xf numFmtId="0" fontId="19" fillId="0" borderId="0" xfId="0" applyFont="1" applyBorder="1" applyAlignment="1">
      <alignment vertical="center"/>
    </xf>
    <xf numFmtId="0" fontId="20" fillId="0" borderId="0" xfId="0" applyFont="1"/>
    <xf numFmtId="0" fontId="21" fillId="0" borderId="0" xfId="13" applyFont="1">
      <alignment horizontal="right" vertical="center"/>
    </xf>
    <xf numFmtId="0" fontId="21" fillId="0" borderId="0" xfId="13" applyNumberFormat="1" applyFont="1">
      <alignment horizontal="right" vertical="center"/>
    </xf>
    <xf numFmtId="169" fontId="22" fillId="0" borderId="2" xfId="14" applyNumberFormat="1" applyFont="1">
      <alignment horizontal="center" vertical="center"/>
    </xf>
    <xf numFmtId="0" fontId="23" fillId="0" borderId="0" xfId="15" applyFont="1">
      <alignment horizontal="right" indent="1"/>
    </xf>
    <xf numFmtId="167" fontId="14" fillId="0" borderId="0" xfId="0" applyNumberFormat="1" applyFont="1" applyFill="1" applyBorder="1" applyAlignment="1">
      <alignment horizontal="center"/>
    </xf>
    <xf numFmtId="167" fontId="14" fillId="0" borderId="0" xfId="0" applyNumberFormat="1" applyFont="1" applyFill="1" applyBorder="1" applyAlignment="1">
      <alignment horizontal="right"/>
    </xf>
    <xf numFmtId="0" fontId="14" fillId="0" borderId="0" xfId="11" applyFont="1">
      <alignment horizontal="right" wrapText="1" indent="1"/>
    </xf>
    <xf numFmtId="0" fontId="24" fillId="5" borderId="4" xfId="16" applyNumberFormat="1" applyFont="1" applyAlignment="1">
      <alignment horizontal="center"/>
    </xf>
    <xf numFmtId="42" fontId="25" fillId="0" borderId="0" xfId="6" applyNumberFormat="1" applyFont="1" applyFill="1" applyBorder="1"/>
    <xf numFmtId="42" fontId="25" fillId="5" borderId="4" xfId="6" applyNumberFormat="1" applyFont="1" applyFill="1" applyBorder="1" applyAlignment="1">
      <alignment horizontal="center"/>
    </xf>
    <xf numFmtId="9" fontId="25" fillId="0" borderId="0" xfId="1" applyFont="1" applyFill="1" applyBorder="1" applyAlignment="1">
      <alignment horizontal="right"/>
    </xf>
    <xf numFmtId="9" fontId="25" fillId="5" borderId="4" xfId="1" applyFont="1" applyFill="1" applyBorder="1" applyAlignment="1">
      <alignment horizontal="right"/>
    </xf>
    <xf numFmtId="9" fontId="25" fillId="5" borderId="4" xfId="1" applyFont="1" applyFill="1" applyBorder="1">
      <alignment horizontal="right"/>
    </xf>
    <xf numFmtId="0" fontId="14" fillId="0" borderId="0" xfId="0" applyFont="1" applyFill="1" applyBorder="1" applyAlignment="1">
      <alignment horizontal="right" indent="1"/>
    </xf>
    <xf numFmtId="42" fontId="14" fillId="0" borderId="0" xfId="0" applyNumberFormat="1" applyFont="1" applyFill="1" applyBorder="1"/>
    <xf numFmtId="9" fontId="14" fillId="0" borderId="0" xfId="0" applyNumberFormat="1" applyFont="1" applyFill="1" applyBorder="1" applyAlignment="1">
      <alignment horizontal="right"/>
    </xf>
    <xf numFmtId="9" fontId="14" fillId="0" borderId="0" xfId="0" applyNumberFormat="1" applyFont="1"/>
    <xf numFmtId="0" fontId="26" fillId="7" borderId="0" xfId="0" applyFont="1" applyFill="1" applyBorder="1"/>
    <xf numFmtId="0" fontId="14" fillId="0" borderId="0" xfId="0" applyFont="1" applyAlignment="1">
      <alignment vertical="top"/>
    </xf>
    <xf numFmtId="0" fontId="18" fillId="8" borderId="0" xfId="2" applyFont="1" applyFill="1" applyBorder="1">
      <alignment vertical="center"/>
    </xf>
    <xf numFmtId="0" fontId="18" fillId="8" borderId="0" xfId="2" applyFont="1" applyFill="1" applyBorder="1" applyAlignment="1">
      <alignment horizontal="left" vertical="center"/>
    </xf>
    <xf numFmtId="0" fontId="18" fillId="8" borderId="0" xfId="2" applyNumberFormat="1" applyFont="1" applyFill="1" applyBorder="1" applyAlignment="1">
      <alignment horizontal="left" vertical="center"/>
    </xf>
    <xf numFmtId="0" fontId="15" fillId="8" borderId="0" xfId="3" applyFont="1" applyFill="1" applyBorder="1" applyAlignment="1">
      <alignment vertical="center"/>
    </xf>
    <xf numFmtId="0" fontId="18" fillId="8" borderId="0" xfId="2" applyFont="1" applyFill="1" applyAlignment="1">
      <alignment horizontal="left" vertical="center"/>
    </xf>
    <xf numFmtId="0" fontId="14" fillId="8" borderId="0" xfId="0" applyFont="1" applyFill="1" applyAlignment="1">
      <alignment vertical="top"/>
    </xf>
    <xf numFmtId="0" fontId="17" fillId="8" borderId="0" xfId="12" applyFont="1" applyFill="1" applyAlignment="1"/>
    <xf numFmtId="0" fontId="29" fillId="0" borderId="0" xfId="0" applyFont="1" applyAlignment="1">
      <alignment vertical="top"/>
    </xf>
    <xf numFmtId="0" fontId="21" fillId="0" borderId="0" xfId="13" applyFont="1" applyAlignment="1"/>
    <xf numFmtId="0" fontId="30" fillId="0" borderId="0" xfId="19" applyFont="1">
      <alignment horizontal="left" indent="1"/>
    </xf>
    <xf numFmtId="0" fontId="14" fillId="0" borderId="0" xfId="0" applyFont="1" applyAlignment="1">
      <alignment horizontal="left" indent="1"/>
    </xf>
    <xf numFmtId="0" fontId="14" fillId="0" borderId="0" xfId="13" applyFont="1" applyAlignment="1"/>
    <xf numFmtId="170" fontId="14" fillId="0" borderId="0" xfId="0" applyNumberFormat="1" applyFont="1" applyAlignment="1">
      <alignment vertical="top"/>
    </xf>
    <xf numFmtId="170" fontId="31" fillId="9" borderId="0" xfId="21" applyNumberFormat="1" applyFont="1" applyAlignment="1">
      <alignment horizontal="left" wrapText="1" indent="1"/>
    </xf>
    <xf numFmtId="0" fontId="14" fillId="9" borderId="0" xfId="21" applyFont="1" applyAlignment="1">
      <alignment vertical="top"/>
    </xf>
    <xf numFmtId="0" fontId="14" fillId="8" borderId="0" xfId="0" applyFont="1" applyFill="1" applyAlignment="1">
      <alignment horizontal="right"/>
    </xf>
    <xf numFmtId="0" fontId="23" fillId="0" borderId="0" xfId="15" applyFont="1" applyAlignment="1">
      <alignment horizontal="left" wrapText="1" indent="1"/>
    </xf>
    <xf numFmtId="0" fontId="14" fillId="0" borderId="5" xfId="0" applyFont="1" applyBorder="1" applyAlignment="1">
      <alignment horizontal="left" indent="1"/>
    </xf>
    <xf numFmtId="0" fontId="15" fillId="0" borderId="0" xfId="3" applyFont="1" applyFill="1" applyBorder="1" applyAlignment="1">
      <alignment horizontal="left" vertical="center" indent="1"/>
    </xf>
    <xf numFmtId="170" fontId="32" fillId="0" borderId="5" xfId="20" applyFont="1" applyBorder="1">
      <alignment horizontal="left" indent="1"/>
    </xf>
    <xf numFmtId="170" fontId="32" fillId="9" borderId="5" xfId="21" applyNumberFormat="1" applyFont="1" applyBorder="1" applyAlignment="1">
      <alignment horizontal="left" wrapText="1" indent="1"/>
    </xf>
    <xf numFmtId="0" fontId="26" fillId="10" borderId="5" xfId="21" applyFont="1" applyFill="1" applyBorder="1" applyAlignment="1">
      <alignment vertical="top"/>
    </xf>
    <xf numFmtId="170" fontId="32" fillId="11" borderId="5" xfId="20" applyFont="1" applyFill="1" applyBorder="1">
      <alignment horizontal="left" indent="1"/>
    </xf>
    <xf numFmtId="0" fontId="15" fillId="0" borderId="0" xfId="3" applyFont="1" applyFill="1" applyBorder="1" applyAlignment="1">
      <alignment horizontal="center" vertical="center" wrapText="1"/>
    </xf>
    <xf numFmtId="171" fontId="14" fillId="0" borderId="5" xfId="0" applyNumberFormat="1" applyFont="1" applyBorder="1" applyAlignment="1">
      <alignment vertical="top"/>
    </xf>
    <xf numFmtId="171" fontId="14" fillId="12" borderId="5" xfId="0" applyNumberFormat="1" applyFont="1" applyFill="1" applyBorder="1" applyAlignment="1">
      <alignment vertical="top"/>
    </xf>
    <xf numFmtId="170" fontId="33" fillId="11" borderId="0" xfId="21" applyNumberFormat="1" applyFont="1" applyFill="1" applyAlignment="1">
      <alignment horizontal="left" wrapText="1" indent="1"/>
    </xf>
    <xf numFmtId="171" fontId="34" fillId="13" borderId="5" xfId="21" applyNumberFormat="1" applyFont="1" applyFill="1" applyBorder="1" applyAlignment="1">
      <alignment vertical="top"/>
    </xf>
    <xf numFmtId="171" fontId="34" fillId="13" borderId="5" xfId="0" applyNumberFormat="1" applyFont="1" applyFill="1" applyBorder="1" applyAlignment="1">
      <alignment vertical="top"/>
    </xf>
    <xf numFmtId="172" fontId="24" fillId="14" borderId="5" xfId="22" applyNumberFormat="1" applyFont="1" applyFill="1" applyBorder="1" applyAlignment="1">
      <alignment horizontal="center" vertical="center"/>
    </xf>
    <xf numFmtId="172" fontId="24" fillId="15" borderId="5" xfId="22" applyNumberFormat="1" applyFont="1" applyFill="1" applyBorder="1" applyAlignment="1">
      <alignment horizontal="center" vertical="center"/>
    </xf>
    <xf numFmtId="171" fontId="14" fillId="15" borderId="5" xfId="0" applyNumberFormat="1" applyFont="1" applyFill="1" applyBorder="1" applyAlignment="1">
      <alignment horizontal="center" vertical="center"/>
    </xf>
    <xf numFmtId="171" fontId="36" fillId="0" borderId="0" xfId="0" applyNumberFormat="1" applyFont="1" applyAlignment="1">
      <alignment horizontal="center" vertical="center" wrapText="1"/>
    </xf>
    <xf numFmtId="1" fontId="37" fillId="16" borderId="5" xfId="0" applyNumberFormat="1" applyFont="1" applyFill="1" applyBorder="1" applyAlignment="1">
      <alignment horizontal="center" vertical="center" wrapText="1"/>
    </xf>
    <xf numFmtId="0" fontId="38" fillId="17" borderId="0" xfId="0" applyNumberFormat="1" applyFont="1" applyFill="1" applyAlignment="1">
      <alignment horizontal="center" vertical="center" wrapText="1"/>
    </xf>
    <xf numFmtId="0" fontId="39" fillId="0" borderId="0" xfId="0" applyNumberFormat="1" applyFont="1" applyAlignment="1">
      <alignment horizontal="center" vertical="center"/>
    </xf>
    <xf numFmtId="44" fontId="39" fillId="0" borderId="0" xfId="0" applyNumberFormat="1" applyFont="1" applyAlignment="1">
      <alignment horizontal="center" vertical="center"/>
    </xf>
    <xf numFmtId="0" fontId="39" fillId="0" borderId="0" xfId="0" applyFont="1"/>
    <xf numFmtId="1" fontId="39" fillId="0" borderId="0" xfId="0" applyNumberFormat="1" applyFont="1"/>
    <xf numFmtId="0" fontId="39" fillId="0" borderId="0" xfId="0" applyFont="1" applyAlignment="1">
      <alignment horizontal="center"/>
    </xf>
    <xf numFmtId="171" fontId="36" fillId="0" borderId="0" xfId="0" applyNumberFormat="1" applyFont="1" applyAlignment="1">
      <alignment horizontal="center" wrapText="1"/>
    </xf>
    <xf numFmtId="171" fontId="14" fillId="0" borderId="0" xfId="0" applyNumberFormat="1" applyFont="1" applyAlignment="1">
      <alignment horizontal="center"/>
    </xf>
    <xf numFmtId="172" fontId="39" fillId="0" borderId="0" xfId="0" applyNumberFormat="1" applyFont="1" applyAlignment="1">
      <alignment horizontal="center" vertical="center"/>
    </xf>
    <xf numFmtId="0" fontId="14" fillId="0" borderId="0" xfId="0" applyNumberFormat="1" applyFont="1" applyAlignment="1">
      <alignment horizontal="center"/>
    </xf>
    <xf numFmtId="173" fontId="39" fillId="0" borderId="0" xfId="0" applyNumberFormat="1" applyFont="1" applyAlignment="1">
      <alignment horizontal="left"/>
    </xf>
    <xf numFmtId="173" fontId="40" fillId="7" borderId="0" xfId="0" applyNumberFormat="1" applyFont="1" applyFill="1" applyAlignment="1">
      <alignment horizontal="center"/>
    </xf>
    <xf numFmtId="0" fontId="39" fillId="0" borderId="0" xfId="0" applyNumberFormat="1" applyFont="1"/>
    <xf numFmtId="0" fontId="41" fillId="17" borderId="6" xfId="0" quotePrefix="1" applyNumberFormat="1" applyFont="1" applyFill="1" applyBorder="1" applyAlignment="1">
      <alignment horizontal="center" wrapText="1"/>
    </xf>
    <xf numFmtId="0" fontId="42" fillId="17" borderId="0" xfId="0" applyNumberFormat="1" applyFont="1" applyFill="1" applyAlignment="1">
      <alignment horizontal="center" vertical="center"/>
    </xf>
    <xf numFmtId="169" fontId="22" fillId="0" borderId="2" xfId="14" applyFont="1" applyAlignment="1">
      <alignment horizontal="left" vertical="top" wrapText="1" indent="1"/>
    </xf>
    <xf numFmtId="0" fontId="39" fillId="9" borderId="0" xfId="21" applyFont="1" applyAlignment="1">
      <alignment vertical="top"/>
    </xf>
    <xf numFmtId="0" fontId="36" fillId="9" borderId="0" xfId="21" applyFont="1" applyAlignment="1">
      <alignment vertical="top"/>
    </xf>
    <xf numFmtId="0" fontId="14" fillId="9" borderId="0" xfId="21" applyFont="1" applyAlignment="1">
      <alignment vertical="top"/>
    </xf>
  </cellXfs>
  <cellStyles count="23">
    <cellStyle name="Bandes de couleur" xfId="21"/>
    <cellStyle name="Bénéfices" xfId="8"/>
    <cellStyle name="Commentaire" xfId="7" builtinId="10" customBuiltin="1"/>
    <cellStyle name="Détails du tableau" xfId="11"/>
    <cellStyle name="Entrée des paramètres" xfId="19"/>
    <cellStyle name="Jour" xfId="20"/>
    <cellStyle name="Milliers" xfId="4" builtinId="3" customBuiltin="1"/>
    <cellStyle name="Milliers [0]" xfId="5" builtinId="6" customBuiltin="1"/>
    <cellStyle name="Monétaire" xfId="22" builtinId="4"/>
    <cellStyle name="Monétaire [0]" xfId="6" builtinId="7" customBuiltin="1"/>
    <cellStyle name="Montant des bénéfices" xfId="9"/>
    <cellStyle name="Normal" xfId="0" builtinId="0" customBuiltin="1"/>
    <cellStyle name="Pourcentage" xfId="1" builtinId="5" customBuiltin="1"/>
    <cellStyle name="Pourcentage de marge" xfId="10"/>
    <cellStyle name="Remplissage Chiffre d’affaires" xfId="16"/>
    <cellStyle name="Remplissage Coût des ventes" xfId="17"/>
    <cellStyle name="Remplissage Dépenses" xfId="18"/>
    <cellStyle name="Titre" xfId="2" builtinId="15" customBuiltin="1"/>
    <cellStyle name="Titre de tableau 1" xfId="15"/>
    <cellStyle name="Titre 1" xfId="3" builtinId="16" customBuiltin="1"/>
    <cellStyle name="Titre 2" xfId="12" builtinId="17" customBuiltin="1"/>
    <cellStyle name="Titre 3" xfId="13" builtinId="18" customBuiltin="1"/>
    <cellStyle name="Titre 4" xfId="14" builtinId="19" customBuiltin="1"/>
  </cellStyles>
  <dxfs count="163">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center"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68" formatCode="0%;;&quot;-&quot;;"/>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numFmt numFmtId="32" formatCode="_-* #,##0\ &quot;€&quot;_-;\-* #,##0\ &quot;€&quot;_-;_-* &quot;-&quot;\ &quot;€&quot;_-;_-@_-"/>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1"/>
        <name val="Century Gothic"/>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b val="0"/>
        <i val="0"/>
        <strike val="0"/>
        <condense val="0"/>
        <extend val="0"/>
        <outline val="0"/>
        <shadow val="0"/>
        <u val="none"/>
        <vertAlign val="baseline"/>
        <sz val="11"/>
        <color theme="1"/>
        <name val="Century Gothic"/>
        <scheme val="minor"/>
      </font>
      <numFmt numFmtId="13" formatCode="0%"/>
      <fill>
        <patternFill patternType="none">
          <fgColor indexed="64"/>
          <bgColor indexed="65"/>
        </patternFill>
      </fill>
      <alignment horizontal="right" vertical="bottom" textRotation="0" wrapText="0" indent="0" justifyLastLine="0" shrinkToFit="0" readingOrder="0"/>
    </dxf>
    <dxf>
      <font>
        <b val="0"/>
        <i val="0"/>
        <strike val="0"/>
        <condense val="0"/>
        <extend val="0"/>
        <outline val="0"/>
        <shadow val="0"/>
        <u val="none"/>
        <vertAlign val="baseline"/>
        <sz val="11"/>
        <color theme="1"/>
        <name val="Arial"/>
        <scheme val="none"/>
      </font>
      <numFmt numFmtId="13" formatCode="0%"/>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val="0"/>
        <i val="0"/>
        <strike val="0"/>
        <condense val="0"/>
        <extend val="0"/>
        <outline val="0"/>
        <shadow val="0"/>
        <u val="none"/>
        <vertAlign val="baseline"/>
        <sz val="11"/>
        <color theme="1"/>
        <name val="Arial"/>
        <scheme val="none"/>
      </font>
      <numFmt numFmtId="32" formatCode="_-* #,##0\ &quot;€&quot;_-;\-* #,##0\ &quot;€&quot;_-;_-* &quot;-&quot;\ &quot;€&quot;_-;_-@_-"/>
      <fill>
        <patternFill patternType="none">
          <fgColor indexed="64"/>
          <bgColor indexed="65"/>
        </patternFill>
      </fill>
      <border diagonalUp="0" diagonalDown="0" outline="0">
        <left/>
        <right/>
        <top/>
        <bottom/>
      </border>
    </dxf>
    <dxf>
      <font>
        <strike val="0"/>
        <outline val="0"/>
        <shadow val="0"/>
        <u val="none"/>
        <vertAlign val="baseline"/>
        <name val="Arial"/>
        <scheme val="none"/>
      </font>
      <numFmt numFmtId="32" formatCode="_-* #,##0\ &quot;€&quot;_-;\-* #,##0\ &quot;€&quot;_-;_-* &quot;-&quot;\ &quot;€&quot;_-;_-@_-"/>
    </dxf>
    <dxf>
      <font>
        <b/>
        <i val="0"/>
        <strike val="0"/>
        <condense val="0"/>
        <extend val="0"/>
        <outline val="0"/>
        <shadow val="0"/>
        <u val="none"/>
        <vertAlign val="baseline"/>
        <sz val="11"/>
        <color theme="1"/>
        <name val="Arial"/>
        <scheme val="none"/>
      </font>
      <fill>
        <patternFill patternType="solid">
          <fgColor indexed="64"/>
          <bgColor rgb="FFFFFF00"/>
        </patternFill>
      </fill>
      <border diagonalUp="0" diagonalDown="0" outline="0">
        <left/>
        <right/>
        <top/>
        <bottom/>
      </border>
    </dxf>
    <dxf>
      <font>
        <b val="0"/>
        <i val="0"/>
        <strike val="0"/>
        <condense val="0"/>
        <extend val="0"/>
        <outline val="0"/>
        <shadow val="0"/>
        <u val="none"/>
        <vertAlign val="baseline"/>
        <sz val="10"/>
        <color theme="1"/>
        <name val="Arial"/>
        <scheme val="none"/>
      </font>
      <alignment horizontal="center" vertical="bottom" textRotation="0" wrapText="0" indent="0" justifyLastLine="0" shrinkToFit="0" readingOrder="0"/>
    </dxf>
    <dxf>
      <font>
        <b val="0"/>
        <i val="0"/>
        <strike val="0"/>
        <condense val="0"/>
        <extend val="0"/>
        <outline val="0"/>
        <shadow val="0"/>
        <u val="none"/>
        <vertAlign val="baseline"/>
        <sz val="11"/>
        <color theme="1"/>
        <name val="Arial"/>
        <scheme val="none"/>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font>
        <strike val="0"/>
        <outline val="0"/>
        <shadow val="0"/>
        <u val="none"/>
        <vertAlign val="baseline"/>
        <name val="Arial"/>
        <scheme val="none"/>
      </font>
    </dxf>
    <dxf>
      <font>
        <b val="0"/>
        <i val="0"/>
        <strike val="0"/>
        <condense val="0"/>
        <extend val="0"/>
        <outline val="0"/>
        <shadow val="0"/>
        <u val="none"/>
        <vertAlign val="baseline"/>
        <sz val="11"/>
        <color theme="1"/>
        <name val="Arial"/>
        <scheme val="none"/>
      </font>
      <numFmt numFmtId="13" formatCode="0%"/>
      <fill>
        <patternFill patternType="none">
          <fgColor indexed="64"/>
          <bgColor indexed="65"/>
        </patternFill>
      </fill>
      <alignment horizontal="right" vertical="bottom" textRotation="0" wrapText="0" indent="0" justifyLastLine="0" shrinkToFit="0" readingOrder="0"/>
    </dxf>
    <dxf>
      <font>
        <strike val="0"/>
        <outline val="0"/>
        <shadow val="0"/>
        <u val="none"/>
        <vertAlign val="baseline"/>
        <name val="Arial"/>
        <scheme val="none"/>
      </font>
    </dxf>
    <dxf>
      <font>
        <strike val="0"/>
        <outline val="0"/>
        <shadow val="0"/>
        <u val="none"/>
        <vertAlign val="baseline"/>
        <name val="Arial"/>
        <scheme val="none"/>
      </font>
    </dxf>
    <dxf>
      <border>
        <left/>
        <right style="dotted">
          <color theme="4" tint="0.39994506668294322"/>
        </right>
        <top style="thin">
          <color theme="4" tint="0.39994506668294322"/>
        </top>
        <bottom style="thin">
          <color theme="4" tint="0.39994506668294322"/>
        </bottom>
        <vertical style="dotted">
          <color theme="4" tint="0.39994506668294322"/>
        </vertical>
        <horizontal style="thin">
          <color theme="4" tint="0.39994506668294322"/>
        </horizontal>
      </border>
    </dxf>
    <dxf>
      <border>
        <left/>
        <right style="dotted">
          <color theme="4" tint="0.39994506668294322"/>
        </right>
        <top style="thin">
          <color theme="4" tint="0.39994506668294322"/>
        </top>
        <bottom style="thin">
          <color theme="4" tint="0.39994506668294322"/>
        </bottom>
        <vertical style="dotted">
          <color theme="4"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5" tint="0.39991454817346722"/>
        </right>
        <top style="thin">
          <color theme="5" tint="0.39994506668294322"/>
        </top>
        <bottom style="thin">
          <color theme="5" tint="0.39994506668294322"/>
        </bottom>
        <vertical style="dotted">
          <color theme="5" tint="0.39994506668294322"/>
        </vertical>
        <horizontal style="thin">
          <color theme="5" tint="0.39994506668294322"/>
        </horizontal>
      </border>
    </dxf>
    <dxf>
      <border>
        <left/>
        <right style="dotted">
          <color theme="5" tint="0.39991454817346722"/>
        </right>
        <top style="thin">
          <color theme="5" tint="0.39994506668294322"/>
        </top>
        <bottom style="thin">
          <color theme="5" tint="0.39994506668294322"/>
        </bottom>
        <vertical style="dotted">
          <color theme="5" tint="0.399914548173467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style="thin">
          <color theme="6" tint="0.39994506668294322"/>
        </horizontal>
      </border>
    </dxf>
    <dxf>
      <border>
        <left/>
        <right style="dotted">
          <color theme="6" tint="0.39994506668294322"/>
        </right>
        <top style="thin">
          <color theme="6" tint="0.39994506668294322"/>
        </top>
        <bottom style="thin">
          <color theme="6" tint="0.39994506668294322"/>
        </bottom>
        <vertical style="dotted">
          <color theme="6" tint="0.39994506668294322"/>
        </vertical>
        <horizontal/>
      </border>
    </dxf>
    <dxf>
      <font>
        <b/>
        <i val="0"/>
        <color theme="3"/>
      </font>
      <fill>
        <patternFill patternType="none">
          <bgColor auto="1"/>
        </patternFill>
      </fill>
      <border>
        <vertical/>
        <horizontal/>
      </border>
    </dxf>
    <dxf>
      <font>
        <b/>
        <i val="0"/>
        <color theme="3"/>
      </font>
      <fill>
        <patternFill patternType="none">
          <bgColor auto="1"/>
        </patternFill>
      </fill>
      <border diagonalUp="0" diagonalDown="0">
        <left/>
        <right/>
        <top/>
        <bottom/>
        <vertical/>
        <horizontal/>
      </border>
    </dxf>
    <dxf>
      <border>
        <vertical/>
        <horizontal/>
      </border>
    </dxf>
  </dxfs>
  <tableStyles count="3" defaultTableStyle="Chiffres d’affaires Bénéfices et pertes" defaultPivotStyle="PivotStyleLight16">
    <tableStyle name="Dépenses Bénéfices et pertes" pivot="0" count="5">
      <tableStyleElement type="wholeTable" dxfId="162"/>
      <tableStyleElement type="headerRow" dxfId="161"/>
      <tableStyleElement type="totalRow" dxfId="160"/>
      <tableStyleElement type="firstRowStripe" dxfId="159"/>
      <tableStyleElement type="secondRowStripe" dxfId="158"/>
    </tableStyle>
    <tableStyle name="Chiffres d’affaires Bénéfices et pertes" pivot="0" count="5">
      <tableStyleElement type="wholeTable" dxfId="157"/>
      <tableStyleElement type="headerRow" dxfId="156"/>
      <tableStyleElement type="totalRow" dxfId="155"/>
      <tableStyleElement type="firstRowStripe" dxfId="154"/>
      <tableStyleElement type="secondRowStripe" dxfId="153"/>
    </tableStyle>
    <tableStyle name="Ventes Bénéfices et pertes" pivot="0" count="5">
      <tableStyleElement type="wholeTable" dxfId="152"/>
      <tableStyleElement type="headerRow" dxfId="151"/>
      <tableStyleElement type="totalRow" dxfId="150"/>
      <tableStyleElement type="firstRowStripe" dxfId="149"/>
      <tableStyleElement type="secondRowStripe" dxfId="148"/>
    </tableStyle>
  </tableStyles>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123825</xdr:colOff>
          <xdr:row>0</xdr:row>
          <xdr:rowOff>209550</xdr:rowOff>
        </xdr:from>
        <xdr:to>
          <xdr:col>0</xdr:col>
          <xdr:colOff>1495425</xdr:colOff>
          <xdr:row>0</xdr:row>
          <xdr:rowOff>495300</xdr:rowOff>
        </xdr:to>
        <xdr:sp macro="" textlink="">
          <xdr:nvSpPr>
            <xdr:cNvPr id="2049" name="Button 1" hidden="1">
              <a:extLst>
                <a:ext uri="{63B3BB69-23CF-44E3-9099-C40C66FF867C}">
                  <a14:compatExt spid="_x0000_s2049"/>
                </a:ext>
                <a:ext uri="{FF2B5EF4-FFF2-40B4-BE49-F238E27FC236}">
                  <a16:creationId xmlns="" xmlns:a16="http://schemas.microsoft.com/office/drawing/2014/main" id="{00000000-0008-0000-00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xdr:twoCellAnchor>
    <xdr:from>
      <xdr:col>0</xdr:col>
      <xdr:colOff>0</xdr:colOff>
      <xdr:row>0</xdr:row>
      <xdr:rowOff>0</xdr:rowOff>
    </xdr:from>
    <xdr:to>
      <xdr:col>0</xdr:col>
      <xdr:colOff>847725</xdr:colOff>
      <xdr:row>0</xdr:row>
      <xdr:rowOff>171450</xdr:rowOff>
    </xdr:to>
    <xdr:sp macro="" textlink="">
      <xdr:nvSpPr>
        <xdr:cNvPr id="2" name="Rectangle 1"/>
        <xdr:cNvSpPr/>
      </xdr:nvSpPr>
      <xdr:spPr>
        <a:xfrm>
          <a:off x="0" y="0"/>
          <a:ext cx="847725" cy="171450"/>
        </a:xfrm>
        <a:prstGeom prst="rect">
          <a:avLst/>
        </a:prstGeom>
        <a:no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700">
              <a:solidFill>
                <a:srgbClr val="FF0000"/>
              </a:solidFill>
            </a:rPr>
            <a:t>Version </a:t>
          </a:r>
          <a:r>
            <a:rPr lang="fr-FR" sz="700" baseline="0">
              <a:solidFill>
                <a:srgbClr val="FF0000"/>
              </a:solidFill>
            </a:rPr>
            <a:t>8</a:t>
          </a:r>
          <a:endParaRPr lang="fr-FR" sz="700">
            <a:solidFill>
              <a:srgbClr val="FF0000"/>
            </a:solidFill>
          </a:endParaRPr>
        </a:p>
      </xdr:txBody>
    </xdr:sp>
    <xdr:clientData/>
  </xdr:twoCellAnchor>
  <xdr:twoCellAnchor>
    <xdr:from>
      <xdr:col>18</xdr:col>
      <xdr:colOff>219075</xdr:colOff>
      <xdr:row>0</xdr:row>
      <xdr:rowOff>114300</xdr:rowOff>
    </xdr:from>
    <xdr:to>
      <xdr:col>18</xdr:col>
      <xdr:colOff>381000</xdr:colOff>
      <xdr:row>0</xdr:row>
      <xdr:rowOff>276225</xdr:rowOff>
    </xdr:to>
    <xdr:sp macro="[0]!HautPAGE_Cliquer" textlink="">
      <xdr:nvSpPr>
        <xdr:cNvPr id="9" name="HautPAGE"/>
        <xdr:cNvSpPr/>
      </xdr:nvSpPr>
      <xdr:spPr>
        <a:xfrm>
          <a:off x="10715625" y="114300"/>
          <a:ext cx="161925" cy="161925"/>
        </a:xfrm>
        <a:prstGeom prst="triangl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ables/table1.xml><?xml version="1.0" encoding="utf-8"?>
<table xmlns="http://schemas.openxmlformats.org/spreadsheetml/2006/main" id="3" name="Chiffre_daffaires" displayName="Chiffre_daffaires" ref="B4:AD10" totalsRowCount="1" headerRowDxfId="147" dataDxfId="146" totalsRowDxfId="145">
  <autoFilter ref="B4:AD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autoFilter>
  <tableColumns count="29">
    <tableColumn id="1" name="CHIFFRE D’AFFAIRES (VENTES)" totalsRowLabel="TOTAL DES VENTES" dataDxfId="144" totalsRowDxfId="143"/>
    <tableColumn id="29" name="TENDANCE" dataDxfId="142" totalsRowDxfId="141"/>
    <tableColumn id="2" name="Janv" totalsRowFunction="sum" dataDxfId="140" totalsRowDxfId="139"/>
    <tableColumn id="3" name="Févr" totalsRowFunction="sum" dataDxfId="138" totalsRowDxfId="137"/>
    <tableColumn id="4" name="Mars" totalsRowFunction="sum" dataDxfId="136" totalsRowDxfId="135"/>
    <tableColumn id="5" name="Avr" totalsRowFunction="sum" dataDxfId="134" totalsRowDxfId="133"/>
    <tableColumn id="6" name="Mai" totalsRowFunction="sum" dataDxfId="132" totalsRowDxfId="131"/>
    <tableColumn id="7" name="Juin" totalsRowFunction="sum" dataDxfId="130" totalsRowDxfId="129"/>
    <tableColumn id="8" name="Juil" totalsRowFunction="sum" dataDxfId="128" totalsRowDxfId="127"/>
    <tableColumn id="9" name="Août" totalsRowFunction="sum" dataDxfId="126" totalsRowDxfId="125"/>
    <tableColumn id="10" name="Sept" totalsRowFunction="sum" dataDxfId="124" totalsRowDxfId="123"/>
    <tableColumn id="11" name="Oct" totalsRowFunction="sum" dataDxfId="122" totalsRowDxfId="121"/>
    <tableColumn id="12" name="Nov" totalsRowFunction="sum" dataDxfId="120" totalsRowDxfId="119"/>
    <tableColumn id="13" name="Déc" totalsRowFunction="sum" dataDxfId="118" totalsRowDxfId="117"/>
    <tableColumn id="14" name="Annuel" totalsRowFunction="sum" dataDxfId="116" totalsRowDxfId="115">
      <calculatedColumnFormula>SUM(Chiffre_daffaires[[#This Row],[Janv]:[Déc]])</calculatedColumnFormula>
    </tableColumn>
    <tableColumn id="15" name="Index %" totalsRowFunction="sum" dataDxfId="114" totalsRowDxfId="113"/>
    <tableColumn id="16" name="Jan %" totalsRowFunction="sum" dataDxfId="112" totalsRowDxfId="111">
      <calculatedColumnFormula>IFERROR(Chiffre_daffaires[[#This Row],[Janv]]/Chiffre_daffaires[[#Totals],[Janv]],"-")</calculatedColumnFormula>
    </tableColumn>
    <tableColumn id="17" name="Fév %" totalsRowFunction="sum" dataDxfId="110" totalsRowDxfId="109">
      <calculatedColumnFormula>IFERROR(Chiffre_daffaires[[#This Row],[Févr]]/Chiffre_daffaires[[#Totals],[Févr]],"-")</calculatedColumnFormula>
    </tableColumn>
    <tableColumn id="18" name="Mar %" totalsRowFunction="sum" dataDxfId="108" totalsRowDxfId="107">
      <calculatedColumnFormula>IFERROR(Chiffre_daffaires[[#This Row],[Mars]]/Chiffre_daffaires[[#Totals],[Mars]],"-")</calculatedColumnFormula>
    </tableColumn>
    <tableColumn id="19" name="Avr %" totalsRowFunction="sum" dataDxfId="106" totalsRowDxfId="105">
      <calculatedColumnFormula>IFERROR(Chiffre_daffaires[[#This Row],[Avr]]/Chiffre_daffaires[[#Totals],[Avr]],"-")</calculatedColumnFormula>
    </tableColumn>
    <tableColumn id="20" name="Mai %" totalsRowFunction="sum" dataDxfId="104" totalsRowDxfId="103">
      <calculatedColumnFormula>IFERROR(Chiffre_daffaires[[#This Row],[Mai]]/Chiffre_daffaires[[#Totals],[Mai]],"-")</calculatedColumnFormula>
    </tableColumn>
    <tableColumn id="21" name="Jui %" totalsRowFunction="sum" dataDxfId="102" totalsRowDxfId="101">
      <calculatedColumnFormula>IFERROR(Chiffre_daffaires[[#This Row],[Juin]]/Chiffre_daffaires[[#Totals],[Juin]],"-")</calculatedColumnFormula>
    </tableColumn>
    <tableColumn id="22" name="Jui % " totalsRowFunction="sum" dataDxfId="100" totalsRowDxfId="99">
      <calculatedColumnFormula>IFERROR(Chiffre_daffaires[[#This Row],[Juil]]/Chiffre_daffaires[[#Totals],[Juil]],"-")</calculatedColumnFormula>
    </tableColumn>
    <tableColumn id="23" name="Aoû %" totalsRowFunction="sum" dataDxfId="98" totalsRowDxfId="97">
      <calculatedColumnFormula>IFERROR(Chiffre_daffaires[[#This Row],[Août]]/Chiffre_daffaires[[#Totals],[Août]],"-")</calculatedColumnFormula>
    </tableColumn>
    <tableColumn id="24" name="Sep %" totalsRowFunction="sum" dataDxfId="96" totalsRowDxfId="95">
      <calculatedColumnFormula>IFERROR(Chiffre_daffaires[[#This Row],[Sept]]/Chiffre_daffaires[[#Totals],[Sept]],"-")</calculatedColumnFormula>
    </tableColumn>
    <tableColumn id="25" name="Oct %" totalsRowFunction="sum" dataDxfId="94" totalsRowDxfId="93">
      <calculatedColumnFormula>IFERROR(Chiffre_daffaires[[#This Row],[Oct]]/Chiffre_daffaires[[#Totals],[Oct]],"-")</calculatedColumnFormula>
    </tableColumn>
    <tableColumn id="26" name="Nov %" totalsRowFunction="sum" dataDxfId="92" totalsRowDxfId="91">
      <calculatedColumnFormula>IFERROR(Chiffre_daffaires[[#This Row],[Nov]]/Chiffre_daffaires[[#Totals],[Nov]],"-")</calculatedColumnFormula>
    </tableColumn>
    <tableColumn id="27" name="Déc %" totalsRowFunction="sum" dataDxfId="90" totalsRowDxfId="89">
      <calculatedColumnFormula>IFERROR(Chiffre_daffaires[[#This Row],[Déc]]/Chiffre_daffaires[[#Totals],[Déc]],"-")</calculatedColumnFormula>
    </tableColumn>
    <tableColumn id="28" name="Année %" totalsRowFunction="sum" dataDxfId="88" totalsRowDxfId="87">
      <calculatedColumnFormula>IFERROR(Chiffre_daffaires[[#This Row],[Annuel]]/Chiffre_daffaires[[#Totals],[Annuel]],"-")</calculatedColumnFormula>
    </tableColumn>
  </tableColumns>
  <tableStyleInfo name="Chiffres d’affaires Bénéfices et pertes" showFirstColumn="0" showLastColumn="0" showRowStripes="1" showColumnStripes="0"/>
  <extLst>
    <ext xmlns:x14="http://schemas.microsoft.com/office/spreadsheetml/2009/9/main" uri="{504A1905-F514-4f6f-8877-14C23A59335A}">
      <x14:table altTextSummary="Synthèse des ventes mensuelles, total annuel et pourcentage par mois pour chaque élément de chiffre d’affaires"/>
    </ext>
  </extLst>
</table>
</file>

<file path=xl/tables/table2.xml><?xml version="1.0" encoding="utf-8"?>
<table xmlns="http://schemas.openxmlformats.org/spreadsheetml/2006/main" id="2" name="CoûtdesVentes" displayName="CoûtdesVentes" ref="B4:AD10" totalsRowCount="1" totalsRowDxfId="86">
  <tableColumns count="29">
    <tableColumn id="1" name="COÛT DES VENTES" totalsRowLabel="COÛT TOTAL DES VENTES" totalsRowDxfId="85"/>
    <tableColumn id="2" name="TENDANCE" totalsRowDxfId="84"/>
    <tableColumn id="3" name="Janv" totalsRowFunction="sum" totalsRowDxfId="83"/>
    <tableColumn id="4" name="Févr" totalsRowFunction="sum" totalsRowDxfId="82"/>
    <tableColumn id="5" name="Mars" totalsRowFunction="sum" totalsRowDxfId="81"/>
    <tableColumn id="6" name="Avr" totalsRowFunction="sum" totalsRowDxfId="80"/>
    <tableColumn id="7" name="Mai" totalsRowFunction="sum" totalsRowDxfId="79"/>
    <tableColumn id="8" name="Juin" totalsRowFunction="sum" totalsRowDxfId="78"/>
    <tableColumn id="9" name="Juil" totalsRowFunction="sum" totalsRowDxfId="77"/>
    <tableColumn id="10" name="Août" totalsRowFunction="sum" totalsRowDxfId="76"/>
    <tableColumn id="11" name="Sept" totalsRowFunction="sum" totalsRowDxfId="75"/>
    <tableColumn id="12" name="Oct" totalsRowFunction="sum" totalsRowDxfId="74"/>
    <tableColumn id="13" name="Nov" totalsRowFunction="sum" totalsRowDxfId="73"/>
    <tableColumn id="14" name="Déc" totalsRowFunction="sum" totalsRowDxfId="72"/>
    <tableColumn id="15" name="Annuel" totalsRowFunction="sum" totalsRowDxfId="71" dataCellStyle="Monétaire [0]">
      <calculatedColumnFormula>SUM(CoûtdesVentes[[#This Row],[Janv]:[Déc]])</calculatedColumnFormula>
    </tableColumn>
    <tableColumn id="16" name="Index %" totalsRowFunction="sum" totalsRowDxfId="70"/>
    <tableColumn id="17" name="Jan %" totalsRowFunction="sum" totalsRowDxfId="69" dataCellStyle="Pourcentage">
      <calculatedColumnFormula>IFERROR(CoûtdesVentes[[#This Row],[Janv]]/CoûtdesVentes[[#Totals],[Janv]],"-")</calculatedColumnFormula>
    </tableColumn>
    <tableColumn id="18" name="Fév %" totalsRowFunction="sum" totalsRowDxfId="68" dataCellStyle="Pourcentage">
      <calculatedColumnFormula>IFERROR(CoûtdesVentes[[#This Row],[Févr]]/CoûtdesVentes[[#Totals],[Févr]],"-")</calculatedColumnFormula>
    </tableColumn>
    <tableColumn id="19" name="Mar %" totalsRowFunction="sum" totalsRowDxfId="67" dataCellStyle="Pourcentage">
      <calculatedColumnFormula>IFERROR(CoûtdesVentes[[#This Row],[Mars]]/CoûtdesVentes[[#Totals],[Mars]],"-")</calculatedColumnFormula>
    </tableColumn>
    <tableColumn id="20" name="Avr %" totalsRowFunction="sum" totalsRowDxfId="66" dataCellStyle="Pourcentage">
      <calculatedColumnFormula>IFERROR(CoûtdesVentes[[#This Row],[Avr]]/CoûtdesVentes[[#Totals],[Avr]],"-")</calculatedColumnFormula>
    </tableColumn>
    <tableColumn id="21" name="Mai %" totalsRowFunction="sum" totalsRowDxfId="65" dataCellStyle="Pourcentage">
      <calculatedColumnFormula>IFERROR(CoûtdesVentes[[#This Row],[Mai]]/CoûtdesVentes[[#Totals],[Mai]],"-")</calculatedColumnFormula>
    </tableColumn>
    <tableColumn id="22" name="Jui %" totalsRowFunction="sum" totalsRowDxfId="64" dataCellStyle="Pourcentage">
      <calculatedColumnFormula>IFERROR(CoûtdesVentes[[#This Row],[Juin]]/CoûtdesVentes[[#Totals],[Juin]],"-")</calculatedColumnFormula>
    </tableColumn>
    <tableColumn id="23" name="Jui % " totalsRowFunction="sum" totalsRowDxfId="63" dataCellStyle="Pourcentage">
      <calculatedColumnFormula>IFERROR(CoûtdesVentes[[#This Row],[Juil]]/CoûtdesVentes[[#Totals],[Juil]],"-")</calculatedColumnFormula>
    </tableColumn>
    <tableColumn id="24" name="Aoû %" totalsRowFunction="sum" totalsRowDxfId="62" dataCellStyle="Pourcentage">
      <calculatedColumnFormula>IFERROR(CoûtdesVentes[[#This Row],[Août]]/CoûtdesVentes[[#Totals],[Août]],"-")</calculatedColumnFormula>
    </tableColumn>
    <tableColumn id="25" name="Sep %" totalsRowFunction="sum" totalsRowDxfId="61" dataCellStyle="Pourcentage">
      <calculatedColumnFormula>IFERROR(CoûtdesVentes[[#This Row],[Sept]]/CoûtdesVentes[[#Totals],[Sept]],"-")</calculatedColumnFormula>
    </tableColumn>
    <tableColumn id="26" name="Oct %" totalsRowFunction="sum" totalsRowDxfId="60" dataCellStyle="Pourcentage">
      <calculatedColumnFormula>IFERROR(CoûtdesVentes[[#This Row],[Oct]]/CoûtdesVentes[[#Totals],[Oct]],"-")</calculatedColumnFormula>
    </tableColumn>
    <tableColumn id="27" name="Nov %" totalsRowFunction="sum" totalsRowDxfId="59" dataCellStyle="Pourcentage">
      <calculatedColumnFormula>IFERROR(CoûtdesVentes[[#This Row],[Nov]]/CoûtdesVentes[[#Totals],[Nov]],"-")</calculatedColumnFormula>
    </tableColumn>
    <tableColumn id="28" name="Déc %" totalsRowFunction="sum" totalsRowDxfId="58" dataCellStyle="Pourcentage">
      <calculatedColumnFormula>IFERROR(CoûtdesVentes[[#This Row],[Déc]]/CoûtdesVentes[[#Totals],[Déc]],"-")</calculatedColumnFormula>
    </tableColumn>
    <tableColumn id="29" name="Année %" totalsRowFunction="sum" totalsRowDxfId="57" dataCellStyle="Pourcentage">
      <calculatedColumnFormula>IFERROR(CoûtdesVentes[[#This Row],[Annuel]]/CoûtdesVentes[[#Totals],[Annuel]],"-")</calculatedColumnFormula>
    </tableColumn>
  </tableColumns>
  <tableStyleInfo name="Ventes Bénéfices et pertes" showFirstColumn="0" showLastColumn="0" showRowStripes="1" showColumnStripes="0"/>
  <extLst>
    <ext xmlns:x14="http://schemas.microsoft.com/office/spreadsheetml/2009/9/main" uri="{504A1905-F514-4f6f-8877-14C23A59335A}">
      <x14:table altTextSummary="Synthèse du coût des ventes, total annuel et pourcentage par mois pour chaque élément de coût"/>
    </ext>
  </extLst>
</table>
</file>

<file path=xl/tables/table3.xml><?xml version="1.0" encoding="utf-8"?>
<table xmlns="http://schemas.openxmlformats.org/spreadsheetml/2006/main" id="8" name="tblDépenses" displayName="tblDépenses" ref="B4:AD24" totalsRowCount="1" totalsRowDxfId="56">
  <tableColumns count="29">
    <tableColumn id="1" name="DÉPENSES" totalsRowLabel="DÉPENSES TOTALES" totalsRowDxfId="55"/>
    <tableColumn id="2" name="TENDANCE" totalsRowLabel=" " totalsRowDxfId="54"/>
    <tableColumn id="3" name="Colonne1" totalsRowFunction="sum" totalsRowDxfId="53"/>
    <tableColumn id="4" name="Févr" totalsRowFunction="sum" totalsRowDxfId="52"/>
    <tableColumn id="5" name="Mars" totalsRowFunction="sum" totalsRowDxfId="51"/>
    <tableColumn id="6" name="Avr" totalsRowFunction="sum" totalsRowDxfId="50"/>
    <tableColumn id="7" name="Mai" totalsRowFunction="sum" totalsRowDxfId="49"/>
    <tableColumn id="8" name="Juin" totalsRowFunction="sum" totalsRowDxfId="48"/>
    <tableColumn id="9" name="Juil" totalsRowFunction="sum" totalsRowDxfId="47"/>
    <tableColumn id="10" name="Août" totalsRowFunction="sum" totalsRowDxfId="46"/>
    <tableColumn id="11" name="Sept" totalsRowFunction="sum" totalsRowDxfId="45"/>
    <tableColumn id="12" name="Oct" totalsRowFunction="sum" totalsRowDxfId="44"/>
    <tableColumn id="13" name="Nov" totalsRowFunction="sum" totalsRowDxfId="43"/>
    <tableColumn id="14" name="Déc" totalsRowFunction="sum" totalsRowDxfId="42"/>
    <tableColumn id="15" name="Annuel" totalsRowFunction="sum" totalsRowDxfId="41">
      <calculatedColumnFormula>SUM(tblDépenses[[#This Row],[Colonne1]:[Déc]])</calculatedColumnFormula>
    </tableColumn>
    <tableColumn id="16" name="Index %" totalsRowFunction="sum" totalsRowDxfId="40"/>
    <tableColumn id="17" name="Jan %" totalsRowFunction="sum" totalsRowDxfId="39">
      <calculatedColumnFormula>tblDépenses[[#This Row],[Colonne1]]/tblDépenses[[#Totals],[Colonne1]]</calculatedColumnFormula>
    </tableColumn>
    <tableColumn id="18" name="Fév %" totalsRowFunction="sum" totalsRowDxfId="38">
      <calculatedColumnFormula>tblDépenses[[#This Row],[Févr]]/tblDépenses[[#Totals],[Févr]]</calculatedColumnFormula>
    </tableColumn>
    <tableColumn id="19" name="Mar %" totalsRowFunction="sum" totalsRowDxfId="37">
      <calculatedColumnFormula>tblDépenses[[#This Row],[Mars]]/tblDépenses[[#Totals],[Mars]]</calculatedColumnFormula>
    </tableColumn>
    <tableColumn id="20" name="Avr %" totalsRowFunction="sum" totalsRowDxfId="36">
      <calculatedColumnFormula>tblDépenses[[#This Row],[Avr]]/tblDépenses[[#Totals],[Avr]]</calculatedColumnFormula>
    </tableColumn>
    <tableColumn id="21" name="Mai %" totalsRowFunction="sum" totalsRowDxfId="35">
      <calculatedColumnFormula>tblDépenses[[#This Row],[Mai]]/tblDépenses[[#Totals],[Mai]]</calculatedColumnFormula>
    </tableColumn>
    <tableColumn id="22" name="Jui %" totalsRowFunction="sum" totalsRowDxfId="34">
      <calculatedColumnFormula>tblDépenses[[#This Row],[Juin]]/tblDépenses[[#Totals],[Juin]]</calculatedColumnFormula>
    </tableColumn>
    <tableColumn id="23" name="Jui % " totalsRowFunction="sum" totalsRowDxfId="33">
      <calculatedColumnFormula>tblDépenses[[#This Row],[Juil]]/tblDépenses[[#Totals],[Juil]]</calculatedColumnFormula>
    </tableColumn>
    <tableColumn id="24" name="Aoû %" totalsRowFunction="sum" totalsRowDxfId="32">
      <calculatedColumnFormula>tblDépenses[[#This Row],[Août]]/tblDépenses[[#Totals],[Août]]</calculatedColumnFormula>
    </tableColumn>
    <tableColumn id="25" name="Sep %" totalsRowFunction="sum" totalsRowDxfId="31">
      <calculatedColumnFormula>tblDépenses[[#This Row],[Sept]]/tblDépenses[[#Totals],[Sept]]</calculatedColumnFormula>
    </tableColumn>
    <tableColumn id="26" name="Oct %" totalsRowFunction="sum" totalsRowDxfId="30">
      <calculatedColumnFormula>tblDépenses[[#This Row],[Oct]]/tblDépenses[[#Totals],[Oct]]</calculatedColumnFormula>
    </tableColumn>
    <tableColumn id="27" name="Nov %" totalsRowFunction="sum" totalsRowDxfId="29">
      <calculatedColumnFormula>tblDépenses[[#This Row],[Nov]]/tblDépenses[[#Totals],[Nov]]</calculatedColumnFormula>
    </tableColumn>
    <tableColumn id="28" name="Déc %" totalsRowFunction="sum" totalsRowDxfId="28">
      <calculatedColumnFormula>tblDépenses[[#This Row],[Déc]]/tblDépenses[[#Totals],[Déc]]</calculatedColumnFormula>
    </tableColumn>
    <tableColumn id="29" name="Année %" totalsRowFunction="sum" totalsRowDxfId="27">
      <calculatedColumnFormula>tblDépenses[[#This Row],[Annuel]]/tblDépenses[[#Totals],[Annuel]]</calculatedColumnFormula>
    </tableColumn>
  </tableColumns>
  <tableStyleInfo name="Dépenses Bénéfices et pertes" showFirstColumn="0" showLastColumn="0" showRowStripes="1" showColumnStripes="0"/>
  <extLst>
    <ext xmlns:x14="http://schemas.microsoft.com/office/spreadsheetml/2009/9/main" uri="{504A1905-F514-4f6f-8877-14C23A59335A}">
      <x14:table altTextSummary="Synthèse des dépenses, total annuel et pourcentage par mois pour chaque élément de dépense"/>
    </ext>
  </extLst>
</table>
</file>

<file path=xl/theme/theme1.xml><?xml version="1.0" encoding="utf-8"?>
<a:theme xmlns:a="http://schemas.openxmlformats.org/drawingml/2006/main" name="Office Theme">
  <a:themeElements>
    <a:clrScheme name="Profit and Loss">
      <a:dk1>
        <a:sysClr val="windowText" lastClr="000000"/>
      </a:dk1>
      <a:lt1>
        <a:srgbClr val="FFFFFF"/>
      </a:lt1>
      <a:dk2>
        <a:srgbClr val="38321C"/>
      </a:dk2>
      <a:lt2>
        <a:srgbClr val="FFFFFF"/>
      </a:lt2>
      <a:accent1>
        <a:srgbClr val="DE8D26"/>
      </a:accent1>
      <a:accent2>
        <a:srgbClr val="2F7B6A"/>
      </a:accent2>
      <a:accent3>
        <a:srgbClr val="3BA0D6"/>
      </a:accent3>
      <a:accent4>
        <a:srgbClr val="8E9ACA"/>
      </a:accent4>
      <a:accent5>
        <a:srgbClr val="6F6857"/>
      </a:accent5>
      <a:accent6>
        <a:srgbClr val="F79646"/>
      </a:accent6>
      <a:hlink>
        <a:srgbClr val="0000FF"/>
      </a:hlink>
      <a:folHlink>
        <a:srgbClr val="800080"/>
      </a:folHlink>
    </a:clrScheme>
    <a:fontScheme name="Profit Loss Statement">
      <a:majorFont>
        <a:latin typeface="Bookman Old Style"/>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4.bin"/></Relationships>
</file>

<file path=xl/worksheets/_rels/sheet16.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N10"/>
  <sheetViews>
    <sheetView tabSelected="1" workbookViewId="0">
      <selection activeCell="A6" sqref="A6:XFD6"/>
    </sheetView>
  </sheetViews>
  <sheetFormatPr baseColWidth="10" defaultColWidth="10" defaultRowHeight="21.75" customHeight="1" x14ac:dyDescent="0.2"/>
  <cols>
    <col min="1" max="1" width="21" style="110" customWidth="1"/>
    <col min="2" max="2" width="6.625" style="104" customWidth="1"/>
    <col min="3" max="16" width="6.625" style="103" customWidth="1"/>
    <col min="17" max="17" width="7.25" style="105" bestFit="1" customWidth="1"/>
    <col min="18" max="18" width="10.125" style="105" customWidth="1"/>
    <col min="19" max="19" width="7.25" style="105" bestFit="1" customWidth="1"/>
    <col min="20" max="21" width="10.25" style="105" customWidth="1"/>
    <col min="22" max="22" width="10.25" style="103" customWidth="1"/>
    <col min="23" max="23" width="13.125" style="103" customWidth="1"/>
    <col min="24" max="16384" width="10" style="103"/>
  </cols>
  <sheetData>
    <row r="1" spans="1:40" s="107" customFormat="1" ht="56.25" customHeight="1" thickBot="1" x14ac:dyDescent="0.25">
      <c r="A1" s="111" t="s">
        <v>86</v>
      </c>
      <c r="B1" s="95">
        <v>500</v>
      </c>
      <c r="C1" s="95">
        <v>200</v>
      </c>
      <c r="D1" s="95">
        <v>100</v>
      </c>
      <c r="E1" s="95">
        <v>50</v>
      </c>
      <c r="F1" s="95">
        <v>20</v>
      </c>
      <c r="G1" s="95">
        <v>10</v>
      </c>
      <c r="H1" s="95">
        <v>5</v>
      </c>
      <c r="I1" s="96">
        <v>2</v>
      </c>
      <c r="J1" s="97">
        <v>1</v>
      </c>
      <c r="K1" s="97">
        <v>0.5</v>
      </c>
      <c r="L1" s="97">
        <v>0.2</v>
      </c>
      <c r="M1" s="97">
        <v>0.1</v>
      </c>
      <c r="N1" s="97">
        <v>0.05</v>
      </c>
      <c r="O1" s="97">
        <v>0.02</v>
      </c>
      <c r="P1" s="97">
        <v>0.01</v>
      </c>
      <c r="Q1" s="98" t="s">
        <v>81</v>
      </c>
      <c r="R1" s="99" t="s">
        <v>83</v>
      </c>
      <c r="S1" s="106" t="s">
        <v>82</v>
      </c>
      <c r="T1" s="99" t="s">
        <v>84</v>
      </c>
      <c r="U1" s="100" t="s">
        <v>85</v>
      </c>
      <c r="V1" s="107" t="s">
        <v>92</v>
      </c>
      <c r="W1" s="114">
        <v>11</v>
      </c>
      <c r="X1" s="113" t="s">
        <v>97</v>
      </c>
      <c r="AL1" s="109" t="e">
        <f>MONTH(#REF!)</f>
        <v>#REF!</v>
      </c>
      <c r="AM1" s="109" t="e">
        <f>WEEKDAY(#REF!)</f>
        <v>#REF!</v>
      </c>
      <c r="AN1" s="109" t="e">
        <f>WEEKNUM(#REF!)</f>
        <v>#REF!</v>
      </c>
    </row>
    <row r="2" spans="1:40" ht="21.75" customHeight="1" x14ac:dyDescent="0.2">
      <c r="A2" s="110" t="s">
        <v>87</v>
      </c>
      <c r="B2" s="101">
        <v>3</v>
      </c>
      <c r="C2" s="101">
        <v>4</v>
      </c>
      <c r="D2" s="101">
        <v>9</v>
      </c>
      <c r="E2" s="101">
        <v>2</v>
      </c>
      <c r="F2" s="101">
        <v>3</v>
      </c>
      <c r="G2" s="101">
        <v>4</v>
      </c>
      <c r="H2" s="101">
        <v>5</v>
      </c>
      <c r="I2" s="101"/>
      <c r="J2" s="101"/>
      <c r="K2" s="101"/>
      <c r="L2" s="101"/>
      <c r="M2" s="101"/>
      <c r="N2" s="101"/>
      <c r="O2" s="101"/>
      <c r="P2" s="101"/>
      <c r="Q2" s="101">
        <f t="shared" ref="Q2" si="0">SUM(B2:H2)</f>
        <v>30</v>
      </c>
      <c r="R2" s="108">
        <f t="shared" ref="R2" si="1">SUM(B2*B$1+C2*C$1+D2*D$1+E2*E$1+F2*F$1+G2*G$1+H2*H$1)</f>
        <v>3425</v>
      </c>
      <c r="S2" s="101">
        <f t="shared" ref="S2" si="2">SUM(I2:P2)</f>
        <v>0</v>
      </c>
      <c r="T2" s="102">
        <f t="shared" ref="T2" si="3">SUM(I2*I$1+J2*J$1+K2*K$1+L2*L$1+M2*M$1+N2*N$1+O2*O$1+P2*P$1)</f>
        <v>0</v>
      </c>
      <c r="U2" s="102">
        <f t="shared" ref="U2" si="4">SUM(R2+T2)</f>
        <v>3425</v>
      </c>
      <c r="V2" s="103">
        <v>1</v>
      </c>
    </row>
    <row r="3" spans="1:40" ht="21.75" customHeight="1" x14ac:dyDescent="0.2">
      <c r="A3" s="110" t="s">
        <v>88</v>
      </c>
      <c r="B3" s="101">
        <v>2</v>
      </c>
      <c r="C3" s="101">
        <v>9</v>
      </c>
      <c r="D3" s="101">
        <v>4</v>
      </c>
      <c r="E3" s="101">
        <v>9</v>
      </c>
      <c r="F3" s="101">
        <v>8</v>
      </c>
      <c r="G3" s="101">
        <v>9</v>
      </c>
      <c r="H3" s="101">
        <v>9</v>
      </c>
      <c r="I3" s="101"/>
      <c r="J3" s="101"/>
      <c r="K3" s="101"/>
      <c r="L3" s="101"/>
      <c r="M3" s="101"/>
      <c r="N3" s="101"/>
      <c r="O3" s="101"/>
      <c r="P3" s="101"/>
      <c r="Q3" s="101">
        <f t="shared" ref="Q3" si="5">SUM(B3:H3)</f>
        <v>50</v>
      </c>
      <c r="R3" s="108">
        <f t="shared" ref="R3" si="6">SUM(B3*B$1+C3*C$1+D3*D$1+E3*E$1+F3*F$1+G3*G$1+H3*H$1)</f>
        <v>3945</v>
      </c>
      <c r="S3" s="101">
        <f t="shared" ref="S3" si="7">SUM(I3:P3)</f>
        <v>0</v>
      </c>
      <c r="T3" s="102">
        <f t="shared" ref="T3" si="8">SUM(I3*I$1+J3*J$1+K3*K$1+L3*L$1+M3*M$1+N3*N$1+O3*O$1+P3*P$1)</f>
        <v>0</v>
      </c>
      <c r="U3" s="102">
        <f t="shared" ref="U3" si="9">SUM(R3+T3)</f>
        <v>3945</v>
      </c>
      <c r="V3" s="103">
        <v>2</v>
      </c>
    </row>
    <row r="4" spans="1:40" ht="21.75" customHeight="1" x14ac:dyDescent="0.2">
      <c r="A4" s="110" t="s">
        <v>89</v>
      </c>
      <c r="B4" s="101">
        <v>9</v>
      </c>
      <c r="C4" s="101">
        <v>9</v>
      </c>
      <c r="D4" s="101">
        <v>9</v>
      </c>
      <c r="E4" s="101">
        <v>9</v>
      </c>
      <c r="F4" s="101">
        <v>9</v>
      </c>
      <c r="G4" s="101">
        <v>9</v>
      </c>
      <c r="H4" s="101">
        <v>9</v>
      </c>
      <c r="I4" s="101">
        <v>9</v>
      </c>
      <c r="J4" s="101">
        <v>9</v>
      </c>
      <c r="K4" s="101">
        <v>9</v>
      </c>
      <c r="L4" s="101">
        <v>9</v>
      </c>
      <c r="M4" s="101">
        <v>9</v>
      </c>
      <c r="N4" s="101">
        <v>9</v>
      </c>
      <c r="O4" s="101">
        <v>9</v>
      </c>
      <c r="P4" s="101">
        <v>9</v>
      </c>
      <c r="Q4" s="101">
        <f t="shared" ref="Q4" si="10">SUM(B4:H4)</f>
        <v>63</v>
      </c>
      <c r="R4" s="108">
        <f t="shared" ref="R4" si="11">SUM(B4*B$1+C4*C$1+D4*D$1+E4*E$1+F4*F$1+G4*G$1+H4*H$1)</f>
        <v>7965</v>
      </c>
      <c r="S4" s="101">
        <f t="shared" ref="S4" si="12">SUM(I4:P4)</f>
        <v>72</v>
      </c>
      <c r="T4" s="102">
        <f t="shared" ref="T4" si="13">SUM(I4*I$1+J4*J$1+K4*K$1+L4*L$1+M4*M$1+N4*N$1+O4*O$1+P4*P$1)</f>
        <v>34.92</v>
      </c>
      <c r="U4" s="102">
        <f t="shared" ref="U4" si="14">SUM(R4+T4)</f>
        <v>7999.92</v>
      </c>
      <c r="V4" s="103">
        <v>3</v>
      </c>
      <c r="W4" s="112"/>
    </row>
    <row r="5" spans="1:40" ht="21.75" customHeight="1" x14ac:dyDescent="0.2">
      <c r="A5" s="110" t="s">
        <v>90</v>
      </c>
      <c r="B5" s="101"/>
      <c r="C5" s="101">
        <v>5</v>
      </c>
      <c r="D5" s="101"/>
      <c r="E5" s="101"/>
      <c r="F5" s="101"/>
      <c r="G5" s="101"/>
      <c r="H5" s="101"/>
      <c r="I5" s="101"/>
      <c r="J5" s="101"/>
      <c r="K5" s="101"/>
      <c r="L5" s="101"/>
      <c r="M5" s="101"/>
      <c r="N5" s="101">
        <v>2</v>
      </c>
      <c r="O5" s="101"/>
      <c r="P5" s="101"/>
      <c r="Q5" s="101">
        <f t="shared" ref="Q5" si="15">SUM(B5:H5)</f>
        <v>5</v>
      </c>
      <c r="R5" s="108">
        <f t="shared" ref="R5" si="16">SUM(B5*B$1+C5*C$1+D5*D$1+E5*E$1+F5*F$1+G5*G$1+H5*H$1)</f>
        <v>1000</v>
      </c>
      <c r="S5" s="101">
        <f t="shared" ref="S5" si="17">SUM(I5:P5)</f>
        <v>2</v>
      </c>
      <c r="T5" s="102">
        <f t="shared" ref="T5" si="18">SUM(I5*I$1+J5*J$1+K5*K$1+L5*L$1+M5*M$1+N5*N$1+O5*O$1+P5*P$1)</f>
        <v>0.1</v>
      </c>
      <c r="U5" s="102">
        <f t="shared" ref="U5" si="19">SUM(R5+T5)</f>
        <v>1000.1</v>
      </c>
      <c r="V5" s="103">
        <v>7</v>
      </c>
    </row>
    <row r="6" spans="1:40" ht="21.75" customHeight="1" x14ac:dyDescent="0.2">
      <c r="A6" s="110" t="s">
        <v>91</v>
      </c>
      <c r="B6" s="101"/>
      <c r="C6" s="101"/>
      <c r="D6" s="101">
        <v>2</v>
      </c>
      <c r="E6" s="101"/>
      <c r="F6" s="101"/>
      <c r="G6" s="101"/>
      <c r="H6" s="101"/>
      <c r="I6" s="101"/>
      <c r="J6" s="101"/>
      <c r="K6" s="101"/>
      <c r="L6" s="101">
        <v>3</v>
      </c>
      <c r="M6" s="101"/>
      <c r="N6" s="101"/>
      <c r="O6" s="101"/>
      <c r="P6" s="101"/>
      <c r="Q6" s="101">
        <f t="shared" ref="Q6" si="20">SUM(B6:H6)</f>
        <v>2</v>
      </c>
      <c r="R6" s="108">
        <f t="shared" ref="R6" si="21">SUM(B6*B$1+C6*C$1+D6*D$1+E6*E$1+F6*F$1+G6*G$1+H6*H$1)</f>
        <v>200</v>
      </c>
      <c r="S6" s="101">
        <f t="shared" ref="S6" si="22">SUM(I6:P6)</f>
        <v>3</v>
      </c>
      <c r="T6" s="102">
        <f t="shared" ref="T6" si="23">SUM(I6*I$1+J6*J$1+K6*K$1+L6*L$1+M6*M$1+N6*N$1+O6*O$1+P6*P$1)</f>
        <v>0.60000000000000009</v>
      </c>
      <c r="U6" s="102">
        <f t="shared" ref="U6" si="24">SUM(R6+T6)</f>
        <v>200.6</v>
      </c>
      <c r="V6" s="103">
        <v>8</v>
      </c>
    </row>
    <row r="7" spans="1:40" ht="21.75" customHeight="1" x14ac:dyDescent="0.2">
      <c r="A7" s="110" t="s">
        <v>93</v>
      </c>
      <c r="B7" s="101">
        <v>4</v>
      </c>
      <c r="C7" s="101"/>
      <c r="D7" s="101"/>
      <c r="E7" s="101">
        <v>5</v>
      </c>
      <c r="F7" s="101"/>
      <c r="G7" s="101"/>
      <c r="H7" s="101"/>
      <c r="I7" s="101">
        <v>5</v>
      </c>
      <c r="J7" s="101"/>
      <c r="K7" s="101"/>
      <c r="L7" s="101">
        <v>5</v>
      </c>
      <c r="M7" s="101">
        <v>4</v>
      </c>
      <c r="N7" s="101"/>
      <c r="O7" s="101">
        <v>5</v>
      </c>
      <c r="P7" s="101">
        <v>4</v>
      </c>
      <c r="Q7" s="101">
        <f t="shared" ref="Q7" si="25">SUM(B7:H7)</f>
        <v>9</v>
      </c>
      <c r="R7" s="108">
        <f t="shared" ref="R7" si="26">SUM(B7*B$1+C7*C$1+D7*D$1+E7*E$1+F7*F$1+G7*G$1+H7*H$1)</f>
        <v>2250</v>
      </c>
      <c r="S7" s="101">
        <f t="shared" ref="S7" si="27">SUM(I7:P7)</f>
        <v>23</v>
      </c>
      <c r="T7" s="102">
        <f t="shared" ref="T7" si="28">SUM(I7*I$1+J7*J$1+K7*K$1+L7*L$1+M7*M$1+N7*N$1+O7*O$1+P7*P$1)</f>
        <v>11.54</v>
      </c>
      <c r="U7" s="102">
        <f t="shared" ref="U7" si="29">SUM(R7+T7)</f>
        <v>2261.54</v>
      </c>
      <c r="V7" s="103">
        <v>9</v>
      </c>
    </row>
    <row r="8" spans="1:40" ht="21.75" customHeight="1" x14ac:dyDescent="0.2">
      <c r="A8" s="110" t="s">
        <v>94</v>
      </c>
      <c r="B8" s="101">
        <v>7</v>
      </c>
      <c r="C8" s="101"/>
      <c r="D8" s="101"/>
      <c r="E8" s="101"/>
      <c r="F8" s="101">
        <v>8</v>
      </c>
      <c r="G8" s="101"/>
      <c r="H8" s="101"/>
      <c r="I8" s="101"/>
      <c r="J8" s="101">
        <v>9</v>
      </c>
      <c r="K8" s="101"/>
      <c r="L8" s="101"/>
      <c r="M8" s="101">
        <v>7</v>
      </c>
      <c r="N8" s="101"/>
      <c r="O8" s="101"/>
      <c r="P8" s="101">
        <v>7</v>
      </c>
      <c r="Q8" s="101">
        <f t="shared" ref="Q8" si="30">SUM(B8:H8)</f>
        <v>15</v>
      </c>
      <c r="R8" s="108">
        <f t="shared" ref="R8" si="31">SUM(B8*B$1+C8*C$1+D8*D$1+E8*E$1+F8*F$1+G8*G$1+H8*H$1)</f>
        <v>3660</v>
      </c>
      <c r="S8" s="101">
        <f t="shared" ref="S8" si="32">SUM(I8:P8)</f>
        <v>23</v>
      </c>
      <c r="T8" s="102">
        <f t="shared" ref="T8" si="33">SUM(I8*I$1+J8*J$1+K8*K$1+L8*L$1+M8*M$1+N8*N$1+O8*O$1+P8*P$1)</f>
        <v>9.77</v>
      </c>
      <c r="U8" s="102">
        <f t="shared" ref="U8" si="34">SUM(R8+T8)</f>
        <v>3669.77</v>
      </c>
      <c r="V8" s="103">
        <v>10</v>
      </c>
    </row>
    <row r="9" spans="1:40" ht="21.75" customHeight="1" x14ac:dyDescent="0.2">
      <c r="A9" s="110" t="s">
        <v>95</v>
      </c>
      <c r="B9" s="101"/>
      <c r="C9" s="101"/>
      <c r="D9" s="101"/>
      <c r="E9" s="101">
        <v>8</v>
      </c>
      <c r="F9" s="101"/>
      <c r="G9" s="101"/>
      <c r="H9" s="101"/>
      <c r="I9" s="101"/>
      <c r="J9" s="101"/>
      <c r="K9" s="101"/>
      <c r="L9" s="101">
        <v>7</v>
      </c>
      <c r="M9" s="101"/>
      <c r="N9" s="101"/>
      <c r="O9" s="101"/>
      <c r="P9" s="101">
        <v>8</v>
      </c>
      <c r="Q9" s="101">
        <f t="shared" ref="Q9" si="35">SUM(B9:H9)</f>
        <v>8</v>
      </c>
      <c r="R9" s="108">
        <f t="shared" ref="R9" si="36">SUM(B9*B$1+C9*C$1+D9*D$1+E9*E$1+F9*F$1+G9*G$1+H9*H$1)</f>
        <v>400</v>
      </c>
      <c r="S9" s="101">
        <f t="shared" ref="S9" si="37">SUM(I9:P9)</f>
        <v>15</v>
      </c>
      <c r="T9" s="102">
        <f t="shared" ref="T9" si="38">SUM(I9*I$1+J9*J$1+K9*K$1+L9*L$1+M9*M$1+N9*N$1+O9*O$1+P9*P$1)</f>
        <v>1.4800000000000002</v>
      </c>
      <c r="U9" s="102">
        <f t="shared" ref="U9" si="39">SUM(R9+T9)</f>
        <v>401.48</v>
      </c>
      <c r="V9" s="103">
        <v>12</v>
      </c>
    </row>
    <row r="10" spans="1:40" ht="21.75" customHeight="1" x14ac:dyDescent="0.2">
      <c r="A10" s="110" t="s">
        <v>96</v>
      </c>
      <c r="B10" s="104">
        <v>2</v>
      </c>
      <c r="C10" s="103">
        <v>8</v>
      </c>
      <c r="L10" s="103">
        <v>4</v>
      </c>
      <c r="P10" s="103">
        <v>8</v>
      </c>
      <c r="Q10" s="101">
        <f t="shared" ref="Q10" si="40">SUM(B10:H10)</f>
        <v>10</v>
      </c>
      <c r="R10" s="108">
        <f t="shared" ref="R10" si="41">SUM(B10*B$1+C10*C$1+D10*D$1+E10*E$1+F10*F$1+G10*G$1+H10*H$1)</f>
        <v>2600</v>
      </c>
      <c r="S10" s="101">
        <f t="shared" ref="S10" si="42">SUM(I10:P10)</f>
        <v>12</v>
      </c>
      <c r="T10" s="102">
        <f t="shared" ref="T10" si="43">SUM(I10*I$1+J10*J$1+K10*K$1+L10*L$1+M10*M$1+N10*N$1+O10*O$1+P10*P$1)</f>
        <v>0.88</v>
      </c>
      <c r="U10" s="102">
        <f t="shared" ref="U10" si="44">SUM(R10+T10)</f>
        <v>2600.88</v>
      </c>
      <c r="V10" s="103">
        <v>11</v>
      </c>
    </row>
  </sheetData>
  <pageMargins left="0.7" right="0.7"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Monaie">
                <anchor moveWithCells="1" sizeWithCells="1">
                  <from>
                    <xdr:col>0</xdr:col>
                    <xdr:colOff>123825</xdr:colOff>
                    <xdr:row>0</xdr:row>
                    <xdr:rowOff>209550</xdr:rowOff>
                  </from>
                  <to>
                    <xdr:col>0</xdr:col>
                    <xdr:colOff>1495425</xdr:colOff>
                    <xdr:row>0</xdr:row>
                    <xdr:rowOff>495300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5" tint="0.39997558519241921"/>
    <pageSetUpPr autoPageBreaks="0" fitToPage="1"/>
  </sheetPr>
  <dimension ref="A1:AL10"/>
  <sheetViews>
    <sheetView showGridLines="0" zoomScaleNormal="100" workbookViewId="0">
      <pane ySplit="3" topLeftCell="A4" activePane="bottomLeft" state="frozen"/>
      <selection pane="bottomLeft" activeCell="AL4" sqref="AL4"/>
    </sheetView>
  </sheetViews>
  <sheetFormatPr baseColWidth="10" defaultColWidth="9" defaultRowHeight="30" customHeight="1" x14ac:dyDescent="0.2"/>
  <cols>
    <col min="1" max="1" width="2.625" style="40" customWidth="1"/>
    <col min="2" max="2" width="23.625" style="40" customWidth="1"/>
    <col min="3" max="3" width="14" style="40" customWidth="1"/>
    <col min="4" max="15" width="10.125" style="40" customWidth="1"/>
    <col min="16" max="16" width="9.875" style="40" customWidth="1"/>
    <col min="17" max="29" width="10.25" style="40" customWidth="1"/>
    <col min="30" max="30" width="9.875" style="40" customWidth="1"/>
    <col min="31" max="31" width="2.625" style="40" customWidth="1"/>
    <col min="32" max="16384" width="9" style="40"/>
  </cols>
  <sheetData>
    <row r="1" spans="1:38" ht="35.1" customHeight="1" x14ac:dyDescent="0.2">
      <c r="A1" s="38"/>
      <c r="B1" s="39" t="s">
        <v>0</v>
      </c>
      <c r="J1" s="41"/>
      <c r="Q1" s="42"/>
      <c r="R1" s="42"/>
      <c r="S1" s="42"/>
      <c r="T1" s="42"/>
      <c r="U1" s="42"/>
      <c r="V1" s="42"/>
      <c r="W1" s="42"/>
      <c r="X1" s="42"/>
      <c r="Y1" s="42"/>
      <c r="Z1" s="42"/>
      <c r="AA1" s="42"/>
      <c r="AB1" s="42"/>
      <c r="AC1" s="42"/>
      <c r="AD1" s="43" t="s">
        <v>11</v>
      </c>
    </row>
    <row r="2" spans="1:38" ht="60" customHeight="1" x14ac:dyDescent="0.25">
      <c r="B2" s="44" t="s">
        <v>80</v>
      </c>
      <c r="E2" s="45"/>
      <c r="G2" s="45"/>
      <c r="K2" s="45"/>
      <c r="L2" s="45"/>
      <c r="M2" s="45"/>
      <c r="N2" s="45"/>
      <c r="O2" s="45"/>
      <c r="X2" s="46"/>
      <c r="Y2" s="46"/>
      <c r="Z2" s="46"/>
      <c r="AA2" s="46"/>
      <c r="AB2" s="47" t="s">
        <v>10</v>
      </c>
      <c r="AC2" s="47" t="s">
        <v>40</v>
      </c>
      <c r="AD2" s="48">
        <f ca="1">YEAR(TODAY())</f>
        <v>2019</v>
      </c>
    </row>
    <row r="3" spans="1:38" ht="20.100000000000001" customHeight="1" x14ac:dyDescent="0.2">
      <c r="D3" s="49" t="str">
        <f ca="1">UPPER(TEXT(DATE(FYStartYear,FYMonthNo,1),"mmm-aa"))</f>
        <v>JANV-19</v>
      </c>
      <c r="E3" s="49" t="str">
        <f ca="1">UPPER(TEXT(DATE(FYStartYear,FYMonthNo+1,1),"mmm-aa"))</f>
        <v>FÉVR-19</v>
      </c>
      <c r="F3" s="49" t="str">
        <f ca="1">UPPER(TEXT(DATE(FYStartYear,FYMonthNo+2,1),"mmm-aa"))</f>
        <v>MARS-19</v>
      </c>
      <c r="G3" s="49" t="str">
        <f ca="1">UPPER(TEXT(DATE(FYStartYear,FYMonthNo+3,1),"mmm-aa"))</f>
        <v>AVR-19</v>
      </c>
      <c r="H3" s="49" t="str">
        <f ca="1">UPPER(TEXT(DATE(FYStartYear,FYMonthNo+4,1),"mmm-aa"))</f>
        <v>MAI-19</v>
      </c>
      <c r="I3" s="49" t="str">
        <f ca="1">UPPER(TEXT(DATE(FYStartYear,FYMonthNo+5,1),"mmm-aa"))</f>
        <v>JUIN-19</v>
      </c>
      <c r="J3" s="49" t="str">
        <f ca="1">UPPER(TEXT(DATE(FYStartYear,FYMonthNo+6,1),"mmm-aa"))</f>
        <v>JUIL-19</v>
      </c>
      <c r="K3" s="49" t="str">
        <f ca="1">UPPER(TEXT(DATE(FYStartYear,FYMonthNo+7,1),"mmm-aa"))</f>
        <v>AOÛT-19</v>
      </c>
      <c r="L3" s="49" t="str">
        <f ca="1">UPPER(TEXT(DATE(FYStartYear,FYMonthNo+8,1),"mmm-aa"))</f>
        <v>SEPT-19</v>
      </c>
      <c r="M3" s="49" t="str">
        <f ca="1">UPPER(TEXT(DATE(FYStartYear,FYMonthNo+9,1),"mmm-aa"))</f>
        <v>OCT-19</v>
      </c>
      <c r="N3" s="49" t="str">
        <f ca="1">UPPER(TEXT(DATE(FYStartYear,FYMonthNo+10,1),"mmm-aa"))</f>
        <v>NOV-19</v>
      </c>
      <c r="O3" s="49" t="str">
        <f ca="1">UPPER(TEXT(DATE(FYStartYear,FYMonthNo+11,1),"mmm-aa"))</f>
        <v>DÉC-19</v>
      </c>
      <c r="P3" s="49" t="s">
        <v>8</v>
      </c>
      <c r="Q3" s="49" t="s">
        <v>38</v>
      </c>
      <c r="R3" s="49" t="str">
        <f t="shared" ref="R3:AC3" ca="1" si="0">LEFT(D3,3)&amp;" %"</f>
        <v>JAN %</v>
      </c>
      <c r="S3" s="49" t="str">
        <f t="shared" ca="1" si="0"/>
        <v>FÉV %</v>
      </c>
      <c r="T3" s="49" t="str">
        <f t="shared" ca="1" si="0"/>
        <v>MAR %</v>
      </c>
      <c r="U3" s="49" t="str">
        <f t="shared" ca="1" si="0"/>
        <v>AVR %</v>
      </c>
      <c r="V3" s="49" t="str">
        <f t="shared" ca="1" si="0"/>
        <v>MAI %</v>
      </c>
      <c r="W3" s="49" t="str">
        <f t="shared" ca="1" si="0"/>
        <v>JUI %</v>
      </c>
      <c r="X3" s="49" t="str">
        <f t="shared" ca="1" si="0"/>
        <v>JUI %</v>
      </c>
      <c r="Y3" s="49" t="str">
        <f t="shared" ca="1" si="0"/>
        <v>AOÛ %</v>
      </c>
      <c r="Z3" s="49" t="str">
        <f t="shared" ca="1" si="0"/>
        <v>SEP %</v>
      </c>
      <c r="AA3" s="49" t="str">
        <f t="shared" ca="1" si="0"/>
        <v>OCT %</v>
      </c>
      <c r="AB3" s="49" t="str">
        <f t="shared" ca="1" si="0"/>
        <v>NOV %</v>
      </c>
      <c r="AC3" s="49" t="str">
        <f t="shared" ca="1" si="0"/>
        <v>DÉC %</v>
      </c>
      <c r="AD3" s="49" t="s">
        <v>39</v>
      </c>
    </row>
    <row r="4" spans="1:38" ht="47.25" customHeight="1" x14ac:dyDescent="0.25">
      <c r="B4" s="82" t="s">
        <v>1</v>
      </c>
      <c r="C4" s="50" t="s">
        <v>3</v>
      </c>
      <c r="D4" s="51" t="s">
        <v>41</v>
      </c>
      <c r="E4" s="51" t="s">
        <v>42</v>
      </c>
      <c r="F4" s="51" t="s">
        <v>4</v>
      </c>
      <c r="G4" s="51" t="s">
        <v>43</v>
      </c>
      <c r="H4" s="51" t="s">
        <v>5</v>
      </c>
      <c r="I4" s="51" t="s">
        <v>6</v>
      </c>
      <c r="J4" s="51" t="s">
        <v>44</v>
      </c>
      <c r="K4" s="51" t="s">
        <v>7</v>
      </c>
      <c r="L4" s="51" t="s">
        <v>45</v>
      </c>
      <c r="M4" s="51" t="s">
        <v>46</v>
      </c>
      <c r="N4" s="51" t="s">
        <v>47</v>
      </c>
      <c r="O4" s="51" t="s">
        <v>48</v>
      </c>
      <c r="P4" s="51" t="s">
        <v>9</v>
      </c>
      <c r="Q4" s="52" t="s">
        <v>49</v>
      </c>
      <c r="R4" s="52" t="s">
        <v>56</v>
      </c>
      <c r="S4" s="52" t="s">
        <v>57</v>
      </c>
      <c r="T4" s="52" t="s">
        <v>58</v>
      </c>
      <c r="U4" s="52" t="s">
        <v>50</v>
      </c>
      <c r="V4" s="52" t="s">
        <v>51</v>
      </c>
      <c r="W4" s="52" t="s">
        <v>59</v>
      </c>
      <c r="X4" s="52" t="s">
        <v>62</v>
      </c>
      <c r="Y4" s="52" t="s">
        <v>60</v>
      </c>
      <c r="Z4" s="52" t="s">
        <v>61</v>
      </c>
      <c r="AA4" s="52" t="s">
        <v>52</v>
      </c>
      <c r="AB4" s="52" t="s">
        <v>53</v>
      </c>
      <c r="AC4" s="52" t="s">
        <v>54</v>
      </c>
      <c r="AD4" s="51" t="s">
        <v>55</v>
      </c>
      <c r="AL4" s="40">
        <f>MONTH(A3)</f>
        <v>1</v>
      </c>
    </row>
    <row r="5" spans="1:38" ht="30" customHeight="1" x14ac:dyDescent="0.2">
      <c r="B5" s="53" t="s">
        <v>63</v>
      </c>
      <c r="C5" s="54"/>
      <c r="D5" s="55">
        <f>IFERROR(Janvier!I4,"")</f>
        <v>0</v>
      </c>
      <c r="E5" s="55">
        <f>IFERROR(Fevrier!I4,"")</f>
        <v>0</v>
      </c>
      <c r="F5" s="55">
        <f>IFERROR(Mars!I6,"")</f>
        <v>0</v>
      </c>
      <c r="G5" s="55">
        <f>Avril!I4</f>
        <v>0</v>
      </c>
      <c r="H5" s="55">
        <f>Mai!I4</f>
        <v>0</v>
      </c>
      <c r="I5" s="55">
        <f>Juin!I4</f>
        <v>0</v>
      </c>
      <c r="J5" s="55">
        <f>Juillet!I4</f>
        <v>0</v>
      </c>
      <c r="K5" s="55">
        <f>Août!I4</f>
        <v>0</v>
      </c>
      <c r="L5" s="55">
        <f>Septembre!I4</f>
        <v>0</v>
      </c>
      <c r="M5" s="55">
        <f>Otobre!I4</f>
        <v>0</v>
      </c>
      <c r="N5" s="55">
        <f>Novembre!I4</f>
        <v>0</v>
      </c>
      <c r="O5" s="55">
        <f>Décembre!I4</f>
        <v>0</v>
      </c>
      <c r="P5" s="56">
        <f>SUM(Chiffre_daffaires[[#This Row],[Janv]:[Déc]])</f>
        <v>0</v>
      </c>
      <c r="Q5" s="57">
        <v>0.12</v>
      </c>
      <c r="R5" s="58" t="str">
        <f>IFERROR(Chiffre_daffaires[[#This Row],[Janv]]/Chiffre_daffaires[[#Totals],[Janv]],"-")</f>
        <v>-</v>
      </c>
      <c r="S5" s="58" t="str">
        <f>IFERROR(Chiffre_daffaires[[#This Row],[Févr]]/Chiffre_daffaires[[#Totals],[Févr]],"-")</f>
        <v>-</v>
      </c>
      <c r="T5" s="58" t="str">
        <f>IFERROR(Chiffre_daffaires[[#This Row],[Mars]]/Chiffre_daffaires[[#Totals],[Mars]],"-")</f>
        <v>-</v>
      </c>
      <c r="U5" s="58" t="str">
        <f>IFERROR(Chiffre_daffaires[[#This Row],[Avr]]/Chiffre_daffaires[[#Totals],[Avr]],"-")</f>
        <v>-</v>
      </c>
      <c r="V5" s="58" t="str">
        <f>IFERROR(Chiffre_daffaires[[#This Row],[Mai]]/Chiffre_daffaires[[#Totals],[Mai]],"-")</f>
        <v>-</v>
      </c>
      <c r="W5" s="58" t="str">
        <f>IFERROR(Chiffre_daffaires[[#This Row],[Juin]]/Chiffre_daffaires[[#Totals],[Juin]],"-")</f>
        <v>-</v>
      </c>
      <c r="X5" s="58" t="str">
        <f>IFERROR(Chiffre_daffaires[[#This Row],[Juil]]/Chiffre_daffaires[[#Totals],[Juil]],"-")</f>
        <v>-</v>
      </c>
      <c r="Y5" s="58" t="str">
        <f>IFERROR(Chiffre_daffaires[[#This Row],[Août]]/Chiffre_daffaires[[#Totals],[Août]],"-")</f>
        <v>-</v>
      </c>
      <c r="Z5" s="58" t="str">
        <f>IFERROR(Chiffre_daffaires[[#This Row],[Sept]]/Chiffre_daffaires[[#Totals],[Sept]],"-")</f>
        <v>-</v>
      </c>
      <c r="AA5" s="58" t="str">
        <f>IFERROR(Chiffre_daffaires[[#This Row],[Oct]]/Chiffre_daffaires[[#Totals],[Oct]],"-")</f>
        <v>-</v>
      </c>
      <c r="AB5" s="58" t="str">
        <f>IFERROR(Chiffre_daffaires[[#This Row],[Nov]]/Chiffre_daffaires[[#Totals],[Nov]],"-")</f>
        <v>-</v>
      </c>
      <c r="AC5" s="58" t="str">
        <f>IFERROR(Chiffre_daffaires[[#This Row],[Déc]]/Chiffre_daffaires[[#Totals],[Déc]],"-")</f>
        <v>-</v>
      </c>
      <c r="AD5" s="59" t="str">
        <f>IFERROR(Chiffre_daffaires[[#This Row],[Annuel]]/Chiffre_daffaires[[#Totals],[Annuel]],"-")</f>
        <v>-</v>
      </c>
    </row>
    <row r="6" spans="1:38" ht="30" customHeight="1" x14ac:dyDescent="0.2">
      <c r="B6" s="53" t="s">
        <v>64</v>
      </c>
      <c r="C6" s="54"/>
      <c r="D6" s="55">
        <f>Janvier!I6</f>
        <v>0</v>
      </c>
      <c r="E6" s="55">
        <f>Fevrier!I6</f>
        <v>0</v>
      </c>
      <c r="F6" s="55">
        <f>Mars!I6</f>
        <v>0</v>
      </c>
      <c r="G6" s="55">
        <f>Avril!I6</f>
        <v>0</v>
      </c>
      <c r="H6" s="55">
        <f>Mai!I6</f>
        <v>0</v>
      </c>
      <c r="I6" s="55">
        <f>Juin!I6</f>
        <v>0</v>
      </c>
      <c r="J6" s="55">
        <f>Juillet!I6</f>
        <v>0</v>
      </c>
      <c r="K6" s="55">
        <f>Août!I6</f>
        <v>0</v>
      </c>
      <c r="L6" s="55">
        <f>Septembre!I6</f>
        <v>0</v>
      </c>
      <c r="M6" s="55">
        <f>Otobre!I6</f>
        <v>0</v>
      </c>
      <c r="N6" s="55">
        <f>Novembre!I6</f>
        <v>0</v>
      </c>
      <c r="O6" s="55">
        <f>Décembre!I6</f>
        <v>0</v>
      </c>
      <c r="P6" s="56">
        <f>SUM(Chiffre_daffaires[[#This Row],[Janv]:[Déc]])</f>
        <v>0</v>
      </c>
      <c r="Q6" s="57">
        <v>0.18</v>
      </c>
      <c r="R6" s="58" t="str">
        <f>IFERROR(Chiffre_daffaires[[#This Row],[Janv]]/Chiffre_daffaires[[#Totals],[Janv]],"-")</f>
        <v>-</v>
      </c>
      <c r="S6" s="58" t="str">
        <f>IFERROR(Chiffre_daffaires[[#This Row],[Févr]]/Chiffre_daffaires[[#Totals],[Févr]],"-")</f>
        <v>-</v>
      </c>
      <c r="T6" s="58" t="str">
        <f>IFERROR(Chiffre_daffaires[[#This Row],[Mars]]/Chiffre_daffaires[[#Totals],[Mars]],"-")</f>
        <v>-</v>
      </c>
      <c r="U6" s="58" t="str">
        <f>IFERROR(Chiffre_daffaires[[#This Row],[Avr]]/Chiffre_daffaires[[#Totals],[Avr]],"-")</f>
        <v>-</v>
      </c>
      <c r="V6" s="58" t="str">
        <f>IFERROR(Chiffre_daffaires[[#This Row],[Mai]]/Chiffre_daffaires[[#Totals],[Mai]],"-")</f>
        <v>-</v>
      </c>
      <c r="W6" s="58" t="str">
        <f>IFERROR(Chiffre_daffaires[[#This Row],[Juin]]/Chiffre_daffaires[[#Totals],[Juin]],"-")</f>
        <v>-</v>
      </c>
      <c r="X6" s="58" t="str">
        <f>IFERROR(Chiffre_daffaires[[#This Row],[Juil]]/Chiffre_daffaires[[#Totals],[Juil]],"-")</f>
        <v>-</v>
      </c>
      <c r="Y6" s="58" t="str">
        <f>IFERROR(Chiffre_daffaires[[#This Row],[Août]]/Chiffre_daffaires[[#Totals],[Août]],"-")</f>
        <v>-</v>
      </c>
      <c r="Z6" s="58" t="str">
        <f>IFERROR(Chiffre_daffaires[[#This Row],[Sept]]/Chiffre_daffaires[[#Totals],[Sept]],"-")</f>
        <v>-</v>
      </c>
      <c r="AA6" s="58" t="str">
        <f>IFERROR(Chiffre_daffaires[[#This Row],[Oct]]/Chiffre_daffaires[[#Totals],[Oct]],"-")</f>
        <v>-</v>
      </c>
      <c r="AB6" s="58" t="str">
        <f>IFERROR(Chiffre_daffaires[[#This Row],[Nov]]/Chiffre_daffaires[[#Totals],[Nov]],"-")</f>
        <v>-</v>
      </c>
      <c r="AC6" s="58" t="str">
        <f>IFERROR(Chiffre_daffaires[[#This Row],[Déc]]/Chiffre_daffaires[[#Totals],[Déc]],"-")</f>
        <v>-</v>
      </c>
      <c r="AD6" s="59" t="str">
        <f>IFERROR(Chiffre_daffaires[[#This Row],[Annuel]]/Chiffre_daffaires[[#Totals],[Annuel]],"-")</f>
        <v>-</v>
      </c>
    </row>
    <row r="7" spans="1:38" ht="30" customHeight="1" x14ac:dyDescent="0.2">
      <c r="B7" s="53" t="s">
        <v>65</v>
      </c>
      <c r="C7" s="54"/>
      <c r="D7" s="55">
        <f>Janvier!I8</f>
        <v>0</v>
      </c>
      <c r="E7" s="55">
        <f>Fevrier!I8</f>
        <v>0</v>
      </c>
      <c r="F7" s="55">
        <f>Mars!I8</f>
        <v>0</v>
      </c>
      <c r="G7" s="55">
        <f>Avril!I8</f>
        <v>0</v>
      </c>
      <c r="H7" s="55">
        <f>Mai!I8</f>
        <v>0</v>
      </c>
      <c r="I7" s="55">
        <f>Juin!I6</f>
        <v>0</v>
      </c>
      <c r="J7" s="55">
        <f>Juillet!I6</f>
        <v>0</v>
      </c>
      <c r="K7" s="55">
        <f>Août!I6</f>
        <v>0</v>
      </c>
      <c r="L7" s="55">
        <f>Septembre!I6</f>
        <v>0</v>
      </c>
      <c r="M7" s="55">
        <f>Otobre!I6</f>
        <v>0</v>
      </c>
      <c r="N7" s="55">
        <f>Novembre!I6</f>
        <v>0</v>
      </c>
      <c r="O7" s="55">
        <f>Décembre!I6</f>
        <v>0</v>
      </c>
      <c r="P7" s="56">
        <f>SUM(Chiffre_daffaires[[#This Row],[Janv]:[Déc]])</f>
        <v>0</v>
      </c>
      <c r="Q7" s="57">
        <v>0.19</v>
      </c>
      <c r="R7" s="58" t="str">
        <f>IFERROR(Chiffre_daffaires[[#This Row],[Janv]]/Chiffre_daffaires[[#Totals],[Janv]],"-")</f>
        <v>-</v>
      </c>
      <c r="S7" s="58" t="str">
        <f>IFERROR(Chiffre_daffaires[[#This Row],[Févr]]/Chiffre_daffaires[[#Totals],[Févr]],"-")</f>
        <v>-</v>
      </c>
      <c r="T7" s="58" t="str">
        <f>IFERROR(Chiffre_daffaires[[#This Row],[Mars]]/Chiffre_daffaires[[#Totals],[Mars]],"-")</f>
        <v>-</v>
      </c>
      <c r="U7" s="58" t="str">
        <f>IFERROR(Chiffre_daffaires[[#This Row],[Avr]]/Chiffre_daffaires[[#Totals],[Avr]],"-")</f>
        <v>-</v>
      </c>
      <c r="V7" s="58" t="str">
        <f>IFERROR(Chiffre_daffaires[[#This Row],[Mai]]/Chiffre_daffaires[[#Totals],[Mai]],"-")</f>
        <v>-</v>
      </c>
      <c r="W7" s="58" t="str">
        <f>IFERROR(Chiffre_daffaires[[#This Row],[Juin]]/Chiffre_daffaires[[#Totals],[Juin]],"-")</f>
        <v>-</v>
      </c>
      <c r="X7" s="58" t="str">
        <f>IFERROR(Chiffre_daffaires[[#This Row],[Juil]]/Chiffre_daffaires[[#Totals],[Juil]],"-")</f>
        <v>-</v>
      </c>
      <c r="Y7" s="58" t="str">
        <f>IFERROR(Chiffre_daffaires[[#This Row],[Août]]/Chiffre_daffaires[[#Totals],[Août]],"-")</f>
        <v>-</v>
      </c>
      <c r="Z7" s="58" t="str">
        <f>IFERROR(Chiffre_daffaires[[#This Row],[Sept]]/Chiffre_daffaires[[#Totals],[Sept]],"-")</f>
        <v>-</v>
      </c>
      <c r="AA7" s="58" t="str">
        <f>IFERROR(Chiffre_daffaires[[#This Row],[Oct]]/Chiffre_daffaires[[#Totals],[Oct]],"-")</f>
        <v>-</v>
      </c>
      <c r="AB7" s="58" t="str">
        <f>IFERROR(Chiffre_daffaires[[#This Row],[Nov]]/Chiffre_daffaires[[#Totals],[Nov]],"-")</f>
        <v>-</v>
      </c>
      <c r="AC7" s="58" t="str">
        <f>IFERROR(Chiffre_daffaires[[#This Row],[Déc]]/Chiffre_daffaires[[#Totals],[Déc]],"-")</f>
        <v>-</v>
      </c>
      <c r="AD7" s="59" t="str">
        <f>IFERROR(Chiffre_daffaires[[#This Row],[Annuel]]/Chiffre_daffaires[[#Totals],[Annuel]],"-")</f>
        <v>-</v>
      </c>
    </row>
    <row r="8" spans="1:38" ht="30" customHeight="1" x14ac:dyDescent="0.2">
      <c r="B8" s="53" t="s">
        <v>66</v>
      </c>
      <c r="C8" s="54"/>
      <c r="D8" s="55">
        <f>Janvier!I10</f>
        <v>0</v>
      </c>
      <c r="E8" s="55">
        <f>Fevrier!I10</f>
        <v>0</v>
      </c>
      <c r="F8" s="55">
        <f>Mars!I8</f>
        <v>0</v>
      </c>
      <c r="G8" s="55">
        <f>Avril!I8</f>
        <v>0</v>
      </c>
      <c r="H8" s="55">
        <f>Mai!I8</f>
        <v>0</v>
      </c>
      <c r="I8" s="55">
        <f>Juin!I8</f>
        <v>0</v>
      </c>
      <c r="J8" s="55">
        <f>Juillet!I8</f>
        <v>0</v>
      </c>
      <c r="K8" s="55">
        <f>Août!I8</f>
        <v>0</v>
      </c>
      <c r="L8" s="55">
        <f>Septembre!I8</f>
        <v>0</v>
      </c>
      <c r="M8" s="55">
        <f>Otobre!I8</f>
        <v>0</v>
      </c>
      <c r="N8" s="55">
        <f>Novembre!I8</f>
        <v>0</v>
      </c>
      <c r="O8" s="55">
        <f>Décembre!I8</f>
        <v>0</v>
      </c>
      <c r="P8" s="56">
        <f>SUM(Chiffre_daffaires[[#This Row],[Janv]:[Déc]])</f>
        <v>0</v>
      </c>
      <c r="Q8" s="57">
        <v>0.11</v>
      </c>
      <c r="R8" s="58" t="str">
        <f>IFERROR(Chiffre_daffaires[[#This Row],[Janv]]/Chiffre_daffaires[[#Totals],[Janv]],"-")</f>
        <v>-</v>
      </c>
      <c r="S8" s="58" t="str">
        <f>IFERROR(Chiffre_daffaires[[#This Row],[Févr]]/Chiffre_daffaires[[#Totals],[Févr]],"-")</f>
        <v>-</v>
      </c>
      <c r="T8" s="58" t="str">
        <f>IFERROR(Chiffre_daffaires[[#This Row],[Mars]]/Chiffre_daffaires[[#Totals],[Mars]],"-")</f>
        <v>-</v>
      </c>
      <c r="U8" s="58" t="str">
        <f>IFERROR(Chiffre_daffaires[[#This Row],[Avr]]/Chiffre_daffaires[[#Totals],[Avr]],"-")</f>
        <v>-</v>
      </c>
      <c r="V8" s="58" t="str">
        <f>IFERROR(Chiffre_daffaires[[#This Row],[Mai]]/Chiffre_daffaires[[#Totals],[Mai]],"-")</f>
        <v>-</v>
      </c>
      <c r="W8" s="58" t="str">
        <f>IFERROR(Chiffre_daffaires[[#This Row],[Juin]]/Chiffre_daffaires[[#Totals],[Juin]],"-")</f>
        <v>-</v>
      </c>
      <c r="X8" s="58" t="str">
        <f>IFERROR(Chiffre_daffaires[[#This Row],[Juil]]/Chiffre_daffaires[[#Totals],[Juil]],"-")</f>
        <v>-</v>
      </c>
      <c r="Y8" s="58" t="str">
        <f>IFERROR(Chiffre_daffaires[[#This Row],[Août]]/Chiffre_daffaires[[#Totals],[Août]],"-")</f>
        <v>-</v>
      </c>
      <c r="Z8" s="58" t="str">
        <f>IFERROR(Chiffre_daffaires[[#This Row],[Sept]]/Chiffre_daffaires[[#Totals],[Sept]],"-")</f>
        <v>-</v>
      </c>
      <c r="AA8" s="58" t="str">
        <f>IFERROR(Chiffre_daffaires[[#This Row],[Oct]]/Chiffre_daffaires[[#Totals],[Oct]],"-")</f>
        <v>-</v>
      </c>
      <c r="AB8" s="58" t="str">
        <f>IFERROR(Chiffre_daffaires[[#This Row],[Nov]]/Chiffre_daffaires[[#Totals],[Nov]],"-")</f>
        <v>-</v>
      </c>
      <c r="AC8" s="58" t="str">
        <f>IFERROR(Chiffre_daffaires[[#This Row],[Déc]]/Chiffre_daffaires[[#Totals],[Déc]],"-")</f>
        <v>-</v>
      </c>
      <c r="AD8" s="59" t="str">
        <f>IFERROR(Chiffre_daffaires[[#This Row],[Annuel]]/Chiffre_daffaires[[#Totals],[Annuel]],"-")</f>
        <v>-</v>
      </c>
    </row>
    <row r="9" spans="1:38" ht="30" customHeight="1" x14ac:dyDescent="0.2">
      <c r="B9" s="53" t="s">
        <v>67</v>
      </c>
      <c r="C9" s="54"/>
      <c r="D9" s="55">
        <f>Janvier!I12</f>
        <v>0</v>
      </c>
      <c r="E9" s="55">
        <f>Fevrier!I12</f>
        <v>0</v>
      </c>
      <c r="F9" s="55">
        <f>Mars!I8</f>
        <v>0</v>
      </c>
      <c r="G9" s="55">
        <f>Avril!I8</f>
        <v>0</v>
      </c>
      <c r="H9" s="55">
        <f>Mai!I8</f>
        <v>0</v>
      </c>
      <c r="I9" s="55">
        <f>Juin!I8</f>
        <v>0</v>
      </c>
      <c r="J9" s="55">
        <f>Juillet!I8</f>
        <v>0</v>
      </c>
      <c r="K9" s="55">
        <f>Août!I8</f>
        <v>0</v>
      </c>
      <c r="L9" s="55">
        <f>Septembre!I8</f>
        <v>0</v>
      </c>
      <c r="M9" s="55">
        <f>Otobre!I8</f>
        <v>0</v>
      </c>
      <c r="N9" s="55">
        <f>Novembre!I8</f>
        <v>0</v>
      </c>
      <c r="O9" s="55">
        <f>Décembre!I8</f>
        <v>0</v>
      </c>
      <c r="P9" s="56">
        <f>SUM(Chiffre_daffaires[[#This Row],[Janv]:[Déc]])</f>
        <v>0</v>
      </c>
      <c r="Q9" s="57">
        <v>0.2</v>
      </c>
      <c r="R9" s="58" t="str">
        <f>IFERROR(Chiffre_daffaires[[#This Row],[Janv]]/Chiffre_daffaires[[#Totals],[Janv]],"-")</f>
        <v>-</v>
      </c>
      <c r="S9" s="58" t="str">
        <f>IFERROR(Chiffre_daffaires[[#This Row],[Févr]]/Chiffre_daffaires[[#Totals],[Févr]],"-")</f>
        <v>-</v>
      </c>
      <c r="T9" s="58" t="str">
        <f>IFERROR(Chiffre_daffaires[[#This Row],[Mars]]/Chiffre_daffaires[[#Totals],[Mars]],"-")</f>
        <v>-</v>
      </c>
      <c r="U9" s="58" t="str">
        <f>IFERROR(Chiffre_daffaires[[#This Row],[Avr]]/Chiffre_daffaires[[#Totals],[Avr]],"-")</f>
        <v>-</v>
      </c>
      <c r="V9" s="58" t="str">
        <f>IFERROR(Chiffre_daffaires[[#This Row],[Mai]]/Chiffre_daffaires[[#Totals],[Mai]],"-")</f>
        <v>-</v>
      </c>
      <c r="W9" s="58" t="str">
        <f>IFERROR(Chiffre_daffaires[[#This Row],[Juin]]/Chiffre_daffaires[[#Totals],[Juin]],"-")</f>
        <v>-</v>
      </c>
      <c r="X9" s="58" t="str">
        <f>IFERROR(Chiffre_daffaires[[#This Row],[Juil]]/Chiffre_daffaires[[#Totals],[Juil]],"-")</f>
        <v>-</v>
      </c>
      <c r="Y9" s="58" t="str">
        <f>IFERROR(Chiffre_daffaires[[#This Row],[Août]]/Chiffre_daffaires[[#Totals],[Août]],"-")</f>
        <v>-</v>
      </c>
      <c r="Z9" s="58" t="str">
        <f>IFERROR(Chiffre_daffaires[[#This Row],[Sept]]/Chiffre_daffaires[[#Totals],[Sept]],"-")</f>
        <v>-</v>
      </c>
      <c r="AA9" s="58" t="str">
        <f>IFERROR(Chiffre_daffaires[[#This Row],[Oct]]/Chiffre_daffaires[[#Totals],[Oct]],"-")</f>
        <v>-</v>
      </c>
      <c r="AB9" s="58" t="str">
        <f>IFERROR(Chiffre_daffaires[[#This Row],[Nov]]/Chiffre_daffaires[[#Totals],[Nov]],"-")</f>
        <v>-</v>
      </c>
      <c r="AC9" s="58" t="str">
        <f>IFERROR(Chiffre_daffaires[[#This Row],[Déc]]/Chiffre_daffaires[[#Totals],[Déc]],"-")</f>
        <v>-</v>
      </c>
      <c r="AD9" s="59" t="str">
        <f>IFERROR(Chiffre_daffaires[[#This Row],[Annuel]]/Chiffre_daffaires[[#Totals],[Annuel]],"-")</f>
        <v>-</v>
      </c>
    </row>
    <row r="10" spans="1:38" ht="30" customHeight="1" x14ac:dyDescent="0.25">
      <c r="B10" s="60" t="s">
        <v>2</v>
      </c>
      <c r="C10" s="64"/>
      <c r="D10" s="61">
        <f>SUBTOTAL(109,Chiffre_daffaires[Janv])</f>
        <v>0</v>
      </c>
      <c r="E10" s="61">
        <f>SUBTOTAL(109,Chiffre_daffaires[Févr])</f>
        <v>0</v>
      </c>
      <c r="F10" s="61">
        <f>SUBTOTAL(109,Chiffre_daffaires[Mars])</f>
        <v>0</v>
      </c>
      <c r="G10" s="61">
        <f>SUBTOTAL(109,Chiffre_daffaires[Avr])</f>
        <v>0</v>
      </c>
      <c r="H10" s="61">
        <f>SUBTOTAL(109,Chiffre_daffaires[Mai])</f>
        <v>0</v>
      </c>
      <c r="I10" s="61">
        <f>SUBTOTAL(109,Chiffre_daffaires[Juin])</f>
        <v>0</v>
      </c>
      <c r="J10" s="61">
        <f>SUBTOTAL(109,Chiffre_daffaires[Juil])</f>
        <v>0</v>
      </c>
      <c r="K10" s="61">
        <f>SUBTOTAL(109,Chiffre_daffaires[Août])</f>
        <v>0</v>
      </c>
      <c r="L10" s="61">
        <f>SUBTOTAL(109,Chiffre_daffaires[Sept])</f>
        <v>0</v>
      </c>
      <c r="M10" s="61">
        <f>SUBTOTAL(109,Chiffre_daffaires[Oct])</f>
        <v>0</v>
      </c>
      <c r="N10" s="61">
        <f>SUBTOTAL(109,Chiffre_daffaires[Nov])</f>
        <v>0</v>
      </c>
      <c r="O10" s="61">
        <f>SUBTOTAL(109,Chiffre_daffaires[Déc])</f>
        <v>0</v>
      </c>
      <c r="P10" s="61">
        <f>SUBTOTAL(109,Chiffre_daffaires[Annuel])</f>
        <v>0</v>
      </c>
      <c r="Q10" s="62">
        <f>SUBTOTAL(109,Chiffre_daffaires[Index %])</f>
        <v>0.8</v>
      </c>
      <c r="R10" s="62">
        <f>SUBTOTAL(109,Chiffre_daffaires[Jan %])</f>
        <v>0</v>
      </c>
      <c r="S10" s="62">
        <f>SUBTOTAL(109,Chiffre_daffaires[Fév %])</f>
        <v>0</v>
      </c>
      <c r="T10" s="62">
        <f>SUBTOTAL(109,Chiffre_daffaires[Mar %])</f>
        <v>0</v>
      </c>
      <c r="U10" s="62">
        <f>SUBTOTAL(109,Chiffre_daffaires[Avr %])</f>
        <v>0</v>
      </c>
      <c r="V10" s="62">
        <f>SUBTOTAL(109,Chiffre_daffaires[Mai %])</f>
        <v>0</v>
      </c>
      <c r="W10" s="62">
        <f>SUBTOTAL(109,Chiffre_daffaires[Jui %])</f>
        <v>0</v>
      </c>
      <c r="X10" s="62">
        <f>SUBTOTAL(109,Chiffre_daffaires[Jui % ])</f>
        <v>0</v>
      </c>
      <c r="Y10" s="62">
        <f>SUBTOTAL(109,Chiffre_daffaires[Aoû %])</f>
        <v>0</v>
      </c>
      <c r="Z10" s="62">
        <f>SUBTOTAL(109,Chiffre_daffaires[Sep %])</f>
        <v>0</v>
      </c>
      <c r="AA10" s="62">
        <f>SUBTOTAL(109,Chiffre_daffaires[Oct %])</f>
        <v>0</v>
      </c>
      <c r="AB10" s="62">
        <f>SUBTOTAL(109,Chiffre_daffaires[Nov %])</f>
        <v>0</v>
      </c>
      <c r="AC10" s="62">
        <f>SUBTOTAL(109,Chiffre_daffaires[Déc %])</f>
        <v>0</v>
      </c>
      <c r="AD10" s="63">
        <f>SUBTOTAL(109,Chiffre_daffaires[Année %])</f>
        <v>0</v>
      </c>
    </row>
  </sheetData>
  <dataValidations xWindow="799" yWindow="419" count="18">
    <dataValidation type="list" errorStyle="warning" allowBlank="1" showInputMessage="1" showErrorMessage="1" error="Sélectionnez un mois dans la liste déroulante. Sélectionnez ANNULER, puis appuyez sur ALT+FLÈCHE BAS. Appuyez sur ENTRÉE pour sélectionner un mois" prompt="Sélectionnez un mois dans cette cellule. Appuyez sur ALT+FLÈCHE BAS pour ouvrir la liste déroulante, puis sur ENTRÉE pour sélectionner un mois." sqref="AC2">
      <formula1>"JANV,FÉVR,MARS,AVR,MAI,JUIN,JUIL,AOÛT,SEPT,OCT,NOV,DÉC"</formula1>
    </dataValidation>
    <dataValidation errorStyle="information" allowBlank="1" showInputMessage="1" errorTitle="Année inconnue" error="Veuillez sélectionner une année dans la liste déroulante. Pour ajouter ou supprimer une année de la liste, sous l’onglet Données, dans le groupe Outils de données, cliquez sur la Validation des données." prompt="Entrez l’année dans cette cellule" sqref="AD2"/>
    <dataValidation allowBlank="1" showInputMessage="1" showErrorMessage="1" prompt="Sélectionnez le mois de début de l’exercice dans la cellule AC2 et entrez une année dans la cellule AD2 à droite de cette étiquette" sqref="AB2"/>
    <dataValidation allowBlank="1" showInputMessage="1" showErrorMessage="1" prompt="Le chiffre d’affaires annuel est calculé automatiquement dans cette colonne" sqref="P3"/>
    <dataValidation allowBlank="1" showInputMessage="1" showErrorMessage="1" prompt="Entrez un titre pour la période de prévision pendant laquelle les ventes totales sont calculées" sqref="B1"/>
    <dataValidation allowBlank="1" showInputMessage="1" showErrorMessage="1" prompt="Le titre des prévisions figure dans cette cellule. Entrez des valeurs dans le tableau Chiffre d’affaires ci-dessous pour calculer le total des ventes" sqref="B2"/>
    <dataValidation allowBlank="1" showInputMessage="1" showErrorMessage="1" prompt="Entrez le nom de l’entreprise dans cette cellule" sqref="AD1"/>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Entrez le pourcentage d’index dans cette colonne" sqref="Q4"/>
    <dataValidation allowBlank="1" showInputMessage="1" showErrorMessage="1" prompt="Cette feuille de calcul calcule le total des ventes pour chaque mois et année, ainsi que le total annuel des ventes des différentes sources. Sélectionnez le mois de début de l’exercice dans la cellule AC2 et l’année dans la cellule AD2" sqref="A2 A4:A10"/>
    <dataValidation allowBlank="1" showInputMessage="1" showErrorMessage="1" prompt="Cette feuille de calcul calcule le total des ventes pour chaque mois et année, ainsi que le total annuel des ventes des différentes sources. Entrez le mois de début de l’exercice dans la cellule AC2 et l’année dans la cellule AD2" sqref="A1"/>
    <dataValidation allowBlank="1" showInputMessage="1" showErrorMessage="1" prompt="Mois automatiquement mis à jour" sqref="E3:O3"/>
    <dataValidation allowBlank="1" showInputMessage="1" showErrorMessage="1" prompt="Calcule automatiquement dans cette colonne la proportion des ventes des différentes sources par rapport aux ventes totales pour le mois figurant dans cette cellule" sqref="R3:AC3"/>
    <dataValidation allowBlank="1" showInputMessage="1" showErrorMessage="1" prompt="Calcule automatiquement la proportion des ventes des différentes sources par rapport aux ventes totales pour l’année figurant dans cette colonne" sqref="AD3"/>
    <dataValidation allowBlank="1" showInputMessage="1" showErrorMessage="1" prompt="Entrez le chiffre d’affaires généré par les ventes dans cette colonne" sqref="B4"/>
    <dataValidation allowBlank="1" showInputMessage="1" showErrorMessage="1" prompt="Un graphique de tendance représentant le chiffre d’affaires au fil du temps figure dans cette colonne" sqref="C4"/>
    <dataValidation allowBlank="1" showInputMessage="1" showErrorMessage="1" prompt="Entrez dans cette colonne le chiffres d’affaires des sources répertoriées dans la colonne B" sqref="D4:O4"/>
    <dataValidation allowBlank="1" showInputMessage="1" showErrorMessage="1" prompt="Le pourcentage d’index figure dans cette colonne" sqref="Q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1"/>
          <x14:colorLow theme="3"/>
          <x14:sparklines>
            <x14:sparkline>
              <xm:f>'Chiffre d’affaires '!$D$5:$O$5</xm:f>
              <xm:sqref>C5</xm:sqref>
            </x14:sparkline>
            <x14:sparkline>
              <xm:f>'Chiffre d’affaires '!$D$6:$O$6</xm:f>
              <xm:sqref>C6</xm:sqref>
            </x14:sparkline>
            <x14:sparkline>
              <xm:f>'Chiffre d’affaires '!$D$7:$O$7</xm:f>
              <xm:sqref>C7</xm:sqref>
            </x14:sparkline>
            <x14:sparkline>
              <xm:f>'Chiffre d’affaires '!$D$8:$O$8</xm:f>
              <xm:sqref>C8</xm:sqref>
            </x14:sparkline>
            <x14:sparkline>
              <xm:f>'Chiffre d’affaires '!$D$9:$O$9</xm:f>
              <xm:sqref>C9</xm:sqref>
            </x14:sparkline>
          </x14:sparklines>
        </x14:sparklineGroup>
        <x14:sparklineGroup lineWeight="1" displayEmptyCellsAs="gap" high="1" low="1" negative="1">
          <x14:colorSeries theme="3"/>
          <x14:colorNegative theme="1"/>
          <x14:colorAxis rgb="FF000000"/>
          <x14:colorMarkers theme="4" tint="-0.499984740745262"/>
          <x14:colorFirst theme="4" tint="0.39997558519241921"/>
          <x14:colorLast theme="4" tint="0.39997558519241921"/>
          <x14:colorHigh theme="1"/>
          <x14:colorLow theme="3"/>
          <x14:sparklines>
            <x14:sparkline>
              <xm:f>'Chiffre d’affaires '!D10:O10</xm:f>
              <xm:sqref>C10</xm:sqref>
            </x14:sparkline>
          </x14:sparklines>
        </x14:sparklineGroup>
      </x14:sparklineGroup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14"/>
  <sheetViews>
    <sheetView workbookViewId="0">
      <selection activeCell="C2" sqref="C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"Janvier "&amp;AnnéeCalendrier</f>
        <v>Janvier 2019</v>
      </c>
      <c r="C1" s="67"/>
      <c r="D1" s="68"/>
      <c r="E1" s="69"/>
      <c r="F1" s="69"/>
      <c r="G1" s="69"/>
      <c r="H1" s="70"/>
      <c r="J1" s="72" t="s">
        <v>68</v>
      </c>
      <c r="K1" s="65"/>
    </row>
    <row r="2" spans="1:11" s="73" customFormat="1" ht="35.25" customHeight="1" x14ac:dyDescent="0.25">
      <c r="A2" s="65"/>
      <c r="B2" s="84" t="str">
        <f>DébutSemaine</f>
        <v>DIMANCHE</v>
      </c>
      <c r="C2" s="84" t="str">
        <f t="shared" ref="C2:H2" si="0">UPPER(TEXT(C3,"jjjj"))</f>
        <v>LUNDI</v>
      </c>
      <c r="D2" s="84" t="str">
        <f t="shared" si="0"/>
        <v>MARDI</v>
      </c>
      <c r="E2" s="84" t="str">
        <f t="shared" si="0"/>
        <v>MERCREDI</v>
      </c>
      <c r="F2" s="84" t="str">
        <f t="shared" si="0"/>
        <v>JEUDI</v>
      </c>
      <c r="G2" s="84" t="str">
        <f t="shared" si="0"/>
        <v>VENDREDI</v>
      </c>
      <c r="H2" s="84" t="str">
        <f t="shared" si="0"/>
        <v>SAMEDI</v>
      </c>
      <c r="I2" s="89" t="s">
        <v>73</v>
      </c>
      <c r="J2" s="74" t="s">
        <v>69</v>
      </c>
      <c r="K2" s="75">
        <v>2019</v>
      </c>
    </row>
    <row r="3" spans="1:11" s="76" customFormat="1" ht="15.75" x14ac:dyDescent="0.25">
      <c r="A3" s="65"/>
      <c r="B3" s="85">
        <f t="array" ref="B3:H3">JoursEtSemaines+DATE(AnnéeCalendrier,1,1)-WEEKDAY(DATE(AnnéeCalendrier,1,1),(DébutSemaine="LUNDI")+1)+1</f>
        <v>43464</v>
      </c>
      <c r="C3" s="85">
        <v>43465</v>
      </c>
      <c r="D3" s="85">
        <v>43466</v>
      </c>
      <c r="E3" s="85">
        <v>43467</v>
      </c>
      <c r="F3" s="85">
        <v>43468</v>
      </c>
      <c r="G3" s="85">
        <v>43469</v>
      </c>
      <c r="H3" s="85">
        <v>43470</v>
      </c>
      <c r="I3" s="83"/>
      <c r="J3" s="77" t="s">
        <v>70</v>
      </c>
      <c r="K3" s="75" t="s">
        <v>71</v>
      </c>
    </row>
    <row r="4" spans="1:11" ht="15" x14ac:dyDescent="0.3">
      <c r="B4" s="94"/>
      <c r="C4" s="94"/>
      <c r="D4" s="94" t="str">
        <f>IFERROR(VLOOKUP(Janvier!D3,Dépôt!A:A,37,FALSE),"")</f>
        <v/>
      </c>
      <c r="E4" s="94"/>
      <c r="F4" s="94"/>
      <c r="G4" s="94"/>
      <c r="H4" s="94"/>
      <c r="I4" s="91">
        <f>SUM(B4:H4)</f>
        <v>0</v>
      </c>
      <c r="J4" s="78"/>
    </row>
    <row r="5" spans="1:11" s="76" customFormat="1" ht="15" x14ac:dyDescent="0.25">
      <c r="A5" s="65"/>
      <c r="B5" s="86">
        <f t="array" ref="B5:H5">JoursEtSemaines+DATE(AnnéeCalendrier,1,1)-WEEKDAY(DATE(AnnéeCalendrier,1,1),(DébutSemaine="LUNDI")+1)+8</f>
        <v>43471</v>
      </c>
      <c r="C5" s="86">
        <v>43472</v>
      </c>
      <c r="D5" s="86">
        <v>43473</v>
      </c>
      <c r="E5" s="86">
        <v>43474</v>
      </c>
      <c r="F5" s="86">
        <v>43475</v>
      </c>
      <c r="G5" s="86">
        <v>43476</v>
      </c>
      <c r="H5" s="86">
        <v>43477</v>
      </c>
      <c r="I5" s="83"/>
    </row>
    <row r="6" spans="1:11" ht="15" x14ac:dyDescent="0.2">
      <c r="B6" s="93"/>
      <c r="C6" s="93"/>
      <c r="D6" s="93"/>
      <c r="E6" s="93"/>
      <c r="F6" s="93"/>
      <c r="G6" s="93"/>
      <c r="H6" s="93"/>
      <c r="I6" s="91">
        <f>SUM(B6:H6)</f>
        <v>0</v>
      </c>
      <c r="J6" s="81"/>
    </row>
    <row r="7" spans="1:11" s="76" customFormat="1" ht="15" x14ac:dyDescent="0.25">
      <c r="A7" s="65"/>
      <c r="B7" s="85">
        <f t="array" ref="B7:H7">JoursEtSemaines+DATE(AnnéeCalendrier,1,1)-WEEKDAY(DATE(AnnéeCalendrier,1,1),(DébutSemaine="LUNDI")+1)+15</f>
        <v>43478</v>
      </c>
      <c r="C7" s="85">
        <v>43479</v>
      </c>
      <c r="D7" s="85">
        <v>43480</v>
      </c>
      <c r="E7" s="85">
        <v>43481</v>
      </c>
      <c r="F7" s="85">
        <v>43482</v>
      </c>
      <c r="G7" s="85">
        <v>43483</v>
      </c>
      <c r="H7" s="85">
        <v>43484</v>
      </c>
      <c r="I7" s="83"/>
      <c r="J7" s="81"/>
    </row>
    <row r="8" spans="1:11" ht="15" x14ac:dyDescent="0.3">
      <c r="B8" s="94"/>
      <c r="C8" s="94"/>
      <c r="D8" s="94"/>
      <c r="E8" s="94"/>
      <c r="F8" s="94"/>
      <c r="G8" s="94"/>
      <c r="H8" s="94"/>
      <c r="I8" s="91">
        <f>SUM(B8:H8)</f>
        <v>0</v>
      </c>
    </row>
    <row r="9" spans="1:11" s="76" customFormat="1" ht="15" x14ac:dyDescent="0.25">
      <c r="A9" s="65"/>
      <c r="B9" s="86">
        <f t="array" ref="B9:H9">JoursEtSemaines+DATE(AnnéeCalendrier,1,1)-WEEKDAY(DATE(AnnéeCalendrier,1,1),(DébutSemaine="LUNDI")+1)+22</f>
        <v>43485</v>
      </c>
      <c r="C9" s="86">
        <v>43486</v>
      </c>
      <c r="D9" s="86">
        <v>43487</v>
      </c>
      <c r="E9" s="86">
        <v>43488</v>
      </c>
      <c r="F9" s="86">
        <v>43489</v>
      </c>
      <c r="G9" s="86">
        <v>43490</v>
      </c>
      <c r="H9" s="86">
        <v>43491</v>
      </c>
      <c r="I9" s="83"/>
    </row>
    <row r="10" spans="1:11" ht="15" x14ac:dyDescent="0.3">
      <c r="B10" s="93"/>
      <c r="C10" s="93"/>
      <c r="D10" s="93"/>
      <c r="E10" s="93"/>
      <c r="F10" s="93"/>
      <c r="G10" s="93"/>
      <c r="H10" s="93"/>
      <c r="I10" s="91">
        <f>SUM(B10:H10)</f>
        <v>0</v>
      </c>
    </row>
    <row r="11" spans="1:11" s="76" customFormat="1" ht="15" x14ac:dyDescent="0.25">
      <c r="A11" s="65"/>
      <c r="B11" s="88">
        <f t="array" ref="B11:H11">JoursEtSemaines+DATE(AnnéeCalendrier,1,1)-WEEKDAY(DATE(AnnéeCalendrier,1,1),(DébutSemaine="LUNDI")+1)+29</f>
        <v>43492</v>
      </c>
      <c r="C11" s="88">
        <v>43493</v>
      </c>
      <c r="D11" s="88">
        <v>43494</v>
      </c>
      <c r="E11" s="88">
        <v>43495</v>
      </c>
      <c r="F11" s="88">
        <v>43496</v>
      </c>
      <c r="G11" s="88">
        <v>43497</v>
      </c>
      <c r="H11" s="88">
        <v>43498</v>
      </c>
      <c r="I11" s="83"/>
    </row>
    <row r="12" spans="1:11" ht="15" x14ac:dyDescent="0.3">
      <c r="B12" s="93"/>
      <c r="C12" s="93"/>
      <c r="D12" s="93"/>
      <c r="E12" s="93"/>
      <c r="F12" s="93"/>
      <c r="G12" s="93"/>
      <c r="H12" s="93"/>
      <c r="I12" s="91">
        <f>SUM(B12:H12)</f>
        <v>0</v>
      </c>
    </row>
    <row r="13" spans="1:11" s="76" customFormat="1" x14ac:dyDescent="0.2">
      <c r="A13" s="65"/>
      <c r="B13" s="92">
        <f t="array" ref="B13:C13">JoursEtSemaines+DATE(AnnéeCalendrier,1,1)-WEEKDAY(DATE(AnnéeCalendrier,1,1),(DébutSemaine="LUNDI")+1)+36</f>
        <v>43499</v>
      </c>
      <c r="C13" s="92">
        <v>43500</v>
      </c>
      <c r="D13" s="115" t="s">
        <v>72</v>
      </c>
      <c r="E13" s="116"/>
      <c r="F13" s="116"/>
      <c r="G13" s="116"/>
      <c r="H13" s="116"/>
    </row>
    <row r="14" spans="1:11" x14ac:dyDescent="0.3">
      <c r="B14" s="80"/>
      <c r="C14" s="80"/>
      <c r="D14" s="115"/>
      <c r="E14" s="116"/>
      <c r="F14" s="116"/>
      <c r="G14" s="116"/>
      <c r="H14" s="116"/>
    </row>
  </sheetData>
  <mergeCells count="2">
    <mergeCell ref="D13:D14"/>
    <mergeCell ref="E13:H14"/>
  </mergeCells>
  <conditionalFormatting sqref="B3:G3">
    <cfRule type="expression" dxfId="26" priority="1">
      <formula>DAY(B3)&gt;8</formula>
    </cfRule>
  </conditionalFormatting>
  <conditionalFormatting sqref="B11:H11 B13:C13">
    <cfRule type="expression" dxfId="25"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allowBlank="1" showInputMessage="1" showErrorMessage="1" prompt="Entrez les Notes dans la cellule à droite" sqref="D13:D14"/>
    <dataValidation allowBlank="1" showInputMessage="1" showErrorMessage="1" prompt="Entrez les Notes dans cette cellule" sqref="E13:H14"/>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Jour de la semaine déterminé automatiquement" sqref="C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Entrez une année dans cette cellule" sqref="K2"/>
    <dataValidation allowBlank="1" showInputMessage="1" showErrorMessage="1" prompt="Sélectionnez le jour de début de la semaine dans la cellule à droite" sqref="J3"/>
    <dataValidation allowBlank="1" showInputMessage="1" showErrorMessage="1" prompt="Entrez l’année dans la cellule à droite" sqref="J2"/>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s>
  <pageMargins left="0.7" right="0.7" top="0.75" bottom="0.75" header="0.3" footer="0.3"/>
  <pageSetup paperSize="9" orientation="portrait" horizontalDpi="4294967293"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14"/>
  <sheetViews>
    <sheetView workbookViewId="0">
      <selection activeCell="E13" sqref="E13:H14"/>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"Fevrier "&amp;AnnéeCalendrier</f>
        <v>Fevrier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1</v>
      </c>
      <c r="H11" s="88">
        <v>2</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7"/>
      <c r="F13" s="117"/>
      <c r="G13" s="117"/>
      <c r="H13" s="117"/>
    </row>
    <row r="14" spans="1:11" x14ac:dyDescent="0.3">
      <c r="B14" s="80"/>
      <c r="C14" s="80"/>
      <c r="D14" s="115"/>
      <c r="E14" s="117"/>
      <c r="F14" s="117"/>
      <c r="G14" s="117"/>
      <c r="H14" s="117"/>
    </row>
  </sheetData>
  <mergeCells count="2">
    <mergeCell ref="D13:D14"/>
    <mergeCell ref="E13:H14"/>
  </mergeCells>
  <conditionalFormatting sqref="B3:G3">
    <cfRule type="expression" dxfId="24" priority="1">
      <formula>DAY(B3)&gt;8</formula>
    </cfRule>
  </conditionalFormatting>
  <conditionalFormatting sqref="B11:H11 B13:C13">
    <cfRule type="expression" dxfId="23" priority="2">
      <formula>AND(DAY(B11)&gt;=1,DAY(B11)&lt;=15)</formula>
    </cfRule>
  </conditionalFormatting>
  <dataValidations count="13">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H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K14"/>
  <sheetViews>
    <sheetView workbookViewId="0">
      <selection activeCell="D12" sqref="D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"Mars "&amp;AnnéeCalendrier</f>
        <v>Mars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24</v>
      </c>
      <c r="C3" s="85">
        <v>25</v>
      </c>
      <c r="D3" s="85">
        <v>26</v>
      </c>
      <c r="E3" s="85">
        <v>27</v>
      </c>
      <c r="F3" s="85">
        <v>28</v>
      </c>
      <c r="G3" s="85">
        <v>1</v>
      </c>
      <c r="H3" s="85">
        <v>2</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ht="15" x14ac:dyDescent="0.25">
      <c r="A13" s="65"/>
      <c r="B13" s="88">
        <v>31</v>
      </c>
      <c r="C13" s="88">
        <v>1</v>
      </c>
      <c r="D13" s="88">
        <v>2</v>
      </c>
      <c r="E13" s="88">
        <v>3</v>
      </c>
      <c r="F13" s="88">
        <v>4</v>
      </c>
      <c r="G13" s="88">
        <v>5</v>
      </c>
      <c r="H13" s="88">
        <v>6</v>
      </c>
      <c r="I13" s="83"/>
    </row>
    <row r="14" spans="1:11" ht="15" x14ac:dyDescent="0.3">
      <c r="B14" s="87"/>
      <c r="C14" s="87"/>
      <c r="D14" s="87"/>
      <c r="E14" s="87"/>
      <c r="F14" s="87"/>
      <c r="G14" s="87"/>
      <c r="H14" s="87"/>
      <c r="I14" s="90"/>
    </row>
  </sheetData>
  <conditionalFormatting sqref="B3:G3">
    <cfRule type="expression" dxfId="22" priority="2">
      <formula>DAY(B3)&gt;8</formula>
    </cfRule>
  </conditionalFormatting>
  <conditionalFormatting sqref="B11:H11">
    <cfRule type="expression" dxfId="21" priority="3">
      <formula>AND(DAY(B11)&gt;=1,DAY(B11)&lt;=15)</formula>
    </cfRule>
  </conditionalFormatting>
  <conditionalFormatting sqref="B13:H13">
    <cfRule type="expression" dxfId="20"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"Avril "&amp;AnnéeCalendrier</f>
        <v>Avril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31</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1</v>
      </c>
      <c r="F11" s="88">
        <v>2</v>
      </c>
      <c r="G11" s="88">
        <v>3</v>
      </c>
      <c r="H11" s="88">
        <v>4</v>
      </c>
      <c r="I11" s="83"/>
    </row>
    <row r="12" spans="1:11" ht="15" x14ac:dyDescent="0.3">
      <c r="B12" s="93"/>
      <c r="C12" s="93"/>
      <c r="D12" s="93"/>
      <c r="E12" s="93"/>
      <c r="F12" s="93"/>
      <c r="G12" s="93"/>
      <c r="H12" s="93"/>
      <c r="I12" s="91">
        <f>SUM(B12:H12)</f>
        <v>0</v>
      </c>
    </row>
    <row r="13" spans="1:11" s="76" customFormat="1" x14ac:dyDescent="0.2">
      <c r="A13" s="65"/>
      <c r="B13" s="79"/>
      <c r="C13" s="79"/>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G3">
    <cfRule type="expression" dxfId="19" priority="1">
      <formula>DAY(B3)&gt;8</formula>
    </cfRule>
  </conditionalFormatting>
  <conditionalFormatting sqref="B11:H11 B13:C13">
    <cfRule type="expression" dxfId="1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"Mai "&amp;AnnéeCalendrier</f>
        <v>Mai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1</v>
      </c>
      <c r="F3" s="85">
        <v>2</v>
      </c>
      <c r="G3" s="85">
        <v>3</v>
      </c>
      <c r="H3" s="85">
        <v>4</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5</v>
      </c>
      <c r="C5" s="86">
        <v>6</v>
      </c>
      <c r="D5" s="86">
        <v>7</v>
      </c>
      <c r="E5" s="86">
        <v>8</v>
      </c>
      <c r="F5" s="86">
        <v>9</v>
      </c>
      <c r="G5" s="86">
        <v>10</v>
      </c>
      <c r="H5" s="86">
        <v>11</v>
      </c>
      <c r="I5" s="83"/>
    </row>
    <row r="6" spans="1:11" ht="15" x14ac:dyDescent="0.2">
      <c r="B6" s="93"/>
      <c r="C6" s="93"/>
      <c r="D6" s="93"/>
      <c r="E6" s="93"/>
      <c r="F6" s="93"/>
      <c r="G6" s="93"/>
      <c r="H6" s="93"/>
      <c r="I6" s="91">
        <f>SUM(B6:H6)</f>
        <v>0</v>
      </c>
      <c r="J6" s="81"/>
    </row>
    <row r="7" spans="1:11" s="76" customFormat="1" ht="15" x14ac:dyDescent="0.25">
      <c r="A7" s="65"/>
      <c r="B7" s="85">
        <v>12</v>
      </c>
      <c r="C7" s="85">
        <v>13</v>
      </c>
      <c r="D7" s="85">
        <v>14</v>
      </c>
      <c r="E7" s="85">
        <v>15</v>
      </c>
      <c r="F7" s="85">
        <v>16</v>
      </c>
      <c r="G7" s="85">
        <v>17</v>
      </c>
      <c r="H7" s="85">
        <v>18</v>
      </c>
      <c r="I7" s="83"/>
      <c r="J7" s="81"/>
    </row>
    <row r="8" spans="1:11" ht="15" x14ac:dyDescent="0.3">
      <c r="B8" s="94"/>
      <c r="C8" s="94"/>
      <c r="D8" s="94"/>
      <c r="E8" s="94"/>
      <c r="F8" s="94"/>
      <c r="G8" s="94"/>
      <c r="H8" s="94"/>
      <c r="I8" s="91">
        <f>SUM(B8:H8)</f>
        <v>0</v>
      </c>
    </row>
    <row r="9" spans="1:11" s="76" customFormat="1" ht="15" x14ac:dyDescent="0.25">
      <c r="A9" s="65"/>
      <c r="B9" s="86">
        <v>19</v>
      </c>
      <c r="C9" s="86">
        <v>20</v>
      </c>
      <c r="D9" s="86">
        <v>21</v>
      </c>
      <c r="E9" s="86">
        <v>22</v>
      </c>
      <c r="F9" s="86">
        <v>23</v>
      </c>
      <c r="G9" s="86">
        <v>24</v>
      </c>
      <c r="H9" s="86">
        <v>25</v>
      </c>
      <c r="I9" s="83"/>
    </row>
    <row r="10" spans="1:11" ht="15" x14ac:dyDescent="0.3">
      <c r="B10" s="93"/>
      <c r="C10" s="93"/>
      <c r="D10" s="93"/>
      <c r="E10" s="93"/>
      <c r="F10" s="93"/>
      <c r="G10" s="93"/>
      <c r="H10" s="93"/>
      <c r="I10" s="91">
        <f>SUM(B10:H10)</f>
        <v>0</v>
      </c>
    </row>
    <row r="11" spans="1:11" s="76" customFormat="1" ht="15" x14ac:dyDescent="0.25">
      <c r="A11" s="65"/>
      <c r="B11" s="88">
        <v>26</v>
      </c>
      <c r="C11" s="88">
        <v>27</v>
      </c>
      <c r="D11" s="88">
        <v>28</v>
      </c>
      <c r="E11" s="88">
        <v>29</v>
      </c>
      <c r="F11" s="88">
        <v>30</v>
      </c>
      <c r="G11" s="88">
        <v>31</v>
      </c>
      <c r="H11" s="88">
        <v>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G3">
    <cfRule type="expression" dxfId="17" priority="1">
      <formula>DAY(B3)&gt;8</formula>
    </cfRule>
  </conditionalFormatting>
  <conditionalFormatting sqref="B11:H11 B13:C13">
    <cfRule type="expression" dxfId="1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K14"/>
  <sheetViews>
    <sheetView workbookViewId="0">
      <selection activeCell="C20" sqref="C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"Juin "&amp;AnnéeCalendrier</f>
        <v>Juin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26</v>
      </c>
      <c r="C3" s="85">
        <v>27</v>
      </c>
      <c r="D3" s="85">
        <v>28</v>
      </c>
      <c r="E3" s="85">
        <v>29</v>
      </c>
      <c r="F3" s="85">
        <v>30</v>
      </c>
      <c r="G3" s="85">
        <v>31</v>
      </c>
      <c r="H3" s="85">
        <v>1</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2</v>
      </c>
      <c r="C5" s="86">
        <v>3</v>
      </c>
      <c r="D5" s="86">
        <v>4</v>
      </c>
      <c r="E5" s="86">
        <v>5</v>
      </c>
      <c r="F5" s="86">
        <v>6</v>
      </c>
      <c r="G5" s="86">
        <v>7</v>
      </c>
      <c r="H5" s="86">
        <v>8</v>
      </c>
      <c r="I5" s="83"/>
    </row>
    <row r="6" spans="1:11" ht="15" x14ac:dyDescent="0.2">
      <c r="B6" s="93"/>
      <c r="C6" s="93"/>
      <c r="D6" s="93"/>
      <c r="E6" s="93"/>
      <c r="F6" s="93"/>
      <c r="G6" s="93"/>
      <c r="H6" s="93"/>
      <c r="I6" s="91">
        <f>SUM(B6:H6)</f>
        <v>0</v>
      </c>
      <c r="J6" s="81"/>
    </row>
    <row r="7" spans="1:11" s="76" customFormat="1" ht="15" x14ac:dyDescent="0.25">
      <c r="A7" s="65"/>
      <c r="B7" s="85">
        <v>9</v>
      </c>
      <c r="C7" s="85">
        <v>10</v>
      </c>
      <c r="D7" s="85">
        <v>11</v>
      </c>
      <c r="E7" s="85">
        <v>12</v>
      </c>
      <c r="F7" s="85">
        <v>13</v>
      </c>
      <c r="G7" s="85">
        <v>14</v>
      </c>
      <c r="H7" s="85">
        <v>15</v>
      </c>
      <c r="I7" s="83"/>
      <c r="J7" s="81"/>
    </row>
    <row r="8" spans="1:11" ht="15" x14ac:dyDescent="0.3">
      <c r="B8" s="94"/>
      <c r="C8" s="94"/>
      <c r="D8" s="94"/>
      <c r="E8" s="94"/>
      <c r="F8" s="94"/>
      <c r="G8" s="94"/>
      <c r="H8" s="94"/>
      <c r="I8" s="91">
        <f>SUM(B8:H8)</f>
        <v>0</v>
      </c>
    </row>
    <row r="9" spans="1:11" s="76" customFormat="1" ht="15" x14ac:dyDescent="0.25">
      <c r="A9" s="65"/>
      <c r="B9" s="86">
        <v>16</v>
      </c>
      <c r="C9" s="86">
        <v>17</v>
      </c>
      <c r="D9" s="86">
        <v>18</v>
      </c>
      <c r="E9" s="86">
        <v>19</v>
      </c>
      <c r="F9" s="86">
        <v>20</v>
      </c>
      <c r="G9" s="86">
        <v>21</v>
      </c>
      <c r="H9" s="86">
        <v>22</v>
      </c>
      <c r="I9" s="83"/>
    </row>
    <row r="10" spans="1:11" ht="15" x14ac:dyDescent="0.3">
      <c r="B10" s="93"/>
      <c r="C10" s="93"/>
      <c r="D10" s="93"/>
      <c r="E10" s="93"/>
      <c r="F10" s="93"/>
      <c r="G10" s="93"/>
      <c r="H10" s="93"/>
      <c r="I10" s="91">
        <f>SUM(B10:H10)</f>
        <v>0</v>
      </c>
    </row>
    <row r="11" spans="1:11" s="76" customFormat="1" ht="15" x14ac:dyDescent="0.25">
      <c r="A11" s="65"/>
      <c r="B11" s="88">
        <v>23</v>
      </c>
      <c r="C11" s="88">
        <v>24</v>
      </c>
      <c r="D11" s="88">
        <v>25</v>
      </c>
      <c r="E11" s="88">
        <v>26</v>
      </c>
      <c r="F11" s="88">
        <v>27</v>
      </c>
      <c r="G11" s="88">
        <v>28</v>
      </c>
      <c r="H11" s="88">
        <v>29</v>
      </c>
      <c r="I11" s="83"/>
    </row>
    <row r="12" spans="1:11" ht="15" x14ac:dyDescent="0.3">
      <c r="B12" s="93"/>
      <c r="C12" s="93"/>
      <c r="D12" s="93"/>
      <c r="E12" s="93"/>
      <c r="F12" s="93"/>
      <c r="G12" s="93"/>
      <c r="H12" s="93"/>
      <c r="I12" s="91">
        <f>SUM(B12:H12)</f>
        <v>0</v>
      </c>
    </row>
    <row r="13" spans="1:11" s="76" customFormat="1" ht="15" x14ac:dyDescent="0.25">
      <c r="A13" s="65"/>
      <c r="B13" s="88">
        <v>30</v>
      </c>
      <c r="C13" s="88">
        <v>1</v>
      </c>
      <c r="D13" s="88">
        <v>2</v>
      </c>
      <c r="E13" s="88">
        <v>3</v>
      </c>
      <c r="F13" s="88">
        <v>4</v>
      </c>
      <c r="G13" s="88">
        <v>5</v>
      </c>
      <c r="H13" s="88">
        <v>6</v>
      </c>
      <c r="I13" s="83"/>
    </row>
    <row r="14" spans="1:11" ht="15" x14ac:dyDescent="0.3">
      <c r="B14" s="93"/>
      <c r="C14" s="93"/>
      <c r="D14" s="93"/>
      <c r="E14" s="93"/>
      <c r="F14" s="93"/>
      <c r="G14" s="93"/>
      <c r="H14" s="93"/>
      <c r="I14" s="91">
        <f>SUM(B14:H14)</f>
        <v>0</v>
      </c>
    </row>
  </sheetData>
  <conditionalFormatting sqref="B3:G3">
    <cfRule type="expression" dxfId="15" priority="2">
      <formula>DAY(B3)&gt;8</formula>
    </cfRule>
  </conditionalFormatting>
  <conditionalFormatting sqref="B11:H11">
    <cfRule type="expression" dxfId="14" priority="3">
      <formula>AND(DAY(B11)&gt;=1,DAY(B11)&lt;=15)</formula>
    </cfRule>
  </conditionalFormatting>
  <conditionalFormatting sqref="B13:H13">
    <cfRule type="expression" dxfId="13" priority="1">
      <formula>AND(DAY(B13)&gt;=1,DAY(B13)&lt;=15)</formula>
    </cfRule>
  </conditionalFormatting>
  <dataValidations count="12">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14"/>
  <sheetViews>
    <sheetView workbookViewId="0">
      <selection activeCell="H12" sqref="H12"/>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"Juillet "&amp;AnnéeCalendrier</f>
        <v>Juillet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30</v>
      </c>
      <c r="C3" s="85">
        <v>1</v>
      </c>
      <c r="D3" s="85">
        <v>2</v>
      </c>
      <c r="E3" s="85">
        <v>3</v>
      </c>
      <c r="F3" s="85">
        <v>4</v>
      </c>
      <c r="G3" s="85">
        <v>5</v>
      </c>
      <c r="H3" s="85">
        <v>6</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7</v>
      </c>
      <c r="C5" s="86">
        <v>8</v>
      </c>
      <c r="D5" s="86">
        <v>9</v>
      </c>
      <c r="E5" s="86">
        <v>10</v>
      </c>
      <c r="F5" s="86">
        <v>11</v>
      </c>
      <c r="G5" s="86">
        <v>12</v>
      </c>
      <c r="H5" s="86">
        <v>13</v>
      </c>
      <c r="I5" s="83"/>
    </row>
    <row r="6" spans="1:11" ht="15" x14ac:dyDescent="0.2">
      <c r="B6" s="93"/>
      <c r="C6" s="93"/>
      <c r="D6" s="93"/>
      <c r="E6" s="93"/>
      <c r="F6" s="93"/>
      <c r="G6" s="93"/>
      <c r="H6" s="93"/>
      <c r="I6" s="91">
        <f>SUM(B6:H6)</f>
        <v>0</v>
      </c>
      <c r="J6" s="81"/>
    </row>
    <row r="7" spans="1:11" s="76" customFormat="1" ht="15" x14ac:dyDescent="0.25">
      <c r="A7" s="65"/>
      <c r="B7" s="85">
        <v>14</v>
      </c>
      <c r="C7" s="85">
        <v>15</v>
      </c>
      <c r="D7" s="85">
        <v>16</v>
      </c>
      <c r="E7" s="85">
        <v>17</v>
      </c>
      <c r="F7" s="85">
        <v>18</v>
      </c>
      <c r="G7" s="85">
        <v>19</v>
      </c>
      <c r="H7" s="85">
        <v>20</v>
      </c>
      <c r="I7" s="83"/>
      <c r="J7" s="81"/>
    </row>
    <row r="8" spans="1:11" ht="15" x14ac:dyDescent="0.3">
      <c r="B8" s="94"/>
      <c r="C8" s="94"/>
      <c r="D8" s="94"/>
      <c r="E8" s="94"/>
      <c r="F8" s="94"/>
      <c r="G8" s="94"/>
      <c r="H8" s="94"/>
      <c r="I8" s="91">
        <f>SUM(B8:H8)</f>
        <v>0</v>
      </c>
    </row>
    <row r="9" spans="1:11" s="76" customFormat="1" ht="15" x14ac:dyDescent="0.25">
      <c r="A9" s="65"/>
      <c r="B9" s="86">
        <v>21</v>
      </c>
      <c r="C9" s="86">
        <v>22</v>
      </c>
      <c r="D9" s="86">
        <v>23</v>
      </c>
      <c r="E9" s="86">
        <v>24</v>
      </c>
      <c r="F9" s="86">
        <v>25</v>
      </c>
      <c r="G9" s="86">
        <v>26</v>
      </c>
      <c r="H9" s="86">
        <v>27</v>
      </c>
      <c r="I9" s="83"/>
    </row>
    <row r="10" spans="1:11" ht="15" x14ac:dyDescent="0.3">
      <c r="B10" s="93"/>
      <c r="C10" s="93"/>
      <c r="D10" s="93"/>
      <c r="E10" s="93"/>
      <c r="F10" s="93"/>
      <c r="G10" s="93"/>
      <c r="H10" s="93"/>
      <c r="I10" s="91">
        <f>SUM(B10:H10)</f>
        <v>0</v>
      </c>
    </row>
    <row r="11" spans="1:11" s="76" customFormat="1" ht="15" x14ac:dyDescent="0.25">
      <c r="A11" s="65"/>
      <c r="B11" s="88">
        <v>28</v>
      </c>
      <c r="C11" s="88">
        <v>29</v>
      </c>
      <c r="D11" s="88">
        <v>30</v>
      </c>
      <c r="E11" s="88">
        <v>31</v>
      </c>
      <c r="F11" s="88">
        <v>32</v>
      </c>
      <c r="G11" s="88">
        <v>33</v>
      </c>
      <c r="H11" s="88">
        <v>34</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13:C13">
    <cfRule type="expression" dxfId="12" priority="4">
      <formula>AND(DAY(B13)&gt;=1,DAY(B13)&lt;=15)</formula>
    </cfRule>
  </conditionalFormatting>
  <conditionalFormatting sqref="B3">
    <cfRule type="expression" dxfId="11" priority="2">
      <formula>DAY(B3)&gt;8</formula>
    </cfRule>
  </conditionalFormatting>
  <conditionalFormatting sqref="B11:H11">
    <cfRule type="expression" dxfId="10" priority="1">
      <formula>AND(DAY(B11)&gt;=1,DAY(B11)&lt;=15)</formula>
    </cfRule>
  </conditionalFormatting>
  <dataValidations count="1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"Août "&amp;AnnéeCalendrier</f>
        <v>Août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28</v>
      </c>
      <c r="C3" s="85">
        <v>29</v>
      </c>
      <c r="D3" s="85">
        <v>30</v>
      </c>
      <c r="E3" s="85">
        <v>31</v>
      </c>
      <c r="F3" s="85">
        <v>1</v>
      </c>
      <c r="G3" s="85">
        <v>2</v>
      </c>
      <c r="H3" s="85">
        <v>3</v>
      </c>
      <c r="I3" s="83"/>
      <c r="J3" s="77"/>
      <c r="K3" s="75"/>
    </row>
    <row r="4" spans="1:11" ht="15" x14ac:dyDescent="0.3">
      <c r="B4" s="94"/>
      <c r="C4" s="94"/>
      <c r="D4" s="94"/>
      <c r="E4" s="94"/>
      <c r="F4" s="94"/>
      <c r="G4" s="94"/>
      <c r="H4" s="94"/>
      <c r="I4" s="91">
        <f>SUM(B4:H4)</f>
        <v>0</v>
      </c>
      <c r="J4" s="78"/>
    </row>
    <row r="5" spans="1:11" s="76" customFormat="1" ht="15" x14ac:dyDescent="0.25">
      <c r="A5" s="65"/>
      <c r="B5" s="86">
        <v>4</v>
      </c>
      <c r="C5" s="86">
        <v>5</v>
      </c>
      <c r="D5" s="86">
        <v>6</v>
      </c>
      <c r="E5" s="86">
        <v>7</v>
      </c>
      <c r="F5" s="86">
        <v>8</v>
      </c>
      <c r="G5" s="86">
        <v>9</v>
      </c>
      <c r="H5" s="86">
        <v>10</v>
      </c>
      <c r="I5" s="83"/>
    </row>
    <row r="6" spans="1:11" ht="15" x14ac:dyDescent="0.2">
      <c r="B6" s="93"/>
      <c r="C6" s="93"/>
      <c r="D6" s="93"/>
      <c r="E6" s="93"/>
      <c r="F6" s="93"/>
      <c r="G6" s="93"/>
      <c r="H6" s="93"/>
      <c r="I6" s="91">
        <f>SUM(B6:H6)</f>
        <v>0</v>
      </c>
      <c r="J6" s="81"/>
    </row>
    <row r="7" spans="1:11" s="76" customFormat="1" ht="15" x14ac:dyDescent="0.25">
      <c r="A7" s="65"/>
      <c r="B7" s="85">
        <v>11</v>
      </c>
      <c r="C7" s="85">
        <v>12</v>
      </c>
      <c r="D7" s="85">
        <v>13</v>
      </c>
      <c r="E7" s="85">
        <v>14</v>
      </c>
      <c r="F7" s="85">
        <v>15</v>
      </c>
      <c r="G7" s="85">
        <v>16</v>
      </c>
      <c r="H7" s="85">
        <v>17</v>
      </c>
      <c r="I7" s="83"/>
      <c r="J7" s="81"/>
    </row>
    <row r="8" spans="1:11" ht="15" x14ac:dyDescent="0.3">
      <c r="B8" s="94"/>
      <c r="C8" s="94"/>
      <c r="D8" s="94"/>
      <c r="E8" s="94"/>
      <c r="F8" s="94"/>
      <c r="G8" s="94"/>
      <c r="H8" s="94"/>
      <c r="I8" s="91">
        <f>SUM(B8:H8)</f>
        <v>0</v>
      </c>
    </row>
    <row r="9" spans="1:11" s="76" customFormat="1" ht="15" x14ac:dyDescent="0.25">
      <c r="A9" s="65"/>
      <c r="B9" s="86">
        <v>18</v>
      </c>
      <c r="C9" s="86">
        <v>19</v>
      </c>
      <c r="D9" s="86">
        <v>20</v>
      </c>
      <c r="E9" s="86">
        <v>21</v>
      </c>
      <c r="F9" s="86">
        <v>22</v>
      </c>
      <c r="G9" s="86">
        <v>23</v>
      </c>
      <c r="H9" s="86">
        <v>24</v>
      </c>
      <c r="I9" s="83"/>
    </row>
    <row r="10" spans="1:11" ht="15" x14ac:dyDescent="0.3">
      <c r="B10" s="93"/>
      <c r="C10" s="93"/>
      <c r="D10" s="93"/>
      <c r="E10" s="93"/>
      <c r="F10" s="93"/>
      <c r="G10" s="93"/>
      <c r="H10" s="93"/>
      <c r="I10" s="91">
        <f>SUM(B10:H10)</f>
        <v>0</v>
      </c>
    </row>
    <row r="11" spans="1:11" s="76" customFormat="1" ht="15" x14ac:dyDescent="0.25">
      <c r="A11" s="65"/>
      <c r="B11" s="88">
        <v>25</v>
      </c>
      <c r="C11" s="88">
        <v>26</v>
      </c>
      <c r="D11" s="88">
        <v>27</v>
      </c>
      <c r="E11" s="88">
        <v>28</v>
      </c>
      <c r="F11" s="88">
        <v>29</v>
      </c>
      <c r="G11" s="88">
        <v>30</v>
      </c>
      <c r="H11" s="88">
        <v>31</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G3">
    <cfRule type="expression" dxfId="9" priority="1">
      <formula>DAY(B3)&gt;8</formula>
    </cfRule>
  </conditionalFormatting>
  <conditionalFormatting sqref="B11:H11 B13:C13">
    <cfRule type="expression" dxfId="8"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"Septembre "&amp;AnnéeCalendrier</f>
        <v>Septembre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32</v>
      </c>
      <c r="E11" s="88">
        <v>33</v>
      </c>
      <c r="F11" s="88">
        <v>34</v>
      </c>
      <c r="G11" s="88">
        <v>35</v>
      </c>
      <c r="H11" s="88">
        <v>36</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H3">
    <cfRule type="expression" dxfId="7" priority="1">
      <formula>DAY(B3)&gt;8</formula>
    </cfRule>
  </conditionalFormatting>
  <conditionalFormatting sqref="B13:C13 B11:H11">
    <cfRule type="expression" dxfId="6"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"Octobre  "&amp;AnnéeCalendrier</f>
        <v>Octobre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29</v>
      </c>
      <c r="C3" s="85">
        <v>30</v>
      </c>
      <c r="D3" s="85">
        <v>31</v>
      </c>
      <c r="E3" s="85">
        <v>32</v>
      </c>
      <c r="F3" s="85">
        <v>33</v>
      </c>
      <c r="G3" s="85">
        <v>34</v>
      </c>
      <c r="H3" s="85">
        <v>35</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6</v>
      </c>
      <c r="C5" s="86">
        <v>7</v>
      </c>
      <c r="D5" s="86">
        <v>8</v>
      </c>
      <c r="E5" s="86">
        <v>9</v>
      </c>
      <c r="F5" s="86">
        <v>10</v>
      </c>
      <c r="G5" s="86">
        <v>11</v>
      </c>
      <c r="H5" s="86">
        <v>12</v>
      </c>
      <c r="I5" s="83"/>
    </row>
    <row r="6" spans="1:11" ht="15" x14ac:dyDescent="0.2">
      <c r="B6" s="93"/>
      <c r="C6" s="93"/>
      <c r="D6" s="93"/>
      <c r="E6" s="93"/>
      <c r="F6" s="93"/>
      <c r="G6" s="93"/>
      <c r="H6" s="93"/>
      <c r="I6" s="91">
        <f>SUM(B6:H6)</f>
        <v>0</v>
      </c>
      <c r="J6" s="81"/>
    </row>
    <row r="7" spans="1:11" s="76" customFormat="1" ht="15" x14ac:dyDescent="0.25">
      <c r="A7" s="65"/>
      <c r="B7" s="85">
        <v>13</v>
      </c>
      <c r="C7" s="85">
        <v>14</v>
      </c>
      <c r="D7" s="85">
        <v>15</v>
      </c>
      <c r="E7" s="85">
        <v>16</v>
      </c>
      <c r="F7" s="85">
        <v>17</v>
      </c>
      <c r="G7" s="85">
        <v>18</v>
      </c>
      <c r="H7" s="85">
        <v>19</v>
      </c>
      <c r="I7" s="83"/>
      <c r="J7" s="81"/>
    </row>
    <row r="8" spans="1:11" ht="15" x14ac:dyDescent="0.3">
      <c r="B8" s="94"/>
      <c r="C8" s="94"/>
      <c r="D8" s="94"/>
      <c r="E8" s="94"/>
      <c r="F8" s="94"/>
      <c r="G8" s="94"/>
      <c r="H8" s="94"/>
      <c r="I8" s="91">
        <f>SUM(B8:H8)</f>
        <v>0</v>
      </c>
    </row>
    <row r="9" spans="1:11" s="76" customFormat="1" ht="15" x14ac:dyDescent="0.25">
      <c r="A9" s="65"/>
      <c r="B9" s="86">
        <v>20</v>
      </c>
      <c r="C9" s="86">
        <v>21</v>
      </c>
      <c r="D9" s="86">
        <v>22</v>
      </c>
      <c r="E9" s="86">
        <v>23</v>
      </c>
      <c r="F9" s="86">
        <v>24</v>
      </c>
      <c r="G9" s="86">
        <v>25</v>
      </c>
      <c r="H9" s="86">
        <v>26</v>
      </c>
      <c r="I9" s="83"/>
    </row>
    <row r="10" spans="1:11" ht="15" x14ac:dyDescent="0.3">
      <c r="B10" s="93"/>
      <c r="C10" s="93"/>
      <c r="D10" s="93"/>
      <c r="E10" s="93"/>
      <c r="F10" s="93"/>
      <c r="G10" s="93"/>
      <c r="H10" s="93"/>
      <c r="I10" s="91">
        <f>SUM(B10:H10)</f>
        <v>0</v>
      </c>
    </row>
    <row r="11" spans="1:11" s="76" customFormat="1" ht="15" x14ac:dyDescent="0.25">
      <c r="A11" s="65"/>
      <c r="B11" s="88">
        <v>27</v>
      </c>
      <c r="C11" s="88">
        <v>28</v>
      </c>
      <c r="D11" s="88">
        <v>29</v>
      </c>
      <c r="E11" s="88">
        <v>30</v>
      </c>
      <c r="F11" s="88">
        <v>31</v>
      </c>
      <c r="G11" s="88">
        <v>32</v>
      </c>
      <c r="H11" s="88">
        <v>33</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H3">
    <cfRule type="expression" dxfId="5" priority="1">
      <formula>DAY(B3)&gt;8</formula>
    </cfRule>
  </conditionalFormatting>
  <conditionalFormatting sqref="B13:C13 B11:H11">
    <cfRule type="expression" dxfId="4"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K14"/>
  <sheetViews>
    <sheetView workbookViewId="0">
      <selection activeCell="K3" sqref="K3"/>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"Novembre  "&amp;AnnéeCalendrier</f>
        <v>Novembre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27</v>
      </c>
      <c r="C3" s="85">
        <v>28</v>
      </c>
      <c r="D3" s="85">
        <v>29</v>
      </c>
      <c r="E3" s="85">
        <v>30</v>
      </c>
      <c r="F3" s="85">
        <v>31</v>
      </c>
      <c r="G3" s="85">
        <v>32</v>
      </c>
      <c r="H3" s="85">
        <v>33</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3</v>
      </c>
      <c r="C5" s="86">
        <v>4</v>
      </c>
      <c r="D5" s="86">
        <v>5</v>
      </c>
      <c r="E5" s="86">
        <v>6</v>
      </c>
      <c r="F5" s="86">
        <v>7</v>
      </c>
      <c r="G5" s="86">
        <v>8</v>
      </c>
      <c r="H5" s="86">
        <v>9</v>
      </c>
      <c r="I5" s="83"/>
    </row>
    <row r="6" spans="1:11" ht="15" x14ac:dyDescent="0.2">
      <c r="B6" s="93"/>
      <c r="C6" s="93"/>
      <c r="D6" s="93"/>
      <c r="E6" s="93"/>
      <c r="F6" s="93"/>
      <c r="G6" s="93"/>
      <c r="H6" s="93"/>
      <c r="I6" s="91">
        <f>SUM(B6:H6)</f>
        <v>0</v>
      </c>
      <c r="J6" s="81"/>
    </row>
    <row r="7" spans="1:11" s="76" customFormat="1" ht="15" x14ac:dyDescent="0.25">
      <c r="A7" s="65"/>
      <c r="B7" s="85">
        <v>10</v>
      </c>
      <c r="C7" s="85">
        <v>11</v>
      </c>
      <c r="D7" s="85">
        <v>12</v>
      </c>
      <c r="E7" s="85">
        <v>13</v>
      </c>
      <c r="F7" s="85">
        <v>14</v>
      </c>
      <c r="G7" s="85">
        <v>15</v>
      </c>
      <c r="H7" s="85">
        <v>16</v>
      </c>
      <c r="I7" s="83"/>
      <c r="J7" s="81"/>
    </row>
    <row r="8" spans="1:11" ht="15" x14ac:dyDescent="0.3">
      <c r="B8" s="94"/>
      <c r="C8" s="94"/>
      <c r="D8" s="94"/>
      <c r="E8" s="94"/>
      <c r="F8" s="94"/>
      <c r="G8" s="94"/>
      <c r="H8" s="94"/>
      <c r="I8" s="91">
        <f>SUM(B8:H8)</f>
        <v>0</v>
      </c>
    </row>
    <row r="9" spans="1:11" s="76" customFormat="1" ht="15" x14ac:dyDescent="0.25">
      <c r="A9" s="65"/>
      <c r="B9" s="86">
        <v>17</v>
      </c>
      <c r="C9" s="86">
        <v>18</v>
      </c>
      <c r="D9" s="86">
        <v>19</v>
      </c>
      <c r="E9" s="86">
        <v>20</v>
      </c>
      <c r="F9" s="86">
        <v>21</v>
      </c>
      <c r="G9" s="86">
        <v>22</v>
      </c>
      <c r="H9" s="86">
        <v>23</v>
      </c>
      <c r="I9" s="83"/>
    </row>
    <row r="10" spans="1:11" ht="15" x14ac:dyDescent="0.3">
      <c r="B10" s="93"/>
      <c r="C10" s="93"/>
      <c r="D10" s="93"/>
      <c r="E10" s="93"/>
      <c r="F10" s="93"/>
      <c r="G10" s="93"/>
      <c r="H10" s="93"/>
      <c r="I10" s="91">
        <f>SUM(B10:H10)</f>
        <v>0</v>
      </c>
    </row>
    <row r="11" spans="1:11" s="76" customFormat="1" ht="15" x14ac:dyDescent="0.25">
      <c r="A11" s="65"/>
      <c r="B11" s="88">
        <v>24</v>
      </c>
      <c r="C11" s="88">
        <v>25</v>
      </c>
      <c r="D11" s="88">
        <v>26</v>
      </c>
      <c r="E11" s="88">
        <v>27</v>
      </c>
      <c r="F11" s="88">
        <v>28</v>
      </c>
      <c r="G11" s="88">
        <v>29</v>
      </c>
      <c r="H11" s="88">
        <v>30</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H3">
    <cfRule type="expression" dxfId="3" priority="1">
      <formula>DAY(B3)&gt;8</formula>
    </cfRule>
  </conditionalFormatting>
  <conditionalFormatting sqref="B13:C13 B11:H11">
    <cfRule type="expression" dxfId="2"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K14"/>
  <sheetViews>
    <sheetView workbookViewId="0">
      <selection activeCell="B20" sqref="B20"/>
    </sheetView>
  </sheetViews>
  <sheetFormatPr baseColWidth="10" defaultColWidth="8.75" defaultRowHeight="14.25" x14ac:dyDescent="0.3"/>
  <cols>
    <col min="1" max="1" width="2.625" style="65" customWidth="1"/>
    <col min="2" max="8" width="17.875" style="65" customWidth="1"/>
    <col min="9" max="9" width="21.5" style="65" customWidth="1"/>
    <col min="10" max="10" width="21.875" style="65" customWidth="1"/>
    <col min="11" max="11" width="13.625" style="65" customWidth="1"/>
    <col min="12" max="16384" width="8.75" style="65"/>
  </cols>
  <sheetData>
    <row r="1" spans="1:11" s="71" customFormat="1" ht="27.75" x14ac:dyDescent="0.4">
      <c r="A1" s="65"/>
      <c r="B1" s="66" t="str">
        <f>"Décembre  "&amp;AnnéeCalendrier</f>
        <v>Décembre  2019</v>
      </c>
      <c r="C1" s="67"/>
      <c r="D1" s="68"/>
      <c r="E1" s="69"/>
      <c r="F1" s="69"/>
      <c r="G1" s="69"/>
      <c r="H1" s="70"/>
      <c r="J1" s="72" t="s">
        <v>68</v>
      </c>
      <c r="K1" s="65"/>
    </row>
    <row r="2" spans="1:11" s="73" customFormat="1" ht="35.25" customHeight="1" x14ac:dyDescent="0.25">
      <c r="A2" s="65"/>
      <c r="B2" s="84" t="str">
        <f>DébutSemaine</f>
        <v>DIMANCHE</v>
      </c>
      <c r="C2" s="84" t="s">
        <v>75</v>
      </c>
      <c r="D2" s="84" t="s">
        <v>76</v>
      </c>
      <c r="E2" s="84" t="s">
        <v>77</v>
      </c>
      <c r="F2" s="84" t="s">
        <v>78</v>
      </c>
      <c r="G2" s="84" t="s">
        <v>79</v>
      </c>
      <c r="H2" s="84" t="s">
        <v>74</v>
      </c>
      <c r="I2" s="89" t="s">
        <v>73</v>
      </c>
      <c r="J2" s="74" t="s">
        <v>69</v>
      </c>
      <c r="K2" s="75">
        <f ca="1">YEAR(TODAY())</f>
        <v>2019</v>
      </c>
    </row>
    <row r="3" spans="1:11" s="76" customFormat="1" ht="15.75" x14ac:dyDescent="0.25">
      <c r="A3" s="65"/>
      <c r="B3" s="85">
        <v>1</v>
      </c>
      <c r="C3" s="85">
        <v>2</v>
      </c>
      <c r="D3" s="85">
        <v>3</v>
      </c>
      <c r="E3" s="85">
        <v>4</v>
      </c>
      <c r="F3" s="85">
        <v>5</v>
      </c>
      <c r="G3" s="85">
        <v>6</v>
      </c>
      <c r="H3" s="85">
        <v>7</v>
      </c>
      <c r="I3" s="83"/>
      <c r="J3" s="77" t="s">
        <v>70</v>
      </c>
      <c r="K3" s="75" t="s">
        <v>71</v>
      </c>
    </row>
    <row r="4" spans="1:11" ht="15" x14ac:dyDescent="0.3">
      <c r="B4" s="94"/>
      <c r="C4" s="94"/>
      <c r="D4" s="94"/>
      <c r="E4" s="94"/>
      <c r="F4" s="94"/>
      <c r="G4" s="94"/>
      <c r="H4" s="94"/>
      <c r="I4" s="91">
        <f>SUM(B4:H4)</f>
        <v>0</v>
      </c>
      <c r="J4" s="78"/>
    </row>
    <row r="5" spans="1:11" s="76" customFormat="1" ht="15" x14ac:dyDescent="0.25">
      <c r="A5" s="65"/>
      <c r="B5" s="86">
        <v>8</v>
      </c>
      <c r="C5" s="86">
        <v>9</v>
      </c>
      <c r="D5" s="86">
        <v>10</v>
      </c>
      <c r="E5" s="86">
        <v>11</v>
      </c>
      <c r="F5" s="86">
        <v>12</v>
      </c>
      <c r="G5" s="86">
        <v>13</v>
      </c>
      <c r="H5" s="86">
        <v>14</v>
      </c>
      <c r="I5" s="83"/>
    </row>
    <row r="6" spans="1:11" ht="15" x14ac:dyDescent="0.2">
      <c r="B6" s="93"/>
      <c r="C6" s="93"/>
      <c r="D6" s="93"/>
      <c r="E6" s="93"/>
      <c r="F6" s="93"/>
      <c r="G6" s="93"/>
      <c r="H6" s="93"/>
      <c r="I6" s="91">
        <f>SUM(B6:H6)</f>
        <v>0</v>
      </c>
      <c r="J6" s="81"/>
    </row>
    <row r="7" spans="1:11" s="76" customFormat="1" ht="15" x14ac:dyDescent="0.25">
      <c r="A7" s="65"/>
      <c r="B7" s="85">
        <v>15</v>
      </c>
      <c r="C7" s="85">
        <v>16</v>
      </c>
      <c r="D7" s="85">
        <v>17</v>
      </c>
      <c r="E7" s="85">
        <v>18</v>
      </c>
      <c r="F7" s="85">
        <v>19</v>
      </c>
      <c r="G7" s="85">
        <v>20</v>
      </c>
      <c r="H7" s="85">
        <v>21</v>
      </c>
      <c r="I7" s="83"/>
      <c r="J7" s="81"/>
    </row>
    <row r="8" spans="1:11" ht="15" x14ac:dyDescent="0.3">
      <c r="B8" s="94"/>
      <c r="C8" s="94"/>
      <c r="D8" s="94"/>
      <c r="E8" s="94"/>
      <c r="F8" s="94"/>
      <c r="G8" s="94"/>
      <c r="H8" s="94"/>
      <c r="I8" s="91">
        <f>SUM(B8:H8)</f>
        <v>0</v>
      </c>
    </row>
    <row r="9" spans="1:11" s="76" customFormat="1" ht="15" x14ac:dyDescent="0.25">
      <c r="A9" s="65"/>
      <c r="B9" s="86">
        <v>22</v>
      </c>
      <c r="C9" s="86">
        <v>23</v>
      </c>
      <c r="D9" s="86">
        <v>24</v>
      </c>
      <c r="E9" s="86">
        <v>25</v>
      </c>
      <c r="F9" s="86">
        <v>26</v>
      </c>
      <c r="G9" s="86">
        <v>27</v>
      </c>
      <c r="H9" s="86">
        <v>28</v>
      </c>
      <c r="I9" s="83"/>
    </row>
    <row r="10" spans="1:11" ht="15" x14ac:dyDescent="0.3">
      <c r="B10" s="93"/>
      <c r="C10" s="93"/>
      <c r="D10" s="93"/>
      <c r="E10" s="93"/>
      <c r="F10" s="93"/>
      <c r="G10" s="93"/>
      <c r="H10" s="93"/>
      <c r="I10" s="91">
        <f>SUM(B10:H10)</f>
        <v>0</v>
      </c>
    </row>
    <row r="11" spans="1:11" s="76" customFormat="1" ht="15" x14ac:dyDescent="0.25">
      <c r="A11" s="65"/>
      <c r="B11" s="88">
        <v>29</v>
      </c>
      <c r="C11" s="88">
        <v>30</v>
      </c>
      <c r="D11" s="88">
        <v>31</v>
      </c>
      <c r="E11" s="88">
        <v>32</v>
      </c>
      <c r="F11" s="88">
        <v>33</v>
      </c>
      <c r="G11" s="88">
        <v>34</v>
      </c>
      <c r="H11" s="88">
        <v>35</v>
      </c>
      <c r="I11" s="83"/>
    </row>
    <row r="12" spans="1:11" ht="15" x14ac:dyDescent="0.3">
      <c r="B12" s="93"/>
      <c r="C12" s="93"/>
      <c r="D12" s="93"/>
      <c r="E12" s="93"/>
      <c r="F12" s="93"/>
      <c r="G12" s="93"/>
      <c r="H12" s="93"/>
      <c r="I12" s="91">
        <f>SUM(B12:H12)</f>
        <v>0</v>
      </c>
    </row>
    <row r="13" spans="1:11" s="76" customFormat="1" x14ac:dyDescent="0.2">
      <c r="A13" s="65"/>
      <c r="B13" s="79">
        <f t="array" ref="B13:C13">JoursEtSemaines+DATE(AnnéeCalendrier,1,1)-WEEKDAY(DATE(AnnéeCalendrier,1,1),(DébutSemaine="LUNDI")+1)+36</f>
        <v>43499</v>
      </c>
      <c r="C13" s="79">
        <v>43500</v>
      </c>
      <c r="D13" s="115" t="s">
        <v>72</v>
      </c>
      <c r="E13" s="118"/>
      <c r="F13" s="118"/>
      <c r="G13" s="118"/>
      <c r="H13" s="118"/>
    </row>
    <row r="14" spans="1:11" x14ac:dyDescent="0.3">
      <c r="B14" s="80"/>
      <c r="C14" s="80"/>
      <c r="D14" s="115"/>
      <c r="E14" s="118"/>
      <c r="F14" s="118"/>
      <c r="G14" s="118"/>
      <c r="H14" s="118"/>
    </row>
  </sheetData>
  <mergeCells count="2">
    <mergeCell ref="D13:D14"/>
    <mergeCell ref="E13:H14"/>
  </mergeCells>
  <conditionalFormatting sqref="B3:H3">
    <cfRule type="expression" dxfId="1" priority="1">
      <formula>DAY(B3)&gt;8</formula>
    </cfRule>
  </conditionalFormatting>
  <conditionalFormatting sqref="B13:C13 B11:H11">
    <cfRule type="expression" dxfId="0" priority="2">
      <formula>AND(DAY(B11)&gt;=1,DAY(B11)&lt;=15)</formula>
    </cfRule>
  </conditionalFormatting>
  <dataValidations count="14">
    <dataValidation allowBlank="1" showInputMessage="1" showErrorMessage="1" prompt="Cette ligne ainsi que les lignes 5, 7, 9, 11 et 13 contiennent les jours civils de la semaine. Si cette cellule ne contient pas le numéro 1, c’est qu’il s’agit d’un jour du mois précédent. Entrez des notes dans la cellule E13" sqref="B3 D3 F3 H3"/>
    <dataValidation type="list" errorStyle="warning" allowBlank="1" showInputMessage="1" showErrorMessage="1" error="Sélectionnez un jour dans la liste. Sélectionnez ANNULER, puis appuyez sur ALT+FLÈCHE BAS pour choisir un jour dans la liste déroulante." prompt="Sélectionnez le jour de début de la semaine dans cette cellule. Appuyez sur ALT+FLÈCHE BAS pour ouvrir la liste déroulante, puis sur ENTRÉE pour sélectionner le jour de début de la semaine." sqref="K3">
      <formula1>"DIMANCHE,LUNDI"</formula1>
    </dataValidation>
    <dataValidation allowBlank="1" showInputMessage="1" showErrorMessage="1" prompt="Créez des calendriers personnalisés d’un mois dans ce classeur. Personnalisez l’année et le jour de début de la semaine pour tous les mois avec cette feuille de calcul Janvier. Chaque mois figure sur une feuille de calcul distincte" sqref="A1"/>
    <dataValidation allowBlank="1" showInputMessage="1" showErrorMessage="1" prompt="L’année figurant dans cette cellule est mise à jour automatiquement. Pour modifier l’année, sélectionnez une autre année dans la cellule K2" sqref="C1:D1"/>
    <dataValidation allowBlank="1" showInputMessage="1" showErrorMessage="1" prompt="Entrez l’année et sélectionnez le jour de début du calendrier dans les cellules ci-dessous. Ces cellules Paramètres du calendrier ne s’imprimeront pas" sqref="J1"/>
    <dataValidation allowBlank="1" showInputMessage="1" showErrorMessage="1" prompt="Entrez l’année dans la cellule à droite" sqref="J2"/>
    <dataValidation allowBlank="1" showInputMessage="1" showErrorMessage="1" prompt="Sélectionnez le jour de début de la semaine dans la cellule à droite" sqref="J3"/>
    <dataValidation allowBlank="1" showInputMessage="1" showErrorMessage="1" prompt="Entrez une année dans cette cellule" sqref="K2"/>
    <dataValidation allowBlank="1" showInputMessage="1" showErrorMessage="1" prompt="Cette ligne contient les noms des jours de la semaine pour ce calendrier. Cette cellule contient le jour de début de la semaine. Pour modifier le jour de début de la semaine, entrez un nouveau jour dans la cellule K3" sqref="B2"/>
    <dataValidation allowBlank="1" showInputMessage="1" showErrorMessage="1" prompt="L’année dans cette cellule est automatiquement mise à jour en fonction de l’année entrée dans la cellule K2. Le calendrier ci-dessous inclut les dates des mois précédent et suivant dans une teinte plus claire" sqref="B1"/>
    <dataValidation allowBlank="1" showInputMessage="1" showErrorMessage="1" prompt="Jour de la semaine déterminé automatiquement" sqref="C2:H2"/>
    <dataValidation allowBlank="1" showInputMessage="1" showErrorMessage="1" prompt="Cette ligne ainsi que les lignes 6, 8, 10, 12 et 14 sont des cellules destinées à la saisie de notes quotidiennes en rapport avec le jour civil figurant dans la cellule située au-dessus" sqref="B4 D4 F4 H4"/>
    <dataValidation allowBlank="1" showInputMessage="1" showErrorMessage="1" prompt="Entrez les Notes dans cette cellule" sqref="E13:H14"/>
    <dataValidation allowBlank="1" showInputMessage="1" showErrorMessage="1" prompt="Entrez les Notes dans la cellule à droite" sqref="D13:D14"/>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tabColor theme="4" tint="0.39997558519241921"/>
    <pageSetUpPr fitToPage="1"/>
  </sheetPr>
  <dimension ref="A1:AD12"/>
  <sheetViews>
    <sheetView showGridLines="0" zoomScaleNormal="100" workbookViewId="0">
      <pane ySplit="3" topLeftCell="A7" activePane="bottomLeft" state="frozen"/>
      <selection pane="bottomLeft" activeCell="E10" sqref="E10"/>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28" t="str">
        <f>Titre_Feuille_Calcul</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33" t="str">
        <f ca="1">UPPER(TEXT(DATE(FYStartYear,FYMonthNo,1),"mmm-aa"))</f>
        <v>JANV-19</v>
      </c>
      <c r="E3" s="33" t="str">
        <f ca="1">UPPER(TEXT(DATE(FYStartYear,FYMonthNo+1,1),"mmm-aa"))</f>
        <v>FÉVR-19</v>
      </c>
      <c r="F3" s="33" t="str">
        <f ca="1">UPPER(TEXT(DATE(FYStartYear,FYMonthNo+2,1),"mmm-aa"))</f>
        <v>MARS-19</v>
      </c>
      <c r="G3" s="33" t="str">
        <f ca="1">UPPER(TEXT(DATE(FYStartYear,FYMonthNo+3,1),"mmm-aa"))</f>
        <v>AVR-19</v>
      </c>
      <c r="H3" s="33" t="str">
        <f ca="1">UPPER(TEXT(DATE(FYStartYear,FYMonthNo+4,1),"mmm-aa"))</f>
        <v>MAI-19</v>
      </c>
      <c r="I3" s="33" t="str">
        <f ca="1">UPPER(TEXT(DATE(FYStartYear,FYMonthNo+5,1),"mmm-aa"))</f>
        <v>JUIN-19</v>
      </c>
      <c r="J3" s="33" t="str">
        <f ca="1">UPPER(TEXT(DATE(FYStartYear,FYMonthNo+6,1),"mmm-aa"))</f>
        <v>JUIL-19</v>
      </c>
      <c r="K3" s="33" t="str">
        <f ca="1">UPPER(TEXT(DATE(FYStartYear,FYMonthNo+7,1),"mmm-aa"))</f>
        <v>AOÛT-19</v>
      </c>
      <c r="L3" s="33" t="str">
        <f ca="1">UPPER(TEXT(DATE(FYStartYear,FYMonthNo+8,1),"mmm-aa"))</f>
        <v>SEPT-19</v>
      </c>
      <c r="M3" s="33" t="str">
        <f ca="1">UPPER(TEXT(DATE(FYStartYear,FYMonthNo+9,1),"mmm-aa"))</f>
        <v>OCT-19</v>
      </c>
      <c r="N3" s="33" t="str">
        <f ca="1">UPPER(TEXT(DATE(FYStartYear,FYMonthNo+10,1),"mmm-aa"))</f>
        <v>NOV-19</v>
      </c>
      <c r="O3" s="33" t="str">
        <f ca="1">UPPER(TEXT(DATE(FYStartYear,FYMonthNo+11,1),"mmm-aa"))</f>
        <v>DÉC-19</v>
      </c>
      <c r="P3" s="33" t="s">
        <v>8</v>
      </c>
      <c r="Q3" s="33" t="s">
        <v>38</v>
      </c>
      <c r="R3" s="33" t="str">
        <f t="shared" ref="R3:AC3" ca="1" si="0">LEFT(D3,3)&amp;" %"</f>
        <v>JAN %</v>
      </c>
      <c r="S3" s="33" t="str">
        <f t="shared" ca="1" si="0"/>
        <v>FÉV %</v>
      </c>
      <c r="T3" s="33" t="str">
        <f t="shared" ca="1" si="0"/>
        <v>MAR %</v>
      </c>
      <c r="U3" s="33" t="str">
        <f t="shared" ca="1" si="0"/>
        <v>AVR %</v>
      </c>
      <c r="V3" s="33" t="str">
        <f t="shared" ca="1" si="0"/>
        <v>MAI %</v>
      </c>
      <c r="W3" s="33" t="str">
        <f t="shared" ca="1" si="0"/>
        <v>JUI %</v>
      </c>
      <c r="X3" s="33" t="str">
        <f t="shared" ca="1" si="0"/>
        <v>JUI %</v>
      </c>
      <c r="Y3" s="33" t="str">
        <f t="shared" ca="1" si="0"/>
        <v>AOÛ %</v>
      </c>
      <c r="Z3" s="33" t="str">
        <f t="shared" ca="1" si="0"/>
        <v>SEP %</v>
      </c>
      <c r="AA3" s="33" t="str">
        <f t="shared" ca="1" si="0"/>
        <v>OCT %</v>
      </c>
      <c r="AB3" s="33" t="str">
        <f t="shared" ca="1" si="0"/>
        <v>NOV %</v>
      </c>
      <c r="AC3" s="33" t="str">
        <f t="shared" ca="1" si="0"/>
        <v>DÉC %</v>
      </c>
      <c r="AD3" s="33" t="s">
        <v>39</v>
      </c>
    </row>
    <row r="4" spans="1:30" ht="30" customHeight="1" x14ac:dyDescent="0.3">
      <c r="B4" s="27" t="s">
        <v>12</v>
      </c>
      <c r="C4" s="27" t="s">
        <v>3</v>
      </c>
      <c r="D4" s="21" t="s">
        <v>41</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53" t="s">
        <v>63</v>
      </c>
      <c r="C5" s="29"/>
      <c r="D5" s="23">
        <v>61</v>
      </c>
      <c r="E5" s="23">
        <v>78</v>
      </c>
      <c r="F5" s="23">
        <v>65</v>
      </c>
      <c r="G5" s="23">
        <v>29</v>
      </c>
      <c r="H5" s="23">
        <v>125</v>
      </c>
      <c r="I5" s="23">
        <v>49</v>
      </c>
      <c r="J5" s="23">
        <v>14</v>
      </c>
      <c r="K5" s="23">
        <v>26</v>
      </c>
      <c r="L5" s="23">
        <v>14</v>
      </c>
      <c r="M5" s="23">
        <v>129</v>
      </c>
      <c r="N5" s="23">
        <v>60</v>
      </c>
      <c r="O5" s="23">
        <v>65</v>
      </c>
      <c r="P5" s="36">
        <f>SUM(CoûtdesVentes[[#This Row],[Janv]:[Déc]])</f>
        <v>715</v>
      </c>
      <c r="Q5" s="24">
        <v>0.12</v>
      </c>
      <c r="R5" s="37">
        <f>IFERROR(CoûtdesVentes[[#This Row],[Janv]]/CoûtdesVentes[[#Totals],[Janv]],"-")</f>
        <v>0.28504672897196259</v>
      </c>
      <c r="S5" s="37">
        <f>IFERROR(CoûtdesVentes[[#This Row],[Févr]]/CoûtdesVentes[[#Totals],[Févr]],"-")</f>
        <v>0.27464788732394368</v>
      </c>
      <c r="T5" s="37">
        <f>IFERROR(CoûtdesVentes[[#This Row],[Mars]]/CoûtdesVentes[[#Totals],[Mars]],"-")</f>
        <v>0.26748971193415638</v>
      </c>
      <c r="U5" s="37">
        <f>IFERROR(CoûtdesVentes[[#This Row],[Avr]]/CoûtdesVentes[[#Totals],[Avr]],"-")</f>
        <v>0.15343915343915343</v>
      </c>
      <c r="V5" s="37">
        <f>IFERROR(CoûtdesVentes[[#This Row],[Mai]]/CoûtdesVentes[[#Totals],[Mai]],"-")</f>
        <v>0.39308176100628933</v>
      </c>
      <c r="W5" s="37">
        <f>IFERROR(CoûtdesVentes[[#This Row],[Juin]]/CoûtdesVentes[[#Totals],[Juin]],"-")</f>
        <v>0.27374301675977653</v>
      </c>
      <c r="X5" s="37">
        <f>IFERROR(CoûtdesVentes[[#This Row],[Juil]]/CoûtdesVentes[[#Totals],[Juil]],"-")</f>
        <v>9.2715231788079472E-2</v>
      </c>
      <c r="Y5" s="37">
        <f>IFERROR(CoûtdesVentes[[#This Row],[Août]]/CoûtdesVentes[[#Totals],[Août]],"-")</f>
        <v>0.15568862275449102</v>
      </c>
      <c r="Z5" s="37">
        <f>IFERROR(CoûtdesVentes[[#This Row],[Sept]]/CoûtdesVentes[[#Totals],[Sept]],"-")</f>
        <v>5.8823529411764705E-2</v>
      </c>
      <c r="AA5" s="37">
        <f>IFERROR(CoûtdesVentes[[#This Row],[Oct]]/CoûtdesVentes[[#Totals],[Oct]],"-")</f>
        <v>0.53749999999999998</v>
      </c>
      <c r="AB5" s="37">
        <f>IFERROR(CoûtdesVentes[[#This Row],[Nov]]/CoûtdesVentes[[#Totals],[Nov]],"-")</f>
        <v>0.30927835051546393</v>
      </c>
      <c r="AC5" s="37">
        <f>IFERROR(CoûtdesVentes[[#This Row],[Déc]]/CoûtdesVentes[[#Totals],[Déc]],"-")</f>
        <v>0.20061728395061729</v>
      </c>
      <c r="AD5" s="37">
        <f>IFERROR(CoûtdesVentes[[#This Row],[Annuel]]/CoûtdesVentes[[#Totals],[Annuel]],"-")</f>
        <v>0.26085370302809191</v>
      </c>
    </row>
    <row r="6" spans="1:30" ht="30" customHeight="1" x14ac:dyDescent="0.3">
      <c r="B6" s="53" t="s">
        <v>64</v>
      </c>
      <c r="C6" s="29"/>
      <c r="D6" s="23">
        <v>7</v>
      </c>
      <c r="E6" s="23">
        <v>5</v>
      </c>
      <c r="F6" s="23">
        <v>69</v>
      </c>
      <c r="G6" s="23">
        <v>32</v>
      </c>
      <c r="H6" s="23">
        <v>11</v>
      </c>
      <c r="I6" s="23">
        <v>30</v>
      </c>
      <c r="J6" s="23">
        <v>27</v>
      </c>
      <c r="K6" s="23">
        <v>32</v>
      </c>
      <c r="L6" s="23">
        <v>10</v>
      </c>
      <c r="M6" s="23">
        <v>41</v>
      </c>
      <c r="N6" s="23">
        <v>13</v>
      </c>
      <c r="O6" s="23">
        <v>105</v>
      </c>
      <c r="P6" s="36">
        <f>SUM(CoûtdesVentes[[#This Row],[Janv]:[Déc]])</f>
        <v>382</v>
      </c>
      <c r="Q6" s="24">
        <v>0.18</v>
      </c>
      <c r="R6" s="37">
        <f>IFERROR(CoûtdesVentes[[#This Row],[Janv]]/CoûtdesVentes[[#Totals],[Janv]],"-")</f>
        <v>3.2710280373831772E-2</v>
      </c>
      <c r="S6" s="37">
        <f>IFERROR(CoûtdesVentes[[#This Row],[Févr]]/CoûtdesVentes[[#Totals],[Févr]],"-")</f>
        <v>1.7605633802816902E-2</v>
      </c>
      <c r="T6" s="37">
        <f>IFERROR(CoûtdesVentes[[#This Row],[Mars]]/CoûtdesVentes[[#Totals],[Mars]],"-")</f>
        <v>0.2839506172839506</v>
      </c>
      <c r="U6" s="37">
        <f>IFERROR(CoûtdesVentes[[#This Row],[Avr]]/CoûtdesVentes[[#Totals],[Avr]],"-")</f>
        <v>0.1693121693121693</v>
      </c>
      <c r="V6" s="37">
        <f>IFERROR(CoûtdesVentes[[#This Row],[Mai]]/CoûtdesVentes[[#Totals],[Mai]],"-")</f>
        <v>3.4591194968553458E-2</v>
      </c>
      <c r="W6" s="37">
        <f>IFERROR(CoûtdesVentes[[#This Row],[Juin]]/CoûtdesVentes[[#Totals],[Juin]],"-")</f>
        <v>0.16759776536312848</v>
      </c>
      <c r="X6" s="37">
        <f>IFERROR(CoûtdesVentes[[#This Row],[Juil]]/CoûtdesVentes[[#Totals],[Juil]],"-")</f>
        <v>0.17880794701986755</v>
      </c>
      <c r="Y6" s="37">
        <f>IFERROR(CoûtdesVentes[[#This Row],[Août]]/CoûtdesVentes[[#Totals],[Août]],"-")</f>
        <v>0.19161676646706588</v>
      </c>
      <c r="Z6" s="37">
        <f>IFERROR(CoûtdesVentes[[#This Row],[Sept]]/CoûtdesVentes[[#Totals],[Sept]],"-")</f>
        <v>4.2016806722689079E-2</v>
      </c>
      <c r="AA6" s="37">
        <f>IFERROR(CoûtdesVentes[[#This Row],[Oct]]/CoûtdesVentes[[#Totals],[Oct]],"-")</f>
        <v>0.17083333333333334</v>
      </c>
      <c r="AB6" s="37">
        <f>IFERROR(CoûtdesVentes[[#This Row],[Nov]]/CoûtdesVentes[[#Totals],[Nov]],"-")</f>
        <v>6.7010309278350513E-2</v>
      </c>
      <c r="AC6" s="37">
        <f>IFERROR(CoûtdesVentes[[#This Row],[Déc]]/CoûtdesVentes[[#Totals],[Déc]],"-")</f>
        <v>0.32407407407407407</v>
      </c>
      <c r="AD6" s="37">
        <f>IFERROR(CoûtdesVentes[[#This Row],[Annuel]]/CoûtdesVentes[[#Totals],[Annuel]],"-")</f>
        <v>0.13936519518423932</v>
      </c>
    </row>
    <row r="7" spans="1:30" ht="30" customHeight="1" x14ac:dyDescent="0.3">
      <c r="B7" s="53" t="s">
        <v>65</v>
      </c>
      <c r="C7" s="29"/>
      <c r="D7" s="23">
        <v>99</v>
      </c>
      <c r="E7" s="23">
        <v>95</v>
      </c>
      <c r="F7" s="23">
        <v>51</v>
      </c>
      <c r="G7" s="23">
        <v>90</v>
      </c>
      <c r="H7" s="23">
        <v>21</v>
      </c>
      <c r="I7" s="23">
        <v>34</v>
      </c>
      <c r="J7" s="23">
        <v>30</v>
      </c>
      <c r="K7" s="23">
        <v>24</v>
      </c>
      <c r="L7" s="23">
        <v>109</v>
      </c>
      <c r="M7" s="23">
        <v>16</v>
      </c>
      <c r="N7" s="23">
        <v>21</v>
      </c>
      <c r="O7" s="23">
        <v>52</v>
      </c>
      <c r="P7" s="36">
        <f>SUM(CoûtdesVentes[[#This Row],[Janv]:[Déc]])</f>
        <v>642</v>
      </c>
      <c r="Q7" s="24">
        <v>0.19</v>
      </c>
      <c r="R7" s="37">
        <f>IFERROR(CoûtdesVentes[[#This Row],[Janv]]/CoûtdesVentes[[#Totals],[Janv]],"-")</f>
        <v>0.46261682242990654</v>
      </c>
      <c r="S7" s="37">
        <f>IFERROR(CoûtdesVentes[[#This Row],[Févr]]/CoûtdesVentes[[#Totals],[Févr]],"-")</f>
        <v>0.33450704225352113</v>
      </c>
      <c r="T7" s="37">
        <f>IFERROR(CoûtdesVentes[[#This Row],[Mars]]/CoûtdesVentes[[#Totals],[Mars]],"-")</f>
        <v>0.20987654320987653</v>
      </c>
      <c r="U7" s="37">
        <f>IFERROR(CoûtdesVentes[[#This Row],[Avr]]/CoûtdesVentes[[#Totals],[Avr]],"-")</f>
        <v>0.47619047619047616</v>
      </c>
      <c r="V7" s="37">
        <f>IFERROR(CoûtdesVentes[[#This Row],[Mai]]/CoûtdesVentes[[#Totals],[Mai]],"-")</f>
        <v>6.6037735849056603E-2</v>
      </c>
      <c r="W7" s="37">
        <f>IFERROR(CoûtdesVentes[[#This Row],[Juin]]/CoûtdesVentes[[#Totals],[Juin]],"-")</f>
        <v>0.18994413407821228</v>
      </c>
      <c r="X7" s="37">
        <f>IFERROR(CoûtdesVentes[[#This Row],[Juil]]/CoûtdesVentes[[#Totals],[Juil]],"-")</f>
        <v>0.19867549668874171</v>
      </c>
      <c r="Y7" s="37">
        <f>IFERROR(CoûtdesVentes[[#This Row],[Août]]/CoûtdesVentes[[#Totals],[Août]],"-")</f>
        <v>0.1437125748502994</v>
      </c>
      <c r="Z7" s="37">
        <f>IFERROR(CoûtdesVentes[[#This Row],[Sept]]/CoûtdesVentes[[#Totals],[Sept]],"-")</f>
        <v>0.45798319327731091</v>
      </c>
      <c r="AA7" s="37">
        <f>IFERROR(CoûtdesVentes[[#This Row],[Oct]]/CoûtdesVentes[[#Totals],[Oct]],"-")</f>
        <v>6.6666666666666666E-2</v>
      </c>
      <c r="AB7" s="37">
        <f>IFERROR(CoûtdesVentes[[#This Row],[Nov]]/CoûtdesVentes[[#Totals],[Nov]],"-")</f>
        <v>0.10824742268041238</v>
      </c>
      <c r="AC7" s="37">
        <f>IFERROR(CoûtdesVentes[[#This Row],[Déc]]/CoûtdesVentes[[#Totals],[Déc]],"-")</f>
        <v>0.16049382716049382</v>
      </c>
      <c r="AD7" s="37">
        <f>IFERROR(CoûtdesVentes[[#This Row],[Annuel]]/CoûtdesVentes[[#Totals],[Annuel]],"-")</f>
        <v>0.23422108719445459</v>
      </c>
    </row>
    <row r="8" spans="1:30" ht="30" customHeight="1" x14ac:dyDescent="0.3">
      <c r="B8" s="53" t="s">
        <v>66</v>
      </c>
      <c r="C8" s="29"/>
      <c r="D8" s="23">
        <v>13</v>
      </c>
      <c r="E8" s="23">
        <v>28</v>
      </c>
      <c r="F8" s="23">
        <v>15</v>
      </c>
      <c r="G8" s="23">
        <v>8</v>
      </c>
      <c r="H8" s="23">
        <v>84</v>
      </c>
      <c r="I8" s="23">
        <v>12</v>
      </c>
      <c r="J8" s="23">
        <v>54</v>
      </c>
      <c r="K8" s="23">
        <v>72</v>
      </c>
      <c r="L8" s="23">
        <v>49</v>
      </c>
      <c r="M8" s="23">
        <v>24</v>
      </c>
      <c r="N8" s="23">
        <v>60</v>
      </c>
      <c r="O8" s="23">
        <v>39</v>
      </c>
      <c r="P8" s="36">
        <f>SUM(CoûtdesVentes[[#This Row],[Janv]:[Déc]])</f>
        <v>458</v>
      </c>
      <c r="Q8" s="24">
        <v>0.11</v>
      </c>
      <c r="R8" s="37">
        <f>IFERROR(CoûtdesVentes[[#This Row],[Janv]]/CoûtdesVentes[[#Totals],[Janv]],"-")</f>
        <v>6.0747663551401869E-2</v>
      </c>
      <c r="S8" s="37">
        <f>IFERROR(CoûtdesVentes[[#This Row],[Févr]]/CoûtdesVentes[[#Totals],[Févr]],"-")</f>
        <v>9.8591549295774641E-2</v>
      </c>
      <c r="T8" s="37">
        <f>IFERROR(CoûtdesVentes[[#This Row],[Mars]]/CoûtdesVentes[[#Totals],[Mars]],"-")</f>
        <v>6.1728395061728392E-2</v>
      </c>
      <c r="U8" s="37">
        <f>IFERROR(CoûtdesVentes[[#This Row],[Avr]]/CoûtdesVentes[[#Totals],[Avr]],"-")</f>
        <v>4.2328042328042326E-2</v>
      </c>
      <c r="V8" s="37">
        <f>IFERROR(CoûtdesVentes[[#This Row],[Mai]]/CoûtdesVentes[[#Totals],[Mai]],"-")</f>
        <v>0.26415094339622641</v>
      </c>
      <c r="W8" s="37">
        <f>IFERROR(CoûtdesVentes[[#This Row],[Juin]]/CoûtdesVentes[[#Totals],[Juin]],"-")</f>
        <v>6.7039106145251395E-2</v>
      </c>
      <c r="X8" s="37">
        <f>IFERROR(CoûtdesVentes[[#This Row],[Juil]]/CoûtdesVentes[[#Totals],[Juil]],"-")</f>
        <v>0.35761589403973509</v>
      </c>
      <c r="Y8" s="37">
        <f>IFERROR(CoûtdesVentes[[#This Row],[Août]]/CoûtdesVentes[[#Totals],[Août]],"-")</f>
        <v>0.43113772455089822</v>
      </c>
      <c r="Z8" s="37">
        <f>IFERROR(CoûtdesVentes[[#This Row],[Sept]]/CoûtdesVentes[[#Totals],[Sept]],"-")</f>
        <v>0.20588235294117646</v>
      </c>
      <c r="AA8" s="37">
        <f>IFERROR(CoûtdesVentes[[#This Row],[Oct]]/CoûtdesVentes[[#Totals],[Oct]],"-")</f>
        <v>0.1</v>
      </c>
      <c r="AB8" s="37">
        <f>IFERROR(CoûtdesVentes[[#This Row],[Nov]]/CoûtdesVentes[[#Totals],[Nov]],"-")</f>
        <v>0.30927835051546393</v>
      </c>
      <c r="AC8" s="37">
        <f>IFERROR(CoûtdesVentes[[#This Row],[Déc]]/CoûtdesVentes[[#Totals],[Déc]],"-")</f>
        <v>0.12037037037037036</v>
      </c>
      <c r="AD8" s="37">
        <f>IFERROR(CoûtdesVentes[[#This Row],[Annuel]]/CoûtdesVentes[[#Totals],[Annuel]],"-")</f>
        <v>0.16709230207953302</v>
      </c>
    </row>
    <row r="9" spans="1:30" ht="30" customHeight="1" x14ac:dyDescent="0.3">
      <c r="B9" s="53" t="s">
        <v>67</v>
      </c>
      <c r="C9" s="29"/>
      <c r="D9" s="23">
        <v>34</v>
      </c>
      <c r="E9" s="23">
        <v>78</v>
      </c>
      <c r="F9" s="23">
        <v>43</v>
      </c>
      <c r="G9" s="23">
        <v>30</v>
      </c>
      <c r="H9" s="23">
        <v>77</v>
      </c>
      <c r="I9" s="23">
        <v>54</v>
      </c>
      <c r="J9" s="23">
        <v>26</v>
      </c>
      <c r="K9" s="23">
        <v>13</v>
      </c>
      <c r="L9" s="23">
        <v>56</v>
      </c>
      <c r="M9" s="23">
        <v>30</v>
      </c>
      <c r="N9" s="23">
        <v>40</v>
      </c>
      <c r="O9" s="23">
        <v>63</v>
      </c>
      <c r="P9" s="36">
        <f>SUM(CoûtdesVentes[[#This Row],[Janv]:[Déc]])</f>
        <v>544</v>
      </c>
      <c r="Q9" s="24">
        <v>0.2</v>
      </c>
      <c r="R9" s="37">
        <f>IFERROR(CoûtdesVentes[[#This Row],[Janv]]/CoûtdesVentes[[#Totals],[Janv]],"-")</f>
        <v>0.15887850467289719</v>
      </c>
      <c r="S9" s="37">
        <f>IFERROR(CoûtdesVentes[[#This Row],[Févr]]/CoûtdesVentes[[#Totals],[Févr]],"-")</f>
        <v>0.27464788732394368</v>
      </c>
      <c r="T9" s="37">
        <f>IFERROR(CoûtdesVentes[[#This Row],[Mars]]/CoûtdesVentes[[#Totals],[Mars]],"-")</f>
        <v>0.17695473251028807</v>
      </c>
      <c r="U9" s="37">
        <f>IFERROR(CoûtdesVentes[[#This Row],[Avr]]/CoûtdesVentes[[#Totals],[Avr]],"-")</f>
        <v>0.15873015873015872</v>
      </c>
      <c r="V9" s="37">
        <f>IFERROR(CoûtdesVentes[[#This Row],[Mai]]/CoûtdesVentes[[#Totals],[Mai]],"-")</f>
        <v>0.24213836477987422</v>
      </c>
      <c r="W9" s="37">
        <f>IFERROR(CoûtdesVentes[[#This Row],[Juin]]/CoûtdesVentes[[#Totals],[Juin]],"-")</f>
        <v>0.3016759776536313</v>
      </c>
      <c r="X9" s="37">
        <f>IFERROR(CoûtdesVentes[[#This Row],[Juil]]/CoûtdesVentes[[#Totals],[Juil]],"-")</f>
        <v>0.17218543046357615</v>
      </c>
      <c r="Y9" s="37">
        <f>IFERROR(CoûtdesVentes[[#This Row],[Août]]/CoûtdesVentes[[#Totals],[Août]],"-")</f>
        <v>7.7844311377245512E-2</v>
      </c>
      <c r="Z9" s="37">
        <f>IFERROR(CoûtdesVentes[[#This Row],[Sept]]/CoûtdesVentes[[#Totals],[Sept]],"-")</f>
        <v>0.23529411764705882</v>
      </c>
      <c r="AA9" s="37">
        <f>IFERROR(CoûtdesVentes[[#This Row],[Oct]]/CoûtdesVentes[[#Totals],[Oct]],"-")</f>
        <v>0.125</v>
      </c>
      <c r="AB9" s="37">
        <f>IFERROR(CoûtdesVentes[[#This Row],[Nov]]/CoûtdesVentes[[#Totals],[Nov]],"-")</f>
        <v>0.20618556701030927</v>
      </c>
      <c r="AC9" s="37">
        <f>IFERROR(CoûtdesVentes[[#This Row],[Déc]]/CoûtdesVentes[[#Totals],[Déc]],"-")</f>
        <v>0.19444444444444445</v>
      </c>
      <c r="AD9" s="37">
        <f>IFERROR(CoûtdesVentes[[#This Row],[Annuel]]/CoûtdesVentes[[#Totals],[Annuel]],"-")</f>
        <v>0.19846771251368114</v>
      </c>
    </row>
    <row r="10" spans="1:30" ht="30" customHeight="1" x14ac:dyDescent="0.3">
      <c r="B10" s="9" t="s">
        <v>13</v>
      </c>
      <c r="C10" s="25"/>
      <c r="D10" s="34">
        <f>SUBTOTAL(109,CoûtdesVentes[Janv])</f>
        <v>214</v>
      </c>
      <c r="E10" s="34">
        <f>SUBTOTAL(109,CoûtdesVentes[Févr])</f>
        <v>284</v>
      </c>
      <c r="F10" s="34">
        <f>SUBTOTAL(109,CoûtdesVentes[Mars])</f>
        <v>243</v>
      </c>
      <c r="G10" s="34">
        <f>SUBTOTAL(109,CoûtdesVentes[Avr])</f>
        <v>189</v>
      </c>
      <c r="H10" s="34">
        <f>SUBTOTAL(109,CoûtdesVentes[Mai])</f>
        <v>318</v>
      </c>
      <c r="I10" s="34">
        <f>SUBTOTAL(109,CoûtdesVentes[Juin])</f>
        <v>179</v>
      </c>
      <c r="J10" s="34">
        <f>SUBTOTAL(109,CoûtdesVentes[Juil])</f>
        <v>151</v>
      </c>
      <c r="K10" s="34">
        <f>SUBTOTAL(109,CoûtdesVentes[Août])</f>
        <v>167</v>
      </c>
      <c r="L10" s="34">
        <f>SUBTOTAL(109,CoûtdesVentes[Sept])</f>
        <v>238</v>
      </c>
      <c r="M10" s="34">
        <f>SUBTOTAL(109,CoûtdesVentes[Oct])</f>
        <v>240</v>
      </c>
      <c r="N10" s="34">
        <f>SUBTOTAL(109,CoûtdesVentes[Nov])</f>
        <v>194</v>
      </c>
      <c r="O10" s="34">
        <f>SUBTOTAL(109,CoûtdesVentes[Déc])</f>
        <v>324</v>
      </c>
      <c r="P10" s="34">
        <f>SUBTOTAL(109,CoûtdesVentes[Annuel])</f>
        <v>2741</v>
      </c>
      <c r="Q10" s="15">
        <f>SUBTOTAL(109,CoûtdesVentes[Index %])</f>
        <v>0.8</v>
      </c>
      <c r="R10" s="26">
        <f>SUBTOTAL(109,CoûtdesVentes[Jan %])</f>
        <v>1</v>
      </c>
      <c r="S10" s="26">
        <f>SUBTOTAL(109,CoûtdesVentes[Fév %])</f>
        <v>1</v>
      </c>
      <c r="T10" s="26">
        <f>SUBTOTAL(109,CoûtdesVentes[Mar %])</f>
        <v>1</v>
      </c>
      <c r="U10" s="26">
        <f>SUBTOTAL(109,CoûtdesVentes[Avr %])</f>
        <v>0.99999999999999989</v>
      </c>
      <c r="V10" s="26">
        <f>SUBTOTAL(109,CoûtdesVentes[Mai %])</f>
        <v>1</v>
      </c>
      <c r="W10" s="26">
        <f>SUBTOTAL(109,CoûtdesVentes[Jui %])</f>
        <v>1</v>
      </c>
      <c r="X10" s="26">
        <f>SUBTOTAL(109,CoûtdesVentes[Jui % ])</f>
        <v>1</v>
      </c>
      <c r="Y10" s="26">
        <f>SUBTOTAL(109,CoûtdesVentes[Aoû %])</f>
        <v>1</v>
      </c>
      <c r="Z10" s="26">
        <f>SUBTOTAL(109,CoûtdesVentes[Sep %])</f>
        <v>1</v>
      </c>
      <c r="AA10" s="26">
        <f>SUBTOTAL(109,CoûtdesVentes[Oct %])</f>
        <v>0.99999999999999989</v>
      </c>
      <c r="AB10" s="26">
        <f>SUBTOTAL(109,CoûtdesVentes[Nov %])</f>
        <v>1</v>
      </c>
      <c r="AC10" s="26">
        <f>SUBTOTAL(109,CoûtdesVentes[Déc %])</f>
        <v>0.99999999999999989</v>
      </c>
      <c r="AD10" s="26">
        <f>SUBTOTAL(109,CoûtdesVentes[Année %])</f>
        <v>1</v>
      </c>
    </row>
    <row r="11" spans="1:30" ht="30" customHeight="1" x14ac:dyDescent="0.3">
      <c r="B11" s="16"/>
      <c r="C11" s="16"/>
      <c r="D11" s="16"/>
      <c r="E11" s="16"/>
      <c r="F11" s="16"/>
      <c r="G11" s="16"/>
      <c r="H11" s="16"/>
      <c r="I11" s="16"/>
      <c r="J11" s="16"/>
      <c r="K11" s="16"/>
      <c r="L11" s="16"/>
      <c r="M11" s="16"/>
      <c r="N11" s="16"/>
      <c r="O11" s="16"/>
      <c r="P11" s="16"/>
      <c r="Q11" s="16"/>
      <c r="R11" s="16"/>
      <c r="S11" s="16"/>
      <c r="T11" s="16"/>
      <c r="U11" s="16"/>
      <c r="V11" s="16"/>
      <c r="W11" s="16"/>
      <c r="X11" s="16"/>
      <c r="Y11" s="16"/>
      <c r="Z11" s="16"/>
      <c r="AA11" s="16"/>
      <c r="AB11" s="16"/>
      <c r="AC11" s="16"/>
      <c r="AD11" s="16"/>
    </row>
    <row r="12" spans="1:30" ht="30" customHeight="1" x14ac:dyDescent="0.3">
      <c r="B12" s="12" t="s">
        <v>14</v>
      </c>
      <c r="C12" s="12"/>
      <c r="D12" s="35">
        <f>Chiffre_daffaires[[#Totals],[Janv]]-CoûtdesVentes[[#Totals],[Janv]]</f>
        <v>-214</v>
      </c>
      <c r="E12" s="35">
        <f>Chiffre_daffaires[[#Totals],[Févr]]-CoûtdesVentes[[#Totals],[Févr]]</f>
        <v>-284</v>
      </c>
      <c r="F12" s="35">
        <f>Chiffre_daffaires[[#Totals],[Mars]]-CoûtdesVentes[[#Totals],[Mars]]</f>
        <v>-243</v>
      </c>
      <c r="G12" s="35">
        <f>Chiffre_daffaires[[#Totals],[Avr]]-CoûtdesVentes[[#Totals],[Avr]]</f>
        <v>-189</v>
      </c>
      <c r="H12" s="35">
        <f>Chiffre_daffaires[[#Totals],[Mai]]-CoûtdesVentes[[#Totals],[Mai]]</f>
        <v>-318</v>
      </c>
      <c r="I12" s="35">
        <f>Chiffre_daffaires[[#Totals],[Juin]]-CoûtdesVentes[[#Totals],[Juin]]</f>
        <v>-179</v>
      </c>
      <c r="J12" s="35">
        <f>Chiffre_daffaires[[#Totals],[Juil]]-CoûtdesVentes[[#Totals],[Juil]]</f>
        <v>-151</v>
      </c>
      <c r="K12" s="35">
        <f>Chiffre_daffaires[[#Totals],[Août]]-CoûtdesVentes[[#Totals],[Août]]</f>
        <v>-167</v>
      </c>
      <c r="L12" s="35">
        <f>Chiffre_daffaires[[#Totals],[Sept]]-CoûtdesVentes[[#Totals],[Sept]]</f>
        <v>-238</v>
      </c>
      <c r="M12" s="35">
        <f>Chiffre_daffaires[[#Totals],[Oct]]-CoûtdesVentes[[#Totals],[Oct]]</f>
        <v>-240</v>
      </c>
      <c r="N12" s="35">
        <f>Chiffre_daffaires[[#Totals],[Nov]]-CoûtdesVentes[[#Totals],[Nov]]</f>
        <v>-194</v>
      </c>
      <c r="O12" s="35">
        <f>Chiffre_daffaires[[#Totals],[Déc]]-CoûtdesVentes[[#Totals],[Déc]]</f>
        <v>-324</v>
      </c>
      <c r="P12" s="35">
        <f>Chiffre_daffaires[[#Totals],[Annuel]]-CoûtdesVentes[[#Totals],[Annuel]]</f>
        <v>-2741</v>
      </c>
      <c r="Q12" s="12"/>
      <c r="R12" s="13">
        <f t="shared" ref="R12:AD12" si="1">D12/$P$12</f>
        <v>7.8073695731484857E-2</v>
      </c>
      <c r="S12" s="13">
        <f t="shared" si="1"/>
        <v>0.10361182050346589</v>
      </c>
      <c r="T12" s="13">
        <f t="shared" si="1"/>
        <v>8.8653775994162715E-2</v>
      </c>
      <c r="U12" s="13">
        <f t="shared" si="1"/>
        <v>6.8952936884348781E-2</v>
      </c>
      <c r="V12" s="13">
        <f t="shared" si="1"/>
        <v>0.11601605253557096</v>
      </c>
      <c r="W12" s="13">
        <f t="shared" si="1"/>
        <v>6.5304633345494342E-2</v>
      </c>
      <c r="X12" s="13">
        <f t="shared" si="1"/>
        <v>5.508938343670193E-2</v>
      </c>
      <c r="Y12" s="13">
        <f t="shared" si="1"/>
        <v>6.0926669098869027E-2</v>
      </c>
      <c r="Z12" s="13">
        <f t="shared" si="1"/>
        <v>8.6829624224735502E-2</v>
      </c>
      <c r="AA12" s="13">
        <f t="shared" si="1"/>
        <v>8.7559284932506379E-2</v>
      </c>
      <c r="AB12" s="13">
        <f t="shared" si="1"/>
        <v>7.0777088653775994E-2</v>
      </c>
      <c r="AC12" s="13">
        <f t="shared" si="1"/>
        <v>0.11820503465888361</v>
      </c>
      <c r="AD12" s="13">
        <f t="shared" si="1"/>
        <v>1</v>
      </c>
    </row>
  </sheetData>
  <dataValidations xWindow="435" yWindow="418" count="18">
    <dataValidation allowBlank="1" showInputMessage="1" showErrorMessage="1" prompt="La marge brute pour chaque mois et année est calculée automatiquement dans cette ligne en fonction du total des ventes et du coût total des ventes" sqref="B12"/>
    <dataValidation allowBlank="1" showInputMessage="1" showErrorMessage="1" prompt="Cette feuille de calcul calcule le coût total des ventes pour chaque mois et année, ainsi que le coût annuel des ventes pour les éléments. La marge brute est calculée automatiquement en fonction des entrées" sqref="A1"/>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Coût des ventes ci-dessous pour calculer le coût total des ventes" sqref="B2"/>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Entrez le pourcentage d’index dans cette colonne" sqref="Q4"/>
    <dataValidation allowBlank="1" showInputMessage="1" showErrorMessage="1" prompt="Entrez dans cette colonne le coût des sources répertoriées dans la colonne B" sqref="D4:O4"/>
    <dataValidation allowBlank="1" showInputMessage="1" showErrorMessage="1" prompt="Un graphique de tendance représentant les coûts au fil du temps figure dans cette colonne" sqref="C4"/>
    <dataValidation allowBlank="1" showInputMessage="1" showErrorMessage="1" prompt="Entrez le coût des ventes dans cette colonne" sqref="B4"/>
    <dataValidation allowBlank="1" showInputMessage="1" showErrorMessage="1" prompt="Calcule automatiquement la proportion du coût des ventes des différentes sources par rapport aux ventes totales pour l’année figurant dans cette colonne" sqref="AD3"/>
    <dataValidation allowBlank="1" showInputMessage="1" showErrorMessage="1" prompt="Calcule automatiquement dans cette colonne la proportion du coût des ventes des différentes sources par rapport aux ventes totales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de la feuille de calcul Chiffre d’affaires (ventes)" sqref="D3"/>
    <dataValidation allowBlank="1" showInputMessage="1" showErrorMessage="1" prompt="Le coût annuel est calculé automatiquement dans cette colonne" sqref="P3"/>
    <dataValidation allowBlank="1" showInputMessage="1" showErrorMessage="1" prompt="Le pourcentage d’index figure dans cette colonne" sqref="Q3"/>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e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Frais!D5:O5</xm:f>
              <xm:sqref>C5</xm:sqref>
            </x14:sparkline>
            <x14:sparkline>
              <xm:f>Frais!D6:O6</xm:f>
              <xm:sqref>C6</xm:sqref>
            </x14:sparkline>
            <x14:sparkline>
              <xm:f>Frais!D7:O7</xm:f>
              <xm:sqref>C7</xm:sqref>
            </x14:sparkline>
            <x14:sparkline>
              <xm:f>Frais!D8:O8</xm:f>
              <xm:sqref>C8</xm:sqref>
            </x14:sparkline>
            <x14:sparkline>
              <xm:f>Frais!D9:O9</xm:f>
              <xm:sqref>C9</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Frais!D10:O10</xm:f>
              <xm:sqref>C10</xm:sqref>
            </x14:sparkline>
          </x14:sparklines>
        </x14:sparklineGroup>
      </x14:sparklineGroups>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6" tint="0.39997558519241921"/>
    <pageSetUpPr fitToPage="1"/>
  </sheetPr>
  <dimension ref="A1:AD26"/>
  <sheetViews>
    <sheetView showGridLines="0" workbookViewId="0">
      <pane ySplit="3" topLeftCell="A19" activePane="bottomLeft" state="frozen"/>
      <selection pane="bottomLeft" activeCell="D24" sqref="D24"/>
    </sheetView>
  </sheetViews>
  <sheetFormatPr baseColWidth="10" defaultColWidth="9" defaultRowHeight="30" customHeight="1" x14ac:dyDescent="0.3"/>
  <cols>
    <col min="1" max="1" width="2.625" customWidth="1"/>
    <col min="2" max="2" width="30.375" customWidth="1"/>
    <col min="3" max="3" width="14" customWidth="1"/>
    <col min="4" max="15" width="10.125" customWidth="1"/>
    <col min="16" max="16" width="9.875" customWidth="1"/>
    <col min="17" max="29" width="10.25" customWidth="1"/>
    <col min="30" max="30" width="9.875" customWidth="1"/>
    <col min="31" max="31" width="2.625" customWidth="1"/>
  </cols>
  <sheetData>
    <row r="1" spans="1:30" ht="35.1" customHeight="1" x14ac:dyDescent="0.3">
      <c r="A1" s="6"/>
      <c r="B1" s="20" t="str">
        <f>Titre_Période_Prévisions</f>
        <v>Douze mois</v>
      </c>
      <c r="C1" s="11"/>
      <c r="J1" s="8"/>
      <c r="Q1" s="7"/>
      <c r="R1" s="7"/>
      <c r="S1" s="7"/>
      <c r="T1" s="7"/>
      <c r="U1" s="7"/>
      <c r="V1" s="7"/>
      <c r="W1" s="7"/>
      <c r="X1" s="7"/>
      <c r="Y1" s="7"/>
      <c r="Z1" s="7"/>
      <c r="AA1" s="7"/>
      <c r="AB1" s="7"/>
      <c r="AC1" s="7"/>
      <c r="AD1" s="17" t="str">
        <f>Nom_Entreprise</f>
        <v>Nom de l’entreprise</v>
      </c>
    </row>
    <row r="2" spans="1:30" ht="60" customHeight="1" x14ac:dyDescent="0.3">
      <c r="B2" s="4" t="str">
        <f>'Chiffre d’affaires '!$B$2</f>
        <v>DEPÔT en Banque</v>
      </c>
      <c r="E2" s="3"/>
      <c r="G2" s="3"/>
      <c r="K2" s="3"/>
      <c r="L2" s="3"/>
      <c r="M2" s="3"/>
      <c r="N2" s="3"/>
      <c r="O2" s="3"/>
      <c r="X2" s="5"/>
      <c r="Y2" s="5"/>
      <c r="Z2" s="5"/>
      <c r="AA2" s="5"/>
      <c r="AB2" s="18" t="s">
        <v>15</v>
      </c>
      <c r="AC2" s="18" t="str">
        <f>FYMonthStart</f>
        <v>JANV</v>
      </c>
      <c r="AD2" s="18">
        <f ca="1">FYStartYear</f>
        <v>2019</v>
      </c>
    </row>
    <row r="3" spans="1:30" ht="20.100000000000001" customHeight="1" x14ac:dyDescent="0.3">
      <c r="D3" s="19" t="str">
        <f ca="1">UPPER(TEXT(DATE(FYStartYear,FYMonthNo,1),"mmm-aa"))</f>
        <v>JANV-19</v>
      </c>
      <c r="E3" s="19" t="str">
        <f ca="1">UPPER(TEXT(DATE(FYStartYear,FYMonthNo+1,1),"mmm-aa"))</f>
        <v>FÉVR-19</v>
      </c>
      <c r="F3" s="19" t="str">
        <f ca="1">UPPER(TEXT(DATE(FYStartYear,FYMonthNo+2,1),"mmm-aa"))</f>
        <v>MARS-19</v>
      </c>
      <c r="G3" s="19" t="str">
        <f ca="1">UPPER(TEXT(DATE(FYStartYear,FYMonthNo+3,1),"mmm-aa"))</f>
        <v>AVR-19</v>
      </c>
      <c r="H3" s="19" t="str">
        <f ca="1">UPPER(TEXT(DATE(FYStartYear,FYMonthNo+4,1),"mmm-aa"))</f>
        <v>MAI-19</v>
      </c>
      <c r="I3" s="19" t="str">
        <f ca="1">UPPER(TEXT(DATE(FYStartYear,FYMonthNo+5,1),"mmm-aa"))</f>
        <v>JUIN-19</v>
      </c>
      <c r="J3" s="19" t="str">
        <f ca="1">UPPER(TEXT(DATE(FYStartYear,FYMonthNo+6,1),"mmm-aa"))</f>
        <v>JUIL-19</v>
      </c>
      <c r="K3" s="19" t="str">
        <f ca="1">UPPER(TEXT(DATE(FYStartYear,FYMonthNo+7,1),"mmm-aa"))</f>
        <v>AOÛT-19</v>
      </c>
      <c r="L3" s="19" t="str">
        <f ca="1">UPPER(TEXT(DATE(FYStartYear,FYMonthNo+8,1),"mmm-aa"))</f>
        <v>SEPT-19</v>
      </c>
      <c r="M3" s="19" t="str">
        <f ca="1">UPPER(TEXT(DATE(FYStartYear,FYMonthNo+9,1),"mmm-aa"))</f>
        <v>OCT-19</v>
      </c>
      <c r="N3" s="19" t="str">
        <f ca="1">UPPER(TEXT(DATE(FYStartYear,FYMonthNo+10,1),"mmm-aa"))</f>
        <v>NOV-19</v>
      </c>
      <c r="O3" s="19" t="str">
        <f ca="1">UPPER(TEXT(DATE(FYStartYear,FYMonthNo+11,1),"mmm-aa"))</f>
        <v>DÉC-19</v>
      </c>
      <c r="P3" s="19" t="s">
        <v>8</v>
      </c>
      <c r="Q3" s="19" t="s">
        <v>38</v>
      </c>
      <c r="R3" s="19" t="str">
        <f t="shared" ref="R3:AC3" ca="1" si="0">LEFT(D3,3)&amp;" %"</f>
        <v>JAN %</v>
      </c>
      <c r="S3" s="19" t="str">
        <f t="shared" ca="1" si="0"/>
        <v>FÉV %</v>
      </c>
      <c r="T3" s="19" t="str">
        <f t="shared" ca="1" si="0"/>
        <v>MAR %</v>
      </c>
      <c r="U3" s="19" t="str">
        <f t="shared" ca="1" si="0"/>
        <v>AVR %</v>
      </c>
      <c r="V3" s="19" t="str">
        <f t="shared" ca="1" si="0"/>
        <v>MAI %</v>
      </c>
      <c r="W3" s="19" t="str">
        <f t="shared" ca="1" si="0"/>
        <v>JUI %</v>
      </c>
      <c r="X3" s="19" t="str">
        <f t="shared" ca="1" si="0"/>
        <v>JUI %</v>
      </c>
      <c r="Y3" s="19" t="str">
        <f t="shared" ca="1" si="0"/>
        <v>AOÛ %</v>
      </c>
      <c r="Z3" s="19" t="str">
        <f t="shared" ca="1" si="0"/>
        <v>SEP %</v>
      </c>
      <c r="AA3" s="19" t="str">
        <f t="shared" ca="1" si="0"/>
        <v>OCT %</v>
      </c>
      <c r="AB3" s="19" t="str">
        <f t="shared" ca="1" si="0"/>
        <v>NOV %</v>
      </c>
      <c r="AC3" s="19" t="str">
        <f t="shared" ca="1" si="0"/>
        <v>DÉC %</v>
      </c>
      <c r="AD3" s="19" t="s">
        <v>39</v>
      </c>
    </row>
    <row r="4" spans="1:30" ht="30" customHeight="1" x14ac:dyDescent="0.3">
      <c r="B4" s="27" t="s">
        <v>16</v>
      </c>
      <c r="C4" s="27" t="s">
        <v>3</v>
      </c>
      <c r="D4" s="21" t="s">
        <v>37</v>
      </c>
      <c r="E4" s="21" t="s">
        <v>42</v>
      </c>
      <c r="F4" s="21" t="s">
        <v>4</v>
      </c>
      <c r="G4" s="21" t="s">
        <v>43</v>
      </c>
      <c r="H4" s="21" t="s">
        <v>5</v>
      </c>
      <c r="I4" s="21" t="s">
        <v>6</v>
      </c>
      <c r="J4" s="21" t="s">
        <v>44</v>
      </c>
      <c r="K4" s="21" t="s">
        <v>7</v>
      </c>
      <c r="L4" s="21" t="s">
        <v>45</v>
      </c>
      <c r="M4" s="21" t="s">
        <v>46</v>
      </c>
      <c r="N4" s="21" t="s">
        <v>47</v>
      </c>
      <c r="O4" s="21" t="s">
        <v>48</v>
      </c>
      <c r="P4" s="21" t="s">
        <v>9</v>
      </c>
      <c r="Q4" s="22" t="s">
        <v>49</v>
      </c>
      <c r="R4" s="22" t="s">
        <v>56</v>
      </c>
      <c r="S4" s="22" t="s">
        <v>57</v>
      </c>
      <c r="T4" s="22" t="s">
        <v>58</v>
      </c>
      <c r="U4" s="22" t="s">
        <v>50</v>
      </c>
      <c r="V4" s="22" t="s">
        <v>51</v>
      </c>
      <c r="W4" s="22" t="s">
        <v>59</v>
      </c>
      <c r="X4" s="22" t="s">
        <v>62</v>
      </c>
      <c r="Y4" s="22" t="s">
        <v>60</v>
      </c>
      <c r="Z4" s="22" t="s">
        <v>61</v>
      </c>
      <c r="AA4" s="22" t="s">
        <v>52</v>
      </c>
      <c r="AB4" s="22" t="s">
        <v>53</v>
      </c>
      <c r="AC4" s="22" t="s">
        <v>54</v>
      </c>
      <c r="AD4" s="21" t="s">
        <v>55</v>
      </c>
    </row>
    <row r="5" spans="1:30" ht="30" customHeight="1" x14ac:dyDescent="0.3">
      <c r="B5" s="14" t="s">
        <v>17</v>
      </c>
      <c r="C5" s="30" t="s">
        <v>36</v>
      </c>
      <c r="D5" s="23">
        <v>10</v>
      </c>
      <c r="E5" s="23">
        <v>18</v>
      </c>
      <c r="F5" s="23">
        <v>13</v>
      </c>
      <c r="G5" s="23">
        <v>8</v>
      </c>
      <c r="H5" s="23">
        <v>22</v>
      </c>
      <c r="I5" s="23">
        <v>18</v>
      </c>
      <c r="J5" s="23">
        <v>8</v>
      </c>
      <c r="K5" s="23">
        <v>17</v>
      </c>
      <c r="L5" s="23">
        <v>20</v>
      </c>
      <c r="M5" s="23">
        <v>8</v>
      </c>
      <c r="N5" s="23">
        <v>4</v>
      </c>
      <c r="O5" s="23">
        <v>12</v>
      </c>
      <c r="P5" s="31">
        <f>SUM(tblDépenses[[#This Row],[Colonne1]:[Déc]])</f>
        <v>158</v>
      </c>
      <c r="Q5" s="24">
        <v>0.12</v>
      </c>
      <c r="R5" s="32">
        <f>tblDépenses[[#This Row],[Colonne1]]/tblDépenses[[#Totals],[Colonne1]]</f>
        <v>4.2372881355932202E-2</v>
      </c>
      <c r="S5" s="32">
        <f>tblDépenses[[#This Row],[Févr]]/tblDépenses[[#Totals],[Févr]]</f>
        <v>8.7804878048780483E-2</v>
      </c>
      <c r="T5" s="32">
        <f>tblDépenses[[#This Row],[Mars]]/tblDépenses[[#Totals],[Mars]]</f>
        <v>5.2208835341365459E-2</v>
      </c>
      <c r="U5" s="32">
        <f>tblDépenses[[#This Row],[Avr]]/tblDépenses[[#Totals],[Avr]]</f>
        <v>3.0651340996168581E-2</v>
      </c>
      <c r="V5" s="32">
        <f>tblDépenses[[#This Row],[Mai]]/tblDépenses[[#Totals],[Mai]]</f>
        <v>8.5603112840466927E-2</v>
      </c>
      <c r="W5" s="32">
        <f>tblDépenses[[#This Row],[Juin]]/tblDépenses[[#Totals],[Juin]]</f>
        <v>6.569343065693431E-2</v>
      </c>
      <c r="X5" s="32">
        <f>tblDépenses[[#This Row],[Juil]]/tblDépenses[[#Totals],[Juil]]</f>
        <v>3.007518796992481E-2</v>
      </c>
      <c r="Y5" s="32">
        <f>tblDépenses[[#This Row],[Août]]/tblDépenses[[#Totals],[Août]]</f>
        <v>7.2340425531914887E-2</v>
      </c>
      <c r="Z5" s="32">
        <f>tblDépenses[[#This Row],[Sept]]/tblDépenses[[#Totals],[Sept]]</f>
        <v>8.6956521739130432E-2</v>
      </c>
      <c r="AA5" s="32">
        <f>tblDépenses[[#This Row],[Oct]]/tblDépenses[[#Totals],[Oct]]</f>
        <v>3.0888030888030889E-2</v>
      </c>
      <c r="AB5" s="32">
        <f>tblDépenses[[#This Row],[Nov]]/tblDépenses[[#Totals],[Nov]]</f>
        <v>1.3513513513513514E-2</v>
      </c>
      <c r="AC5" s="32">
        <f>tblDépenses[[#This Row],[Déc]]/tblDépenses[[#Totals],[Déc]]</f>
        <v>5.1948051948051951E-2</v>
      </c>
      <c r="AD5" s="32">
        <f>tblDépenses[[#This Row],[Annuel]]/tblDépenses[[#Totals],[Annuel]]</f>
        <v>5.2684228076025338E-2</v>
      </c>
    </row>
    <row r="6" spans="1:30" ht="30" customHeight="1" x14ac:dyDescent="0.3">
      <c r="B6" s="14" t="s">
        <v>18</v>
      </c>
      <c r="C6" s="30" t="s">
        <v>36</v>
      </c>
      <c r="D6" s="23">
        <v>23</v>
      </c>
      <c r="E6" s="23">
        <v>11</v>
      </c>
      <c r="F6" s="23">
        <v>7</v>
      </c>
      <c r="G6" s="23">
        <v>14</v>
      </c>
      <c r="H6" s="23">
        <v>12</v>
      </c>
      <c r="I6" s="23">
        <v>19</v>
      </c>
      <c r="J6" s="23">
        <v>19</v>
      </c>
      <c r="K6" s="23">
        <v>4</v>
      </c>
      <c r="L6" s="23">
        <v>7</v>
      </c>
      <c r="M6" s="23">
        <v>13</v>
      </c>
      <c r="N6" s="23">
        <v>25</v>
      </c>
      <c r="O6" s="23">
        <v>5</v>
      </c>
      <c r="P6" s="31">
        <f>SUM(tblDépenses[[#This Row],[Colonne1]:[Déc]])</f>
        <v>159</v>
      </c>
      <c r="Q6" s="24">
        <v>0.09</v>
      </c>
      <c r="R6" s="32">
        <f>tblDépenses[[#This Row],[Colonne1]]/tblDépenses[[#Totals],[Colonne1]]</f>
        <v>9.7457627118644072E-2</v>
      </c>
      <c r="S6" s="32">
        <f>tblDépenses[[#This Row],[Févr]]/tblDépenses[[#Totals],[Févr]]</f>
        <v>5.3658536585365853E-2</v>
      </c>
      <c r="T6" s="32">
        <f>tblDépenses[[#This Row],[Mars]]/tblDépenses[[#Totals],[Mars]]</f>
        <v>2.8112449799196786E-2</v>
      </c>
      <c r="U6" s="32">
        <f>tblDépenses[[#This Row],[Avr]]/tblDépenses[[#Totals],[Avr]]</f>
        <v>5.3639846743295021E-2</v>
      </c>
      <c r="V6" s="32">
        <f>tblDépenses[[#This Row],[Mai]]/tblDépenses[[#Totals],[Mai]]</f>
        <v>4.6692607003891051E-2</v>
      </c>
      <c r="W6" s="32">
        <f>tblDépenses[[#This Row],[Juin]]/tblDépenses[[#Totals],[Juin]]</f>
        <v>6.9343065693430656E-2</v>
      </c>
      <c r="X6" s="32">
        <f>tblDépenses[[#This Row],[Juil]]/tblDépenses[[#Totals],[Juil]]</f>
        <v>7.1428571428571425E-2</v>
      </c>
      <c r="Y6" s="32">
        <f>tblDépenses[[#This Row],[Août]]/tblDépenses[[#Totals],[Août]]</f>
        <v>1.7021276595744681E-2</v>
      </c>
      <c r="Z6" s="32">
        <f>tblDépenses[[#This Row],[Sept]]/tblDépenses[[#Totals],[Sept]]</f>
        <v>3.0434782608695653E-2</v>
      </c>
      <c r="AA6" s="32">
        <f>tblDépenses[[#This Row],[Oct]]/tblDépenses[[#Totals],[Oct]]</f>
        <v>5.019305019305019E-2</v>
      </c>
      <c r="AB6" s="32">
        <f>tblDépenses[[#This Row],[Nov]]/tblDépenses[[#Totals],[Nov]]</f>
        <v>8.4459459459459457E-2</v>
      </c>
      <c r="AC6" s="32">
        <f>tblDépenses[[#This Row],[Déc]]/tblDépenses[[#Totals],[Déc]]</f>
        <v>2.1645021645021644E-2</v>
      </c>
      <c r="AD6" s="32">
        <f>tblDépenses[[#This Row],[Annuel]]/tblDépenses[[#Totals],[Annuel]]</f>
        <v>5.3017672557519172E-2</v>
      </c>
    </row>
    <row r="7" spans="1:30" ht="30" customHeight="1" x14ac:dyDescent="0.3">
      <c r="B7" s="14" t="s">
        <v>19</v>
      </c>
      <c r="C7" s="30" t="s">
        <v>36</v>
      </c>
      <c r="D7" s="23">
        <v>23</v>
      </c>
      <c r="E7" s="23">
        <v>20</v>
      </c>
      <c r="F7" s="23">
        <v>3</v>
      </c>
      <c r="G7" s="23">
        <v>16</v>
      </c>
      <c r="H7" s="23">
        <v>10</v>
      </c>
      <c r="I7" s="23">
        <v>5</v>
      </c>
      <c r="J7" s="23">
        <v>20</v>
      </c>
      <c r="K7" s="23">
        <v>7</v>
      </c>
      <c r="L7" s="23">
        <v>4</v>
      </c>
      <c r="M7" s="23">
        <v>22</v>
      </c>
      <c r="N7" s="23">
        <v>13</v>
      </c>
      <c r="O7" s="23">
        <v>14</v>
      </c>
      <c r="P7" s="31">
        <f>SUM(tblDépenses[[#This Row],[Colonne1]:[Déc]])</f>
        <v>157</v>
      </c>
      <c r="Q7" s="24">
        <v>0.02</v>
      </c>
      <c r="R7" s="32">
        <f>tblDépenses[[#This Row],[Colonne1]]/tblDépenses[[#Totals],[Colonne1]]</f>
        <v>9.7457627118644072E-2</v>
      </c>
      <c r="S7" s="32">
        <f>tblDépenses[[#This Row],[Févr]]/tblDépenses[[#Totals],[Févr]]</f>
        <v>9.7560975609756101E-2</v>
      </c>
      <c r="T7" s="32">
        <f>tblDépenses[[#This Row],[Mars]]/tblDépenses[[#Totals],[Mars]]</f>
        <v>1.2048192771084338E-2</v>
      </c>
      <c r="U7" s="32">
        <f>tblDépenses[[#This Row],[Avr]]/tblDépenses[[#Totals],[Avr]]</f>
        <v>6.1302681992337162E-2</v>
      </c>
      <c r="V7" s="32">
        <f>tblDépenses[[#This Row],[Mai]]/tblDépenses[[#Totals],[Mai]]</f>
        <v>3.8910505836575876E-2</v>
      </c>
      <c r="W7" s="32">
        <f>tblDépenses[[#This Row],[Juin]]/tblDépenses[[#Totals],[Juin]]</f>
        <v>1.824817518248175E-2</v>
      </c>
      <c r="X7" s="32">
        <f>tblDépenses[[#This Row],[Juil]]/tblDépenses[[#Totals],[Juil]]</f>
        <v>7.5187969924812026E-2</v>
      </c>
      <c r="Y7" s="32">
        <f>tblDépenses[[#This Row],[Août]]/tblDépenses[[#Totals],[Août]]</f>
        <v>2.9787234042553193E-2</v>
      </c>
      <c r="Z7" s="32">
        <f>tblDépenses[[#This Row],[Sept]]/tblDépenses[[#Totals],[Sept]]</f>
        <v>1.7391304347826087E-2</v>
      </c>
      <c r="AA7" s="32">
        <f>tblDépenses[[#This Row],[Oct]]/tblDépenses[[#Totals],[Oct]]</f>
        <v>8.4942084942084939E-2</v>
      </c>
      <c r="AB7" s="32">
        <f>tblDépenses[[#This Row],[Nov]]/tblDépenses[[#Totals],[Nov]]</f>
        <v>4.3918918918918921E-2</v>
      </c>
      <c r="AC7" s="32">
        <f>tblDépenses[[#This Row],[Déc]]/tblDépenses[[#Totals],[Déc]]</f>
        <v>6.0606060606060608E-2</v>
      </c>
      <c r="AD7" s="32">
        <f>tblDépenses[[#This Row],[Annuel]]/tblDépenses[[#Totals],[Annuel]]</f>
        <v>5.2350783594531512E-2</v>
      </c>
    </row>
    <row r="8" spans="1:30" ht="30" customHeight="1" x14ac:dyDescent="0.3">
      <c r="B8" s="14" t="s">
        <v>20</v>
      </c>
      <c r="C8" s="30" t="s">
        <v>36</v>
      </c>
      <c r="D8" s="23">
        <v>19</v>
      </c>
      <c r="E8" s="23">
        <v>4</v>
      </c>
      <c r="F8" s="23">
        <v>7</v>
      </c>
      <c r="G8" s="23">
        <v>14</v>
      </c>
      <c r="H8" s="23">
        <v>22</v>
      </c>
      <c r="I8" s="23">
        <v>10</v>
      </c>
      <c r="J8" s="23">
        <v>22</v>
      </c>
      <c r="K8" s="23">
        <v>5</v>
      </c>
      <c r="L8" s="23">
        <v>4</v>
      </c>
      <c r="M8" s="23">
        <v>12</v>
      </c>
      <c r="N8" s="23">
        <v>18</v>
      </c>
      <c r="O8" s="23">
        <v>24</v>
      </c>
      <c r="P8" s="31">
        <f>SUM(tblDépenses[[#This Row],[Colonne1]:[Déc]])</f>
        <v>161</v>
      </c>
      <c r="Q8" s="24">
        <v>0.08</v>
      </c>
      <c r="R8" s="32">
        <f>tblDépenses[[#This Row],[Colonne1]]/tblDépenses[[#Totals],[Colonne1]]</f>
        <v>8.050847457627118E-2</v>
      </c>
      <c r="S8" s="32">
        <f>tblDépenses[[#This Row],[Févr]]/tblDépenses[[#Totals],[Févr]]</f>
        <v>1.9512195121951219E-2</v>
      </c>
      <c r="T8" s="32">
        <f>tblDépenses[[#This Row],[Mars]]/tblDépenses[[#Totals],[Mars]]</f>
        <v>2.8112449799196786E-2</v>
      </c>
      <c r="U8" s="32">
        <f>tblDépenses[[#This Row],[Avr]]/tblDépenses[[#Totals],[Avr]]</f>
        <v>5.3639846743295021E-2</v>
      </c>
      <c r="V8" s="32">
        <f>tblDépenses[[#This Row],[Mai]]/tblDépenses[[#Totals],[Mai]]</f>
        <v>8.5603112840466927E-2</v>
      </c>
      <c r="W8" s="32">
        <f>tblDépenses[[#This Row],[Juin]]/tblDépenses[[#Totals],[Juin]]</f>
        <v>3.6496350364963501E-2</v>
      </c>
      <c r="X8" s="32">
        <f>tblDépenses[[#This Row],[Juil]]/tblDépenses[[#Totals],[Juil]]</f>
        <v>8.2706766917293228E-2</v>
      </c>
      <c r="Y8" s="32">
        <f>tblDépenses[[#This Row],[Août]]/tblDépenses[[#Totals],[Août]]</f>
        <v>2.1276595744680851E-2</v>
      </c>
      <c r="Z8" s="32">
        <f>tblDépenses[[#This Row],[Sept]]/tblDépenses[[#Totals],[Sept]]</f>
        <v>1.7391304347826087E-2</v>
      </c>
      <c r="AA8" s="32">
        <f>tblDépenses[[#This Row],[Oct]]/tblDépenses[[#Totals],[Oct]]</f>
        <v>4.633204633204633E-2</v>
      </c>
      <c r="AB8" s="32">
        <f>tblDépenses[[#This Row],[Nov]]/tblDépenses[[#Totals],[Nov]]</f>
        <v>6.0810810810810814E-2</v>
      </c>
      <c r="AC8" s="32">
        <f>tblDépenses[[#This Row],[Déc]]/tblDépenses[[#Totals],[Déc]]</f>
        <v>0.1038961038961039</v>
      </c>
      <c r="AD8" s="32">
        <f>tblDépenses[[#This Row],[Annuel]]/tblDépenses[[#Totals],[Annuel]]</f>
        <v>5.3684561520506838E-2</v>
      </c>
    </row>
    <row r="9" spans="1:30" ht="30" customHeight="1" x14ac:dyDescent="0.3">
      <c r="B9" s="14" t="s">
        <v>21</v>
      </c>
      <c r="C9" s="30" t="s">
        <v>36</v>
      </c>
      <c r="D9" s="23">
        <v>11</v>
      </c>
      <c r="E9" s="23">
        <v>11</v>
      </c>
      <c r="F9" s="23">
        <v>17</v>
      </c>
      <c r="G9" s="23">
        <v>12</v>
      </c>
      <c r="H9" s="23">
        <v>2</v>
      </c>
      <c r="I9" s="23">
        <v>14</v>
      </c>
      <c r="J9" s="23">
        <v>12</v>
      </c>
      <c r="K9" s="23">
        <v>10</v>
      </c>
      <c r="L9" s="23">
        <v>18</v>
      </c>
      <c r="M9" s="23">
        <v>11</v>
      </c>
      <c r="N9" s="23">
        <v>23</v>
      </c>
      <c r="O9" s="23">
        <v>11</v>
      </c>
      <c r="P9" s="31">
        <f>SUM(tblDépenses[[#This Row],[Colonne1]:[Déc]])</f>
        <v>152</v>
      </c>
      <c r="Q9" s="24">
        <v>0.03</v>
      </c>
      <c r="R9" s="32">
        <f>tblDépenses[[#This Row],[Colonne1]]/tblDépenses[[#Totals],[Colonne1]]</f>
        <v>4.6610169491525424E-2</v>
      </c>
      <c r="S9" s="32">
        <f>tblDépenses[[#This Row],[Févr]]/tblDépenses[[#Totals],[Févr]]</f>
        <v>5.3658536585365853E-2</v>
      </c>
      <c r="T9" s="32">
        <f>tblDépenses[[#This Row],[Mars]]/tblDépenses[[#Totals],[Mars]]</f>
        <v>6.8273092369477914E-2</v>
      </c>
      <c r="U9" s="32">
        <f>tblDépenses[[#This Row],[Avr]]/tblDépenses[[#Totals],[Avr]]</f>
        <v>4.5977011494252873E-2</v>
      </c>
      <c r="V9" s="32">
        <f>tblDépenses[[#This Row],[Mai]]/tblDépenses[[#Totals],[Mai]]</f>
        <v>7.7821011673151752E-3</v>
      </c>
      <c r="W9" s="32">
        <f>tblDépenses[[#This Row],[Juin]]/tblDépenses[[#Totals],[Juin]]</f>
        <v>5.1094890510948905E-2</v>
      </c>
      <c r="X9" s="32">
        <f>tblDépenses[[#This Row],[Juil]]/tblDépenses[[#Totals],[Juil]]</f>
        <v>4.5112781954887216E-2</v>
      </c>
      <c r="Y9" s="32">
        <f>tblDépenses[[#This Row],[Août]]/tblDépenses[[#Totals],[Août]]</f>
        <v>4.2553191489361701E-2</v>
      </c>
      <c r="Z9" s="32">
        <f>tblDépenses[[#This Row],[Sept]]/tblDépenses[[#Totals],[Sept]]</f>
        <v>7.8260869565217397E-2</v>
      </c>
      <c r="AA9" s="32">
        <f>tblDépenses[[#This Row],[Oct]]/tblDépenses[[#Totals],[Oct]]</f>
        <v>4.2471042471042469E-2</v>
      </c>
      <c r="AB9" s="32">
        <f>tblDépenses[[#This Row],[Nov]]/tblDépenses[[#Totals],[Nov]]</f>
        <v>7.77027027027027E-2</v>
      </c>
      <c r="AC9" s="32">
        <f>tblDépenses[[#This Row],[Déc]]/tblDépenses[[#Totals],[Déc]]</f>
        <v>4.7619047619047616E-2</v>
      </c>
      <c r="AD9" s="32">
        <f>tblDépenses[[#This Row],[Annuel]]/tblDépenses[[#Totals],[Annuel]]</f>
        <v>5.0683561187062354E-2</v>
      </c>
    </row>
    <row r="10" spans="1:30" ht="30" customHeight="1" x14ac:dyDescent="0.3">
      <c r="B10" s="14" t="s">
        <v>22</v>
      </c>
      <c r="C10" s="30" t="s">
        <v>36</v>
      </c>
      <c r="D10" s="23">
        <v>2</v>
      </c>
      <c r="E10" s="23">
        <v>16</v>
      </c>
      <c r="F10" s="23">
        <v>6</v>
      </c>
      <c r="G10" s="23">
        <v>13</v>
      </c>
      <c r="H10" s="23">
        <v>11</v>
      </c>
      <c r="I10" s="23">
        <v>22</v>
      </c>
      <c r="J10" s="23">
        <v>21</v>
      </c>
      <c r="K10" s="23">
        <v>3</v>
      </c>
      <c r="L10" s="23">
        <v>12</v>
      </c>
      <c r="M10" s="23">
        <v>7</v>
      </c>
      <c r="N10" s="23">
        <v>17</v>
      </c>
      <c r="O10" s="23">
        <v>20</v>
      </c>
      <c r="P10" s="31">
        <f>SUM(tblDépenses[[#This Row],[Colonne1]:[Déc]])</f>
        <v>150</v>
      </c>
      <c r="Q10" s="24">
        <v>0.15</v>
      </c>
      <c r="R10" s="32">
        <f>tblDépenses[[#This Row],[Colonne1]]/tblDépenses[[#Totals],[Colonne1]]</f>
        <v>8.4745762711864406E-3</v>
      </c>
      <c r="S10" s="32">
        <f>tblDépenses[[#This Row],[Févr]]/tblDépenses[[#Totals],[Févr]]</f>
        <v>7.8048780487804878E-2</v>
      </c>
      <c r="T10" s="32">
        <f>tblDépenses[[#This Row],[Mars]]/tblDépenses[[#Totals],[Mars]]</f>
        <v>2.4096385542168676E-2</v>
      </c>
      <c r="U10" s="32">
        <f>tblDépenses[[#This Row],[Avr]]/tblDépenses[[#Totals],[Avr]]</f>
        <v>4.9808429118773943E-2</v>
      </c>
      <c r="V10" s="32">
        <f>tblDépenses[[#This Row],[Mai]]/tblDépenses[[#Totals],[Mai]]</f>
        <v>4.2801556420233464E-2</v>
      </c>
      <c r="W10" s="32">
        <f>tblDépenses[[#This Row],[Juin]]/tblDépenses[[#Totals],[Juin]]</f>
        <v>8.0291970802919707E-2</v>
      </c>
      <c r="X10" s="32">
        <f>tblDépenses[[#This Row],[Juil]]/tblDépenses[[#Totals],[Juil]]</f>
        <v>7.8947368421052627E-2</v>
      </c>
      <c r="Y10" s="32">
        <f>tblDépenses[[#This Row],[Août]]/tblDépenses[[#Totals],[Août]]</f>
        <v>1.276595744680851E-2</v>
      </c>
      <c r="Z10" s="32">
        <f>tblDépenses[[#This Row],[Sept]]/tblDépenses[[#Totals],[Sept]]</f>
        <v>5.2173913043478258E-2</v>
      </c>
      <c r="AA10" s="32">
        <f>tblDépenses[[#This Row],[Oct]]/tblDépenses[[#Totals],[Oct]]</f>
        <v>2.7027027027027029E-2</v>
      </c>
      <c r="AB10" s="32">
        <f>tblDépenses[[#This Row],[Nov]]/tblDépenses[[#Totals],[Nov]]</f>
        <v>5.7432432432432436E-2</v>
      </c>
      <c r="AC10" s="32">
        <f>tblDépenses[[#This Row],[Déc]]/tblDépenses[[#Totals],[Déc]]</f>
        <v>8.6580086580086577E-2</v>
      </c>
      <c r="AD10" s="32">
        <f>tblDépenses[[#This Row],[Annuel]]/tblDépenses[[#Totals],[Annuel]]</f>
        <v>5.0016672224074694E-2</v>
      </c>
    </row>
    <row r="11" spans="1:30" ht="30" customHeight="1" x14ac:dyDescent="0.3">
      <c r="B11" s="14" t="s">
        <v>23</v>
      </c>
      <c r="C11" s="30" t="s">
        <v>36</v>
      </c>
      <c r="D11" s="23">
        <v>8</v>
      </c>
      <c r="E11" s="23">
        <v>17</v>
      </c>
      <c r="F11" s="23">
        <v>11</v>
      </c>
      <c r="G11" s="23">
        <v>11</v>
      </c>
      <c r="H11" s="23">
        <v>21</v>
      </c>
      <c r="I11" s="23">
        <v>9</v>
      </c>
      <c r="J11" s="23">
        <v>20</v>
      </c>
      <c r="K11" s="23">
        <v>3</v>
      </c>
      <c r="L11" s="23">
        <v>14</v>
      </c>
      <c r="M11" s="23">
        <v>22</v>
      </c>
      <c r="N11" s="23">
        <v>16</v>
      </c>
      <c r="O11" s="23">
        <v>12</v>
      </c>
      <c r="P11" s="31">
        <f>SUM(tblDépenses[[#This Row],[Colonne1]:[Déc]])</f>
        <v>164</v>
      </c>
      <c r="Q11" s="24">
        <v>0.12</v>
      </c>
      <c r="R11" s="32">
        <f>tblDépenses[[#This Row],[Colonne1]]/tblDépenses[[#Totals],[Colonne1]]</f>
        <v>3.3898305084745763E-2</v>
      </c>
      <c r="S11" s="32">
        <f>tblDépenses[[#This Row],[Févr]]/tblDépenses[[#Totals],[Févr]]</f>
        <v>8.2926829268292687E-2</v>
      </c>
      <c r="T11" s="32">
        <f>tblDépenses[[#This Row],[Mars]]/tblDépenses[[#Totals],[Mars]]</f>
        <v>4.4176706827309238E-2</v>
      </c>
      <c r="U11" s="32">
        <f>tblDépenses[[#This Row],[Avr]]/tblDépenses[[#Totals],[Avr]]</f>
        <v>4.2145593869731802E-2</v>
      </c>
      <c r="V11" s="32">
        <f>tblDépenses[[#This Row],[Mai]]/tblDépenses[[#Totals],[Mai]]</f>
        <v>8.171206225680934E-2</v>
      </c>
      <c r="W11" s="32">
        <f>tblDépenses[[#This Row],[Juin]]/tblDépenses[[#Totals],[Juin]]</f>
        <v>3.2846715328467155E-2</v>
      </c>
      <c r="X11" s="32">
        <f>tblDépenses[[#This Row],[Juil]]/tblDépenses[[#Totals],[Juil]]</f>
        <v>7.5187969924812026E-2</v>
      </c>
      <c r="Y11" s="32">
        <f>tblDépenses[[#This Row],[Août]]/tblDépenses[[#Totals],[Août]]</f>
        <v>1.276595744680851E-2</v>
      </c>
      <c r="Z11" s="32">
        <f>tblDépenses[[#This Row],[Sept]]/tblDépenses[[#Totals],[Sept]]</f>
        <v>6.0869565217391307E-2</v>
      </c>
      <c r="AA11" s="32">
        <f>tblDépenses[[#This Row],[Oct]]/tblDépenses[[#Totals],[Oct]]</f>
        <v>8.4942084942084939E-2</v>
      </c>
      <c r="AB11" s="32">
        <f>tblDépenses[[#This Row],[Nov]]/tblDépenses[[#Totals],[Nov]]</f>
        <v>5.4054054054054057E-2</v>
      </c>
      <c r="AC11" s="32">
        <f>tblDépenses[[#This Row],[Déc]]/tblDépenses[[#Totals],[Déc]]</f>
        <v>5.1948051948051951E-2</v>
      </c>
      <c r="AD11" s="32">
        <f>tblDépenses[[#This Row],[Annuel]]/tblDépenses[[#Totals],[Annuel]]</f>
        <v>5.468489496498833E-2</v>
      </c>
    </row>
    <row r="12" spans="1:30" ht="30" customHeight="1" x14ac:dyDescent="0.3">
      <c r="B12" s="14" t="s">
        <v>24</v>
      </c>
      <c r="C12" s="30" t="s">
        <v>36</v>
      </c>
      <c r="D12" s="23">
        <v>5</v>
      </c>
      <c r="E12" s="23">
        <v>13</v>
      </c>
      <c r="F12" s="23">
        <v>6</v>
      </c>
      <c r="G12" s="23">
        <v>15</v>
      </c>
      <c r="H12" s="23">
        <v>19</v>
      </c>
      <c r="I12" s="23">
        <v>10</v>
      </c>
      <c r="J12" s="23">
        <v>12</v>
      </c>
      <c r="K12" s="23">
        <v>9</v>
      </c>
      <c r="L12" s="23">
        <v>15</v>
      </c>
      <c r="M12" s="23">
        <v>16</v>
      </c>
      <c r="N12" s="23">
        <v>4</v>
      </c>
      <c r="O12" s="23">
        <v>9</v>
      </c>
      <c r="P12" s="31">
        <f>SUM(tblDépenses[[#This Row],[Colonne1]:[Déc]])</f>
        <v>133</v>
      </c>
      <c r="Q12" s="24">
        <v>0.09</v>
      </c>
      <c r="R12" s="32">
        <f>tblDépenses[[#This Row],[Colonne1]]/tblDépenses[[#Totals],[Colonne1]]</f>
        <v>2.1186440677966101E-2</v>
      </c>
      <c r="S12" s="32">
        <f>tblDépenses[[#This Row],[Févr]]/tblDépenses[[#Totals],[Févr]]</f>
        <v>6.3414634146341464E-2</v>
      </c>
      <c r="T12" s="32">
        <f>tblDépenses[[#This Row],[Mars]]/tblDépenses[[#Totals],[Mars]]</f>
        <v>2.4096385542168676E-2</v>
      </c>
      <c r="U12" s="32">
        <f>tblDépenses[[#This Row],[Avr]]/tblDépenses[[#Totals],[Avr]]</f>
        <v>5.7471264367816091E-2</v>
      </c>
      <c r="V12" s="32">
        <f>tblDépenses[[#This Row],[Mai]]/tblDépenses[[#Totals],[Mai]]</f>
        <v>7.3929961089494164E-2</v>
      </c>
      <c r="W12" s="32">
        <f>tblDépenses[[#This Row],[Juin]]/tblDépenses[[#Totals],[Juin]]</f>
        <v>3.6496350364963501E-2</v>
      </c>
      <c r="X12" s="32">
        <f>tblDépenses[[#This Row],[Juil]]/tblDépenses[[#Totals],[Juil]]</f>
        <v>4.5112781954887216E-2</v>
      </c>
      <c r="Y12" s="32">
        <f>tblDépenses[[#This Row],[Août]]/tblDépenses[[#Totals],[Août]]</f>
        <v>3.8297872340425532E-2</v>
      </c>
      <c r="Z12" s="32">
        <f>tblDépenses[[#This Row],[Sept]]/tblDépenses[[#Totals],[Sept]]</f>
        <v>6.5217391304347824E-2</v>
      </c>
      <c r="AA12" s="32">
        <f>tblDépenses[[#This Row],[Oct]]/tblDépenses[[#Totals],[Oct]]</f>
        <v>6.1776061776061778E-2</v>
      </c>
      <c r="AB12" s="32">
        <f>tblDépenses[[#This Row],[Nov]]/tblDépenses[[#Totals],[Nov]]</f>
        <v>1.3513513513513514E-2</v>
      </c>
      <c r="AC12" s="32">
        <f>tblDépenses[[#This Row],[Déc]]/tblDépenses[[#Totals],[Déc]]</f>
        <v>3.896103896103896E-2</v>
      </c>
      <c r="AD12" s="32">
        <f>tblDépenses[[#This Row],[Annuel]]/tblDépenses[[#Totals],[Annuel]]</f>
        <v>4.4348116038679559E-2</v>
      </c>
    </row>
    <row r="13" spans="1:30" ht="30" customHeight="1" x14ac:dyDescent="0.3">
      <c r="B13" s="14" t="s">
        <v>25</v>
      </c>
      <c r="C13" s="30" t="s">
        <v>36</v>
      </c>
      <c r="D13" s="23">
        <v>8</v>
      </c>
      <c r="E13" s="23">
        <v>4</v>
      </c>
      <c r="F13" s="23">
        <v>23</v>
      </c>
      <c r="G13" s="23">
        <v>25</v>
      </c>
      <c r="H13" s="23">
        <v>10</v>
      </c>
      <c r="I13" s="23">
        <v>24</v>
      </c>
      <c r="J13" s="23">
        <v>22</v>
      </c>
      <c r="K13" s="23">
        <v>5</v>
      </c>
      <c r="L13" s="23">
        <v>12</v>
      </c>
      <c r="M13" s="23">
        <v>24</v>
      </c>
      <c r="N13" s="23">
        <v>24</v>
      </c>
      <c r="O13" s="23">
        <v>12</v>
      </c>
      <c r="P13" s="31">
        <f>SUM(tblDépenses[[#This Row],[Colonne1]:[Déc]])</f>
        <v>193</v>
      </c>
      <c r="Q13" s="24">
        <v>0.01</v>
      </c>
      <c r="R13" s="32">
        <f>tblDépenses[[#This Row],[Colonne1]]/tblDépenses[[#Totals],[Colonne1]]</f>
        <v>3.3898305084745763E-2</v>
      </c>
      <c r="S13" s="32">
        <f>tblDépenses[[#This Row],[Févr]]/tblDépenses[[#Totals],[Févr]]</f>
        <v>1.9512195121951219E-2</v>
      </c>
      <c r="T13" s="32">
        <f>tblDépenses[[#This Row],[Mars]]/tblDépenses[[#Totals],[Mars]]</f>
        <v>9.2369477911646583E-2</v>
      </c>
      <c r="U13" s="32">
        <f>tblDépenses[[#This Row],[Avr]]/tblDépenses[[#Totals],[Avr]]</f>
        <v>9.5785440613026823E-2</v>
      </c>
      <c r="V13" s="32">
        <f>tblDépenses[[#This Row],[Mai]]/tblDépenses[[#Totals],[Mai]]</f>
        <v>3.8910505836575876E-2</v>
      </c>
      <c r="W13" s="32">
        <f>tblDépenses[[#This Row],[Juin]]/tblDépenses[[#Totals],[Juin]]</f>
        <v>8.7591240875912413E-2</v>
      </c>
      <c r="X13" s="32">
        <f>tblDépenses[[#This Row],[Juil]]/tblDépenses[[#Totals],[Juil]]</f>
        <v>8.2706766917293228E-2</v>
      </c>
      <c r="Y13" s="32">
        <f>tblDépenses[[#This Row],[Août]]/tblDépenses[[#Totals],[Août]]</f>
        <v>2.1276595744680851E-2</v>
      </c>
      <c r="Z13" s="32">
        <f>tblDépenses[[#This Row],[Sept]]/tblDépenses[[#Totals],[Sept]]</f>
        <v>5.2173913043478258E-2</v>
      </c>
      <c r="AA13" s="32">
        <f>tblDépenses[[#This Row],[Oct]]/tblDépenses[[#Totals],[Oct]]</f>
        <v>9.2664092664092659E-2</v>
      </c>
      <c r="AB13" s="32">
        <f>tblDépenses[[#This Row],[Nov]]/tblDépenses[[#Totals],[Nov]]</f>
        <v>8.1081081081081086E-2</v>
      </c>
      <c r="AC13" s="32">
        <f>tblDépenses[[#This Row],[Déc]]/tblDépenses[[#Totals],[Déc]]</f>
        <v>5.1948051948051951E-2</v>
      </c>
      <c r="AD13" s="32">
        <f>tblDépenses[[#This Row],[Annuel]]/tblDépenses[[#Totals],[Annuel]]</f>
        <v>6.4354784928309441E-2</v>
      </c>
    </row>
    <row r="14" spans="1:30" ht="30" customHeight="1" x14ac:dyDescent="0.3">
      <c r="B14" s="14" t="s">
        <v>26</v>
      </c>
      <c r="C14" s="30" t="s">
        <v>36</v>
      </c>
      <c r="D14" s="23">
        <v>25</v>
      </c>
      <c r="E14" s="23">
        <v>2</v>
      </c>
      <c r="F14" s="23">
        <v>12</v>
      </c>
      <c r="G14" s="23">
        <v>25</v>
      </c>
      <c r="H14" s="23">
        <v>10</v>
      </c>
      <c r="I14" s="23">
        <v>24</v>
      </c>
      <c r="J14" s="23">
        <v>3</v>
      </c>
      <c r="K14" s="23">
        <v>20</v>
      </c>
      <c r="L14" s="23">
        <v>3</v>
      </c>
      <c r="M14" s="23">
        <v>9</v>
      </c>
      <c r="N14" s="23">
        <v>20</v>
      </c>
      <c r="O14" s="23">
        <v>18</v>
      </c>
      <c r="P14" s="31">
        <f>SUM(tblDépenses[[#This Row],[Colonne1]:[Déc]])</f>
        <v>171</v>
      </c>
      <c r="Q14" s="24">
        <v>0.01</v>
      </c>
      <c r="R14" s="32">
        <f>tblDépenses[[#This Row],[Colonne1]]/tblDépenses[[#Totals],[Colonne1]]</f>
        <v>0.1059322033898305</v>
      </c>
      <c r="S14" s="32">
        <f>tblDépenses[[#This Row],[Févr]]/tblDépenses[[#Totals],[Févr]]</f>
        <v>9.7560975609756097E-3</v>
      </c>
      <c r="T14" s="32">
        <f>tblDépenses[[#This Row],[Mars]]/tblDépenses[[#Totals],[Mars]]</f>
        <v>4.8192771084337352E-2</v>
      </c>
      <c r="U14" s="32">
        <f>tblDépenses[[#This Row],[Avr]]/tblDépenses[[#Totals],[Avr]]</f>
        <v>9.5785440613026823E-2</v>
      </c>
      <c r="V14" s="32">
        <f>tblDépenses[[#This Row],[Mai]]/tblDépenses[[#Totals],[Mai]]</f>
        <v>3.8910505836575876E-2</v>
      </c>
      <c r="W14" s="32">
        <f>tblDépenses[[#This Row],[Juin]]/tblDépenses[[#Totals],[Juin]]</f>
        <v>8.7591240875912413E-2</v>
      </c>
      <c r="X14" s="32">
        <f>tblDépenses[[#This Row],[Juil]]/tblDépenses[[#Totals],[Juil]]</f>
        <v>1.1278195488721804E-2</v>
      </c>
      <c r="Y14" s="32">
        <f>tblDépenses[[#This Row],[Août]]/tblDépenses[[#Totals],[Août]]</f>
        <v>8.5106382978723402E-2</v>
      </c>
      <c r="Z14" s="32">
        <f>tblDépenses[[#This Row],[Sept]]/tblDépenses[[#Totals],[Sept]]</f>
        <v>1.3043478260869565E-2</v>
      </c>
      <c r="AA14" s="32">
        <f>tblDépenses[[#This Row],[Oct]]/tblDépenses[[#Totals],[Oct]]</f>
        <v>3.4749034749034749E-2</v>
      </c>
      <c r="AB14" s="32">
        <f>tblDépenses[[#This Row],[Nov]]/tblDépenses[[#Totals],[Nov]]</f>
        <v>6.7567567567567571E-2</v>
      </c>
      <c r="AC14" s="32">
        <f>tblDépenses[[#This Row],[Déc]]/tblDépenses[[#Totals],[Déc]]</f>
        <v>7.792207792207792E-2</v>
      </c>
      <c r="AD14" s="32">
        <f>tblDépenses[[#This Row],[Annuel]]/tblDépenses[[#Totals],[Annuel]]</f>
        <v>5.7019006335445148E-2</v>
      </c>
    </row>
    <row r="15" spans="1:30" ht="30" customHeight="1" x14ac:dyDescent="0.3">
      <c r="B15" s="14" t="s">
        <v>27</v>
      </c>
      <c r="C15" s="30" t="s">
        <v>36</v>
      </c>
      <c r="D15" s="23">
        <v>16</v>
      </c>
      <c r="E15" s="23">
        <v>19</v>
      </c>
      <c r="F15" s="23">
        <v>9</v>
      </c>
      <c r="G15" s="23">
        <v>16</v>
      </c>
      <c r="H15" s="23">
        <v>13</v>
      </c>
      <c r="I15" s="23">
        <v>2</v>
      </c>
      <c r="J15" s="23">
        <v>4</v>
      </c>
      <c r="K15" s="23">
        <v>24</v>
      </c>
      <c r="L15" s="23">
        <v>16</v>
      </c>
      <c r="M15" s="23">
        <v>22</v>
      </c>
      <c r="N15" s="23">
        <v>7</v>
      </c>
      <c r="O15" s="23">
        <v>18</v>
      </c>
      <c r="P15" s="31">
        <f>SUM(tblDépenses[[#This Row],[Colonne1]:[Déc]])</f>
        <v>166</v>
      </c>
      <c r="Q15" s="24">
        <v>0.01</v>
      </c>
      <c r="R15" s="32">
        <f>tblDépenses[[#This Row],[Colonne1]]/tblDépenses[[#Totals],[Colonne1]]</f>
        <v>6.7796610169491525E-2</v>
      </c>
      <c r="S15" s="32">
        <f>tblDépenses[[#This Row],[Févr]]/tblDépenses[[#Totals],[Févr]]</f>
        <v>9.2682926829268292E-2</v>
      </c>
      <c r="T15" s="32">
        <f>tblDépenses[[#This Row],[Mars]]/tblDépenses[[#Totals],[Mars]]</f>
        <v>3.614457831325301E-2</v>
      </c>
      <c r="U15" s="32">
        <f>tblDépenses[[#This Row],[Avr]]/tblDépenses[[#Totals],[Avr]]</f>
        <v>6.1302681992337162E-2</v>
      </c>
      <c r="V15" s="32">
        <f>tblDépenses[[#This Row],[Mai]]/tblDépenses[[#Totals],[Mai]]</f>
        <v>5.0583657587548639E-2</v>
      </c>
      <c r="W15" s="32">
        <f>tblDépenses[[#This Row],[Juin]]/tblDépenses[[#Totals],[Juin]]</f>
        <v>7.2992700729927005E-3</v>
      </c>
      <c r="X15" s="32">
        <f>tblDépenses[[#This Row],[Juil]]/tblDépenses[[#Totals],[Juil]]</f>
        <v>1.5037593984962405E-2</v>
      </c>
      <c r="Y15" s="32">
        <f>tblDépenses[[#This Row],[Août]]/tblDépenses[[#Totals],[Août]]</f>
        <v>0.10212765957446808</v>
      </c>
      <c r="Z15" s="32">
        <f>tblDépenses[[#This Row],[Sept]]/tblDépenses[[#Totals],[Sept]]</f>
        <v>6.9565217391304349E-2</v>
      </c>
      <c r="AA15" s="32">
        <f>tblDépenses[[#This Row],[Oct]]/tblDépenses[[#Totals],[Oct]]</f>
        <v>8.4942084942084939E-2</v>
      </c>
      <c r="AB15" s="32">
        <f>tblDépenses[[#This Row],[Nov]]/tblDépenses[[#Totals],[Nov]]</f>
        <v>2.364864864864865E-2</v>
      </c>
      <c r="AC15" s="32">
        <f>tblDépenses[[#This Row],[Déc]]/tblDépenses[[#Totals],[Déc]]</f>
        <v>7.792207792207792E-2</v>
      </c>
      <c r="AD15" s="32">
        <f>tblDépenses[[#This Row],[Annuel]]/tblDépenses[[#Totals],[Annuel]]</f>
        <v>5.5351783927975989E-2</v>
      </c>
    </row>
    <row r="16" spans="1:30" ht="30" customHeight="1" x14ac:dyDescent="0.3">
      <c r="B16" s="14" t="s">
        <v>28</v>
      </c>
      <c r="C16" s="30" t="s">
        <v>36</v>
      </c>
      <c r="D16" s="23">
        <v>12</v>
      </c>
      <c r="E16" s="23">
        <v>9</v>
      </c>
      <c r="F16" s="23">
        <v>16</v>
      </c>
      <c r="G16" s="23">
        <v>19</v>
      </c>
      <c r="H16" s="23">
        <v>25</v>
      </c>
      <c r="I16" s="23">
        <v>17</v>
      </c>
      <c r="J16" s="23">
        <v>20</v>
      </c>
      <c r="K16" s="23">
        <v>14</v>
      </c>
      <c r="L16" s="23">
        <v>5</v>
      </c>
      <c r="M16" s="23">
        <v>14</v>
      </c>
      <c r="N16" s="23">
        <v>5</v>
      </c>
      <c r="O16" s="23">
        <v>2</v>
      </c>
      <c r="P16" s="31">
        <f>SUM(tblDépenses[[#This Row],[Colonne1]:[Déc]])</f>
        <v>158</v>
      </c>
      <c r="Q16" s="24">
        <v>0.01</v>
      </c>
      <c r="R16" s="32">
        <f>tblDépenses[[#This Row],[Colonne1]]/tblDépenses[[#Totals],[Colonne1]]</f>
        <v>5.0847457627118647E-2</v>
      </c>
      <c r="S16" s="32">
        <f>tblDépenses[[#This Row],[Févr]]/tblDépenses[[#Totals],[Févr]]</f>
        <v>4.3902439024390241E-2</v>
      </c>
      <c r="T16" s="32">
        <f>tblDépenses[[#This Row],[Mars]]/tblDépenses[[#Totals],[Mars]]</f>
        <v>6.4257028112449793E-2</v>
      </c>
      <c r="U16" s="32">
        <f>tblDépenses[[#This Row],[Avr]]/tblDépenses[[#Totals],[Avr]]</f>
        <v>7.2796934865900387E-2</v>
      </c>
      <c r="V16" s="32">
        <f>tblDépenses[[#This Row],[Mai]]/tblDépenses[[#Totals],[Mai]]</f>
        <v>9.727626459143969E-2</v>
      </c>
      <c r="W16" s="32">
        <f>tblDépenses[[#This Row],[Juin]]/tblDépenses[[#Totals],[Juin]]</f>
        <v>6.2043795620437957E-2</v>
      </c>
      <c r="X16" s="32">
        <f>tblDépenses[[#This Row],[Juil]]/tblDépenses[[#Totals],[Juil]]</f>
        <v>7.5187969924812026E-2</v>
      </c>
      <c r="Y16" s="32">
        <f>tblDépenses[[#This Row],[Août]]/tblDépenses[[#Totals],[Août]]</f>
        <v>5.9574468085106386E-2</v>
      </c>
      <c r="Z16" s="32">
        <f>tblDépenses[[#This Row],[Sept]]/tblDépenses[[#Totals],[Sept]]</f>
        <v>2.1739130434782608E-2</v>
      </c>
      <c r="AA16" s="32">
        <f>tblDépenses[[#This Row],[Oct]]/tblDépenses[[#Totals],[Oct]]</f>
        <v>5.4054054054054057E-2</v>
      </c>
      <c r="AB16" s="32">
        <f>tblDépenses[[#This Row],[Nov]]/tblDépenses[[#Totals],[Nov]]</f>
        <v>1.6891891891891893E-2</v>
      </c>
      <c r="AC16" s="32">
        <f>tblDépenses[[#This Row],[Déc]]/tblDépenses[[#Totals],[Déc]]</f>
        <v>8.658008658008658E-3</v>
      </c>
      <c r="AD16" s="32">
        <f>tblDépenses[[#This Row],[Annuel]]/tblDépenses[[#Totals],[Annuel]]</f>
        <v>5.2684228076025338E-2</v>
      </c>
    </row>
    <row r="17" spans="1:30" ht="30" customHeight="1" x14ac:dyDescent="0.3">
      <c r="B17" s="14" t="s">
        <v>29</v>
      </c>
      <c r="C17" s="30" t="s">
        <v>36</v>
      </c>
      <c r="D17" s="23">
        <v>16</v>
      </c>
      <c r="E17" s="23">
        <v>13</v>
      </c>
      <c r="F17" s="23">
        <v>10</v>
      </c>
      <c r="G17" s="23">
        <v>7</v>
      </c>
      <c r="H17" s="23">
        <v>13</v>
      </c>
      <c r="I17" s="23">
        <v>3</v>
      </c>
      <c r="J17" s="23">
        <v>13</v>
      </c>
      <c r="K17" s="23">
        <v>17</v>
      </c>
      <c r="L17" s="23">
        <v>9</v>
      </c>
      <c r="M17" s="23">
        <v>4</v>
      </c>
      <c r="N17" s="23">
        <v>22</v>
      </c>
      <c r="O17" s="23">
        <v>18</v>
      </c>
      <c r="P17" s="31">
        <f>SUM(tblDépenses[[#This Row],[Colonne1]:[Déc]])</f>
        <v>145</v>
      </c>
      <c r="Q17" s="24">
        <v>0.14000000000000001</v>
      </c>
      <c r="R17" s="32">
        <f>tblDépenses[[#This Row],[Colonne1]]/tblDépenses[[#Totals],[Colonne1]]</f>
        <v>6.7796610169491525E-2</v>
      </c>
      <c r="S17" s="32">
        <f>tblDépenses[[#This Row],[Févr]]/tblDépenses[[#Totals],[Févr]]</f>
        <v>6.3414634146341464E-2</v>
      </c>
      <c r="T17" s="32">
        <f>tblDépenses[[#This Row],[Mars]]/tblDépenses[[#Totals],[Mars]]</f>
        <v>4.0160642570281124E-2</v>
      </c>
      <c r="U17" s="32">
        <f>tblDépenses[[#This Row],[Avr]]/tblDépenses[[#Totals],[Avr]]</f>
        <v>2.681992337164751E-2</v>
      </c>
      <c r="V17" s="32">
        <f>tblDépenses[[#This Row],[Mai]]/tblDépenses[[#Totals],[Mai]]</f>
        <v>5.0583657587548639E-2</v>
      </c>
      <c r="W17" s="32">
        <f>tblDépenses[[#This Row],[Juin]]/tblDépenses[[#Totals],[Juin]]</f>
        <v>1.0948905109489052E-2</v>
      </c>
      <c r="X17" s="32">
        <f>tblDépenses[[#This Row],[Juil]]/tblDépenses[[#Totals],[Juil]]</f>
        <v>4.8872180451127817E-2</v>
      </c>
      <c r="Y17" s="32">
        <f>tblDépenses[[#This Row],[Août]]/tblDépenses[[#Totals],[Août]]</f>
        <v>7.2340425531914887E-2</v>
      </c>
      <c r="Z17" s="32">
        <f>tblDépenses[[#This Row],[Sept]]/tblDépenses[[#Totals],[Sept]]</f>
        <v>3.9130434782608699E-2</v>
      </c>
      <c r="AA17" s="32">
        <f>tblDépenses[[#This Row],[Oct]]/tblDépenses[[#Totals],[Oct]]</f>
        <v>1.5444015444015444E-2</v>
      </c>
      <c r="AB17" s="32">
        <f>tblDépenses[[#This Row],[Nov]]/tblDépenses[[#Totals],[Nov]]</f>
        <v>7.4324324324324328E-2</v>
      </c>
      <c r="AC17" s="32">
        <f>tblDépenses[[#This Row],[Déc]]/tblDépenses[[#Totals],[Déc]]</f>
        <v>7.792207792207792E-2</v>
      </c>
      <c r="AD17" s="32">
        <f>tblDépenses[[#This Row],[Annuel]]/tblDépenses[[#Totals],[Annuel]]</f>
        <v>4.8349449816605536E-2</v>
      </c>
    </row>
    <row r="18" spans="1:30" ht="30" customHeight="1" x14ac:dyDescent="0.3">
      <c r="B18" s="14" t="s">
        <v>30</v>
      </c>
      <c r="C18" s="30" t="s">
        <v>36</v>
      </c>
      <c r="D18" s="23">
        <v>3</v>
      </c>
      <c r="E18" s="23">
        <v>2</v>
      </c>
      <c r="F18" s="23">
        <v>19</v>
      </c>
      <c r="G18" s="23">
        <v>21</v>
      </c>
      <c r="H18" s="23">
        <v>13</v>
      </c>
      <c r="I18" s="23">
        <v>9</v>
      </c>
      <c r="J18" s="23">
        <v>7</v>
      </c>
      <c r="K18" s="23">
        <v>13</v>
      </c>
      <c r="L18" s="23">
        <v>3</v>
      </c>
      <c r="M18" s="23">
        <v>6</v>
      </c>
      <c r="N18" s="23">
        <v>10</v>
      </c>
      <c r="O18" s="23">
        <v>13</v>
      </c>
      <c r="P18" s="31">
        <f>SUM(tblDépenses[[#This Row],[Colonne1]:[Déc]])</f>
        <v>119</v>
      </c>
      <c r="Q18" s="24">
        <v>0.06</v>
      </c>
      <c r="R18" s="32">
        <f>tblDépenses[[#This Row],[Colonne1]]/tblDépenses[[#Totals],[Colonne1]]</f>
        <v>1.2711864406779662E-2</v>
      </c>
      <c r="S18" s="32">
        <f>tblDépenses[[#This Row],[Févr]]/tblDépenses[[#Totals],[Févr]]</f>
        <v>9.7560975609756097E-3</v>
      </c>
      <c r="T18" s="32">
        <f>tblDépenses[[#This Row],[Mars]]/tblDépenses[[#Totals],[Mars]]</f>
        <v>7.6305220883534142E-2</v>
      </c>
      <c r="U18" s="32">
        <f>tblDépenses[[#This Row],[Avr]]/tblDépenses[[#Totals],[Avr]]</f>
        <v>8.0459770114942528E-2</v>
      </c>
      <c r="V18" s="32">
        <f>tblDépenses[[#This Row],[Mai]]/tblDépenses[[#Totals],[Mai]]</f>
        <v>5.0583657587548639E-2</v>
      </c>
      <c r="W18" s="32">
        <f>tblDépenses[[#This Row],[Juin]]/tblDépenses[[#Totals],[Juin]]</f>
        <v>3.2846715328467155E-2</v>
      </c>
      <c r="X18" s="32">
        <f>tblDépenses[[#This Row],[Juil]]/tblDépenses[[#Totals],[Juil]]</f>
        <v>2.6315789473684209E-2</v>
      </c>
      <c r="Y18" s="32">
        <f>tblDépenses[[#This Row],[Août]]/tblDépenses[[#Totals],[Août]]</f>
        <v>5.5319148936170209E-2</v>
      </c>
      <c r="Z18" s="32">
        <f>tblDépenses[[#This Row],[Sept]]/tblDépenses[[#Totals],[Sept]]</f>
        <v>1.3043478260869565E-2</v>
      </c>
      <c r="AA18" s="32">
        <f>tblDépenses[[#This Row],[Oct]]/tblDépenses[[#Totals],[Oct]]</f>
        <v>2.3166023166023165E-2</v>
      </c>
      <c r="AB18" s="32">
        <f>tblDépenses[[#This Row],[Nov]]/tblDépenses[[#Totals],[Nov]]</f>
        <v>3.3783783783783786E-2</v>
      </c>
      <c r="AC18" s="32">
        <f>tblDépenses[[#This Row],[Déc]]/tblDépenses[[#Totals],[Déc]]</f>
        <v>5.627705627705628E-2</v>
      </c>
      <c r="AD18" s="32">
        <f>tblDépenses[[#This Row],[Annuel]]/tblDépenses[[#Totals],[Annuel]]</f>
        <v>3.9679893297765924E-2</v>
      </c>
    </row>
    <row r="19" spans="1:30" ht="30" customHeight="1" x14ac:dyDescent="0.3">
      <c r="B19" s="14" t="s">
        <v>31</v>
      </c>
      <c r="C19" s="30" t="s">
        <v>36</v>
      </c>
      <c r="D19" s="23">
        <v>8</v>
      </c>
      <c r="E19" s="23">
        <v>7</v>
      </c>
      <c r="F19" s="23">
        <v>6</v>
      </c>
      <c r="G19" s="23">
        <v>7</v>
      </c>
      <c r="H19" s="23">
        <v>7</v>
      </c>
      <c r="I19" s="23">
        <v>6</v>
      </c>
      <c r="J19" s="23">
        <v>15</v>
      </c>
      <c r="K19" s="23">
        <v>23</v>
      </c>
      <c r="L19" s="23">
        <v>21</v>
      </c>
      <c r="M19" s="23">
        <v>16</v>
      </c>
      <c r="N19" s="23">
        <v>19</v>
      </c>
      <c r="O19" s="23">
        <v>7</v>
      </c>
      <c r="P19" s="31">
        <f>SUM(tblDépenses[[#This Row],[Colonne1]:[Déc]])</f>
        <v>142</v>
      </c>
      <c r="Q19" s="24">
        <v>0.01</v>
      </c>
      <c r="R19" s="32">
        <f>tblDépenses[[#This Row],[Colonne1]]/tblDépenses[[#Totals],[Colonne1]]</f>
        <v>3.3898305084745763E-2</v>
      </c>
      <c r="S19" s="32">
        <f>tblDépenses[[#This Row],[Févr]]/tblDépenses[[#Totals],[Févr]]</f>
        <v>3.4146341463414637E-2</v>
      </c>
      <c r="T19" s="32">
        <f>tblDépenses[[#This Row],[Mars]]/tblDépenses[[#Totals],[Mars]]</f>
        <v>2.4096385542168676E-2</v>
      </c>
      <c r="U19" s="32">
        <f>tblDépenses[[#This Row],[Avr]]/tblDépenses[[#Totals],[Avr]]</f>
        <v>2.681992337164751E-2</v>
      </c>
      <c r="V19" s="32">
        <f>tblDépenses[[#This Row],[Mai]]/tblDépenses[[#Totals],[Mai]]</f>
        <v>2.7237354085603113E-2</v>
      </c>
      <c r="W19" s="32">
        <f>tblDépenses[[#This Row],[Juin]]/tblDépenses[[#Totals],[Juin]]</f>
        <v>2.1897810218978103E-2</v>
      </c>
      <c r="X19" s="32">
        <f>tblDépenses[[#This Row],[Juil]]/tblDépenses[[#Totals],[Juil]]</f>
        <v>5.6390977443609019E-2</v>
      </c>
      <c r="Y19" s="32">
        <f>tblDépenses[[#This Row],[Août]]/tblDépenses[[#Totals],[Août]]</f>
        <v>9.7872340425531917E-2</v>
      </c>
      <c r="Z19" s="32">
        <f>tblDépenses[[#This Row],[Sept]]/tblDépenses[[#Totals],[Sept]]</f>
        <v>9.1304347826086957E-2</v>
      </c>
      <c r="AA19" s="32">
        <f>tblDépenses[[#This Row],[Oct]]/tblDépenses[[#Totals],[Oct]]</f>
        <v>6.1776061776061778E-2</v>
      </c>
      <c r="AB19" s="32">
        <f>tblDépenses[[#This Row],[Nov]]/tblDépenses[[#Totals],[Nov]]</f>
        <v>6.4189189189189186E-2</v>
      </c>
      <c r="AC19" s="32">
        <f>tblDépenses[[#This Row],[Déc]]/tblDépenses[[#Totals],[Déc]]</f>
        <v>3.0303030303030304E-2</v>
      </c>
      <c r="AD19" s="32">
        <f>tblDépenses[[#This Row],[Annuel]]/tblDépenses[[#Totals],[Annuel]]</f>
        <v>4.7349116372124044E-2</v>
      </c>
    </row>
    <row r="20" spans="1:30" ht="30" customHeight="1" x14ac:dyDescent="0.3">
      <c r="B20" s="14" t="s">
        <v>32</v>
      </c>
      <c r="C20" s="30" t="s">
        <v>36</v>
      </c>
      <c r="D20" s="23">
        <v>14</v>
      </c>
      <c r="E20" s="23">
        <v>4</v>
      </c>
      <c r="F20" s="23">
        <v>24</v>
      </c>
      <c r="G20" s="23">
        <v>6</v>
      </c>
      <c r="H20" s="23">
        <v>20</v>
      </c>
      <c r="I20" s="23">
        <v>14</v>
      </c>
      <c r="J20" s="23">
        <v>21</v>
      </c>
      <c r="K20" s="23">
        <v>20</v>
      </c>
      <c r="L20" s="23">
        <v>22</v>
      </c>
      <c r="M20" s="23">
        <v>3</v>
      </c>
      <c r="N20" s="23">
        <v>14</v>
      </c>
      <c r="O20" s="23">
        <v>6</v>
      </c>
      <c r="P20" s="31">
        <f>SUM(tblDépenses[[#This Row],[Colonne1]:[Déc]])</f>
        <v>168</v>
      </c>
      <c r="Q20" s="24">
        <v>0.01</v>
      </c>
      <c r="R20" s="32">
        <f>tblDépenses[[#This Row],[Colonne1]]/tblDépenses[[#Totals],[Colonne1]]</f>
        <v>5.9322033898305086E-2</v>
      </c>
      <c r="S20" s="32">
        <f>tblDépenses[[#This Row],[Févr]]/tblDépenses[[#Totals],[Févr]]</f>
        <v>1.9512195121951219E-2</v>
      </c>
      <c r="T20" s="32">
        <f>tblDépenses[[#This Row],[Mars]]/tblDépenses[[#Totals],[Mars]]</f>
        <v>9.6385542168674704E-2</v>
      </c>
      <c r="U20" s="32">
        <f>tblDépenses[[#This Row],[Avr]]/tblDépenses[[#Totals],[Avr]]</f>
        <v>2.2988505747126436E-2</v>
      </c>
      <c r="V20" s="32">
        <f>tblDépenses[[#This Row],[Mai]]/tblDépenses[[#Totals],[Mai]]</f>
        <v>7.7821011673151752E-2</v>
      </c>
      <c r="W20" s="32">
        <f>tblDépenses[[#This Row],[Juin]]/tblDépenses[[#Totals],[Juin]]</f>
        <v>5.1094890510948905E-2</v>
      </c>
      <c r="X20" s="32">
        <f>tblDépenses[[#This Row],[Juil]]/tblDépenses[[#Totals],[Juil]]</f>
        <v>7.8947368421052627E-2</v>
      </c>
      <c r="Y20" s="32">
        <f>tblDépenses[[#This Row],[Août]]/tblDépenses[[#Totals],[Août]]</f>
        <v>8.5106382978723402E-2</v>
      </c>
      <c r="Z20" s="32">
        <f>tblDépenses[[#This Row],[Sept]]/tblDépenses[[#Totals],[Sept]]</f>
        <v>9.5652173913043481E-2</v>
      </c>
      <c r="AA20" s="32">
        <f>tblDépenses[[#This Row],[Oct]]/tblDépenses[[#Totals],[Oct]]</f>
        <v>1.1583011583011582E-2</v>
      </c>
      <c r="AB20" s="32">
        <f>tblDépenses[[#This Row],[Nov]]/tblDépenses[[#Totals],[Nov]]</f>
        <v>4.72972972972973E-2</v>
      </c>
      <c r="AC20" s="32">
        <f>tblDépenses[[#This Row],[Déc]]/tblDépenses[[#Totals],[Déc]]</f>
        <v>2.5974025974025976E-2</v>
      </c>
      <c r="AD20" s="32">
        <f>tblDépenses[[#This Row],[Annuel]]/tblDépenses[[#Totals],[Annuel]]</f>
        <v>5.6018672890963656E-2</v>
      </c>
    </row>
    <row r="21" spans="1:30" ht="30" customHeight="1" x14ac:dyDescent="0.3">
      <c r="B21" s="14" t="s">
        <v>32</v>
      </c>
      <c r="C21" s="30" t="s">
        <v>36</v>
      </c>
      <c r="D21" s="23">
        <v>14</v>
      </c>
      <c r="E21" s="23">
        <v>7</v>
      </c>
      <c r="F21" s="23">
        <v>24</v>
      </c>
      <c r="G21" s="23">
        <v>10</v>
      </c>
      <c r="H21" s="23">
        <v>7</v>
      </c>
      <c r="I21" s="23">
        <v>24</v>
      </c>
      <c r="J21" s="23">
        <v>2</v>
      </c>
      <c r="K21" s="23">
        <v>11</v>
      </c>
      <c r="L21" s="23">
        <v>21</v>
      </c>
      <c r="M21" s="23">
        <v>19</v>
      </c>
      <c r="N21" s="23">
        <v>19</v>
      </c>
      <c r="O21" s="23">
        <v>20</v>
      </c>
      <c r="P21" s="31">
        <f>SUM(tblDépenses[[#This Row],[Colonne1]:[Déc]])</f>
        <v>178</v>
      </c>
      <c r="Q21" s="24">
        <v>0.01</v>
      </c>
      <c r="R21" s="32">
        <f>tblDépenses[[#This Row],[Colonne1]]/tblDépenses[[#Totals],[Colonne1]]</f>
        <v>5.9322033898305086E-2</v>
      </c>
      <c r="S21" s="32">
        <f>tblDépenses[[#This Row],[Févr]]/tblDépenses[[#Totals],[Févr]]</f>
        <v>3.4146341463414637E-2</v>
      </c>
      <c r="T21" s="32">
        <f>tblDépenses[[#This Row],[Mars]]/tblDépenses[[#Totals],[Mars]]</f>
        <v>9.6385542168674704E-2</v>
      </c>
      <c r="U21" s="32">
        <f>tblDépenses[[#This Row],[Avr]]/tblDépenses[[#Totals],[Avr]]</f>
        <v>3.8314176245210725E-2</v>
      </c>
      <c r="V21" s="32">
        <f>tblDépenses[[#This Row],[Mai]]/tblDépenses[[#Totals],[Mai]]</f>
        <v>2.7237354085603113E-2</v>
      </c>
      <c r="W21" s="32">
        <f>tblDépenses[[#This Row],[Juin]]/tblDépenses[[#Totals],[Juin]]</f>
        <v>8.7591240875912413E-2</v>
      </c>
      <c r="X21" s="32">
        <f>tblDépenses[[#This Row],[Juil]]/tblDépenses[[#Totals],[Juil]]</f>
        <v>7.5187969924812026E-3</v>
      </c>
      <c r="Y21" s="32">
        <f>tblDépenses[[#This Row],[Août]]/tblDépenses[[#Totals],[Août]]</f>
        <v>4.6808510638297871E-2</v>
      </c>
      <c r="Z21" s="32">
        <f>tblDépenses[[#This Row],[Sept]]/tblDépenses[[#Totals],[Sept]]</f>
        <v>9.1304347826086957E-2</v>
      </c>
      <c r="AA21" s="32">
        <f>tblDépenses[[#This Row],[Oct]]/tblDépenses[[#Totals],[Oct]]</f>
        <v>7.3359073359073365E-2</v>
      </c>
      <c r="AB21" s="32">
        <f>tblDépenses[[#This Row],[Nov]]/tblDépenses[[#Totals],[Nov]]</f>
        <v>6.4189189189189186E-2</v>
      </c>
      <c r="AC21" s="32">
        <f>tblDépenses[[#This Row],[Déc]]/tblDépenses[[#Totals],[Déc]]</f>
        <v>8.6580086580086577E-2</v>
      </c>
      <c r="AD21" s="32">
        <f>tblDépenses[[#This Row],[Annuel]]/tblDépenses[[#Totals],[Annuel]]</f>
        <v>5.9353117705901966E-2</v>
      </c>
    </row>
    <row r="22" spans="1:30" ht="30" customHeight="1" x14ac:dyDescent="0.3">
      <c r="A22" s="1"/>
      <c r="B22" s="14" t="s">
        <v>32</v>
      </c>
      <c r="C22" s="30" t="s">
        <v>36</v>
      </c>
      <c r="D22" s="23">
        <v>11</v>
      </c>
      <c r="E22" s="23">
        <v>8</v>
      </c>
      <c r="F22" s="23">
        <v>25</v>
      </c>
      <c r="G22" s="23">
        <v>11</v>
      </c>
      <c r="H22" s="23">
        <v>9</v>
      </c>
      <c r="I22" s="23">
        <v>24</v>
      </c>
      <c r="J22" s="23">
        <v>13</v>
      </c>
      <c r="K22" s="23">
        <v>14</v>
      </c>
      <c r="L22" s="23">
        <v>19</v>
      </c>
      <c r="M22" s="23">
        <v>24</v>
      </c>
      <c r="N22" s="23">
        <v>15</v>
      </c>
      <c r="O22" s="23">
        <v>7</v>
      </c>
      <c r="P22" s="31">
        <f>SUM(tblDépenses[[#This Row],[Colonne1]:[Déc]])</f>
        <v>180</v>
      </c>
      <c r="Q22" s="24">
        <v>0.01</v>
      </c>
      <c r="R22" s="32">
        <f>tblDépenses[[#This Row],[Colonne1]]/tblDépenses[[#Totals],[Colonne1]]</f>
        <v>4.6610169491525424E-2</v>
      </c>
      <c r="S22" s="32">
        <f>tblDépenses[[#This Row],[Févr]]/tblDépenses[[#Totals],[Févr]]</f>
        <v>3.9024390243902439E-2</v>
      </c>
      <c r="T22" s="32">
        <f>tblDépenses[[#This Row],[Mars]]/tblDépenses[[#Totals],[Mars]]</f>
        <v>0.10040160642570281</v>
      </c>
      <c r="U22" s="32">
        <f>tblDépenses[[#This Row],[Avr]]/tblDépenses[[#Totals],[Avr]]</f>
        <v>4.2145593869731802E-2</v>
      </c>
      <c r="V22" s="32">
        <f>tblDépenses[[#This Row],[Mai]]/tblDépenses[[#Totals],[Mai]]</f>
        <v>3.5019455252918288E-2</v>
      </c>
      <c r="W22" s="32">
        <f>tblDépenses[[#This Row],[Juin]]/tblDépenses[[#Totals],[Juin]]</f>
        <v>8.7591240875912413E-2</v>
      </c>
      <c r="X22" s="32">
        <f>tblDépenses[[#This Row],[Juil]]/tblDépenses[[#Totals],[Juil]]</f>
        <v>4.8872180451127817E-2</v>
      </c>
      <c r="Y22" s="32">
        <f>tblDépenses[[#This Row],[Août]]/tblDépenses[[#Totals],[Août]]</f>
        <v>5.9574468085106386E-2</v>
      </c>
      <c r="Z22" s="32">
        <f>tblDépenses[[#This Row],[Sept]]/tblDépenses[[#Totals],[Sept]]</f>
        <v>8.2608695652173908E-2</v>
      </c>
      <c r="AA22" s="32">
        <f>tblDépenses[[#This Row],[Oct]]/tblDépenses[[#Totals],[Oct]]</f>
        <v>9.2664092664092659E-2</v>
      </c>
      <c r="AB22" s="32">
        <f>tblDépenses[[#This Row],[Nov]]/tblDépenses[[#Totals],[Nov]]</f>
        <v>5.0675675675675678E-2</v>
      </c>
      <c r="AC22" s="32">
        <f>tblDépenses[[#This Row],[Déc]]/tblDépenses[[#Totals],[Déc]]</f>
        <v>3.0303030303030304E-2</v>
      </c>
      <c r="AD22" s="32">
        <f>tblDépenses[[#This Row],[Annuel]]/tblDépenses[[#Totals],[Annuel]]</f>
        <v>6.0020006668889632E-2</v>
      </c>
    </row>
    <row r="23" spans="1:30" ht="30" customHeight="1" x14ac:dyDescent="0.3">
      <c r="A23" s="2"/>
      <c r="B23" s="14" t="s">
        <v>33</v>
      </c>
      <c r="C23" s="30" t="s">
        <v>36</v>
      </c>
      <c r="D23" s="23">
        <v>8</v>
      </c>
      <c r="E23" s="23">
        <v>20</v>
      </c>
      <c r="F23" s="23">
        <v>11</v>
      </c>
      <c r="G23" s="23">
        <v>11</v>
      </c>
      <c r="H23" s="23">
        <v>11</v>
      </c>
      <c r="I23" s="23">
        <v>20</v>
      </c>
      <c r="J23" s="23">
        <v>12</v>
      </c>
      <c r="K23" s="23">
        <v>16</v>
      </c>
      <c r="L23" s="23">
        <v>5</v>
      </c>
      <c r="M23" s="23">
        <v>7</v>
      </c>
      <c r="N23" s="23">
        <v>21</v>
      </c>
      <c r="O23" s="23">
        <v>3</v>
      </c>
      <c r="P23" s="31">
        <f>SUM(tblDépenses[[#This Row],[Colonne1]:[Déc]])</f>
        <v>145</v>
      </c>
      <c r="Q23" s="24">
        <v>0.02</v>
      </c>
      <c r="R23" s="32">
        <f>tblDépenses[[#This Row],[Colonne1]]/tblDépenses[[#Totals],[Colonne1]]</f>
        <v>3.3898305084745763E-2</v>
      </c>
      <c r="S23" s="32">
        <f>tblDépenses[[#This Row],[Févr]]/tblDépenses[[#Totals],[Févr]]</f>
        <v>9.7560975609756101E-2</v>
      </c>
      <c r="T23" s="32">
        <f>tblDépenses[[#This Row],[Mars]]/tblDépenses[[#Totals],[Mars]]</f>
        <v>4.4176706827309238E-2</v>
      </c>
      <c r="U23" s="32">
        <f>tblDépenses[[#This Row],[Avr]]/tblDépenses[[#Totals],[Avr]]</f>
        <v>4.2145593869731802E-2</v>
      </c>
      <c r="V23" s="32">
        <f>tblDépenses[[#This Row],[Mai]]/tblDépenses[[#Totals],[Mai]]</f>
        <v>4.2801556420233464E-2</v>
      </c>
      <c r="W23" s="32">
        <f>tblDépenses[[#This Row],[Juin]]/tblDépenses[[#Totals],[Juin]]</f>
        <v>7.2992700729927001E-2</v>
      </c>
      <c r="X23" s="32">
        <f>tblDépenses[[#This Row],[Juil]]/tblDépenses[[#Totals],[Juil]]</f>
        <v>4.5112781954887216E-2</v>
      </c>
      <c r="Y23" s="32">
        <f>tblDépenses[[#This Row],[Août]]/tblDépenses[[#Totals],[Août]]</f>
        <v>6.8085106382978725E-2</v>
      </c>
      <c r="Z23" s="32">
        <f>tblDépenses[[#This Row],[Sept]]/tblDépenses[[#Totals],[Sept]]</f>
        <v>2.1739130434782608E-2</v>
      </c>
      <c r="AA23" s="32">
        <f>tblDépenses[[#This Row],[Oct]]/tblDépenses[[#Totals],[Oct]]</f>
        <v>2.7027027027027029E-2</v>
      </c>
      <c r="AB23" s="32">
        <f>tblDépenses[[#This Row],[Nov]]/tblDépenses[[#Totals],[Nov]]</f>
        <v>7.0945945945945943E-2</v>
      </c>
      <c r="AC23" s="32">
        <f>tblDépenses[[#This Row],[Déc]]/tblDépenses[[#Totals],[Déc]]</f>
        <v>1.2987012987012988E-2</v>
      </c>
      <c r="AD23" s="32">
        <f>tblDépenses[[#This Row],[Annuel]]/tblDépenses[[#Totals],[Annuel]]</f>
        <v>4.8349449816605536E-2</v>
      </c>
    </row>
    <row r="24" spans="1:30" ht="30" customHeight="1" x14ac:dyDescent="0.3">
      <c r="B24" s="9" t="s">
        <v>34</v>
      </c>
      <c r="C24" s="10" t="s">
        <v>36</v>
      </c>
      <c r="D24" s="34">
        <f>SUBTOTAL(109,tblDépenses[Colonne1])</f>
        <v>236</v>
      </c>
      <c r="E24" s="34">
        <f>SUBTOTAL(109,tblDépenses[Févr])</f>
        <v>205</v>
      </c>
      <c r="F24" s="34">
        <f>SUBTOTAL(109,tblDépenses[Mars])</f>
        <v>249</v>
      </c>
      <c r="G24" s="34">
        <f>SUBTOTAL(109,tblDépenses[Avr])</f>
        <v>261</v>
      </c>
      <c r="H24" s="34">
        <f>SUBTOTAL(109,tblDépenses[Mai])</f>
        <v>257</v>
      </c>
      <c r="I24" s="34">
        <f>SUBTOTAL(109,tblDépenses[Juin])</f>
        <v>274</v>
      </c>
      <c r="J24" s="34">
        <f>SUBTOTAL(109,tblDépenses[Juil])</f>
        <v>266</v>
      </c>
      <c r="K24" s="34">
        <f>SUBTOTAL(109,tblDépenses[Août])</f>
        <v>235</v>
      </c>
      <c r="L24" s="34">
        <f>SUBTOTAL(109,tblDépenses[Sept])</f>
        <v>230</v>
      </c>
      <c r="M24" s="34">
        <f>SUBTOTAL(109,tblDépenses[Oct])</f>
        <v>259</v>
      </c>
      <c r="N24" s="34">
        <f>SUBTOTAL(109,tblDépenses[Nov])</f>
        <v>296</v>
      </c>
      <c r="O24" s="34">
        <f>SUBTOTAL(109,tblDépenses[Déc])</f>
        <v>231</v>
      </c>
      <c r="P24" s="34">
        <f>SUBTOTAL(109,tblDépenses[Annuel])</f>
        <v>2999</v>
      </c>
      <c r="Q24" s="26">
        <f>SUBTOTAL(109,tblDépenses[Index %])</f>
        <v>1</v>
      </c>
      <c r="R24" s="26">
        <f>SUBTOTAL(109,tblDépenses[Jan %])</f>
        <v>1</v>
      </c>
      <c r="S24" s="26">
        <f>SUBTOTAL(109,tblDépenses[Fév %])</f>
        <v>1.0000000000000002</v>
      </c>
      <c r="T24" s="26">
        <f>SUBTOTAL(109,tblDépenses[Mar %])</f>
        <v>1.0000000000000002</v>
      </c>
      <c r="U24" s="26">
        <f>SUBTOTAL(109,tblDépenses[Avr %])</f>
        <v>1</v>
      </c>
      <c r="V24" s="26">
        <f>SUBTOTAL(109,tblDépenses[Mai %])</f>
        <v>1.0000000000000002</v>
      </c>
      <c r="W24" s="26">
        <f>SUBTOTAL(109,tblDépenses[Jui %])</f>
        <v>1</v>
      </c>
      <c r="X24" s="26">
        <f>SUBTOTAL(109,tblDépenses[Jui % ])</f>
        <v>1</v>
      </c>
      <c r="Y24" s="26">
        <f>SUBTOTAL(109,tblDépenses[Aoû %])</f>
        <v>0.99999999999999989</v>
      </c>
      <c r="Z24" s="26">
        <f>SUBTOTAL(109,tblDépenses[Sep %])</f>
        <v>1</v>
      </c>
      <c r="AA24" s="26">
        <f>SUBTOTAL(109,tblDépenses[Oct %])</f>
        <v>1</v>
      </c>
      <c r="AB24" s="26">
        <f>SUBTOTAL(109,tblDépenses[Nov %])</f>
        <v>0.99999999999999989</v>
      </c>
      <c r="AC24" s="26">
        <f>SUBTOTAL(109,tblDépenses[Déc %])</f>
        <v>1</v>
      </c>
      <c r="AD24" s="26">
        <f>SUBTOTAL(109,tblDépenses[Année %])</f>
        <v>0.99999999999999989</v>
      </c>
    </row>
    <row r="25" spans="1:30" ht="30" customHeight="1" x14ac:dyDescent="0.3">
      <c r="B25" s="16"/>
      <c r="C25" s="16"/>
      <c r="D25" s="16"/>
      <c r="E25" s="16"/>
      <c r="F25" s="16"/>
      <c r="G25" s="16"/>
      <c r="H25" s="16"/>
      <c r="I25" s="16"/>
      <c r="J25" s="16"/>
      <c r="K25" s="16"/>
      <c r="L25" s="16"/>
      <c r="M25" s="16"/>
      <c r="N25" s="16"/>
      <c r="O25" s="16"/>
      <c r="P25" s="16"/>
      <c r="Q25" s="16"/>
      <c r="R25" s="16"/>
      <c r="S25" s="16"/>
      <c r="T25" s="16"/>
      <c r="U25" s="16"/>
      <c r="V25" s="16"/>
      <c r="W25" s="16"/>
      <c r="X25" s="16"/>
      <c r="Y25" s="16"/>
      <c r="Z25" s="16"/>
      <c r="AA25" s="16"/>
      <c r="AB25" s="16"/>
      <c r="AC25" s="16"/>
      <c r="AD25" s="16"/>
    </row>
    <row r="26" spans="1:30" ht="30" customHeight="1" x14ac:dyDescent="0.3">
      <c r="B26" s="12" t="s">
        <v>35</v>
      </c>
      <c r="C26" s="12"/>
      <c r="D26" s="35">
        <f>Frais!$D$12-tblDépenses[[#Totals],[Colonne1]]</f>
        <v>-450</v>
      </c>
      <c r="E26" s="35">
        <f>Frais!E12-tblDépenses[[#Totals],[Févr]]</f>
        <v>-489</v>
      </c>
      <c r="F26" s="35">
        <f>Frais!F12-tblDépenses[[#Totals],[Mars]]</f>
        <v>-492</v>
      </c>
      <c r="G26" s="35">
        <f>Frais!G12-tblDépenses[[#Totals],[Avr]]</f>
        <v>-450</v>
      </c>
      <c r="H26" s="35">
        <f>Frais!H12-tblDépenses[[#Totals],[Mai]]</f>
        <v>-575</v>
      </c>
      <c r="I26" s="35">
        <f>Frais!I12-tblDépenses[[#Totals],[Juin]]</f>
        <v>-453</v>
      </c>
      <c r="J26" s="35">
        <f>Frais!J12-tblDépenses[[#Totals],[Juil]]</f>
        <v>-417</v>
      </c>
      <c r="K26" s="35">
        <f>Frais!K12-tblDépenses[[#Totals],[Août]]</f>
        <v>-402</v>
      </c>
      <c r="L26" s="35">
        <f>Frais!L12-tblDépenses[[#Totals],[Sept]]</f>
        <v>-468</v>
      </c>
      <c r="M26" s="35">
        <f>Frais!M12-tblDépenses[[#Totals],[Oct]]</f>
        <v>-499</v>
      </c>
      <c r="N26" s="35">
        <f>Frais!N12-tblDépenses[[#Totals],[Nov]]</f>
        <v>-490</v>
      </c>
      <c r="O26" s="35">
        <f>Frais!O12-tblDépenses[[#Totals],[Déc]]</f>
        <v>-555</v>
      </c>
      <c r="P26" s="35">
        <f>SUM(D26:O26)</f>
        <v>-5740</v>
      </c>
      <c r="Q26" s="12"/>
      <c r="R26" s="13">
        <f>D26/$P$26</f>
        <v>7.8397212543554001E-2</v>
      </c>
      <c r="S26" s="13">
        <f t="shared" ref="S26:AD26" si="1">E26/$P$26</f>
        <v>8.5191637630662023E-2</v>
      </c>
      <c r="T26" s="13">
        <f t="shared" si="1"/>
        <v>8.5714285714285715E-2</v>
      </c>
      <c r="U26" s="13">
        <f t="shared" si="1"/>
        <v>7.8397212543554001E-2</v>
      </c>
      <c r="V26" s="13">
        <f t="shared" si="1"/>
        <v>0.10017421602787456</v>
      </c>
      <c r="W26" s="13">
        <f t="shared" si="1"/>
        <v>7.8919860627177707E-2</v>
      </c>
      <c r="X26" s="13">
        <f t="shared" si="1"/>
        <v>7.2648083623693377E-2</v>
      </c>
      <c r="Y26" s="13">
        <f t="shared" si="1"/>
        <v>7.0034843205574918E-2</v>
      </c>
      <c r="Z26" s="13">
        <f t="shared" si="1"/>
        <v>8.1533101045296166E-2</v>
      </c>
      <c r="AA26" s="13">
        <f t="shared" si="1"/>
        <v>8.6933797909407667E-2</v>
      </c>
      <c r="AB26" s="13">
        <f t="shared" si="1"/>
        <v>8.5365853658536592E-2</v>
      </c>
      <c r="AC26" s="13">
        <f t="shared" si="1"/>
        <v>9.6689895470383272E-2</v>
      </c>
      <c r="AD26" s="13">
        <f t="shared" si="1"/>
        <v>1</v>
      </c>
    </row>
  </sheetData>
  <dataValidations count="18">
    <dataValidation allowBlank="1" showInputMessage="1" showErrorMessage="1" prompt="Cette feuille de calcul calcule le total des dépenses par mois et par an, ainsi que le total des dépenses annuelles pour chaque élément. Les bénéfices nets sont calculés automatiquement en fonction de la marge brute et des dépenses totales " sqref="A1:A1048576"/>
    <dataValidation allowBlank="1" showInputMessage="1" showErrorMessage="1" prompt="Le nom de l’entreprise est automatiquement mis à jour à l’aide de l’entrée indiquée dans la feuille de calcul Chiffre d’affaires (ventes)" sqref="AD1"/>
    <dataValidation allowBlank="1" showInputMessage="1" showErrorMessage="1" prompt="Titre automatiquement mis à jour à partir de la feuille de calcul Chiffre d’affaires (ventes) Entrez des valeurs dans le tableau Dépenses ci-dessous pour calculer le total des dépenses" sqref="B2"/>
    <dataValidation allowBlank="1" showInputMessage="1" showErrorMessage="1" prompt="Entrez le pourcentage d’index dans cette colonne" sqref="Q4"/>
    <dataValidation allowBlank="1" showInputMessage="1" showErrorMessage="1" prompt="Les bénéfices nets sont calculés automatiquement par mois et par an en fonction de la marge brute et des dépenses totales" sqref="B26"/>
    <dataValidation allowBlank="1" showInputMessage="1" showErrorMessage="1" prompt="Entrez dans cette colonne les dépenses liées aux sources répertoriées dans la colonne B" sqref="D4:O4"/>
    <dataValidation allowBlank="1" showInputMessage="1" showErrorMessage="1" prompt="Un graphique de tendance représentant les dépenses au fil du temps figure dans cette colonne" sqref="C4"/>
    <dataValidation allowBlank="1" showInputMessage="1" showErrorMessage="1" prompt="Entrez les dépenses dans cette colonne" sqref="B4"/>
    <dataValidation allowBlank="1" showInputMessage="1" showErrorMessage="1" prompt="Calcule automatiquement la proportion de dépenses des différentes sources par rapport aux dépenses totales pour l’année dans cette colonne" sqref="AD3"/>
    <dataValidation allowBlank="1" showInputMessage="1" showErrorMessage="1" prompt="Calcule automatiquement la proportion de dépenses des différentes sources par rapport aux dépenses totales dans cette colonne, pour le mois figurant dans cette cellule" sqref="R3:AC3"/>
    <dataValidation allowBlank="1" showInputMessage="1" showErrorMessage="1" prompt="Mois automatiquement mis à jour" sqref="E3:O3"/>
    <dataValidation allowBlank="1" showInputMessage="1" showErrorMessage="1" prompt="Les dates de cette ligne sont automatiquement mises à jour en fonction du mois de début de chaque exercice. Pour modifier le mois de début, modifiez la cellule AC2" sqref="D3"/>
    <dataValidation allowBlank="1" showInputMessage="1" showErrorMessage="1" prompt="Les dépenses annuelles sont calculées automatiquement dans cette colonne" sqref="P3"/>
    <dataValidation allowBlank="1" showInputMessage="1" showErrorMessage="1" prompt="Le pourcentage d’index figure dans cette colonne" sqref="Q3"/>
    <dataValidation allowBlank="1" showInputMessage="1" showErrorMessage="1" prompt="Cette cellule est automatiquement mise à jour à partir du titre de la période de prévision de la feuille de calcul Chiffre d’affaires (ventes)" sqref="B1"/>
    <dataValidation allowBlank="1" showInputMessage="1" showErrorMessage="1" prompt="Le mois et l’année sont automatiquement mis à jour dans les cellules à droite. Pour modifier le mois ou l’année, modifiez les cellules AC2 et AD2 de la feuille de calcul Chiffre d’affaires (ventes)" sqref="AB2"/>
    <dataValidation allowBlank="1" showInputMessage="1" showErrorMessage="1" prompt="Mois automatiquement mis à jour. Pour modifier, modifiez la cellule AC2 de la feuille de calcul Chiffre d’affaires (ventes)" sqref="AC2"/>
    <dataValidation allowBlank="1" showInputMessage="1" showErrorMessage="1" prompt="Année automatiquement mis à jour. Pour modifier, modifiez la cellule AD2 de la feuille de calcul Chiffre d’affaires (ventes)" sqref="AD2"/>
  </dataValidations>
  <printOptions horizontalCentered="1"/>
  <pageMargins left="0.25" right="0.25" top="0.75" bottom="0.75" header="0.3" footer="0.3"/>
  <pageSetup paperSize="9" scale="40" fitToHeight="0" orientation="landscape" r:id="rId1"/>
  <headerFooter differentFirst="1">
    <oddFooter>Page &amp;P of &amp;N</oddFooter>
  </headerFooter>
  <tableParts count="1">
    <tablePart r:id="rId2"/>
  </tableParts>
  <extLst>
    <ext xmlns:x14="http://schemas.microsoft.com/office/spreadsheetml/2009/9/main" uri="{05C60535-1F16-4fd2-B633-F4F36F0B64E0}">
      <x14:sparklineGroups xmlns:xm="http://schemas.microsoft.com/office/excel/2006/main">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Charge!D5:O5</xm:f>
              <xm:sqref>C5</xm:sqref>
            </x14:sparkline>
            <x14:sparkline>
              <xm:f>Charge!D6:O6</xm:f>
              <xm:sqref>C6</xm:sqref>
            </x14:sparkline>
            <x14:sparkline>
              <xm:f>Charge!D7:O7</xm:f>
              <xm:sqref>C7</xm:sqref>
            </x14:sparkline>
            <x14:sparkline>
              <xm:f>Charge!D8:O8</xm:f>
              <xm:sqref>C8</xm:sqref>
            </x14:sparkline>
            <x14:sparkline>
              <xm:f>Charge!D9:O9</xm:f>
              <xm:sqref>C9</xm:sqref>
            </x14:sparkline>
            <x14:sparkline>
              <xm:f>Charge!D10:O10</xm:f>
              <xm:sqref>C10</xm:sqref>
            </x14:sparkline>
            <x14:sparkline>
              <xm:f>Charge!D11:O11</xm:f>
              <xm:sqref>C11</xm:sqref>
            </x14:sparkline>
            <x14:sparkline>
              <xm:f>Charge!D12:O12</xm:f>
              <xm:sqref>C12</xm:sqref>
            </x14:sparkline>
            <x14:sparkline>
              <xm:f>Charge!D13:O13</xm:f>
              <xm:sqref>C13</xm:sqref>
            </x14:sparkline>
            <x14:sparkline>
              <xm:f>Charge!D14:O14</xm:f>
              <xm:sqref>C14</xm:sqref>
            </x14:sparkline>
            <x14:sparkline>
              <xm:f>Charge!D15:O15</xm:f>
              <xm:sqref>C15</xm:sqref>
            </x14:sparkline>
            <x14:sparkline>
              <xm:f>Charge!D16:O16</xm:f>
              <xm:sqref>C16</xm:sqref>
            </x14:sparkline>
            <x14:sparkline>
              <xm:f>Charge!D17:O17</xm:f>
              <xm:sqref>C17</xm:sqref>
            </x14:sparkline>
            <x14:sparkline>
              <xm:f>Charge!D18:O18</xm:f>
              <xm:sqref>C18</xm:sqref>
            </x14:sparkline>
            <x14:sparkline>
              <xm:f>Charge!D19:O19</xm:f>
              <xm:sqref>C19</xm:sqref>
            </x14:sparkline>
            <x14:sparkline>
              <xm:f>Charge!D20:O20</xm:f>
              <xm:sqref>C20</xm:sqref>
            </x14:sparkline>
            <x14:sparkline>
              <xm:f>Charge!D21:O21</xm:f>
              <xm:sqref>C21</xm:sqref>
            </x14:sparkline>
            <x14:sparkline>
              <xm:f>Charge!D22:O22</xm:f>
              <xm:sqref>C22</xm:sqref>
            </x14:sparkline>
            <x14:sparkline>
              <xm:f>Charge!D23:O23</xm:f>
              <xm:sqref>C23</xm:sqref>
            </x14:sparkline>
          </x14:sparklines>
        </x14:sparklineGroup>
        <x14:sparklineGroup lineWeight="1" displayEmptyCellsAs="gap" high="1" low="1">
          <x14:colorSeries theme="3"/>
          <x14:colorNegative theme="5"/>
          <x14:colorAxis rgb="FF000000"/>
          <x14:colorMarkers theme="4" tint="-0.499984740745262"/>
          <x14:colorFirst theme="4" tint="0.39997558519241921"/>
          <x14:colorLast theme="4" tint="0.39997558519241921"/>
          <x14:colorHigh theme="3"/>
          <x14:colorLow theme="3"/>
          <x14:sparklines>
            <x14:sparkline>
              <xm:f>Charge!D24:O24</xm:f>
              <xm:sqref>C24</xm:sqref>
            </x14:sparkline>
          </x14:sparklines>
        </x14:sparklineGroup>
      </x14:sparklineGroup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13</vt:i4>
      </vt:variant>
    </vt:vector>
  </HeadingPairs>
  <TitlesOfParts>
    <vt:vector size="29" baseType="lpstr">
      <vt:lpstr>Dépôt</vt:lpstr>
      <vt:lpstr>Chiffre d’affaires </vt:lpstr>
      <vt:lpstr>Janvier</vt:lpstr>
      <vt:lpstr>Fevrier</vt:lpstr>
      <vt:lpstr>Mars</vt:lpstr>
      <vt:lpstr>Avril</vt:lpstr>
      <vt:lpstr>Mai</vt:lpstr>
      <vt:lpstr>Juin</vt:lpstr>
      <vt:lpstr>Juillet</vt:lpstr>
      <vt:lpstr>Août</vt:lpstr>
      <vt:lpstr>Septembre</vt:lpstr>
      <vt:lpstr>Otobre</vt:lpstr>
      <vt:lpstr>Novembre</vt:lpstr>
      <vt:lpstr>Décembre</vt:lpstr>
      <vt:lpstr>Frais</vt:lpstr>
      <vt:lpstr>Charge</vt:lpstr>
      <vt:lpstr>AnnéeCalendrier</vt:lpstr>
      <vt:lpstr>DébutSemaine</vt:lpstr>
      <vt:lpstr>FYMonthStart</vt:lpstr>
      <vt:lpstr>FYStartYear</vt:lpstr>
      <vt:lpstr>Charge!Impression_des_titres</vt:lpstr>
      <vt:lpstr>'Chiffre d’affaires '!Impression_des_titres</vt:lpstr>
      <vt:lpstr>Frais!Impression_des_titres</vt:lpstr>
      <vt:lpstr>Nom_Entreprise</vt:lpstr>
      <vt:lpstr>Titre_Feuille_Calcul</vt:lpstr>
      <vt:lpstr>Titre_Période_Prévisions</vt:lpstr>
      <vt:lpstr>Titre1</vt:lpstr>
      <vt:lpstr>Titre2</vt:lpstr>
      <vt:lpstr>Titre3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LIEGEOIS</dc:creator>
  <cp:lastModifiedBy>André dede</cp:lastModifiedBy>
  <dcterms:created xsi:type="dcterms:W3CDTF">2016-12-06T05:59:57Z</dcterms:created>
  <dcterms:modified xsi:type="dcterms:W3CDTF">2019-02-08T18:26:07Z</dcterms:modified>
</cp:coreProperties>
</file>