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filterPrivacy="1" codeName="ThisWorkbook"/>
  <bookViews>
    <workbookView xWindow="0" yWindow="0" windowWidth="19200" windowHeight="7755" tabRatio="629" activeTab="2"/>
  </bookViews>
  <sheets>
    <sheet name="2018" sheetId="4" r:id="rId1"/>
    <sheet name="2019" sheetId="3" r:id="rId2"/>
    <sheet name="2020" sheetId="7" r:id="rId3"/>
  </sheets>
  <definedNames>
    <definedName name="Liste_Choix" localSheetId="2">'2020'!$AV$3:$AV$12</definedName>
    <definedName name="Liste_Choix">'2019'!$AV$3:$AV$12</definedName>
    <definedName name="_xlnm.Print_Area" localSheetId="0">'2018'!$A$1:$AW$96</definedName>
    <definedName name="_xlnm.Print_Area" localSheetId="1">'2019'!$A$3:$AW$98</definedName>
    <definedName name="_xlnm.Print_Area" localSheetId="2">'2020'!$A$3:$AW$98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B25" i="7" l="1"/>
  <c r="J50" i="7" l="1"/>
  <c r="AR98" i="7"/>
  <c r="AJ98" i="7"/>
  <c r="AB98" i="7"/>
  <c r="T98" i="7"/>
  <c r="L98" i="7"/>
  <c r="D98" i="7"/>
  <c r="AR96" i="7"/>
  <c r="AJ96" i="7"/>
  <c r="AB96" i="7"/>
  <c r="T96" i="7"/>
  <c r="L96" i="7"/>
  <c r="D96" i="7"/>
  <c r="AP93" i="7"/>
  <c r="Z93" i="7"/>
  <c r="J93" i="7"/>
  <c r="B93" i="7"/>
  <c r="AP92" i="7"/>
  <c r="AH92" i="7"/>
  <c r="Z92" i="7"/>
  <c r="R92" i="7"/>
  <c r="J92" i="7"/>
  <c r="B92" i="7"/>
  <c r="AP91" i="7"/>
  <c r="AH91" i="7"/>
  <c r="Z91" i="7"/>
  <c r="R91" i="7"/>
  <c r="J91" i="7"/>
  <c r="B91" i="7"/>
  <c r="AP90" i="7"/>
  <c r="AH90" i="7"/>
  <c r="Z90" i="7"/>
  <c r="R90" i="7"/>
  <c r="J90" i="7"/>
  <c r="B90" i="7"/>
  <c r="AP89" i="7"/>
  <c r="AH89" i="7"/>
  <c r="Z89" i="7"/>
  <c r="R89" i="7"/>
  <c r="J89" i="7"/>
  <c r="B89" i="7"/>
  <c r="AP88" i="7"/>
  <c r="AH88" i="7"/>
  <c r="Z88" i="7"/>
  <c r="R88" i="7"/>
  <c r="J88" i="7"/>
  <c r="B88" i="7"/>
  <c r="AP87" i="7"/>
  <c r="AH87" i="7"/>
  <c r="Z87" i="7"/>
  <c r="R87" i="7"/>
  <c r="J87" i="7"/>
  <c r="B87" i="7"/>
  <c r="AP86" i="7"/>
  <c r="AH86" i="7"/>
  <c r="Z86" i="7"/>
  <c r="R86" i="7"/>
  <c r="J86" i="7"/>
  <c r="B86" i="7"/>
  <c r="AP85" i="7"/>
  <c r="AH85" i="7"/>
  <c r="Z85" i="7"/>
  <c r="R85" i="7"/>
  <c r="J85" i="7"/>
  <c r="B85" i="7"/>
  <c r="AP84" i="7"/>
  <c r="AH84" i="7"/>
  <c r="Z84" i="7"/>
  <c r="R84" i="7"/>
  <c r="J84" i="7"/>
  <c r="B84" i="7"/>
  <c r="AP83" i="7"/>
  <c r="AH83" i="7"/>
  <c r="Z83" i="7"/>
  <c r="R83" i="7"/>
  <c r="J83" i="7"/>
  <c r="B83" i="7"/>
  <c r="AP82" i="7"/>
  <c r="AH82" i="7"/>
  <c r="Z82" i="7"/>
  <c r="R82" i="7"/>
  <c r="J82" i="7"/>
  <c r="B82" i="7"/>
  <c r="AP81" i="7"/>
  <c r="AH81" i="7"/>
  <c r="Z81" i="7"/>
  <c r="R81" i="7"/>
  <c r="J81" i="7"/>
  <c r="B81" i="7"/>
  <c r="AP80" i="7"/>
  <c r="AH80" i="7"/>
  <c r="Z80" i="7"/>
  <c r="R80" i="7"/>
  <c r="J80" i="7"/>
  <c r="B80" i="7"/>
  <c r="AP79" i="7"/>
  <c r="AH79" i="7"/>
  <c r="Z79" i="7"/>
  <c r="R79" i="7"/>
  <c r="J79" i="7"/>
  <c r="B79" i="7"/>
  <c r="AP78" i="7"/>
  <c r="AH78" i="7"/>
  <c r="Z78" i="7"/>
  <c r="R78" i="7"/>
  <c r="J78" i="7"/>
  <c r="B78" i="7"/>
  <c r="AP77" i="7"/>
  <c r="AH77" i="7"/>
  <c r="Z77" i="7"/>
  <c r="R77" i="7"/>
  <c r="J77" i="7"/>
  <c r="B77" i="7"/>
  <c r="AP76" i="7"/>
  <c r="AH76" i="7"/>
  <c r="Z76" i="7"/>
  <c r="R76" i="7"/>
  <c r="J76" i="7"/>
  <c r="B76" i="7"/>
  <c r="AP75" i="7"/>
  <c r="AH75" i="7"/>
  <c r="Z75" i="7"/>
  <c r="R75" i="7"/>
  <c r="J75" i="7"/>
  <c r="B75" i="7"/>
  <c r="AP74" i="7"/>
  <c r="AH74" i="7"/>
  <c r="Z74" i="7"/>
  <c r="R74" i="7"/>
  <c r="J74" i="7"/>
  <c r="B74" i="7"/>
  <c r="AP73" i="7"/>
  <c r="AH73" i="7"/>
  <c r="Z73" i="7"/>
  <c r="R73" i="7"/>
  <c r="J73" i="7"/>
  <c r="B73" i="7"/>
  <c r="AP72" i="7"/>
  <c r="AH72" i="7"/>
  <c r="Z72" i="7"/>
  <c r="R72" i="7"/>
  <c r="J72" i="7"/>
  <c r="B72" i="7"/>
  <c r="AP71" i="7"/>
  <c r="AH71" i="7"/>
  <c r="Z71" i="7"/>
  <c r="R71" i="7"/>
  <c r="J71" i="7"/>
  <c r="B71" i="7"/>
  <c r="AP70" i="7"/>
  <c r="AH70" i="7"/>
  <c r="Z70" i="7"/>
  <c r="R70" i="7"/>
  <c r="J70" i="7"/>
  <c r="B70" i="7"/>
  <c r="AP69" i="7"/>
  <c r="AH69" i="7"/>
  <c r="Z69" i="7"/>
  <c r="R69" i="7"/>
  <c r="J69" i="7"/>
  <c r="B69" i="7"/>
  <c r="AP68" i="7"/>
  <c r="AH68" i="7"/>
  <c r="Z68" i="7"/>
  <c r="R68" i="7"/>
  <c r="J68" i="7"/>
  <c r="B68" i="7"/>
  <c r="AP67" i="7"/>
  <c r="AH67" i="7"/>
  <c r="Z67" i="7"/>
  <c r="R67" i="7"/>
  <c r="J67" i="7"/>
  <c r="B67" i="7"/>
  <c r="AP66" i="7"/>
  <c r="AH66" i="7"/>
  <c r="Z66" i="7"/>
  <c r="R66" i="7"/>
  <c r="J66" i="7"/>
  <c r="B66" i="7"/>
  <c r="AP65" i="7"/>
  <c r="AH65" i="7"/>
  <c r="Z65" i="7"/>
  <c r="R65" i="7"/>
  <c r="J65" i="7"/>
  <c r="B65" i="7"/>
  <c r="AP64" i="7"/>
  <c r="AH64" i="7"/>
  <c r="Z64" i="7"/>
  <c r="R64" i="7"/>
  <c r="J64" i="7"/>
  <c r="B64" i="7"/>
  <c r="AP63" i="7"/>
  <c r="AH63" i="7"/>
  <c r="Z63" i="7"/>
  <c r="R63" i="7"/>
  <c r="J63" i="7"/>
  <c r="B63" i="7"/>
  <c r="AR57" i="7"/>
  <c r="AJ57" i="7"/>
  <c r="AB57" i="7"/>
  <c r="T57" i="7"/>
  <c r="L57" i="7"/>
  <c r="F57" i="7"/>
  <c r="P9" i="7" s="1"/>
  <c r="T9" i="7" s="1"/>
  <c r="AR55" i="7"/>
  <c r="AT55" i="7" s="1"/>
  <c r="AJ55" i="7"/>
  <c r="AB55" i="7"/>
  <c r="T55" i="7"/>
  <c r="L55" i="7"/>
  <c r="F55" i="7"/>
  <c r="AH52" i="7"/>
  <c r="R52" i="7"/>
  <c r="B52" i="7"/>
  <c r="AP51" i="7"/>
  <c r="AH51" i="7"/>
  <c r="Z51" i="7"/>
  <c r="R51" i="7"/>
  <c r="B51" i="7"/>
  <c r="AP50" i="7"/>
  <c r="AH50" i="7"/>
  <c r="Z50" i="7"/>
  <c r="R50" i="7"/>
  <c r="B50" i="7"/>
  <c r="AP49" i="7"/>
  <c r="AH49" i="7"/>
  <c r="Z49" i="7"/>
  <c r="R49" i="7"/>
  <c r="J49" i="7"/>
  <c r="B49" i="7"/>
  <c r="AP48" i="7"/>
  <c r="AH48" i="7"/>
  <c r="Z48" i="7"/>
  <c r="R48" i="7"/>
  <c r="J48" i="7"/>
  <c r="B48" i="7"/>
  <c r="AP47" i="7"/>
  <c r="AH47" i="7"/>
  <c r="Z47" i="7"/>
  <c r="R47" i="7"/>
  <c r="J47" i="7"/>
  <c r="B47" i="7"/>
  <c r="AP46" i="7"/>
  <c r="AH46" i="7"/>
  <c r="Z46" i="7"/>
  <c r="R46" i="7"/>
  <c r="J46" i="7"/>
  <c r="B46" i="7"/>
  <c r="AP45" i="7"/>
  <c r="AH45" i="7"/>
  <c r="Z45" i="7"/>
  <c r="R45" i="7"/>
  <c r="J45" i="7"/>
  <c r="B45" i="7"/>
  <c r="AP44" i="7"/>
  <c r="AH44" i="7"/>
  <c r="Z44" i="7"/>
  <c r="R44" i="7"/>
  <c r="J44" i="7"/>
  <c r="B44" i="7"/>
  <c r="AP43" i="7"/>
  <c r="AH43" i="7"/>
  <c r="Z43" i="7"/>
  <c r="R43" i="7"/>
  <c r="J43" i="7"/>
  <c r="B43" i="7"/>
  <c r="AP42" i="7"/>
  <c r="AH42" i="7"/>
  <c r="Z42" i="7"/>
  <c r="R42" i="7"/>
  <c r="J42" i="7"/>
  <c r="B42" i="7"/>
  <c r="AP41" i="7"/>
  <c r="AH41" i="7"/>
  <c r="Z41" i="7"/>
  <c r="R41" i="7"/>
  <c r="J41" i="7"/>
  <c r="B41" i="7"/>
  <c r="AP40" i="7"/>
  <c r="AH40" i="7"/>
  <c r="Z40" i="7"/>
  <c r="R40" i="7"/>
  <c r="J40" i="7"/>
  <c r="B40" i="7"/>
  <c r="AP39" i="7"/>
  <c r="AH39" i="7"/>
  <c r="Z39" i="7"/>
  <c r="R39" i="7"/>
  <c r="J39" i="7"/>
  <c r="B39" i="7"/>
  <c r="AP38" i="7"/>
  <c r="AH38" i="7"/>
  <c r="Z38" i="7"/>
  <c r="R38" i="7"/>
  <c r="J38" i="7"/>
  <c r="B38" i="7"/>
  <c r="AP37" i="7"/>
  <c r="AH37" i="7"/>
  <c r="Z37" i="7"/>
  <c r="R37" i="7"/>
  <c r="J37" i="7"/>
  <c r="B37" i="7"/>
  <c r="AP36" i="7"/>
  <c r="AH36" i="7"/>
  <c r="Z36" i="7"/>
  <c r="R36" i="7"/>
  <c r="J36" i="7"/>
  <c r="B36" i="7"/>
  <c r="AP35" i="7"/>
  <c r="AH35" i="7"/>
  <c r="Z35" i="7"/>
  <c r="R35" i="7"/>
  <c r="J35" i="7"/>
  <c r="B35" i="7"/>
  <c r="AP34" i="7"/>
  <c r="AH34" i="7"/>
  <c r="Z34" i="7"/>
  <c r="R34" i="7"/>
  <c r="J34" i="7"/>
  <c r="B34" i="7"/>
  <c r="AP33" i="7"/>
  <c r="AH33" i="7"/>
  <c r="Z33" i="7"/>
  <c r="R33" i="7"/>
  <c r="J33" i="7"/>
  <c r="B33" i="7"/>
  <c r="AP32" i="7"/>
  <c r="AH32" i="7"/>
  <c r="Z32" i="7"/>
  <c r="R32" i="7"/>
  <c r="J32" i="7"/>
  <c r="B32" i="7"/>
  <c r="AP31" i="7"/>
  <c r="AH31" i="7"/>
  <c r="Z31" i="7"/>
  <c r="R31" i="7"/>
  <c r="J31" i="7"/>
  <c r="B31" i="7"/>
  <c r="AP30" i="7"/>
  <c r="AH30" i="7"/>
  <c r="Z30" i="7"/>
  <c r="R30" i="7"/>
  <c r="J30" i="7"/>
  <c r="B30" i="7"/>
  <c r="AP29" i="7"/>
  <c r="AH29" i="7"/>
  <c r="Z29" i="7"/>
  <c r="R29" i="7"/>
  <c r="J29" i="7"/>
  <c r="B29" i="7"/>
  <c r="AP28" i="7"/>
  <c r="AH28" i="7"/>
  <c r="Z28" i="7"/>
  <c r="R28" i="7"/>
  <c r="J28" i="7"/>
  <c r="B28" i="7"/>
  <c r="AP27" i="7"/>
  <c r="AH27" i="7"/>
  <c r="Z27" i="7"/>
  <c r="R27" i="7"/>
  <c r="J27" i="7"/>
  <c r="B27" i="7"/>
  <c r="AP26" i="7"/>
  <c r="AH26" i="7"/>
  <c r="Z26" i="7"/>
  <c r="R26" i="7"/>
  <c r="J26" i="7"/>
  <c r="B26" i="7"/>
  <c r="AP25" i="7"/>
  <c r="AH25" i="7"/>
  <c r="Z25" i="7"/>
  <c r="R25" i="7"/>
  <c r="J25" i="7"/>
  <c r="AP24" i="7"/>
  <c r="AH24" i="7"/>
  <c r="Z24" i="7"/>
  <c r="R24" i="7"/>
  <c r="J24" i="7"/>
  <c r="B24" i="7"/>
  <c r="AP23" i="7"/>
  <c r="AH23" i="7"/>
  <c r="Z23" i="7"/>
  <c r="R23" i="7"/>
  <c r="J23" i="7"/>
  <c r="B23" i="7"/>
  <c r="AP22" i="7"/>
  <c r="AH22" i="7"/>
  <c r="Z22" i="7"/>
  <c r="R22" i="7"/>
  <c r="J22" i="7"/>
  <c r="B22" i="7"/>
  <c r="X5" i="7" s="1"/>
  <c r="L9" i="7"/>
  <c r="AB5" i="7"/>
  <c r="AF5" i="7" s="1"/>
  <c r="P5" i="7"/>
  <c r="AJ5" i="7" s="1"/>
  <c r="L5" i="7" l="1"/>
  <c r="H55" i="7"/>
  <c r="N55" i="7" s="1"/>
  <c r="V55" i="7" s="1"/>
  <c r="AD55" i="7" s="1"/>
  <c r="AL55" i="7" s="1"/>
  <c r="H57" i="7"/>
  <c r="N57" i="7" s="1"/>
  <c r="V57" i="7" s="1"/>
  <c r="AD57" i="7" s="1"/>
  <c r="AL57" i="7" s="1"/>
  <c r="AT57" i="7" s="1"/>
  <c r="F98" i="7" s="1"/>
  <c r="N98" i="7" s="1"/>
  <c r="V98" i="7" s="1"/>
  <c r="AD98" i="7" s="1"/>
  <c r="AL98" i="7" s="1"/>
  <c r="AT98" i="7" s="1"/>
  <c r="AV55" i="7"/>
  <c r="F96" i="7"/>
  <c r="T5" i="7"/>
  <c r="AP93" i="3"/>
  <c r="AP92" i="3"/>
  <c r="AP91" i="3"/>
  <c r="AP90" i="3"/>
  <c r="AP89" i="3"/>
  <c r="AP88" i="3"/>
  <c r="AP87" i="3"/>
  <c r="AP86" i="3"/>
  <c r="AP85" i="3"/>
  <c r="AP84" i="3"/>
  <c r="AP83" i="3"/>
  <c r="AP82" i="3"/>
  <c r="AP81" i="3"/>
  <c r="AP80" i="3"/>
  <c r="AP79" i="3"/>
  <c r="AP78" i="3"/>
  <c r="AP77" i="3"/>
  <c r="AP76" i="3"/>
  <c r="AP75" i="3"/>
  <c r="AP74" i="3"/>
  <c r="AP73" i="3"/>
  <c r="AP72" i="3"/>
  <c r="AP71" i="3"/>
  <c r="AP70" i="3"/>
  <c r="AP69" i="3"/>
  <c r="AP68" i="3"/>
  <c r="AP67" i="3"/>
  <c r="AP66" i="3"/>
  <c r="AP65" i="3"/>
  <c r="AP64" i="3"/>
  <c r="AP63" i="3"/>
  <c r="AH92" i="3"/>
  <c r="AH91" i="3"/>
  <c r="AH90" i="3"/>
  <c r="AH89" i="3"/>
  <c r="AH88" i="3"/>
  <c r="AH87" i="3"/>
  <c r="AH86" i="3"/>
  <c r="AH85" i="3"/>
  <c r="AH84" i="3"/>
  <c r="AH83" i="3"/>
  <c r="AH82" i="3"/>
  <c r="AH81" i="3"/>
  <c r="AH80" i="3"/>
  <c r="AH79" i="3"/>
  <c r="AH78" i="3"/>
  <c r="AH77" i="3"/>
  <c r="AH76" i="3"/>
  <c r="AH75" i="3"/>
  <c r="AH74" i="3"/>
  <c r="AH73" i="3"/>
  <c r="AH72" i="3"/>
  <c r="AH71" i="3"/>
  <c r="AH70" i="3"/>
  <c r="AH69" i="3"/>
  <c r="AH68" i="3"/>
  <c r="AH67" i="3"/>
  <c r="AH66" i="3"/>
  <c r="AH65" i="3"/>
  <c r="AH64" i="3"/>
  <c r="AH63" i="3"/>
  <c r="Z93" i="3"/>
  <c r="Z92" i="3"/>
  <c r="Z91" i="3"/>
  <c r="Z90" i="3"/>
  <c r="Z89" i="3"/>
  <c r="Z88" i="3"/>
  <c r="Z87" i="3"/>
  <c r="Z86" i="3"/>
  <c r="Z85" i="3"/>
  <c r="Z84" i="3"/>
  <c r="Z83" i="3"/>
  <c r="Z82" i="3"/>
  <c r="Z81" i="3"/>
  <c r="Z80" i="3"/>
  <c r="Z79" i="3"/>
  <c r="Z78" i="3"/>
  <c r="Z77" i="3"/>
  <c r="Z76" i="3"/>
  <c r="Z75" i="3"/>
  <c r="Z74" i="3"/>
  <c r="Z73" i="3"/>
  <c r="Z72" i="3"/>
  <c r="Z71" i="3"/>
  <c r="Z70" i="3"/>
  <c r="Z69" i="3"/>
  <c r="Z68" i="3"/>
  <c r="Z67" i="3"/>
  <c r="Z66" i="3"/>
  <c r="Z65" i="3"/>
  <c r="Z64" i="3"/>
  <c r="Z63" i="3"/>
  <c r="R92" i="3"/>
  <c r="R91" i="3"/>
  <c r="R90" i="3"/>
  <c r="R89" i="3"/>
  <c r="R88" i="3"/>
  <c r="R87" i="3"/>
  <c r="R86" i="3"/>
  <c r="R85" i="3"/>
  <c r="R84" i="3"/>
  <c r="R83" i="3"/>
  <c r="R82" i="3"/>
  <c r="R81" i="3"/>
  <c r="R80" i="3"/>
  <c r="R79" i="3"/>
  <c r="R78" i="3"/>
  <c r="R77" i="3"/>
  <c r="R76" i="3"/>
  <c r="R75" i="3"/>
  <c r="R74" i="3"/>
  <c r="R73" i="3"/>
  <c r="R72" i="3"/>
  <c r="R71" i="3"/>
  <c r="R70" i="3"/>
  <c r="R69" i="3"/>
  <c r="R68" i="3"/>
  <c r="R67" i="3"/>
  <c r="R66" i="3"/>
  <c r="R65" i="3"/>
  <c r="R64" i="3"/>
  <c r="R63" i="3"/>
  <c r="J93" i="3"/>
  <c r="J92" i="3"/>
  <c r="J91" i="3"/>
  <c r="J90" i="3"/>
  <c r="J89" i="3"/>
  <c r="J88" i="3"/>
  <c r="J87" i="3"/>
  <c r="J86" i="3"/>
  <c r="J85" i="3"/>
  <c r="J84" i="3"/>
  <c r="J83" i="3"/>
  <c r="J82" i="3"/>
  <c r="J81" i="3"/>
  <c r="J80" i="3"/>
  <c r="J79" i="3"/>
  <c r="J78" i="3"/>
  <c r="J77" i="3"/>
  <c r="J76" i="3"/>
  <c r="J75" i="3"/>
  <c r="J74" i="3"/>
  <c r="J73" i="3"/>
  <c r="J72" i="3"/>
  <c r="J71" i="3"/>
  <c r="J70" i="3"/>
  <c r="J69" i="3"/>
  <c r="J68" i="3"/>
  <c r="J67" i="3"/>
  <c r="J66" i="3"/>
  <c r="J65" i="3"/>
  <c r="J64" i="3"/>
  <c r="J63" i="3"/>
  <c r="B93" i="3"/>
  <c r="B92" i="3"/>
  <c r="B91" i="3"/>
  <c r="B90" i="3"/>
  <c r="B89" i="3"/>
  <c r="B88" i="3"/>
  <c r="B87" i="3"/>
  <c r="B86" i="3"/>
  <c r="B85" i="3"/>
  <c r="B84" i="3"/>
  <c r="B83" i="3"/>
  <c r="B82" i="3"/>
  <c r="B81" i="3"/>
  <c r="B80" i="3"/>
  <c r="B79" i="3"/>
  <c r="B78" i="3"/>
  <c r="B77" i="3"/>
  <c r="B76" i="3"/>
  <c r="B75" i="3"/>
  <c r="B74" i="3"/>
  <c r="B73" i="3"/>
  <c r="B72" i="3"/>
  <c r="B71" i="3"/>
  <c r="B70" i="3"/>
  <c r="B69" i="3"/>
  <c r="B68" i="3"/>
  <c r="B67" i="3"/>
  <c r="B66" i="3"/>
  <c r="B65" i="3"/>
  <c r="B64" i="3"/>
  <c r="B63" i="3"/>
  <c r="AP51" i="3"/>
  <c r="AP50" i="3"/>
  <c r="AP49" i="3"/>
  <c r="AP48" i="3"/>
  <c r="AP47" i="3"/>
  <c r="AP46" i="3"/>
  <c r="AP45" i="3"/>
  <c r="AP44" i="3"/>
  <c r="AP43" i="3"/>
  <c r="AP42" i="3"/>
  <c r="AP41" i="3"/>
  <c r="AP40" i="3"/>
  <c r="AP39" i="3"/>
  <c r="AP38" i="3"/>
  <c r="AP37" i="3"/>
  <c r="AP36" i="3"/>
  <c r="AP35" i="3"/>
  <c r="AP34" i="3"/>
  <c r="AP33" i="3"/>
  <c r="AP32" i="3"/>
  <c r="AP31" i="3"/>
  <c r="AP30" i="3"/>
  <c r="AP29" i="3"/>
  <c r="AP28" i="3"/>
  <c r="AP27" i="3"/>
  <c r="AP26" i="3"/>
  <c r="AP25" i="3"/>
  <c r="AP24" i="3"/>
  <c r="AP23" i="3"/>
  <c r="AP22" i="3"/>
  <c r="AH52" i="3"/>
  <c r="AH51" i="3"/>
  <c r="AH50" i="3"/>
  <c r="AH49" i="3"/>
  <c r="AH48" i="3"/>
  <c r="AH47" i="3"/>
  <c r="AH46" i="3"/>
  <c r="AH45" i="3"/>
  <c r="AH44" i="3"/>
  <c r="AH43" i="3"/>
  <c r="AH42" i="3"/>
  <c r="AH41" i="3"/>
  <c r="AH40" i="3"/>
  <c r="AH39" i="3"/>
  <c r="AH38" i="3"/>
  <c r="AH37" i="3"/>
  <c r="AH36" i="3"/>
  <c r="AH35" i="3"/>
  <c r="AH34" i="3"/>
  <c r="AH33" i="3"/>
  <c r="AH32" i="3"/>
  <c r="AH31" i="3"/>
  <c r="AH30" i="3"/>
  <c r="AH29" i="3"/>
  <c r="AH28" i="3"/>
  <c r="AH27" i="3"/>
  <c r="AH26" i="3"/>
  <c r="AH25" i="3"/>
  <c r="AH24" i="3"/>
  <c r="AH23" i="3"/>
  <c r="AH22" i="3"/>
  <c r="Z51" i="3"/>
  <c r="Z50" i="3"/>
  <c r="Z49" i="3"/>
  <c r="Z48" i="3"/>
  <c r="Z47" i="3"/>
  <c r="Z46" i="3"/>
  <c r="Z45" i="3"/>
  <c r="Z44" i="3"/>
  <c r="Z43" i="3"/>
  <c r="Z42" i="3"/>
  <c r="Z41" i="3"/>
  <c r="Z40" i="3"/>
  <c r="Z39" i="3"/>
  <c r="Z38" i="3"/>
  <c r="Z37" i="3"/>
  <c r="Z36" i="3"/>
  <c r="Z35" i="3"/>
  <c r="Z34" i="3"/>
  <c r="Z33" i="3"/>
  <c r="Z32" i="3"/>
  <c r="Z31" i="3"/>
  <c r="Z30" i="3"/>
  <c r="Z29" i="3"/>
  <c r="Z28" i="3"/>
  <c r="Z27" i="3"/>
  <c r="Z26" i="3"/>
  <c r="Z25" i="3"/>
  <c r="Z24" i="3"/>
  <c r="Z23" i="3"/>
  <c r="Z22" i="3"/>
  <c r="R52" i="3"/>
  <c r="R51" i="3"/>
  <c r="R50" i="3"/>
  <c r="R49" i="3"/>
  <c r="R48" i="3"/>
  <c r="R47" i="3"/>
  <c r="R46" i="3"/>
  <c r="R45" i="3"/>
  <c r="R44" i="3"/>
  <c r="R43" i="3"/>
  <c r="R42" i="3"/>
  <c r="R41" i="3"/>
  <c r="R40" i="3"/>
  <c r="R39" i="3"/>
  <c r="R38" i="3"/>
  <c r="R37" i="3"/>
  <c r="R36" i="3"/>
  <c r="R35" i="3"/>
  <c r="R34" i="3"/>
  <c r="R33" i="3"/>
  <c r="R32" i="3"/>
  <c r="R31" i="3"/>
  <c r="R30" i="3"/>
  <c r="R29" i="3"/>
  <c r="R28" i="3"/>
  <c r="R27" i="3"/>
  <c r="R26" i="3"/>
  <c r="R25" i="3"/>
  <c r="R24" i="3"/>
  <c r="R23" i="3"/>
  <c r="R22" i="3"/>
  <c r="J50" i="3"/>
  <c r="J49" i="3"/>
  <c r="J48" i="3"/>
  <c r="J47" i="3"/>
  <c r="J46" i="3"/>
  <c r="J45" i="3"/>
  <c r="J44" i="3"/>
  <c r="J43" i="3"/>
  <c r="J42" i="3"/>
  <c r="J41" i="3"/>
  <c r="J40" i="3"/>
  <c r="J39" i="3"/>
  <c r="J38" i="3"/>
  <c r="J37" i="3"/>
  <c r="J36" i="3"/>
  <c r="J35" i="3"/>
  <c r="J34" i="3"/>
  <c r="J33" i="3"/>
  <c r="J32" i="3"/>
  <c r="J31" i="3"/>
  <c r="J30" i="3"/>
  <c r="J29" i="3"/>
  <c r="J28" i="3"/>
  <c r="J27" i="3"/>
  <c r="J26" i="3"/>
  <c r="J25" i="3"/>
  <c r="J24" i="3"/>
  <c r="J23" i="3"/>
  <c r="J22" i="3"/>
  <c r="B52" i="3"/>
  <c r="B51" i="3"/>
  <c r="B50" i="3"/>
  <c r="B49" i="3"/>
  <c r="B48" i="3"/>
  <c r="B47" i="3"/>
  <c r="B46" i="3"/>
  <c r="B45" i="3"/>
  <c r="B44" i="3"/>
  <c r="B43" i="3"/>
  <c r="B42" i="3"/>
  <c r="B41" i="3"/>
  <c r="B40" i="3"/>
  <c r="B39" i="3"/>
  <c r="B38" i="3"/>
  <c r="B37" i="3"/>
  <c r="B36" i="3"/>
  <c r="B35" i="3"/>
  <c r="B34" i="3"/>
  <c r="B33" i="3"/>
  <c r="B32" i="3"/>
  <c r="B31" i="3"/>
  <c r="B30" i="3"/>
  <c r="B29" i="3"/>
  <c r="B28" i="3"/>
  <c r="B27" i="3"/>
  <c r="B26" i="3"/>
  <c r="B25" i="3"/>
  <c r="B24" i="3"/>
  <c r="B23" i="3"/>
  <c r="B22" i="3"/>
  <c r="N96" i="7" l="1"/>
  <c r="H96" i="7"/>
  <c r="X5" i="3"/>
  <c r="V96" i="7" l="1"/>
  <c r="P96" i="7"/>
  <c r="AR98" i="3"/>
  <c r="AJ98" i="3"/>
  <c r="AB98" i="3"/>
  <c r="T98" i="3"/>
  <c r="L98" i="3"/>
  <c r="D98" i="3"/>
  <c r="AR96" i="3"/>
  <c r="AJ96" i="3"/>
  <c r="AB96" i="3"/>
  <c r="T96" i="3"/>
  <c r="L96" i="3"/>
  <c r="D96" i="3"/>
  <c r="AR57" i="3"/>
  <c r="AJ57" i="3"/>
  <c r="AB57" i="3"/>
  <c r="T57" i="3"/>
  <c r="L57" i="3"/>
  <c r="F57" i="3"/>
  <c r="H57" i="3" s="1"/>
  <c r="AR55" i="3"/>
  <c r="AT55" i="3" s="1"/>
  <c r="AJ55" i="3"/>
  <c r="AB55" i="3"/>
  <c r="T55" i="3"/>
  <c r="L55" i="3"/>
  <c r="F55" i="3"/>
  <c r="H55" i="3" s="1"/>
  <c r="D55" i="3"/>
  <c r="L9" i="3"/>
  <c r="P5" i="3"/>
  <c r="AJ5" i="3" s="1"/>
  <c r="AV96" i="4"/>
  <c r="AT96" i="4"/>
  <c r="AN96" i="4"/>
  <c r="AL96" i="4"/>
  <c r="AF96" i="4"/>
  <c r="AD96" i="4"/>
  <c r="X96" i="4"/>
  <c r="V96" i="4"/>
  <c r="P96" i="4"/>
  <c r="N96" i="4"/>
  <c r="H96" i="4"/>
  <c r="F96" i="4"/>
  <c r="AV94" i="4"/>
  <c r="AT94" i="4"/>
  <c r="AN94" i="4"/>
  <c r="AL94" i="4"/>
  <c r="AF94" i="4"/>
  <c r="AD94" i="4"/>
  <c r="X94" i="4"/>
  <c r="V94" i="4"/>
  <c r="P94" i="4"/>
  <c r="N94" i="4"/>
  <c r="H94" i="4"/>
  <c r="F94" i="4"/>
  <c r="AV55" i="4"/>
  <c r="AT55" i="4"/>
  <c r="AR55" i="4"/>
  <c r="AN55" i="4"/>
  <c r="AL55" i="4"/>
  <c r="AJ55" i="4"/>
  <c r="AF55" i="4"/>
  <c r="AD55" i="4"/>
  <c r="AB55" i="4"/>
  <c r="X55" i="4"/>
  <c r="V55" i="4"/>
  <c r="T55" i="4"/>
  <c r="P55" i="4"/>
  <c r="N55" i="4"/>
  <c r="H55" i="4"/>
  <c r="F55" i="4"/>
  <c r="AT53" i="4"/>
  <c r="AR53" i="4"/>
  <c r="AL53" i="4"/>
  <c r="AJ53" i="4"/>
  <c r="AD53" i="4"/>
  <c r="AB53" i="4"/>
  <c r="V53" i="4"/>
  <c r="T53" i="4"/>
  <c r="N53" i="4"/>
  <c r="L53" i="4"/>
  <c r="H53" i="4"/>
  <c r="F53" i="4"/>
  <c r="X96" i="7" l="1"/>
  <c r="AD96" i="7"/>
  <c r="F96" i="3"/>
  <c r="AV55" i="3"/>
  <c r="N55" i="3"/>
  <c r="V55" i="3" s="1"/>
  <c r="AD55" i="3" s="1"/>
  <c r="AL55" i="3" s="1"/>
  <c r="N57" i="3"/>
  <c r="V57" i="3" s="1"/>
  <c r="AD57" i="3" s="1"/>
  <c r="AL57" i="3" s="1"/>
  <c r="AT57" i="3" s="1"/>
  <c r="F98" i="3" s="1"/>
  <c r="N98" i="3" s="1"/>
  <c r="V98" i="3" s="1"/>
  <c r="AD98" i="3" s="1"/>
  <c r="AL98" i="3" s="1"/>
  <c r="AT98" i="3" s="1"/>
  <c r="L5" i="3"/>
  <c r="P9" i="3"/>
  <c r="T9" i="3" s="1"/>
  <c r="T5" i="3"/>
  <c r="AB5" i="3"/>
  <c r="AF5" i="3" s="1"/>
  <c r="AF96" i="7" l="1"/>
  <c r="AL96" i="7"/>
  <c r="H96" i="3"/>
  <c r="N96" i="3"/>
  <c r="AT96" i="7" l="1"/>
  <c r="AV96" i="7" s="1"/>
  <c r="AN96" i="7"/>
  <c r="P96" i="3"/>
  <c r="V96" i="3"/>
  <c r="X96" i="3" l="1"/>
  <c r="AD96" i="3"/>
  <c r="AL96" i="3" l="1"/>
  <c r="AF96" i="3"/>
  <c r="AT96" i="3" l="1"/>
  <c r="AV96" i="3" s="1"/>
  <c r="AN96" i="3"/>
</calcChain>
</file>

<file path=xl/sharedStrings.xml><?xml version="1.0" encoding="utf-8"?>
<sst xmlns="http://schemas.openxmlformats.org/spreadsheetml/2006/main" count="965" uniqueCount="73">
  <si>
    <t>Posés</t>
  </si>
  <si>
    <t>JANVIER</t>
  </si>
  <si>
    <t>FEVRIER</t>
  </si>
  <si>
    <t>MARS</t>
  </si>
  <si>
    <t>AVRIL</t>
  </si>
  <si>
    <t>MAI</t>
  </si>
  <si>
    <t>JUIN</t>
  </si>
  <si>
    <t>DI</t>
  </si>
  <si>
    <t>ME</t>
  </si>
  <si>
    <t>La</t>
  </si>
  <si>
    <t>SA</t>
  </si>
  <si>
    <t>LU</t>
  </si>
  <si>
    <t>JE</t>
  </si>
  <si>
    <t>RTT</t>
  </si>
  <si>
    <t>Cea</t>
  </si>
  <si>
    <t>MA</t>
  </si>
  <si>
    <t>VE</t>
  </si>
  <si>
    <t>Lana</t>
  </si>
  <si>
    <t>JUILLET</t>
  </si>
  <si>
    <t>AOUT</t>
  </si>
  <si>
    <t>SEPTEMBRE</t>
  </si>
  <si>
    <t>OCTOBRE</t>
  </si>
  <si>
    <t>NOVEMBRE</t>
  </si>
  <si>
    <t>DECEMBRE</t>
  </si>
  <si>
    <t>RTT Mika</t>
  </si>
  <si>
    <t>RTT CEA</t>
  </si>
  <si>
    <t>16</t>
  </si>
  <si>
    <t>17</t>
  </si>
  <si>
    <t>23</t>
  </si>
  <si>
    <t>24</t>
  </si>
  <si>
    <t>CALENDRIER 2019</t>
  </si>
  <si>
    <t>Droit</t>
  </si>
  <si>
    <t>Reste</t>
  </si>
  <si>
    <t>2018</t>
  </si>
  <si>
    <t>Posé</t>
  </si>
  <si>
    <t>1</t>
  </si>
  <si>
    <t>Rest</t>
  </si>
  <si>
    <t>CPm</t>
  </si>
  <si>
    <t>CPr</t>
  </si>
  <si>
    <t>1/2C</t>
  </si>
  <si>
    <t>1/2R</t>
  </si>
  <si>
    <t>1/2 CP</t>
  </si>
  <si>
    <t>1/2 RTT</t>
  </si>
  <si>
    <t>CP Mika</t>
  </si>
  <si>
    <t>CP Rachel</t>
  </si>
  <si>
    <t>Restant 2018</t>
  </si>
  <si>
    <t>Restant 2019</t>
  </si>
  <si>
    <t>CP</t>
  </si>
  <si>
    <t>Droits (aujourd'hui)</t>
  </si>
  <si>
    <t>Restant 2019 (-sam)</t>
  </si>
  <si>
    <t>Restant 2019 (+sam)</t>
  </si>
  <si>
    <t>Week-end
Lana</t>
  </si>
  <si>
    <t>Restant 2018 (-sam)</t>
  </si>
  <si>
    <t>Restant (année)</t>
  </si>
  <si>
    <t>Posés 2019</t>
  </si>
  <si>
    <t>Samedis comptés</t>
  </si>
  <si>
    <t>Posés 2019 (Mai=&gt;)</t>
  </si>
  <si>
    <t>Restant 2018 (=&gt;Mai)</t>
  </si>
  <si>
    <t>Samedis non-comptés</t>
  </si>
  <si>
    <t>Samedis</t>
  </si>
  <si>
    <t>CEA</t>
  </si>
  <si>
    <t>Lu-&gt;Ve</t>
  </si>
  <si>
    <t>Lu-&gt;Sa</t>
  </si>
  <si>
    <t>CP Ancienneté</t>
  </si>
  <si>
    <t>Jour d'ancienneté</t>
  </si>
  <si>
    <t>Restant 2018 (=&gt;31/01/19)</t>
  </si>
  <si>
    <t>La/M</t>
  </si>
  <si>
    <t>La/A</t>
  </si>
  <si>
    <t>Lana chez moi</t>
  </si>
  <si>
    <t>Lana chez Aurélia</t>
  </si>
  <si>
    <t>J-A</t>
  </si>
  <si>
    <t>CALENDRIER 2020</t>
  </si>
  <si>
    <t>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</si>
</sst>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ddd\ dd"/>
    <numFmt numFmtId="165" formatCode="ddd"/>
    <numFmt numFmtId="166" formatCode="0.0"/>
    <numFmt numFmtId="167" formatCode="[$-40C]mmm\-yy;@"/>
  </numFmts>
  <fonts count="57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1" tint="0.34998626667073579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i/>
      <sz val="18"/>
      <color rgb="FFFF0000"/>
      <name val="Calibri"/>
      <family val="2"/>
      <scheme val="minor"/>
    </font>
    <font>
      <b/>
      <sz val="54"/>
      <color theme="3"/>
      <name val="Adobe Fan Heiti Std B"/>
    </font>
    <font>
      <b/>
      <sz val="10"/>
      <name val="Calibri"/>
      <family val="2"/>
      <scheme val="minor"/>
    </font>
    <font>
      <b/>
      <sz val="10"/>
      <color rgb="FFFF0000"/>
      <name val="Calibri"/>
      <family val="2"/>
      <scheme val="minor"/>
    </font>
    <font>
      <b/>
      <sz val="12"/>
      <name val="Calibri"/>
      <family val="2"/>
      <scheme val="minor"/>
    </font>
    <font>
      <sz val="10"/>
      <color theme="1" tint="0.34998626667073579"/>
      <name val="Calibri"/>
      <family val="2"/>
      <scheme val="minor"/>
    </font>
    <font>
      <sz val="11"/>
      <color theme="1" tint="0.249977111117893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8"/>
      <color theme="0"/>
      <name val="Calibri"/>
      <family val="2"/>
      <scheme val="minor"/>
    </font>
    <font>
      <b/>
      <sz val="11"/>
      <color indexed="8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theme="8"/>
      <name val="Calibri"/>
      <family val="2"/>
      <scheme val="minor"/>
    </font>
    <font>
      <sz val="12"/>
      <name val="Calibri"/>
      <family val="2"/>
      <scheme val="minor"/>
    </font>
    <font>
      <b/>
      <i/>
      <sz val="11"/>
      <color theme="0"/>
      <name val="Calibri"/>
      <family val="2"/>
      <scheme val="minor"/>
    </font>
    <font>
      <i/>
      <sz val="10"/>
      <color theme="1" tint="0.249977111117893"/>
      <name val="Calibri"/>
      <family val="2"/>
      <scheme val="minor"/>
    </font>
    <font>
      <b/>
      <sz val="8"/>
      <color theme="3"/>
      <name val="Adobe Fan Heiti Std B"/>
    </font>
    <font>
      <b/>
      <sz val="11"/>
      <color rgb="FF00B050"/>
      <name val="Calibri"/>
      <family val="2"/>
      <scheme val="minor"/>
    </font>
    <font>
      <sz val="8"/>
      <color theme="1" tint="0.249977111117893"/>
      <name val="Calibri"/>
      <family val="2"/>
      <scheme val="minor"/>
    </font>
    <font>
      <b/>
      <sz val="10"/>
      <color theme="1" tint="0.249977111117893"/>
      <name val="Calibri"/>
      <family val="2"/>
      <scheme val="minor"/>
    </font>
    <font>
      <sz val="10"/>
      <color theme="1" tint="0.249977111117893"/>
      <name val="Calibri"/>
      <family val="2"/>
      <scheme val="minor"/>
    </font>
    <font>
      <b/>
      <sz val="10"/>
      <color rgb="FF00B050"/>
      <name val="Calibri"/>
      <family val="2"/>
      <scheme val="minor"/>
    </font>
    <font>
      <sz val="10"/>
      <name val="Calibri"/>
      <family val="2"/>
      <scheme val="minor"/>
    </font>
    <font>
      <sz val="9"/>
      <color theme="1" tint="0.249977111117893"/>
      <name val="Calibri"/>
      <family val="2"/>
      <scheme val="minor"/>
    </font>
    <font>
      <i/>
      <sz val="11"/>
      <name val="Calibri"/>
      <family val="2"/>
      <scheme val="minor"/>
    </font>
    <font>
      <b/>
      <sz val="16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11"/>
      <color rgb="FF005426"/>
      <name val="Calibri"/>
      <family val="2"/>
      <scheme val="minor"/>
    </font>
    <font>
      <b/>
      <i/>
      <sz val="11"/>
      <name val="Calibri"/>
      <family val="2"/>
      <scheme val="minor"/>
    </font>
    <font>
      <sz val="9"/>
      <color theme="1" tint="0.34998626667073579"/>
      <name val="Calibri"/>
      <family val="2"/>
      <scheme val="minor"/>
    </font>
    <font>
      <b/>
      <sz val="24"/>
      <name val="Calibri"/>
      <family val="2"/>
      <scheme val="minor"/>
    </font>
    <font>
      <b/>
      <sz val="24"/>
      <color rgb="FFFF0000"/>
      <name val="Calibri"/>
      <family val="2"/>
      <scheme val="minor"/>
    </font>
    <font>
      <sz val="24"/>
      <name val="Calibri"/>
      <family val="2"/>
      <scheme val="minor"/>
    </font>
    <font>
      <sz val="24"/>
      <color theme="1" tint="0.34998626667073579"/>
      <name val="Calibri"/>
      <family val="2"/>
      <scheme val="minor"/>
    </font>
    <font>
      <sz val="24"/>
      <color rgb="FFFF0000"/>
      <name val="Calibri"/>
      <family val="2"/>
      <scheme val="minor"/>
    </font>
    <font>
      <b/>
      <sz val="24"/>
      <color rgb="FF00B050"/>
      <name val="Calibri"/>
      <family val="2"/>
      <scheme val="minor"/>
    </font>
    <font>
      <sz val="24"/>
      <color rgb="FF00B050"/>
      <name val="Calibri"/>
      <family val="2"/>
      <scheme val="minor"/>
    </font>
    <font>
      <b/>
      <i/>
      <sz val="11"/>
      <color rgb="FF005426"/>
      <name val="Calibri"/>
      <family val="2"/>
      <scheme val="minor"/>
    </font>
    <font>
      <b/>
      <sz val="24"/>
      <color theme="4"/>
      <name val="Calibri"/>
      <family val="2"/>
      <scheme val="minor"/>
    </font>
    <font>
      <b/>
      <i/>
      <sz val="24"/>
      <color rgb="FF00B050"/>
      <name val="Calibri"/>
      <family val="2"/>
      <scheme val="minor"/>
    </font>
    <font>
      <b/>
      <sz val="11"/>
      <color theme="1" tint="0.34998626667073579"/>
      <name val="Calibri"/>
      <family val="2"/>
      <scheme val="minor"/>
    </font>
    <font>
      <b/>
      <i/>
      <sz val="24"/>
      <color rgb="FFFF7D7D"/>
      <name val="Calibri"/>
      <family val="2"/>
      <scheme val="minor"/>
    </font>
    <font>
      <b/>
      <i/>
      <sz val="24"/>
      <color theme="4"/>
      <name val="Calibri"/>
      <family val="2"/>
      <scheme val="minor"/>
    </font>
    <font>
      <b/>
      <sz val="11"/>
      <color theme="7"/>
      <name val="Calibri"/>
      <family val="2"/>
      <scheme val="minor"/>
    </font>
    <font>
      <i/>
      <sz val="11"/>
      <color theme="1" tint="0.34998626667073579"/>
      <name val="Calibri"/>
      <family val="2"/>
      <scheme val="minor"/>
    </font>
    <font>
      <b/>
      <sz val="11"/>
      <color theme="9" tint="0.39997558519241921"/>
      <name val="Calibri"/>
      <family val="2"/>
      <scheme val="minor"/>
    </font>
    <font>
      <b/>
      <sz val="24"/>
      <color theme="9" tint="0.3999755851924192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indexed="9"/>
      <name val="Calibri"/>
      <family val="2"/>
      <scheme val="minor"/>
    </font>
    <font>
      <b/>
      <i/>
      <sz val="11"/>
      <color indexed="9"/>
      <name val="Calibri"/>
      <family val="2"/>
      <scheme val="minor"/>
    </font>
    <font>
      <b/>
      <sz val="11"/>
      <color theme="1" tint="0.249977111117893"/>
      <name val="Calibri"/>
      <family val="2"/>
      <scheme val="minor"/>
    </font>
    <font>
      <sz val="11"/>
      <color indexed="9"/>
      <name val="Calibri"/>
      <family val="2"/>
      <scheme val="minor"/>
    </font>
  </fonts>
  <fills count="20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A3CDF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EFAF8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B2000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lightUp">
        <fgColor rgb="FFFF0000"/>
        <bgColor rgb="FFB20000"/>
      </patternFill>
    </fill>
    <fill>
      <patternFill patternType="lightUp">
        <fgColor rgb="FF92D050"/>
        <bgColor rgb="FF00B050"/>
      </patternFill>
    </fill>
    <fill>
      <patternFill patternType="solid">
        <fgColor rgb="FFFFDF79"/>
        <bgColor indexed="64"/>
      </patternFill>
    </fill>
    <fill>
      <patternFill patternType="solid">
        <fgColor rgb="FFACB9CA"/>
        <bgColor indexed="64"/>
      </patternFill>
    </fill>
    <fill>
      <patternFill patternType="solid">
        <fgColor rgb="FFC6E0B4"/>
        <bgColor indexed="64"/>
      </patternFill>
    </fill>
    <fill>
      <patternFill patternType="solid">
        <fgColor rgb="FFAFEAFF"/>
        <bgColor indexed="64"/>
      </patternFill>
    </fill>
    <fill>
      <patternFill patternType="solid">
        <fgColor rgb="FFFFFFFF"/>
        <bgColor indexed="64"/>
      </patternFill>
    </fill>
  </fills>
  <borders count="43">
    <border>
      <left/>
      <right/>
      <top/>
      <bottom/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double">
        <color auto="1"/>
      </left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thin">
        <color theme="0" tint="-0.34998626667073579"/>
      </left>
      <right/>
      <top style="thin">
        <color theme="0" tint="-0.34998626667073579"/>
      </top>
      <bottom style="thin">
        <color theme="0" tint="-0.34998626667073579"/>
      </bottom>
      <diagonal/>
    </border>
    <border>
      <left/>
      <right/>
      <top style="thin">
        <color theme="0" tint="-0.34998626667073579"/>
      </top>
      <bottom style="thin">
        <color theme="0" tint="-0.34998626667073579"/>
      </bottom>
      <diagonal/>
    </border>
    <border>
      <left/>
      <right/>
      <top style="thin">
        <color theme="0" tint="-0.14996795556505021"/>
      </top>
      <bottom style="thin">
        <color theme="0" tint="-0.14996795556505021"/>
      </bottom>
      <diagonal/>
    </border>
    <border>
      <left/>
      <right/>
      <top/>
      <bottom style="thin">
        <color theme="0" tint="-0.14996795556505021"/>
      </bottom>
      <diagonal/>
    </border>
    <border>
      <left style="thin">
        <color theme="0" tint="-0.34998626667073579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double">
        <color auto="1"/>
      </right>
      <top style="medium">
        <color auto="1"/>
      </top>
      <bottom/>
      <diagonal/>
    </border>
    <border>
      <left/>
      <right style="double">
        <color auto="1"/>
      </right>
      <top/>
      <bottom style="medium">
        <color indexed="64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 style="thin">
        <color auto="1"/>
      </bottom>
      <diagonal/>
    </border>
    <border>
      <left style="double">
        <color auto="1"/>
      </left>
      <right style="double">
        <color auto="1"/>
      </right>
      <top style="thin">
        <color auto="1"/>
      </top>
      <bottom style="double">
        <color auto="1"/>
      </bottom>
      <diagonal/>
    </border>
    <border>
      <left style="double">
        <color theme="1"/>
      </left>
      <right style="double">
        <color theme="1"/>
      </right>
      <top style="double">
        <color theme="1"/>
      </top>
      <bottom style="double">
        <color theme="1"/>
      </bottom>
      <diagonal/>
    </border>
    <border>
      <left/>
      <right/>
      <top style="thin">
        <color theme="0" tint="-0.14996795556505021"/>
      </top>
      <bottom/>
      <diagonal/>
    </border>
    <border>
      <left/>
      <right/>
      <top style="thin">
        <color rgb="FFD9D9D9"/>
      </top>
      <bottom style="thin">
        <color rgb="FFD9D9D9"/>
      </bottom>
      <diagonal/>
    </border>
    <border>
      <left/>
      <right/>
      <top style="thin">
        <color rgb="FFD9D9D9"/>
      </top>
      <bottom/>
      <diagonal/>
    </border>
  </borders>
  <cellStyleXfs count="1">
    <xf numFmtId="0" fontId="0" fillId="0" borderId="0"/>
  </cellStyleXfs>
  <cellXfs count="353">
    <xf numFmtId="0" fontId="0" fillId="0" borderId="0" xfId="0"/>
    <xf numFmtId="0" fontId="6" fillId="2" borderId="0" xfId="0" applyFont="1" applyFill="1" applyAlignment="1" applyProtection="1">
      <alignment vertical="center"/>
      <protection locked="0"/>
    </xf>
    <xf numFmtId="0" fontId="6" fillId="2" borderId="0" xfId="0" applyFont="1" applyFill="1" applyAlignment="1" applyProtection="1">
      <alignment horizontal="center" vertical="center"/>
      <protection locked="0"/>
    </xf>
    <xf numFmtId="0" fontId="4" fillId="2" borderId="0" xfId="0" applyFont="1" applyFill="1" applyAlignment="1" applyProtection="1">
      <alignment horizontal="center" vertical="center"/>
      <protection locked="0"/>
    </xf>
    <xf numFmtId="0" fontId="4" fillId="7" borderId="11" xfId="0" applyFont="1" applyFill="1" applyBorder="1" applyAlignment="1" applyProtection="1">
      <alignment horizontal="center" vertical="center"/>
      <protection locked="0"/>
    </xf>
    <xf numFmtId="0" fontId="2" fillId="2" borderId="0" xfId="0" applyFont="1" applyFill="1" applyAlignment="1" applyProtection="1">
      <alignment horizontal="right" vertical="center"/>
      <protection locked="0"/>
    </xf>
    <xf numFmtId="0" fontId="2" fillId="2" borderId="0" xfId="0" applyFont="1" applyFill="1" applyAlignment="1" applyProtection="1">
      <alignment vertical="center"/>
      <protection locked="0"/>
    </xf>
    <xf numFmtId="0" fontId="4" fillId="2" borderId="0" xfId="0" applyFont="1" applyFill="1" applyAlignment="1" applyProtection="1">
      <alignment vertical="center"/>
      <protection locked="0"/>
    </xf>
    <xf numFmtId="1" fontId="4" fillId="2" borderId="0" xfId="0" applyNumberFormat="1" applyFont="1" applyFill="1" applyAlignment="1" applyProtection="1">
      <alignment vertical="center"/>
      <protection locked="0"/>
    </xf>
    <xf numFmtId="165" fontId="11" fillId="2" borderId="0" xfId="0" applyNumberFormat="1" applyFont="1" applyFill="1" applyAlignment="1" applyProtection="1">
      <alignment horizontal="left" vertical="center"/>
      <protection locked="0"/>
    </xf>
    <xf numFmtId="0" fontId="11" fillId="2" borderId="0" xfId="0" applyFont="1" applyFill="1" applyAlignment="1" applyProtection="1">
      <alignment horizontal="right" vertical="center"/>
      <protection locked="0"/>
    </xf>
    <xf numFmtId="164" fontId="11" fillId="2" borderId="0" xfId="0" applyNumberFormat="1" applyFont="1" applyFill="1" applyAlignment="1" applyProtection="1">
      <alignment horizontal="right" vertical="center"/>
      <protection locked="0"/>
    </xf>
    <xf numFmtId="0" fontId="11" fillId="2" borderId="0" xfId="0" quotePrefix="1" applyFont="1" applyFill="1" applyAlignment="1" applyProtection="1">
      <alignment horizontal="right" vertical="center"/>
      <protection locked="0"/>
    </xf>
    <xf numFmtId="164" fontId="11" fillId="2" borderId="0" xfId="0" quotePrefix="1" applyNumberFormat="1" applyFont="1" applyFill="1" applyAlignment="1" applyProtection="1">
      <alignment horizontal="right" vertical="center"/>
      <protection locked="0"/>
    </xf>
    <xf numFmtId="165" fontId="14" fillId="2" borderId="0" xfId="0" applyNumberFormat="1" applyFont="1" applyFill="1" applyAlignment="1" applyProtection="1">
      <alignment horizontal="left" vertical="center"/>
      <protection locked="0"/>
    </xf>
    <xf numFmtId="0" fontId="14" fillId="2" borderId="0" xfId="0" applyFont="1" applyFill="1" applyAlignment="1" applyProtection="1">
      <alignment horizontal="right" vertical="center"/>
      <protection locked="0"/>
    </xf>
    <xf numFmtId="164" fontId="14" fillId="2" borderId="0" xfId="0" applyNumberFormat="1" applyFont="1" applyFill="1" applyAlignment="1" applyProtection="1">
      <alignment horizontal="right" vertical="center"/>
      <protection locked="0"/>
    </xf>
    <xf numFmtId="165" fontId="4" fillId="2" borderId="0" xfId="0" applyNumberFormat="1" applyFont="1" applyFill="1" applyAlignment="1" applyProtection="1">
      <alignment horizontal="left" vertical="center"/>
      <protection locked="0"/>
    </xf>
    <xf numFmtId="0" fontId="4" fillId="2" borderId="0" xfId="0" applyFont="1" applyFill="1" applyAlignment="1" applyProtection="1">
      <alignment horizontal="right" vertical="center"/>
      <protection locked="0"/>
    </xf>
    <xf numFmtId="164" fontId="4" fillId="2" borderId="0" xfId="0" applyNumberFormat="1" applyFont="1" applyFill="1" applyAlignment="1" applyProtection="1">
      <alignment horizontal="right" vertical="center"/>
      <protection locked="0"/>
    </xf>
    <xf numFmtId="0" fontId="9" fillId="2" borderId="0" xfId="0" applyFont="1" applyFill="1" applyAlignment="1" applyProtection="1">
      <alignment horizontal="center" vertical="center"/>
      <protection locked="0"/>
    </xf>
    <xf numFmtId="164" fontId="7" fillId="6" borderId="11" xfId="0" applyNumberFormat="1" applyFont="1" applyFill="1" applyBorder="1" applyAlignment="1">
      <alignment horizontal="center" vertical="center"/>
    </xf>
    <xf numFmtId="164" fontId="12" fillId="10" borderId="11" xfId="0" applyNumberFormat="1" applyFont="1" applyFill="1" applyBorder="1" applyAlignment="1">
      <alignment horizontal="center" vertical="center"/>
    </xf>
    <xf numFmtId="164" fontId="7" fillId="4" borderId="11" xfId="0" applyNumberFormat="1" applyFont="1" applyFill="1" applyBorder="1" applyAlignment="1">
      <alignment horizontal="center" vertical="center"/>
    </xf>
    <xf numFmtId="164" fontId="13" fillId="11" borderId="11" xfId="0" applyNumberFormat="1" applyFont="1" applyFill="1" applyBorder="1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0" fontId="3" fillId="2" borderId="0" xfId="0" applyFont="1" applyFill="1" applyAlignment="1" applyProtection="1">
      <alignment horizontal="center" vertical="center"/>
      <protection locked="0"/>
    </xf>
    <xf numFmtId="164" fontId="3" fillId="2" borderId="0" xfId="0" applyNumberFormat="1" applyFont="1" applyFill="1" applyAlignment="1" applyProtection="1">
      <alignment horizontal="center" vertical="center"/>
      <protection locked="0"/>
    </xf>
    <xf numFmtId="0" fontId="2" fillId="2" borderId="0" xfId="0" applyFont="1" applyFill="1" applyAlignment="1" applyProtection="1">
      <alignment horizontal="center" vertical="center"/>
      <protection locked="0"/>
    </xf>
    <xf numFmtId="0" fontId="2" fillId="2" borderId="0" xfId="0" applyFont="1" applyFill="1" applyAlignment="1" applyProtection="1">
      <alignment horizontal="center" vertical="center"/>
      <protection locked="0"/>
    </xf>
    <xf numFmtId="14" fontId="4" fillId="2" borderId="0" xfId="0" applyNumberFormat="1" applyFont="1" applyFill="1" applyAlignment="1" applyProtection="1">
      <alignment horizontal="center" vertical="center"/>
      <protection locked="0"/>
    </xf>
    <xf numFmtId="49" fontId="6" fillId="2" borderId="0" xfId="0" applyNumberFormat="1" applyFont="1" applyFill="1" applyAlignment="1" applyProtection="1">
      <alignment horizontal="center" vertical="center"/>
      <protection locked="0"/>
    </xf>
    <xf numFmtId="49" fontId="4" fillId="2" borderId="0" xfId="0" applyNumberFormat="1" applyFont="1" applyFill="1" applyAlignment="1" applyProtection="1">
      <alignment horizontal="center" vertical="center"/>
      <protection locked="0"/>
    </xf>
    <xf numFmtId="49" fontId="14" fillId="2" borderId="0" xfId="0" applyNumberFormat="1" applyFont="1" applyFill="1" applyAlignment="1" applyProtection="1">
      <alignment horizontal="right" vertical="center"/>
      <protection locked="0"/>
    </xf>
    <xf numFmtId="1" fontId="4" fillId="2" borderId="0" xfId="0" applyNumberFormat="1" applyFont="1" applyFill="1" applyAlignment="1" applyProtection="1">
      <alignment horizontal="center" vertical="center"/>
      <protection locked="0"/>
    </xf>
    <xf numFmtId="1" fontId="2" fillId="2" borderId="0" xfId="0" applyNumberFormat="1" applyFont="1" applyFill="1" applyAlignment="1" applyProtection="1">
      <alignment horizontal="right" vertical="center"/>
      <protection locked="0"/>
    </xf>
    <xf numFmtId="1" fontId="11" fillId="2" borderId="0" xfId="0" applyNumberFormat="1" applyFont="1" applyFill="1" applyAlignment="1" applyProtection="1">
      <alignment horizontal="left" vertical="center"/>
      <protection locked="0"/>
    </xf>
    <xf numFmtId="1" fontId="11" fillId="2" borderId="0" xfId="0" applyNumberFormat="1" applyFont="1" applyFill="1" applyAlignment="1" applyProtection="1">
      <alignment horizontal="right" vertical="center"/>
      <protection locked="0"/>
    </xf>
    <xf numFmtId="1" fontId="14" fillId="2" borderId="0" xfId="0" applyNumberFormat="1" applyFont="1" applyFill="1" applyAlignment="1" applyProtection="1">
      <alignment horizontal="left" vertical="center"/>
      <protection locked="0"/>
    </xf>
    <xf numFmtId="1" fontId="14" fillId="2" borderId="0" xfId="0" applyNumberFormat="1" applyFont="1" applyFill="1" applyAlignment="1" applyProtection="1">
      <alignment horizontal="right" vertical="center"/>
      <protection locked="0"/>
    </xf>
    <xf numFmtId="1" fontId="4" fillId="2" borderId="0" xfId="0" applyNumberFormat="1" applyFont="1" applyFill="1" applyAlignment="1" applyProtection="1">
      <alignment horizontal="left" vertical="center"/>
      <protection locked="0"/>
    </xf>
    <xf numFmtId="1" fontId="4" fillId="2" borderId="0" xfId="0" applyNumberFormat="1" applyFont="1" applyFill="1" applyAlignment="1" applyProtection="1">
      <alignment horizontal="right" vertical="center"/>
      <protection locked="0"/>
    </xf>
    <xf numFmtId="1" fontId="6" fillId="2" borderId="0" xfId="0" applyNumberFormat="1" applyFont="1" applyFill="1" applyAlignment="1" applyProtection="1">
      <alignment horizontal="center" vertical="center"/>
      <protection locked="0"/>
    </xf>
    <xf numFmtId="1" fontId="3" fillId="2" borderId="0" xfId="0" applyNumberFormat="1" applyFont="1" applyFill="1" applyAlignment="1" applyProtection="1">
      <alignment horizontal="center" vertical="center"/>
      <protection locked="0"/>
    </xf>
    <xf numFmtId="0" fontId="20" fillId="2" borderId="0" xfId="0" applyFont="1" applyFill="1" applyAlignment="1" applyProtection="1">
      <alignment horizontal="center" vertical="center"/>
      <protection locked="0"/>
    </xf>
    <xf numFmtId="0" fontId="21" fillId="2" borderId="0" xfId="0" applyFont="1" applyFill="1" applyAlignment="1" applyProtection="1">
      <alignment horizontal="center" vertical="center"/>
      <protection locked="0"/>
    </xf>
    <xf numFmtId="49" fontId="23" fillId="2" borderId="0" xfId="0" applyNumberFormat="1" applyFont="1" applyFill="1" applyAlignment="1" applyProtection="1">
      <alignment horizontal="center" vertical="center" wrapText="1"/>
      <protection locked="0"/>
    </xf>
    <xf numFmtId="0" fontId="24" fillId="2" borderId="0" xfId="0" applyFont="1" applyFill="1" applyAlignment="1" applyProtection="1">
      <alignment horizontal="center" vertical="center"/>
      <protection locked="0"/>
    </xf>
    <xf numFmtId="166" fontId="12" fillId="10" borderId="11" xfId="0" applyNumberFormat="1" applyFont="1" applyFill="1" applyBorder="1" applyAlignment="1" applyProtection="1">
      <alignment horizontal="center" vertical="center"/>
      <protection locked="0"/>
    </xf>
    <xf numFmtId="166" fontId="3" fillId="2" borderId="0" xfId="0" applyNumberFormat="1" applyFont="1" applyFill="1" applyAlignment="1" applyProtection="1">
      <alignment horizontal="center" vertical="center"/>
      <protection locked="0"/>
    </xf>
    <xf numFmtId="166" fontId="10" fillId="2" borderId="0" xfId="0" applyNumberFormat="1" applyFont="1" applyFill="1" applyAlignment="1" applyProtection="1">
      <alignment horizontal="center" vertical="center"/>
      <protection locked="0"/>
    </xf>
    <xf numFmtId="166" fontId="25" fillId="2" borderId="0" xfId="0" applyNumberFormat="1" applyFont="1" applyFill="1" applyAlignment="1" applyProtection="1">
      <alignment horizontal="center" vertical="center"/>
      <protection locked="0"/>
    </xf>
    <xf numFmtId="166" fontId="26" fillId="0" borderId="17" xfId="0" applyNumberFormat="1" applyFont="1" applyBorder="1" applyAlignment="1" applyProtection="1">
      <alignment horizontal="center" vertical="center"/>
      <protection locked="0"/>
    </xf>
    <xf numFmtId="166" fontId="27" fillId="2" borderId="0" xfId="0" applyNumberFormat="1" applyFont="1" applyFill="1" applyAlignment="1" applyProtection="1">
      <alignment horizontal="center" vertical="center"/>
      <protection locked="0"/>
    </xf>
    <xf numFmtId="166" fontId="8" fillId="0" borderId="17" xfId="0" applyNumberFormat="1" applyFont="1" applyBorder="1" applyAlignment="1" applyProtection="1">
      <alignment horizontal="center" vertical="center"/>
      <protection locked="0"/>
    </xf>
    <xf numFmtId="166" fontId="17" fillId="2" borderId="17" xfId="0" applyNumberFormat="1" applyFont="1" applyFill="1" applyBorder="1" applyAlignment="1" applyProtection="1">
      <alignment horizontal="center" vertical="center"/>
      <protection locked="0"/>
    </xf>
    <xf numFmtId="166" fontId="4" fillId="2" borderId="0" xfId="0" applyNumberFormat="1" applyFont="1" applyFill="1" applyAlignment="1" applyProtection="1">
      <alignment horizontal="center" vertical="center"/>
      <protection locked="0"/>
    </xf>
    <xf numFmtId="49" fontId="28" fillId="2" borderId="0" xfId="0" applyNumberFormat="1" applyFont="1" applyFill="1" applyAlignment="1" applyProtection="1">
      <alignment horizontal="center" vertical="center" wrapText="1"/>
      <protection locked="0"/>
    </xf>
    <xf numFmtId="0" fontId="3" fillId="2" borderId="0" xfId="0" applyFont="1" applyFill="1" applyBorder="1" applyAlignment="1">
      <alignment vertical="center"/>
    </xf>
    <xf numFmtId="0" fontId="3" fillId="2" borderId="0" xfId="0" applyFont="1" applyFill="1" applyAlignment="1">
      <alignment horizontal="left" vertical="center"/>
    </xf>
    <xf numFmtId="0" fontId="3" fillId="2" borderId="0" xfId="0" applyFont="1" applyFill="1" applyAlignment="1" applyProtection="1">
      <alignment vertical="center"/>
      <protection locked="0"/>
    </xf>
    <xf numFmtId="49" fontId="2" fillId="2" borderId="0" xfId="0" applyNumberFormat="1" applyFont="1" applyFill="1" applyAlignment="1" applyProtection="1">
      <alignment vertical="center"/>
      <protection locked="0"/>
    </xf>
    <xf numFmtId="1" fontId="3" fillId="2" borderId="0" xfId="0" applyNumberFormat="1" applyFont="1" applyFill="1" applyAlignment="1" applyProtection="1">
      <alignment vertical="center"/>
      <protection locked="0"/>
    </xf>
    <xf numFmtId="1" fontId="2" fillId="2" borderId="0" xfId="0" applyNumberFormat="1" applyFont="1" applyFill="1" applyAlignment="1" applyProtection="1">
      <alignment vertical="center"/>
      <protection locked="0"/>
    </xf>
    <xf numFmtId="0" fontId="2" fillId="2" borderId="0" xfId="0" applyFont="1" applyFill="1" applyAlignment="1" applyProtection="1">
      <alignment horizontal="left" vertical="center"/>
      <protection locked="0"/>
    </xf>
    <xf numFmtId="0" fontId="3" fillId="2" borderId="0" xfId="0" applyFont="1" applyFill="1" applyAlignment="1" applyProtection="1">
      <alignment horizontal="left" vertical="center"/>
      <protection locked="0"/>
    </xf>
    <xf numFmtId="14" fontId="5" fillId="2" borderId="0" xfId="0" applyNumberFormat="1" applyFont="1" applyFill="1" applyAlignment="1" applyProtection="1">
      <alignment horizontal="center" vertical="center"/>
      <protection locked="0"/>
    </xf>
    <xf numFmtId="49" fontId="4" fillId="2" borderId="0" xfId="0" applyNumberFormat="1" applyFont="1" applyFill="1" applyAlignment="1" applyProtection="1">
      <alignment vertical="center"/>
      <protection locked="0"/>
    </xf>
    <xf numFmtId="0" fontId="18" fillId="2" borderId="0" xfId="0" applyFont="1" applyFill="1" applyAlignment="1" applyProtection="1">
      <alignment vertical="center"/>
      <protection locked="0"/>
    </xf>
    <xf numFmtId="1" fontId="11" fillId="3" borderId="14" xfId="0" applyNumberFormat="1" applyFont="1" applyFill="1" applyBorder="1" applyAlignment="1" applyProtection="1">
      <alignment horizontal="center" vertical="center"/>
      <protection locked="0"/>
    </xf>
    <xf numFmtId="1" fontId="2" fillId="2" borderId="0" xfId="0" quotePrefix="1" applyNumberFormat="1" applyFont="1" applyFill="1" applyAlignment="1" applyProtection="1">
      <alignment horizontal="center" vertical="center"/>
      <protection locked="0"/>
    </xf>
    <xf numFmtId="1" fontId="11" fillId="2" borderId="14" xfId="0" applyNumberFormat="1" applyFont="1" applyFill="1" applyBorder="1" applyAlignment="1" applyProtection="1">
      <alignment horizontal="center" vertical="center"/>
      <protection locked="0"/>
    </xf>
    <xf numFmtId="1" fontId="4" fillId="9" borderId="14" xfId="0" applyNumberFormat="1" applyFont="1" applyFill="1" applyBorder="1" applyAlignment="1" applyProtection="1">
      <alignment horizontal="center" vertical="center"/>
      <protection locked="0"/>
    </xf>
    <xf numFmtId="1" fontId="2" fillId="2" borderId="0" xfId="0" applyNumberFormat="1" applyFont="1" applyFill="1" applyAlignment="1" applyProtection="1">
      <alignment horizontal="center" vertical="center"/>
      <protection locked="0"/>
    </xf>
    <xf numFmtId="1" fontId="4" fillId="8" borderId="14" xfId="0" applyNumberFormat="1" applyFont="1" applyFill="1" applyBorder="1" applyAlignment="1" applyProtection="1">
      <alignment horizontal="center" vertical="center"/>
      <protection locked="0"/>
    </xf>
    <xf numFmtId="1" fontId="11" fillId="2" borderId="15" xfId="0" quotePrefix="1" applyNumberFormat="1" applyFont="1" applyFill="1" applyBorder="1" applyAlignment="1" applyProtection="1">
      <alignment horizontal="center" vertical="center"/>
      <protection locked="0"/>
    </xf>
    <xf numFmtId="1" fontId="11" fillId="2" borderId="0" xfId="0" applyNumberFormat="1" applyFont="1" applyFill="1" applyAlignment="1" applyProtection="1">
      <alignment horizontal="center" vertical="center"/>
      <protection locked="0"/>
    </xf>
    <xf numFmtId="1" fontId="11" fillId="2" borderId="15" xfId="0" applyNumberFormat="1" applyFont="1" applyFill="1" applyBorder="1" applyAlignment="1" applyProtection="1">
      <alignment horizontal="center" vertical="center"/>
      <protection locked="0"/>
    </xf>
    <xf numFmtId="1" fontId="4" fillId="8" borderId="0" xfId="0" applyNumberFormat="1" applyFont="1" applyFill="1" applyAlignment="1" applyProtection="1">
      <alignment horizontal="center" vertical="center"/>
      <protection locked="0"/>
    </xf>
    <xf numFmtId="1" fontId="4" fillId="9" borderId="15" xfId="0" applyNumberFormat="1" applyFont="1" applyFill="1" applyBorder="1" applyAlignment="1" applyProtection="1">
      <alignment horizontal="center" vertical="center"/>
      <protection locked="0"/>
    </xf>
    <xf numFmtId="1" fontId="14" fillId="2" borderId="0" xfId="0" applyNumberFormat="1" applyFont="1" applyFill="1" applyAlignment="1" applyProtection="1">
      <alignment horizontal="center" vertical="center"/>
      <protection locked="0"/>
    </xf>
    <xf numFmtId="165" fontId="11" fillId="2" borderId="14" xfId="0" applyNumberFormat="1" applyFont="1" applyFill="1" applyBorder="1" applyAlignment="1" applyProtection="1">
      <alignment horizontal="center" vertical="center"/>
      <protection locked="0"/>
    </xf>
    <xf numFmtId="0" fontId="11" fillId="2" borderId="14" xfId="0" applyFont="1" applyFill="1" applyBorder="1" applyAlignment="1" applyProtection="1">
      <alignment horizontal="center" vertical="center"/>
      <protection locked="0"/>
    </xf>
    <xf numFmtId="0" fontId="2" fillId="2" borderId="0" xfId="0" quotePrefix="1" applyFont="1" applyFill="1" applyAlignment="1" applyProtection="1">
      <alignment horizontal="center" vertical="center"/>
      <protection locked="0"/>
    </xf>
    <xf numFmtId="165" fontId="4" fillId="8" borderId="14" xfId="0" applyNumberFormat="1" applyFont="1" applyFill="1" applyBorder="1" applyAlignment="1" applyProtection="1">
      <alignment horizontal="center" vertical="center"/>
      <protection locked="0"/>
    </xf>
    <xf numFmtId="0" fontId="4" fillId="9" borderId="14" xfId="0" applyFont="1" applyFill="1" applyBorder="1" applyAlignment="1" applyProtection="1">
      <alignment horizontal="center" vertical="center"/>
      <protection locked="0"/>
    </xf>
    <xf numFmtId="165" fontId="11" fillId="3" borderId="14" xfId="0" applyNumberFormat="1" applyFont="1" applyFill="1" applyBorder="1" applyAlignment="1" applyProtection="1">
      <alignment horizontal="center" vertical="center"/>
      <protection locked="0"/>
    </xf>
    <xf numFmtId="0" fontId="11" fillId="3" borderId="14" xfId="0" applyFont="1" applyFill="1" applyBorder="1" applyAlignment="1" applyProtection="1">
      <alignment horizontal="center" vertical="center"/>
      <protection locked="0"/>
    </xf>
    <xf numFmtId="164" fontId="3" fillId="2" borderId="0" xfId="0" quotePrefix="1" applyNumberFormat="1" applyFont="1" applyFill="1" applyAlignment="1" applyProtection="1">
      <alignment horizontal="center" vertical="center"/>
      <protection locked="0"/>
    </xf>
    <xf numFmtId="165" fontId="4" fillId="9" borderId="14" xfId="0" applyNumberFormat="1" applyFont="1" applyFill="1" applyBorder="1" applyAlignment="1" applyProtection="1">
      <alignment horizontal="center" vertical="center"/>
      <protection locked="0"/>
    </xf>
    <xf numFmtId="164" fontId="14" fillId="2" borderId="0" xfId="0" applyNumberFormat="1" applyFont="1" applyFill="1" applyAlignment="1" applyProtection="1">
      <alignment horizontal="center" vertical="center"/>
      <protection locked="0"/>
    </xf>
    <xf numFmtId="165" fontId="11" fillId="2" borderId="0" xfId="0" applyNumberFormat="1" applyFont="1" applyFill="1" applyAlignment="1" applyProtection="1">
      <alignment horizontal="center" vertical="center"/>
      <protection locked="0"/>
    </xf>
    <xf numFmtId="165" fontId="11" fillId="2" borderId="15" xfId="0" quotePrefix="1" applyNumberFormat="1" applyFont="1" applyFill="1" applyBorder="1" applyAlignment="1" applyProtection="1">
      <alignment horizontal="center" vertical="center"/>
      <protection locked="0"/>
    </xf>
    <xf numFmtId="0" fontId="11" fillId="2" borderId="15" xfId="0" quotePrefix="1" applyFont="1" applyFill="1" applyBorder="1" applyAlignment="1" applyProtection="1">
      <alignment horizontal="center" vertical="center"/>
      <protection locked="0"/>
    </xf>
    <xf numFmtId="165" fontId="11" fillId="2" borderId="15" xfId="0" applyNumberFormat="1" applyFont="1" applyFill="1" applyBorder="1" applyAlignment="1" applyProtection="1">
      <alignment horizontal="center" vertical="center"/>
      <protection locked="0"/>
    </xf>
    <xf numFmtId="165" fontId="4" fillId="8" borderId="15" xfId="0" quotePrefix="1" applyNumberFormat="1" applyFont="1" applyFill="1" applyBorder="1" applyAlignment="1" applyProtection="1">
      <alignment horizontal="center" vertical="center"/>
      <protection locked="0"/>
    </xf>
    <xf numFmtId="1" fontId="4" fillId="9" borderId="15" xfId="0" quotePrefix="1" applyNumberFormat="1" applyFont="1" applyFill="1" applyBorder="1" applyAlignment="1" applyProtection="1">
      <alignment horizontal="center" vertical="center"/>
      <protection locked="0"/>
    </xf>
    <xf numFmtId="0" fontId="11" fillId="2" borderId="0" xfId="0" applyFont="1" applyFill="1" applyAlignment="1" applyProtection="1">
      <alignment horizontal="center" vertical="center"/>
      <protection locked="0"/>
    </xf>
    <xf numFmtId="165" fontId="14" fillId="2" borderId="0" xfId="0" applyNumberFormat="1" applyFont="1" applyFill="1" applyAlignment="1" applyProtection="1">
      <alignment horizontal="center" vertical="center"/>
      <protection locked="0"/>
    </xf>
    <xf numFmtId="0" fontId="14" fillId="2" borderId="0" xfId="0" applyFont="1" applyFill="1" applyAlignment="1" applyProtection="1">
      <alignment horizontal="center" vertical="center"/>
      <protection locked="0"/>
    </xf>
    <xf numFmtId="0" fontId="1" fillId="2" borderId="0" xfId="0" applyFont="1" applyFill="1" applyAlignment="1" applyProtection="1">
      <alignment vertical="center"/>
      <protection locked="0"/>
    </xf>
    <xf numFmtId="164" fontId="19" fillId="13" borderId="36" xfId="0" applyNumberFormat="1" applyFont="1" applyFill="1" applyBorder="1" applyAlignment="1">
      <alignment horizontal="center" vertical="center"/>
    </xf>
    <xf numFmtId="164" fontId="33" fillId="14" borderId="36" xfId="0" applyNumberFormat="1" applyFont="1" applyFill="1" applyBorder="1" applyAlignment="1">
      <alignment horizontal="center" vertical="center"/>
    </xf>
    <xf numFmtId="1" fontId="4" fillId="8" borderId="37" xfId="0" applyNumberFormat="1" applyFont="1" applyFill="1" applyBorder="1" applyAlignment="1" applyProtection="1">
      <alignment horizontal="center" vertical="center"/>
      <protection locked="0"/>
    </xf>
    <xf numFmtId="1" fontId="4" fillId="8" borderId="38" xfId="0" applyNumberFormat="1" applyFont="1" applyFill="1" applyBorder="1" applyAlignment="1" applyProtection="1">
      <alignment horizontal="center" vertical="center"/>
      <protection locked="0"/>
    </xf>
    <xf numFmtId="49" fontId="3" fillId="2" borderId="0" xfId="0" applyNumberFormat="1" applyFont="1" applyFill="1" applyAlignment="1" applyProtection="1">
      <alignment vertical="center"/>
      <protection locked="0"/>
    </xf>
    <xf numFmtId="166" fontId="48" fillId="2" borderId="17" xfId="0" applyNumberFormat="1" applyFont="1" applyFill="1" applyBorder="1" applyAlignment="1" applyProtection="1">
      <alignment horizontal="center" vertical="center"/>
      <protection locked="0"/>
    </xf>
    <xf numFmtId="49" fontId="20" fillId="2" borderId="0" xfId="0" applyNumberFormat="1" applyFont="1" applyFill="1" applyAlignment="1" applyProtection="1">
      <alignment horizontal="center" vertical="center"/>
      <protection locked="0"/>
    </xf>
    <xf numFmtId="0" fontId="49" fillId="2" borderId="0" xfId="0" applyFont="1" applyFill="1" applyAlignment="1" applyProtection="1">
      <alignment vertical="center"/>
      <protection locked="0"/>
    </xf>
    <xf numFmtId="1" fontId="52" fillId="15" borderId="39" xfId="0" applyNumberFormat="1" applyFont="1" applyFill="1" applyBorder="1" applyAlignment="1" applyProtection="1">
      <alignment horizontal="center" vertical="center"/>
      <protection locked="0"/>
    </xf>
    <xf numFmtId="1" fontId="11" fillId="2" borderId="40" xfId="0" applyNumberFormat="1" applyFont="1" applyFill="1" applyBorder="1" applyAlignment="1" applyProtection="1">
      <alignment horizontal="center" vertical="center"/>
      <protection locked="0"/>
    </xf>
    <xf numFmtId="1" fontId="11" fillId="0" borderId="41" xfId="0" applyNumberFormat="1" applyFont="1" applyFill="1" applyBorder="1" applyAlignment="1" applyProtection="1">
      <alignment horizontal="center" vertical="center"/>
      <protection locked="0"/>
    </xf>
    <xf numFmtId="1" fontId="4" fillId="0" borderId="41" xfId="0" applyNumberFormat="1" applyFont="1" applyFill="1" applyBorder="1" applyAlignment="1" applyProtection="1">
      <alignment horizontal="center" vertical="center"/>
      <protection locked="0"/>
    </xf>
    <xf numFmtId="1" fontId="11" fillId="0" borderId="42" xfId="0" applyNumberFormat="1" applyFont="1" applyFill="1" applyBorder="1" applyAlignment="1" applyProtection="1">
      <alignment horizontal="center" vertical="center"/>
      <protection locked="0"/>
    </xf>
    <xf numFmtId="1" fontId="4" fillId="0" borderId="42" xfId="0" applyNumberFormat="1" applyFont="1" applyFill="1" applyBorder="1" applyAlignment="1" applyProtection="1">
      <alignment horizontal="center" vertical="center"/>
      <protection locked="0"/>
    </xf>
    <xf numFmtId="0" fontId="2" fillId="0" borderId="42" xfId="0" applyFont="1" applyFill="1" applyBorder="1" applyAlignment="1" applyProtection="1">
      <alignment horizontal="center" vertical="center"/>
      <protection locked="0"/>
    </xf>
    <xf numFmtId="49" fontId="2" fillId="2" borderId="0" xfId="0" applyNumberFormat="1" applyFont="1" applyFill="1" applyBorder="1" applyAlignment="1" applyProtection="1">
      <alignment vertical="center"/>
      <protection locked="0"/>
    </xf>
    <xf numFmtId="1" fontId="4" fillId="6" borderId="42" xfId="0" applyNumberFormat="1" applyFont="1" applyFill="1" applyBorder="1" applyAlignment="1" applyProtection="1">
      <alignment horizontal="center" vertical="center"/>
      <protection locked="0"/>
    </xf>
    <xf numFmtId="1" fontId="53" fillId="0" borderId="42" xfId="0" applyNumberFormat="1" applyFont="1" applyFill="1" applyBorder="1" applyAlignment="1" applyProtection="1">
      <alignment horizontal="center" vertical="center"/>
      <protection locked="0"/>
    </xf>
    <xf numFmtId="1" fontId="53" fillId="10" borderId="42" xfId="0" applyNumberFormat="1" applyFont="1" applyFill="1" applyBorder="1" applyAlignment="1" applyProtection="1">
      <alignment horizontal="center" vertical="center"/>
      <protection locked="0"/>
    </xf>
    <xf numFmtId="1" fontId="53" fillId="10" borderId="41" xfId="0" applyNumberFormat="1" applyFont="1" applyFill="1" applyBorder="1" applyAlignment="1" applyProtection="1">
      <alignment horizontal="center" vertical="center"/>
      <protection locked="0"/>
    </xf>
    <xf numFmtId="1" fontId="53" fillId="11" borderId="42" xfId="0" applyNumberFormat="1" applyFont="1" applyFill="1" applyBorder="1" applyAlignment="1" applyProtection="1">
      <alignment horizontal="center" vertical="center"/>
      <protection locked="0"/>
    </xf>
    <xf numFmtId="1" fontId="4" fillId="4" borderId="42" xfId="0" applyNumberFormat="1" applyFont="1" applyFill="1" applyBorder="1" applyAlignment="1" applyProtection="1">
      <alignment horizontal="center" vertical="center"/>
      <protection locked="0"/>
    </xf>
    <xf numFmtId="1" fontId="4" fillId="16" borderId="14" xfId="0" applyNumberFormat="1" applyFont="1" applyFill="1" applyBorder="1" applyAlignment="1" applyProtection="1">
      <alignment horizontal="center" vertical="center"/>
      <protection locked="0"/>
    </xf>
    <xf numFmtId="1" fontId="4" fillId="4" borderId="41" xfId="0" applyNumberFormat="1" applyFont="1" applyFill="1" applyBorder="1" applyAlignment="1" applyProtection="1">
      <alignment horizontal="center" vertical="center"/>
      <protection locked="0"/>
    </xf>
    <xf numFmtId="1" fontId="4" fillId="6" borderId="41" xfId="0" applyNumberFormat="1" applyFont="1" applyFill="1" applyBorder="1" applyAlignment="1" applyProtection="1">
      <alignment horizontal="center" vertical="center"/>
      <protection locked="0"/>
    </xf>
    <xf numFmtId="1" fontId="11" fillId="0" borderId="0" xfId="0" applyNumberFormat="1" applyFont="1" applyFill="1" applyBorder="1" applyAlignment="1" applyProtection="1">
      <alignment horizontal="center" vertical="center"/>
      <protection locked="0"/>
    </xf>
    <xf numFmtId="1" fontId="4" fillId="7" borderId="41" xfId="0" applyNumberFormat="1" applyFont="1" applyFill="1" applyBorder="1" applyAlignment="1" applyProtection="1">
      <alignment horizontal="center" vertical="center"/>
      <protection locked="0"/>
    </xf>
    <xf numFmtId="1" fontId="33" fillId="0" borderId="41" xfId="0" applyNumberFormat="1" applyFont="1" applyFill="1" applyBorder="1" applyAlignment="1" applyProtection="1">
      <alignment horizontal="center" vertical="center"/>
      <protection locked="0"/>
    </xf>
    <xf numFmtId="1" fontId="33" fillId="15" borderId="41" xfId="0" applyNumberFormat="1" applyFont="1" applyFill="1" applyBorder="1" applyAlignment="1" applyProtection="1">
      <alignment horizontal="center" vertical="center"/>
      <protection locked="0"/>
    </xf>
    <xf numFmtId="49" fontId="7" fillId="17" borderId="11" xfId="0" applyNumberFormat="1" applyFont="1" applyFill="1" applyBorder="1" applyAlignment="1">
      <alignment horizontal="center" vertical="center"/>
    </xf>
    <xf numFmtId="1" fontId="4" fillId="7" borderId="42" xfId="0" applyNumberFormat="1" applyFont="1" applyFill="1" applyBorder="1" applyAlignment="1" applyProtection="1">
      <alignment horizontal="center" vertical="center"/>
      <protection locked="0"/>
    </xf>
    <xf numFmtId="1" fontId="33" fillId="15" borderId="42" xfId="0" applyNumberFormat="1" applyFont="1" applyFill="1" applyBorder="1" applyAlignment="1" applyProtection="1">
      <alignment horizontal="center" vertical="center"/>
      <protection locked="0"/>
    </xf>
    <xf numFmtId="1" fontId="53" fillId="11" borderId="41" xfId="0" applyNumberFormat="1" applyFont="1" applyFill="1" applyBorder="1" applyAlignment="1" applyProtection="1">
      <alignment horizontal="center" vertical="center"/>
      <protection locked="0"/>
    </xf>
    <xf numFmtId="1" fontId="54" fillId="0" borderId="41" xfId="0" applyNumberFormat="1" applyFont="1" applyFill="1" applyBorder="1" applyAlignment="1" applyProtection="1">
      <alignment horizontal="center" vertical="center"/>
      <protection locked="0"/>
    </xf>
    <xf numFmtId="1" fontId="54" fillId="13" borderId="41" xfId="0" applyNumberFormat="1" applyFont="1" applyFill="1" applyBorder="1" applyAlignment="1" applyProtection="1">
      <alignment horizontal="center" vertical="center"/>
      <protection locked="0"/>
    </xf>
    <xf numFmtId="1" fontId="33" fillId="14" borderId="41" xfId="0" applyNumberFormat="1" applyFont="1" applyFill="1" applyBorder="1" applyAlignment="1" applyProtection="1">
      <alignment horizontal="center" vertical="center"/>
      <protection locked="0"/>
    </xf>
    <xf numFmtId="1" fontId="4" fillId="16" borderId="40" xfId="0" applyNumberFormat="1" applyFont="1" applyFill="1" applyBorder="1" applyAlignment="1" applyProtection="1">
      <alignment horizontal="center" vertical="center"/>
      <protection locked="0"/>
    </xf>
    <xf numFmtId="1" fontId="4" fillId="16" borderId="0" xfId="0" applyNumberFormat="1" applyFont="1" applyFill="1" applyBorder="1" applyAlignment="1" applyProtection="1">
      <alignment horizontal="center" vertical="center"/>
      <protection locked="0"/>
    </xf>
    <xf numFmtId="165" fontId="11" fillId="0" borderId="14" xfId="0" applyNumberFormat="1" applyFont="1" applyFill="1" applyBorder="1" applyAlignment="1" applyProtection="1">
      <alignment horizontal="center" vertical="center"/>
      <protection locked="0"/>
    </xf>
    <xf numFmtId="165" fontId="4" fillId="16" borderId="14" xfId="0" applyNumberFormat="1" applyFont="1" applyFill="1" applyBorder="1" applyAlignment="1" applyProtection="1">
      <alignment horizontal="center" vertical="center"/>
      <protection locked="0"/>
    </xf>
    <xf numFmtId="0" fontId="4" fillId="16" borderId="14" xfId="0" applyFont="1" applyFill="1" applyBorder="1" applyAlignment="1" applyProtection="1">
      <alignment horizontal="center" vertical="center"/>
      <protection locked="0"/>
    </xf>
    <xf numFmtId="1" fontId="4" fillId="16" borderId="15" xfId="0" quotePrefix="1" applyNumberFormat="1" applyFont="1" applyFill="1" applyBorder="1" applyAlignment="1" applyProtection="1">
      <alignment horizontal="center" vertical="center"/>
      <protection locked="0"/>
    </xf>
    <xf numFmtId="1" fontId="4" fillId="16" borderId="15" xfId="0" applyNumberFormat="1" applyFont="1" applyFill="1" applyBorder="1" applyAlignment="1" applyProtection="1">
      <alignment horizontal="center" vertical="center"/>
      <protection locked="0"/>
    </xf>
    <xf numFmtId="1" fontId="11" fillId="16" borderId="14" xfId="0" applyNumberFormat="1" applyFont="1" applyFill="1" applyBorder="1" applyAlignment="1" applyProtection="1">
      <alignment horizontal="center" vertical="center"/>
      <protection locked="0"/>
    </xf>
    <xf numFmtId="165" fontId="4" fillId="2" borderId="0" xfId="0" applyNumberFormat="1" applyFont="1" applyFill="1" applyAlignment="1" applyProtection="1">
      <alignment horizontal="center" vertical="center"/>
      <protection locked="0"/>
    </xf>
    <xf numFmtId="1" fontId="11" fillId="0" borderId="14" xfId="0" applyNumberFormat="1" applyFont="1" applyFill="1" applyBorder="1" applyAlignment="1" applyProtection="1">
      <alignment horizontal="center" vertical="center"/>
      <protection locked="0"/>
    </xf>
    <xf numFmtId="1" fontId="11" fillId="0" borderId="40" xfId="0" applyNumberFormat="1" applyFont="1" applyFill="1" applyBorder="1" applyAlignment="1" applyProtection="1">
      <alignment horizontal="center" vertical="center"/>
      <protection locked="0"/>
    </xf>
    <xf numFmtId="1" fontId="3" fillId="0" borderId="42" xfId="0" applyNumberFormat="1" applyFont="1" applyFill="1" applyBorder="1" applyAlignment="1" applyProtection="1">
      <alignment horizontal="center" vertical="center"/>
      <protection locked="0"/>
    </xf>
    <xf numFmtId="165" fontId="55" fillId="16" borderId="14" xfId="0" applyNumberFormat="1" applyFont="1" applyFill="1" applyBorder="1" applyAlignment="1" applyProtection="1">
      <alignment horizontal="center" vertical="center"/>
      <protection locked="0"/>
    </xf>
    <xf numFmtId="1" fontId="11" fillId="0" borderId="15" xfId="0" applyNumberFormat="1" applyFont="1" applyFill="1" applyBorder="1" applyAlignment="1" applyProtection="1">
      <alignment horizontal="center" vertical="center"/>
      <protection locked="0"/>
    </xf>
    <xf numFmtId="165" fontId="3" fillId="0" borderId="14" xfId="0" applyNumberFormat="1" applyFont="1" applyFill="1" applyBorder="1" applyAlignment="1" applyProtection="1">
      <alignment horizontal="center" vertical="center"/>
      <protection locked="0"/>
    </xf>
    <xf numFmtId="1" fontId="3" fillId="0" borderId="41" xfId="0" applyNumberFormat="1" applyFont="1" applyFill="1" applyBorder="1" applyAlignment="1" applyProtection="1">
      <alignment horizontal="center" vertical="center"/>
      <protection locked="0"/>
    </xf>
    <xf numFmtId="0" fontId="11" fillId="0" borderId="14" xfId="0" applyFont="1" applyFill="1" applyBorder="1" applyAlignment="1" applyProtection="1">
      <alignment horizontal="center" vertical="center"/>
      <protection locked="0"/>
    </xf>
    <xf numFmtId="0" fontId="55" fillId="16" borderId="14" xfId="0" applyFont="1" applyFill="1" applyBorder="1" applyAlignment="1" applyProtection="1">
      <alignment horizontal="center" vertical="center"/>
      <protection locked="0"/>
    </xf>
    <xf numFmtId="1" fontId="55" fillId="16" borderId="14" xfId="0" applyNumberFormat="1" applyFont="1" applyFill="1" applyBorder="1" applyAlignment="1" applyProtection="1">
      <alignment horizontal="center" vertical="center"/>
      <protection locked="0"/>
    </xf>
    <xf numFmtId="0" fontId="11" fillId="0" borderId="15" xfId="0" quotePrefix="1" applyFont="1" applyFill="1" applyBorder="1" applyAlignment="1" applyProtection="1">
      <alignment horizontal="center" vertical="center"/>
      <protection locked="0"/>
    </xf>
    <xf numFmtId="0" fontId="3" fillId="0" borderId="0" xfId="0" applyFont="1" applyFill="1" applyAlignment="1" applyProtection="1">
      <alignment horizontal="center" vertical="center"/>
      <protection locked="0"/>
    </xf>
    <xf numFmtId="1" fontId="11" fillId="0" borderId="15" xfId="0" quotePrefix="1" applyNumberFormat="1" applyFont="1" applyFill="1" applyBorder="1" applyAlignment="1" applyProtection="1">
      <alignment horizontal="center" vertical="center"/>
      <protection locked="0"/>
    </xf>
    <xf numFmtId="0" fontId="11" fillId="0" borderId="0" xfId="0" applyFont="1" applyFill="1" applyAlignment="1" applyProtection="1">
      <alignment horizontal="center" vertical="center"/>
      <protection locked="0"/>
    </xf>
    <xf numFmtId="1" fontId="56" fillId="0" borderId="42" xfId="0" applyNumberFormat="1" applyFont="1" applyFill="1" applyBorder="1" applyAlignment="1" applyProtection="1">
      <alignment horizontal="center" vertical="center"/>
      <protection locked="0"/>
    </xf>
    <xf numFmtId="1" fontId="53" fillId="0" borderId="41" xfId="0" applyNumberFormat="1" applyFont="1" applyFill="1" applyBorder="1" applyAlignment="1" applyProtection="1">
      <alignment horizontal="center" vertical="center"/>
      <protection locked="0"/>
    </xf>
    <xf numFmtId="1" fontId="56" fillId="0" borderId="41" xfId="0" applyNumberFormat="1" applyFont="1" applyFill="1" applyBorder="1" applyAlignment="1" applyProtection="1">
      <alignment horizontal="center" vertical="center"/>
      <protection locked="0"/>
    </xf>
    <xf numFmtId="1" fontId="11" fillId="16" borderId="0" xfId="0" applyNumberFormat="1" applyFont="1" applyFill="1" applyBorder="1" applyAlignment="1" applyProtection="1">
      <alignment horizontal="center" vertical="center"/>
      <protection locked="0"/>
    </xf>
    <xf numFmtId="1" fontId="4" fillId="16" borderId="41" xfId="0" applyNumberFormat="1" applyFont="1" applyFill="1" applyBorder="1" applyAlignment="1" applyProtection="1">
      <alignment horizontal="center" vertical="center"/>
      <protection locked="0"/>
    </xf>
    <xf numFmtId="1" fontId="55" fillId="16" borderId="0" xfId="0" applyNumberFormat="1" applyFont="1" applyFill="1" applyBorder="1" applyAlignment="1" applyProtection="1">
      <alignment horizontal="center" vertical="center"/>
      <protection locked="0"/>
    </xf>
    <xf numFmtId="1" fontId="4" fillId="0" borderId="14" xfId="0" applyNumberFormat="1" applyFont="1" applyFill="1" applyBorder="1" applyAlignment="1" applyProtection="1">
      <alignment horizontal="center" vertical="center"/>
      <protection locked="0"/>
    </xf>
    <xf numFmtId="1" fontId="4" fillId="0" borderId="40" xfId="0" applyNumberFormat="1" applyFont="1" applyFill="1" applyBorder="1" applyAlignment="1" applyProtection="1">
      <alignment horizontal="center" vertical="center"/>
      <protection locked="0"/>
    </xf>
    <xf numFmtId="1" fontId="3" fillId="0" borderId="14" xfId="0" applyNumberFormat="1" applyFont="1" applyFill="1" applyBorder="1" applyAlignment="1" applyProtection="1">
      <alignment horizontal="center" vertical="center"/>
      <protection locked="0"/>
    </xf>
    <xf numFmtId="1" fontId="11" fillId="16" borderId="42" xfId="0" applyNumberFormat="1" applyFont="1" applyFill="1" applyBorder="1" applyAlignment="1" applyProtection="1">
      <alignment horizontal="center" vertical="center"/>
      <protection locked="0"/>
    </xf>
    <xf numFmtId="1" fontId="55" fillId="16" borderId="42" xfId="0" applyNumberFormat="1" applyFont="1" applyFill="1" applyBorder="1" applyAlignment="1" applyProtection="1">
      <alignment horizontal="center" vertical="center"/>
      <protection locked="0"/>
    </xf>
    <xf numFmtId="1" fontId="4" fillId="16" borderId="42" xfId="0" applyNumberFormat="1" applyFont="1" applyFill="1" applyBorder="1" applyAlignment="1" applyProtection="1">
      <alignment horizontal="center" vertical="center"/>
      <protection locked="0"/>
    </xf>
    <xf numFmtId="1" fontId="33" fillId="16" borderId="42" xfId="0" applyNumberFormat="1" applyFont="1" applyFill="1" applyBorder="1" applyAlignment="1" applyProtection="1">
      <alignment horizontal="center" vertical="center"/>
      <protection locked="0"/>
    </xf>
    <xf numFmtId="1" fontId="33" fillId="0" borderId="42" xfId="0" applyNumberFormat="1" applyFont="1" applyFill="1" applyBorder="1" applyAlignment="1" applyProtection="1">
      <alignment horizontal="center" vertical="center"/>
      <protection locked="0"/>
    </xf>
    <xf numFmtId="1" fontId="29" fillId="0" borderId="42" xfId="0" applyNumberFormat="1" applyFont="1" applyFill="1" applyBorder="1" applyAlignment="1" applyProtection="1">
      <alignment horizontal="center" vertical="center"/>
      <protection locked="0"/>
    </xf>
    <xf numFmtId="1" fontId="29" fillId="0" borderId="41" xfId="0" applyNumberFormat="1" applyFont="1" applyFill="1" applyBorder="1" applyAlignment="1" applyProtection="1">
      <alignment horizontal="center" vertical="center"/>
      <protection locked="0"/>
    </xf>
    <xf numFmtId="1" fontId="55" fillId="16" borderId="15" xfId="0" applyNumberFormat="1" applyFont="1" applyFill="1" applyBorder="1" applyAlignment="1" applyProtection="1">
      <alignment horizontal="center" vertical="center"/>
      <protection locked="0"/>
    </xf>
    <xf numFmtId="1" fontId="54" fillId="16" borderId="41" xfId="0" applyNumberFormat="1" applyFont="1" applyFill="1" applyBorder="1" applyAlignment="1" applyProtection="1">
      <alignment horizontal="center" vertical="center"/>
      <protection locked="0"/>
    </xf>
    <xf numFmtId="1" fontId="4" fillId="0" borderId="15" xfId="0" applyNumberFormat="1" applyFont="1" applyFill="1" applyBorder="1" applyAlignment="1" applyProtection="1">
      <alignment horizontal="center" vertical="center"/>
      <protection locked="0"/>
    </xf>
    <xf numFmtId="1" fontId="53" fillId="16" borderId="41" xfId="0" applyNumberFormat="1" applyFont="1" applyFill="1" applyBorder="1" applyAlignment="1" applyProtection="1">
      <alignment horizontal="center" vertical="center"/>
      <protection locked="0"/>
    </xf>
    <xf numFmtId="1" fontId="11" fillId="16" borderId="40" xfId="0" applyNumberFormat="1" applyFont="1" applyFill="1" applyBorder="1" applyAlignment="1" applyProtection="1">
      <alignment horizontal="center" vertical="center"/>
      <protection locked="0"/>
    </xf>
    <xf numFmtId="1" fontId="55" fillId="16" borderId="40" xfId="0" applyNumberFormat="1" applyFont="1" applyFill="1" applyBorder="1" applyAlignment="1" applyProtection="1">
      <alignment horizontal="center" vertical="center"/>
      <protection locked="0"/>
    </xf>
    <xf numFmtId="1" fontId="11" fillId="16" borderId="41" xfId="0" applyNumberFormat="1" applyFont="1" applyFill="1" applyBorder="1" applyAlignment="1" applyProtection="1">
      <alignment horizontal="center" vertical="center"/>
      <protection locked="0"/>
    </xf>
    <xf numFmtId="1" fontId="3" fillId="0" borderId="15" xfId="0" applyNumberFormat="1" applyFont="1" applyFill="1" applyBorder="1" applyAlignment="1" applyProtection="1">
      <alignment horizontal="center" vertical="center"/>
      <protection locked="0"/>
    </xf>
    <xf numFmtId="1" fontId="55" fillId="16" borderId="15" xfId="0" quotePrefix="1" applyNumberFormat="1" applyFont="1" applyFill="1" applyBorder="1" applyAlignment="1" applyProtection="1">
      <alignment horizontal="center" vertical="center"/>
      <protection locked="0"/>
    </xf>
    <xf numFmtId="1" fontId="3" fillId="0" borderId="40" xfId="0" applyNumberFormat="1" applyFont="1" applyFill="1" applyBorder="1" applyAlignment="1" applyProtection="1">
      <alignment horizontal="center" vertical="center"/>
      <protection locked="0"/>
    </xf>
    <xf numFmtId="0" fontId="3" fillId="0" borderId="14" xfId="0" applyFont="1" applyFill="1" applyBorder="1" applyAlignment="1" applyProtection="1">
      <alignment horizontal="center" vertical="center"/>
      <protection locked="0"/>
    </xf>
    <xf numFmtId="0" fontId="2" fillId="16" borderId="42" xfId="0" applyFont="1" applyFill="1" applyBorder="1" applyAlignment="1" applyProtection="1">
      <alignment horizontal="center" vertical="center"/>
      <protection locked="0"/>
    </xf>
    <xf numFmtId="0" fontId="45" fillId="16" borderId="42" xfId="0" applyFont="1" applyFill="1" applyBorder="1" applyAlignment="1" applyProtection="1">
      <alignment horizontal="center" vertical="center"/>
      <protection locked="0"/>
    </xf>
    <xf numFmtId="0" fontId="55" fillId="16" borderId="15" xfId="0" quotePrefix="1" applyFont="1" applyFill="1" applyBorder="1" applyAlignment="1" applyProtection="1">
      <alignment horizontal="center" vertical="center"/>
      <protection locked="0"/>
    </xf>
    <xf numFmtId="1" fontId="3" fillId="0" borderId="15" xfId="0" quotePrefix="1" applyNumberFormat="1" applyFont="1" applyFill="1" applyBorder="1" applyAlignment="1" applyProtection="1">
      <alignment horizontal="center" vertical="center"/>
      <protection locked="0"/>
    </xf>
    <xf numFmtId="1" fontId="53" fillId="16" borderId="42" xfId="0" applyNumberFormat="1" applyFont="1" applyFill="1" applyBorder="1" applyAlignment="1" applyProtection="1">
      <alignment horizontal="center" vertical="center"/>
      <protection locked="0"/>
    </xf>
    <xf numFmtId="0" fontId="55" fillId="16" borderId="0" xfId="0" applyFont="1" applyFill="1" applyAlignment="1" applyProtection="1">
      <alignment horizontal="center" vertical="center"/>
      <protection locked="0"/>
    </xf>
    <xf numFmtId="165" fontId="55" fillId="18" borderId="14" xfId="0" applyNumberFormat="1" applyFont="1" applyFill="1" applyBorder="1" applyAlignment="1" applyProtection="1">
      <alignment horizontal="center" vertical="center"/>
      <protection locked="0"/>
    </xf>
    <xf numFmtId="0" fontId="2" fillId="2" borderId="0" xfId="0" applyFont="1" applyFill="1" applyAlignment="1" applyProtection="1">
      <alignment horizontal="center" vertical="center"/>
      <protection locked="0"/>
    </xf>
    <xf numFmtId="0" fontId="2" fillId="18" borderId="0" xfId="0" applyFont="1" applyFill="1" applyAlignment="1" applyProtection="1">
      <alignment vertical="center"/>
      <protection locked="0"/>
    </xf>
    <xf numFmtId="49" fontId="22" fillId="0" borderId="30" xfId="0" applyNumberFormat="1" applyFont="1" applyFill="1" applyBorder="1" applyAlignment="1">
      <alignment horizontal="center" vertical="center"/>
    </xf>
    <xf numFmtId="49" fontId="22" fillId="0" borderId="31" xfId="0" applyNumberFormat="1" applyFont="1" applyFill="1" applyBorder="1" applyAlignment="1">
      <alignment horizontal="center" vertical="center"/>
    </xf>
    <xf numFmtId="49" fontId="22" fillId="0" borderId="32" xfId="0" applyNumberFormat="1" applyFont="1" applyFill="1" applyBorder="1" applyAlignment="1">
      <alignment horizontal="center" vertical="center"/>
    </xf>
    <xf numFmtId="49" fontId="32" fillId="12" borderId="30" xfId="0" applyNumberFormat="1" applyFont="1" applyFill="1" applyBorder="1" applyAlignment="1">
      <alignment horizontal="center" vertical="center"/>
    </xf>
    <xf numFmtId="49" fontId="32" fillId="12" borderId="31" xfId="0" applyNumberFormat="1" applyFont="1" applyFill="1" applyBorder="1" applyAlignment="1">
      <alignment horizontal="center" vertical="center"/>
    </xf>
    <xf numFmtId="49" fontId="32" fillId="12" borderId="32" xfId="0" applyNumberFormat="1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left" vertical="center"/>
    </xf>
    <xf numFmtId="0" fontId="3" fillId="2" borderId="0" xfId="0" applyFont="1" applyFill="1" applyBorder="1" applyAlignment="1">
      <alignment horizontal="left" vertical="center"/>
    </xf>
    <xf numFmtId="49" fontId="29" fillId="0" borderId="5" xfId="0" applyNumberFormat="1" applyFont="1" applyFill="1" applyBorder="1" applyAlignment="1">
      <alignment horizontal="center" vertical="center"/>
    </xf>
    <xf numFmtId="49" fontId="29" fillId="0" borderId="6" xfId="0" applyNumberFormat="1" applyFont="1" applyFill="1" applyBorder="1" applyAlignment="1">
      <alignment horizontal="center" vertical="center"/>
    </xf>
    <xf numFmtId="49" fontId="29" fillId="0" borderId="33" xfId="0" applyNumberFormat="1" applyFont="1" applyFill="1" applyBorder="1" applyAlignment="1">
      <alignment horizontal="center" vertical="center"/>
    </xf>
    <xf numFmtId="49" fontId="16" fillId="0" borderId="31" xfId="0" applyNumberFormat="1" applyFont="1" applyFill="1" applyBorder="1" applyAlignment="1">
      <alignment horizontal="center" vertical="center"/>
    </xf>
    <xf numFmtId="49" fontId="16" fillId="0" borderId="32" xfId="0" applyNumberFormat="1" applyFont="1" applyFill="1" applyBorder="1" applyAlignment="1">
      <alignment horizontal="center" vertical="center"/>
    </xf>
    <xf numFmtId="49" fontId="30" fillId="6" borderId="5" xfId="0" applyNumberFormat="1" applyFont="1" applyFill="1" applyBorder="1" applyAlignment="1">
      <alignment horizontal="center" vertical="center"/>
    </xf>
    <xf numFmtId="49" fontId="30" fillId="6" borderId="7" xfId="0" applyNumberFormat="1" applyFont="1" applyFill="1" applyBorder="1" applyAlignment="1">
      <alignment horizontal="center" vertical="center"/>
    </xf>
    <xf numFmtId="49" fontId="30" fillId="6" borderId="23" xfId="0" applyNumberFormat="1" applyFont="1" applyFill="1" applyBorder="1" applyAlignment="1">
      <alignment horizontal="center" vertical="center"/>
    </xf>
    <xf numFmtId="49" fontId="30" fillId="6" borderId="24" xfId="0" applyNumberFormat="1" applyFont="1" applyFill="1" applyBorder="1" applyAlignment="1">
      <alignment horizontal="center" vertical="center"/>
    </xf>
    <xf numFmtId="1" fontId="35" fillId="0" borderId="5" xfId="0" applyNumberFormat="1" applyFont="1" applyFill="1" applyBorder="1" applyAlignment="1">
      <alignment horizontal="center" vertical="center"/>
    </xf>
    <xf numFmtId="1" fontId="35" fillId="0" borderId="6" xfId="0" applyNumberFormat="1" applyFont="1" applyFill="1" applyBorder="1" applyAlignment="1">
      <alignment horizontal="center" vertical="center"/>
    </xf>
    <xf numFmtId="1" fontId="35" fillId="0" borderId="33" xfId="0" applyNumberFormat="1" applyFont="1" applyFill="1" applyBorder="1" applyAlignment="1">
      <alignment horizontal="center" vertical="center"/>
    </xf>
    <xf numFmtId="1" fontId="35" fillId="0" borderId="23" xfId="0" applyNumberFormat="1" applyFont="1" applyFill="1" applyBorder="1" applyAlignment="1">
      <alignment horizontal="center" vertical="center"/>
    </xf>
    <xf numFmtId="1" fontId="35" fillId="0" borderId="22" xfId="0" applyNumberFormat="1" applyFont="1" applyFill="1" applyBorder="1" applyAlignment="1">
      <alignment horizontal="center" vertical="center"/>
    </xf>
    <xf numFmtId="1" fontId="35" fillId="0" borderId="34" xfId="0" applyNumberFormat="1" applyFont="1" applyFill="1" applyBorder="1" applyAlignment="1">
      <alignment horizontal="center" vertical="center"/>
    </xf>
    <xf numFmtId="1" fontId="36" fillId="0" borderId="6" xfId="0" applyNumberFormat="1" applyFont="1" applyFill="1" applyBorder="1" applyAlignment="1">
      <alignment horizontal="center" vertical="center"/>
    </xf>
    <xf numFmtId="1" fontId="36" fillId="0" borderId="7" xfId="0" applyNumberFormat="1" applyFont="1" applyFill="1" applyBorder="1" applyAlignment="1">
      <alignment horizontal="center" vertical="center"/>
    </xf>
    <xf numFmtId="1" fontId="36" fillId="0" borderId="22" xfId="0" applyNumberFormat="1" applyFont="1" applyFill="1" applyBorder="1" applyAlignment="1">
      <alignment horizontal="center" vertical="center"/>
    </xf>
    <xf numFmtId="1" fontId="36" fillId="0" borderId="24" xfId="0" applyNumberFormat="1" applyFont="1" applyFill="1" applyBorder="1" applyAlignment="1">
      <alignment horizontal="center" vertical="center"/>
    </xf>
    <xf numFmtId="166" fontId="35" fillId="0" borderId="5" xfId="0" applyNumberFormat="1" applyFont="1" applyFill="1" applyBorder="1" applyAlignment="1">
      <alignment horizontal="center" vertical="center"/>
    </xf>
    <xf numFmtId="166" fontId="35" fillId="0" borderId="6" xfId="0" applyNumberFormat="1" applyFont="1" applyFill="1" applyBorder="1" applyAlignment="1">
      <alignment horizontal="center" vertical="center"/>
    </xf>
    <xf numFmtId="166" fontId="35" fillId="0" borderId="7" xfId="0" applyNumberFormat="1" applyFont="1" applyFill="1" applyBorder="1" applyAlignment="1">
      <alignment horizontal="center" vertical="center"/>
    </xf>
    <xf numFmtId="166" fontId="35" fillId="0" borderId="23" xfId="0" applyNumberFormat="1" applyFont="1" applyFill="1" applyBorder="1" applyAlignment="1">
      <alignment horizontal="center" vertical="center"/>
    </xf>
    <xf numFmtId="166" fontId="35" fillId="0" borderId="22" xfId="0" applyNumberFormat="1" applyFont="1" applyFill="1" applyBorder="1" applyAlignment="1">
      <alignment horizontal="center" vertical="center"/>
    </xf>
    <xf numFmtId="166" fontId="35" fillId="0" borderId="24" xfId="0" applyNumberFormat="1" applyFont="1" applyFill="1" applyBorder="1" applyAlignment="1">
      <alignment horizontal="center" vertical="center"/>
    </xf>
    <xf numFmtId="1" fontId="35" fillId="12" borderId="5" xfId="0" applyNumberFormat="1" applyFont="1" applyFill="1" applyBorder="1" applyAlignment="1">
      <alignment horizontal="center" vertical="center"/>
    </xf>
    <xf numFmtId="1" fontId="35" fillId="12" borderId="6" xfId="0" applyNumberFormat="1" applyFont="1" applyFill="1" applyBorder="1" applyAlignment="1">
      <alignment horizontal="center" vertical="center"/>
    </xf>
    <xf numFmtId="1" fontId="35" fillId="12" borderId="7" xfId="0" applyNumberFormat="1" applyFont="1" applyFill="1" applyBorder="1" applyAlignment="1">
      <alignment horizontal="center" vertical="center"/>
    </xf>
    <xf numFmtId="1" fontId="35" fillId="12" borderId="23" xfId="0" applyNumberFormat="1" applyFont="1" applyFill="1" applyBorder="1" applyAlignment="1">
      <alignment horizontal="center" vertical="center"/>
    </xf>
    <xf numFmtId="1" fontId="35" fillId="12" borderId="22" xfId="0" applyNumberFormat="1" applyFont="1" applyFill="1" applyBorder="1" applyAlignment="1">
      <alignment horizontal="center" vertical="center"/>
    </xf>
    <xf numFmtId="1" fontId="35" fillId="12" borderId="24" xfId="0" applyNumberFormat="1" applyFont="1" applyFill="1" applyBorder="1" applyAlignment="1">
      <alignment horizontal="center" vertical="center"/>
    </xf>
    <xf numFmtId="0" fontId="34" fillId="2" borderId="4" xfId="0" applyFont="1" applyFill="1" applyBorder="1" applyAlignment="1" applyProtection="1">
      <alignment horizontal="center" vertical="center" wrapText="1"/>
      <protection locked="0"/>
    </xf>
    <xf numFmtId="0" fontId="34" fillId="2" borderId="0" xfId="0" applyFont="1" applyFill="1" applyAlignment="1" applyProtection="1">
      <alignment horizontal="center" vertical="center"/>
      <protection locked="0"/>
    </xf>
    <xf numFmtId="0" fontId="34" fillId="2" borderId="4" xfId="0" applyFont="1" applyFill="1" applyBorder="1" applyAlignment="1" applyProtection="1">
      <alignment horizontal="center" vertical="center"/>
      <protection locked="0"/>
    </xf>
    <xf numFmtId="49" fontId="29" fillId="2" borderId="25" xfId="0" applyNumberFormat="1" applyFont="1" applyFill="1" applyBorder="1" applyAlignment="1" applyProtection="1">
      <alignment horizontal="center" vertical="center"/>
      <protection locked="0"/>
    </xf>
    <xf numFmtId="49" fontId="29" fillId="2" borderId="26" xfId="0" applyNumberFormat="1" applyFont="1" applyFill="1" applyBorder="1" applyAlignment="1" applyProtection="1">
      <alignment horizontal="center" vertical="center"/>
      <protection locked="0"/>
    </xf>
    <xf numFmtId="49" fontId="29" fillId="2" borderId="35" xfId="0" applyNumberFormat="1" applyFont="1" applyFill="1" applyBorder="1" applyAlignment="1" applyProtection="1">
      <alignment horizontal="center" vertical="center"/>
      <protection locked="0"/>
    </xf>
    <xf numFmtId="49" fontId="16" fillId="2" borderId="25" xfId="0" applyNumberFormat="1" applyFont="1" applyFill="1" applyBorder="1" applyAlignment="1" applyProtection="1">
      <alignment horizontal="center" vertical="center"/>
      <protection locked="0"/>
    </xf>
    <xf numFmtId="49" fontId="16" fillId="2" borderId="26" xfId="0" applyNumberFormat="1" applyFont="1" applyFill="1" applyBorder="1" applyAlignment="1" applyProtection="1">
      <alignment horizontal="center" vertical="center"/>
      <protection locked="0"/>
    </xf>
    <xf numFmtId="49" fontId="16" fillId="2" borderId="27" xfId="0" applyNumberFormat="1" applyFont="1" applyFill="1" applyBorder="1" applyAlignment="1" applyProtection="1">
      <alignment horizontal="center" vertical="center"/>
      <protection locked="0"/>
    </xf>
    <xf numFmtId="49" fontId="22" fillId="2" borderId="25" xfId="0" applyNumberFormat="1" applyFont="1" applyFill="1" applyBorder="1" applyAlignment="1" applyProtection="1">
      <alignment horizontal="center" vertical="center"/>
      <protection locked="0"/>
    </xf>
    <xf numFmtId="49" fontId="22" fillId="2" borderId="26" xfId="0" applyNumberFormat="1" applyFont="1" applyFill="1" applyBorder="1" applyAlignment="1" applyProtection="1">
      <alignment horizontal="center" vertical="center"/>
      <protection locked="0"/>
    </xf>
    <xf numFmtId="49" fontId="22" fillId="2" borderId="27" xfId="0" applyNumberFormat="1" applyFont="1" applyFill="1" applyBorder="1" applyAlignment="1" applyProtection="1">
      <alignment horizontal="center" vertical="center"/>
      <protection locked="0"/>
    </xf>
    <xf numFmtId="49" fontId="31" fillId="10" borderId="5" xfId="0" applyNumberFormat="1" applyFont="1" applyFill="1" applyBorder="1" applyAlignment="1">
      <alignment horizontal="center" vertical="center"/>
    </xf>
    <xf numFmtId="49" fontId="31" fillId="10" borderId="7" xfId="0" applyNumberFormat="1" applyFont="1" applyFill="1" applyBorder="1" applyAlignment="1">
      <alignment horizontal="center" vertical="center"/>
    </xf>
    <xf numFmtId="49" fontId="31" fillId="10" borderId="23" xfId="0" applyNumberFormat="1" applyFont="1" applyFill="1" applyBorder="1" applyAlignment="1">
      <alignment horizontal="center" vertical="center"/>
    </xf>
    <xf numFmtId="49" fontId="31" fillId="10" borderId="24" xfId="0" applyNumberFormat="1" applyFont="1" applyFill="1" applyBorder="1" applyAlignment="1">
      <alignment horizontal="center" vertical="center"/>
    </xf>
    <xf numFmtId="49" fontId="37" fillId="2" borderId="6" xfId="0" applyNumberFormat="1" applyFont="1" applyFill="1" applyBorder="1" applyAlignment="1" applyProtection="1">
      <alignment horizontal="center" vertical="center"/>
      <protection locked="0"/>
    </xf>
    <xf numFmtId="49" fontId="37" fillId="2" borderId="22" xfId="0" applyNumberFormat="1" applyFont="1" applyFill="1" applyBorder="1" applyAlignment="1" applyProtection="1">
      <alignment horizontal="center" vertical="center"/>
      <protection locked="0"/>
    </xf>
    <xf numFmtId="49" fontId="38" fillId="2" borderId="18" xfId="0" applyNumberFormat="1" applyFont="1" applyFill="1" applyBorder="1" applyAlignment="1" applyProtection="1">
      <alignment horizontal="center" vertical="center"/>
      <protection locked="0"/>
    </xf>
    <xf numFmtId="49" fontId="38" fillId="2" borderId="28" xfId="0" applyNumberFormat="1" applyFont="1" applyFill="1" applyBorder="1" applyAlignment="1" applyProtection="1">
      <alignment horizontal="center" vertical="center"/>
      <protection locked="0"/>
    </xf>
    <xf numFmtId="49" fontId="38" fillId="2" borderId="19" xfId="0" applyNumberFormat="1" applyFont="1" applyFill="1" applyBorder="1" applyAlignment="1" applyProtection="1">
      <alignment horizontal="center" vertical="center"/>
      <protection locked="0"/>
    </xf>
    <xf numFmtId="49" fontId="38" fillId="2" borderId="20" xfId="0" applyNumberFormat="1" applyFont="1" applyFill="1" applyBorder="1" applyAlignment="1" applyProtection="1">
      <alignment horizontal="center" vertical="center"/>
      <protection locked="0"/>
    </xf>
    <xf numFmtId="49" fontId="38" fillId="2" borderId="29" xfId="0" applyNumberFormat="1" applyFont="1" applyFill="1" applyBorder="1" applyAlignment="1" applyProtection="1">
      <alignment horizontal="center" vertical="center"/>
      <protection locked="0"/>
    </xf>
    <xf numFmtId="49" fontId="38" fillId="2" borderId="21" xfId="0" applyNumberFormat="1" applyFont="1" applyFill="1" applyBorder="1" applyAlignment="1" applyProtection="1">
      <alignment horizontal="center" vertical="center"/>
      <protection locked="0"/>
    </xf>
    <xf numFmtId="49" fontId="37" fillId="2" borderId="18" xfId="0" applyNumberFormat="1" applyFont="1" applyFill="1" applyBorder="1" applyAlignment="1" applyProtection="1">
      <alignment horizontal="center" vertical="center"/>
      <protection locked="0"/>
    </xf>
    <xf numFmtId="49" fontId="37" fillId="2" borderId="28" xfId="0" applyNumberFormat="1" applyFont="1" applyFill="1" applyBorder="1" applyAlignment="1" applyProtection="1">
      <alignment horizontal="center" vertical="center"/>
      <protection locked="0"/>
    </xf>
    <xf numFmtId="49" fontId="37" fillId="2" borderId="19" xfId="0" applyNumberFormat="1" applyFont="1" applyFill="1" applyBorder="1" applyAlignment="1" applyProtection="1">
      <alignment horizontal="center" vertical="center"/>
      <protection locked="0"/>
    </xf>
    <xf numFmtId="49" fontId="37" fillId="2" borderId="20" xfId="0" applyNumberFormat="1" applyFont="1" applyFill="1" applyBorder="1" applyAlignment="1" applyProtection="1">
      <alignment horizontal="center" vertical="center"/>
      <protection locked="0"/>
    </xf>
    <xf numFmtId="49" fontId="37" fillId="2" borderId="29" xfId="0" applyNumberFormat="1" applyFont="1" applyFill="1" applyBorder="1" applyAlignment="1" applyProtection="1">
      <alignment horizontal="center" vertical="center"/>
      <protection locked="0"/>
    </xf>
    <xf numFmtId="49" fontId="37" fillId="2" borderId="21" xfId="0" applyNumberFormat="1" applyFont="1" applyFill="1" applyBorder="1" applyAlignment="1" applyProtection="1">
      <alignment horizontal="center" vertical="center"/>
      <protection locked="0"/>
    </xf>
    <xf numFmtId="0" fontId="15" fillId="5" borderId="12" xfId="0" applyFont="1" applyFill="1" applyBorder="1" applyAlignment="1" applyProtection="1">
      <alignment horizontal="center" vertical="center"/>
      <protection locked="0"/>
    </xf>
    <xf numFmtId="0" fontId="15" fillId="5" borderId="13" xfId="0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 applyAlignment="1" applyProtection="1">
      <alignment horizontal="center" vertical="center"/>
      <protection locked="0"/>
    </xf>
    <xf numFmtId="0" fontId="6" fillId="2" borderId="2" xfId="0" applyFont="1" applyFill="1" applyBorder="1" applyAlignment="1" applyProtection="1">
      <alignment horizontal="center" vertical="center"/>
      <protection locked="0"/>
    </xf>
    <xf numFmtId="0" fontId="6" fillId="2" borderId="3" xfId="0" applyFont="1" applyFill="1" applyBorder="1" applyAlignment="1" applyProtection="1">
      <alignment horizontal="center" vertical="center"/>
      <protection locked="0"/>
    </xf>
    <xf numFmtId="0" fontId="6" fillId="2" borderId="8" xfId="0" applyFont="1" applyFill="1" applyBorder="1" applyAlignment="1" applyProtection="1">
      <alignment horizontal="center" vertical="center"/>
      <protection locked="0"/>
    </xf>
    <xf numFmtId="0" fontId="6" fillId="2" borderId="9" xfId="0" applyFont="1" applyFill="1" applyBorder="1" applyAlignment="1" applyProtection="1">
      <alignment horizontal="center" vertical="center"/>
      <protection locked="0"/>
    </xf>
    <xf numFmtId="0" fontId="6" fillId="2" borderId="10" xfId="0" applyFont="1" applyFill="1" applyBorder="1" applyAlignment="1" applyProtection="1">
      <alignment horizontal="center" vertical="center"/>
      <protection locked="0"/>
    </xf>
    <xf numFmtId="0" fontId="15" fillId="5" borderId="16" xfId="0" applyFont="1" applyFill="1" applyBorder="1" applyAlignment="1" applyProtection="1">
      <alignment horizontal="center" vertical="center"/>
      <protection locked="0"/>
    </xf>
    <xf numFmtId="0" fontId="15" fillId="5" borderId="0" xfId="0" applyFont="1" applyFill="1" applyAlignment="1" applyProtection="1">
      <alignment horizontal="center" vertical="center"/>
      <protection locked="0"/>
    </xf>
    <xf numFmtId="167" fontId="15" fillId="5" borderId="12" xfId="0" applyNumberFormat="1" applyFont="1" applyFill="1" applyBorder="1" applyAlignment="1" applyProtection="1">
      <alignment horizontal="center" vertical="center"/>
      <protection locked="0"/>
    </xf>
    <xf numFmtId="167" fontId="15" fillId="5" borderId="13" xfId="0" applyNumberFormat="1" applyFont="1" applyFill="1" applyBorder="1" applyAlignment="1" applyProtection="1">
      <alignment horizontal="center" vertical="center"/>
      <protection locked="0"/>
    </xf>
    <xf numFmtId="0" fontId="2" fillId="2" borderId="4" xfId="0" applyFont="1" applyFill="1" applyBorder="1" applyAlignment="1" applyProtection="1">
      <alignment horizontal="center" vertical="center" wrapText="1"/>
      <protection locked="0"/>
    </xf>
    <xf numFmtId="0" fontId="2" fillId="2" borderId="0" xfId="0" applyFont="1" applyFill="1" applyAlignment="1" applyProtection="1">
      <alignment horizontal="center" vertical="center"/>
      <protection locked="0"/>
    </xf>
    <xf numFmtId="0" fontId="2" fillId="2" borderId="4" xfId="0" applyFont="1" applyFill="1" applyBorder="1" applyAlignment="1" applyProtection="1">
      <alignment horizontal="center" vertical="center"/>
      <protection locked="0"/>
    </xf>
    <xf numFmtId="49" fontId="42" fillId="12" borderId="30" xfId="0" applyNumberFormat="1" applyFont="1" applyFill="1" applyBorder="1" applyAlignment="1">
      <alignment horizontal="center" vertical="center"/>
    </xf>
    <xf numFmtId="49" fontId="42" fillId="12" borderId="31" xfId="0" applyNumberFormat="1" applyFont="1" applyFill="1" applyBorder="1" applyAlignment="1">
      <alignment horizontal="center" vertical="center"/>
    </xf>
    <xf numFmtId="49" fontId="42" fillId="12" borderId="32" xfId="0" applyNumberFormat="1" applyFont="1" applyFill="1" applyBorder="1" applyAlignment="1">
      <alignment horizontal="center" vertical="center"/>
    </xf>
    <xf numFmtId="166" fontId="46" fillId="12" borderId="5" xfId="0" applyNumberFormat="1" applyFont="1" applyFill="1" applyBorder="1" applyAlignment="1">
      <alignment horizontal="center" vertical="center"/>
    </xf>
    <xf numFmtId="166" fontId="46" fillId="12" borderId="6" xfId="0" applyNumberFormat="1" applyFont="1" applyFill="1" applyBorder="1" applyAlignment="1">
      <alignment horizontal="center" vertical="center"/>
    </xf>
    <xf numFmtId="166" fontId="46" fillId="12" borderId="7" xfId="0" applyNumberFormat="1" applyFont="1" applyFill="1" applyBorder="1" applyAlignment="1">
      <alignment horizontal="center" vertical="center"/>
    </xf>
    <xf numFmtId="166" fontId="46" fillId="12" borderId="23" xfId="0" applyNumberFormat="1" applyFont="1" applyFill="1" applyBorder="1" applyAlignment="1">
      <alignment horizontal="center" vertical="center"/>
    </xf>
    <xf numFmtId="166" fontId="46" fillId="12" borderId="22" xfId="0" applyNumberFormat="1" applyFont="1" applyFill="1" applyBorder="1" applyAlignment="1">
      <alignment horizontal="center" vertical="center"/>
    </xf>
    <xf numFmtId="166" fontId="46" fillId="12" borderId="24" xfId="0" applyNumberFormat="1" applyFont="1" applyFill="1" applyBorder="1" applyAlignment="1">
      <alignment horizontal="center" vertical="center"/>
    </xf>
    <xf numFmtId="166" fontId="44" fillId="12" borderId="5" xfId="0" applyNumberFormat="1" applyFont="1" applyFill="1" applyBorder="1" applyAlignment="1">
      <alignment horizontal="center" vertical="center"/>
    </xf>
    <xf numFmtId="166" fontId="44" fillId="12" borderId="6" xfId="0" applyNumberFormat="1" applyFont="1" applyFill="1" applyBorder="1" applyAlignment="1">
      <alignment horizontal="center" vertical="center"/>
    </xf>
    <xf numFmtId="166" fontId="44" fillId="12" borderId="7" xfId="0" applyNumberFormat="1" applyFont="1" applyFill="1" applyBorder="1" applyAlignment="1">
      <alignment horizontal="center" vertical="center"/>
    </xf>
    <xf numFmtId="166" fontId="44" fillId="12" borderId="23" xfId="0" applyNumberFormat="1" applyFont="1" applyFill="1" applyBorder="1" applyAlignment="1">
      <alignment horizontal="center" vertical="center"/>
    </xf>
    <xf numFmtId="166" fontId="44" fillId="12" borderId="22" xfId="0" applyNumberFormat="1" applyFont="1" applyFill="1" applyBorder="1" applyAlignment="1">
      <alignment horizontal="center" vertical="center"/>
    </xf>
    <xf numFmtId="166" fontId="44" fillId="12" borderId="24" xfId="0" applyNumberFormat="1" applyFont="1" applyFill="1" applyBorder="1" applyAlignment="1">
      <alignment horizontal="center" vertical="center"/>
    </xf>
    <xf numFmtId="166" fontId="43" fillId="0" borderId="5" xfId="0" applyNumberFormat="1" applyFont="1" applyFill="1" applyBorder="1" applyAlignment="1">
      <alignment horizontal="center" vertical="center"/>
    </xf>
    <xf numFmtId="166" fontId="43" fillId="0" borderId="6" xfId="0" applyNumberFormat="1" applyFont="1" applyFill="1" applyBorder="1" applyAlignment="1">
      <alignment horizontal="center" vertical="center"/>
    </xf>
    <xf numFmtId="166" fontId="43" fillId="0" borderId="7" xfId="0" applyNumberFormat="1" applyFont="1" applyFill="1" applyBorder="1" applyAlignment="1">
      <alignment horizontal="center" vertical="center"/>
    </xf>
    <xf numFmtId="166" fontId="43" fillId="0" borderId="23" xfId="0" applyNumberFormat="1" applyFont="1" applyFill="1" applyBorder="1" applyAlignment="1">
      <alignment horizontal="center" vertical="center"/>
    </xf>
    <xf numFmtId="166" fontId="43" fillId="0" borderId="22" xfId="0" applyNumberFormat="1" applyFont="1" applyFill="1" applyBorder="1" applyAlignment="1">
      <alignment horizontal="center" vertical="center"/>
    </xf>
    <xf numFmtId="166" fontId="43" fillId="0" borderId="24" xfId="0" applyNumberFormat="1" applyFont="1" applyFill="1" applyBorder="1" applyAlignment="1">
      <alignment horizontal="center" vertical="center"/>
    </xf>
    <xf numFmtId="166" fontId="39" fillId="2" borderId="18" xfId="0" applyNumberFormat="1" applyFont="1" applyFill="1" applyBorder="1" applyAlignment="1" applyProtection="1">
      <alignment horizontal="center" vertical="center"/>
      <protection locked="0"/>
    </xf>
    <xf numFmtId="0" fontId="39" fillId="2" borderId="28" xfId="0" applyNumberFormat="1" applyFont="1" applyFill="1" applyBorder="1" applyAlignment="1" applyProtection="1">
      <alignment horizontal="center" vertical="center"/>
      <protection locked="0"/>
    </xf>
    <xf numFmtId="0" fontId="39" fillId="2" borderId="19" xfId="0" applyNumberFormat="1" applyFont="1" applyFill="1" applyBorder="1" applyAlignment="1" applyProtection="1">
      <alignment horizontal="center" vertical="center"/>
      <protection locked="0"/>
    </xf>
    <xf numFmtId="0" fontId="39" fillId="2" borderId="20" xfId="0" applyNumberFormat="1" applyFont="1" applyFill="1" applyBorder="1" applyAlignment="1" applyProtection="1">
      <alignment horizontal="center" vertical="center"/>
      <protection locked="0"/>
    </xf>
    <xf numFmtId="0" fontId="39" fillId="2" borderId="29" xfId="0" applyNumberFormat="1" applyFont="1" applyFill="1" applyBorder="1" applyAlignment="1" applyProtection="1">
      <alignment horizontal="center" vertical="center"/>
      <protection locked="0"/>
    </xf>
    <xf numFmtId="0" fontId="39" fillId="2" borderId="21" xfId="0" applyNumberFormat="1" applyFont="1" applyFill="1" applyBorder="1" applyAlignment="1" applyProtection="1">
      <alignment horizontal="center" vertical="center"/>
      <protection locked="0"/>
    </xf>
    <xf numFmtId="166" fontId="41" fillId="2" borderId="18" xfId="0" applyNumberFormat="1" applyFont="1" applyFill="1" applyBorder="1" applyAlignment="1" applyProtection="1">
      <alignment horizontal="center" vertical="center"/>
      <protection locked="0"/>
    </xf>
    <xf numFmtId="0" fontId="41" fillId="2" borderId="28" xfId="0" applyNumberFormat="1" applyFont="1" applyFill="1" applyBorder="1" applyAlignment="1" applyProtection="1">
      <alignment horizontal="center" vertical="center"/>
      <protection locked="0"/>
    </xf>
    <xf numFmtId="0" fontId="41" fillId="2" borderId="19" xfId="0" applyNumberFormat="1" applyFont="1" applyFill="1" applyBorder="1" applyAlignment="1" applyProtection="1">
      <alignment horizontal="center" vertical="center"/>
      <protection locked="0"/>
    </xf>
    <xf numFmtId="0" fontId="41" fillId="2" borderId="20" xfId="0" applyNumberFormat="1" applyFont="1" applyFill="1" applyBorder="1" applyAlignment="1" applyProtection="1">
      <alignment horizontal="center" vertical="center"/>
      <protection locked="0"/>
    </xf>
    <xf numFmtId="0" fontId="41" fillId="2" borderId="29" xfId="0" applyNumberFormat="1" applyFont="1" applyFill="1" applyBorder="1" applyAlignment="1" applyProtection="1">
      <alignment horizontal="center" vertical="center"/>
      <protection locked="0"/>
    </xf>
    <xf numFmtId="0" fontId="41" fillId="2" borderId="21" xfId="0" applyNumberFormat="1" applyFont="1" applyFill="1" applyBorder="1" applyAlignment="1" applyProtection="1">
      <alignment horizontal="center" vertical="center"/>
      <protection locked="0"/>
    </xf>
    <xf numFmtId="166" fontId="51" fillId="0" borderId="5" xfId="0" applyNumberFormat="1" applyFont="1" applyFill="1" applyBorder="1" applyAlignment="1">
      <alignment horizontal="center" vertical="center"/>
    </xf>
    <xf numFmtId="166" fontId="51" fillId="0" borderId="6" xfId="0" applyNumberFormat="1" applyFont="1" applyFill="1" applyBorder="1" applyAlignment="1">
      <alignment horizontal="center" vertical="center"/>
    </xf>
    <xf numFmtId="166" fontId="51" fillId="0" borderId="7" xfId="0" applyNumberFormat="1" applyFont="1" applyFill="1" applyBorder="1" applyAlignment="1">
      <alignment horizontal="center" vertical="center"/>
    </xf>
    <xf numFmtId="166" fontId="51" fillId="0" borderId="23" xfId="0" applyNumberFormat="1" applyFont="1" applyFill="1" applyBorder="1" applyAlignment="1">
      <alignment horizontal="center" vertical="center"/>
    </xf>
    <xf numFmtId="166" fontId="51" fillId="0" borderId="22" xfId="0" applyNumberFormat="1" applyFont="1" applyFill="1" applyBorder="1" applyAlignment="1">
      <alignment horizontal="center" vertical="center"/>
    </xf>
    <xf numFmtId="166" fontId="51" fillId="0" borderId="24" xfId="0" applyNumberFormat="1" applyFont="1" applyFill="1" applyBorder="1" applyAlignment="1">
      <alignment horizontal="center" vertical="center"/>
    </xf>
    <xf numFmtId="1" fontId="47" fillId="12" borderId="5" xfId="0" applyNumberFormat="1" applyFont="1" applyFill="1" applyBorder="1" applyAlignment="1">
      <alignment horizontal="center" vertical="center"/>
    </xf>
    <xf numFmtId="1" fontId="47" fillId="12" borderId="7" xfId="0" applyNumberFormat="1" applyFont="1" applyFill="1" applyBorder="1" applyAlignment="1">
      <alignment horizontal="center" vertical="center"/>
    </xf>
    <xf numFmtId="1" fontId="47" fillId="12" borderId="23" xfId="0" applyNumberFormat="1" applyFont="1" applyFill="1" applyBorder="1" applyAlignment="1">
      <alignment horizontal="center" vertical="center"/>
    </xf>
    <xf numFmtId="1" fontId="47" fillId="12" borderId="24" xfId="0" applyNumberFormat="1" applyFont="1" applyFill="1" applyBorder="1" applyAlignment="1">
      <alignment horizontal="center" vertical="center"/>
    </xf>
    <xf numFmtId="49" fontId="42" fillId="12" borderId="5" xfId="0" applyNumberFormat="1" applyFont="1" applyFill="1" applyBorder="1" applyAlignment="1">
      <alignment horizontal="center" vertical="center"/>
    </xf>
    <xf numFmtId="49" fontId="42" fillId="12" borderId="7" xfId="0" applyNumberFormat="1" applyFont="1" applyFill="1" applyBorder="1" applyAlignment="1">
      <alignment horizontal="center" vertical="center"/>
    </xf>
    <xf numFmtId="49" fontId="42" fillId="12" borderId="23" xfId="0" applyNumberFormat="1" applyFont="1" applyFill="1" applyBorder="1" applyAlignment="1">
      <alignment horizontal="center" vertical="center"/>
    </xf>
    <xf numFmtId="49" fontId="42" fillId="12" borderId="24" xfId="0" applyNumberFormat="1" applyFont="1" applyFill="1" applyBorder="1" applyAlignment="1">
      <alignment horizontal="center" vertical="center"/>
    </xf>
    <xf numFmtId="166" fontId="36" fillId="0" borderId="5" xfId="0" applyNumberFormat="1" applyFont="1" applyFill="1" applyBorder="1" applyAlignment="1">
      <alignment horizontal="center" vertical="center"/>
    </xf>
    <xf numFmtId="166" fontId="36" fillId="0" borderId="6" xfId="0" applyNumberFormat="1" applyFont="1" applyFill="1" applyBorder="1" applyAlignment="1">
      <alignment horizontal="center" vertical="center"/>
    </xf>
    <xf numFmtId="166" fontId="36" fillId="0" borderId="7" xfId="0" applyNumberFormat="1" applyFont="1" applyFill="1" applyBorder="1" applyAlignment="1">
      <alignment horizontal="center" vertical="center"/>
    </xf>
    <xf numFmtId="166" fontId="36" fillId="0" borderId="23" xfId="0" applyNumberFormat="1" applyFont="1" applyFill="1" applyBorder="1" applyAlignment="1">
      <alignment horizontal="center" vertical="center"/>
    </xf>
    <xf numFmtId="166" fontId="36" fillId="0" borderId="22" xfId="0" applyNumberFormat="1" applyFont="1" applyFill="1" applyBorder="1" applyAlignment="1">
      <alignment horizontal="center" vertical="center"/>
    </xf>
    <xf numFmtId="166" fontId="36" fillId="0" borderId="24" xfId="0" applyNumberFormat="1" applyFont="1" applyFill="1" applyBorder="1" applyAlignment="1">
      <alignment horizontal="center" vertical="center"/>
    </xf>
    <xf numFmtId="166" fontId="40" fillId="0" borderId="5" xfId="0" applyNumberFormat="1" applyFont="1" applyFill="1" applyBorder="1" applyAlignment="1">
      <alignment horizontal="center" vertical="center"/>
    </xf>
    <xf numFmtId="166" fontId="40" fillId="0" borderId="6" xfId="0" applyNumberFormat="1" applyFont="1" applyFill="1" applyBorder="1" applyAlignment="1">
      <alignment horizontal="center" vertical="center"/>
    </xf>
    <xf numFmtId="166" fontId="40" fillId="0" borderId="7" xfId="0" applyNumberFormat="1" applyFont="1" applyFill="1" applyBorder="1" applyAlignment="1">
      <alignment horizontal="center" vertical="center"/>
    </xf>
    <xf numFmtId="166" fontId="40" fillId="0" borderId="23" xfId="0" applyNumberFormat="1" applyFont="1" applyFill="1" applyBorder="1" applyAlignment="1">
      <alignment horizontal="center" vertical="center"/>
    </xf>
    <xf numFmtId="166" fontId="40" fillId="0" borderId="22" xfId="0" applyNumberFormat="1" applyFont="1" applyFill="1" applyBorder="1" applyAlignment="1">
      <alignment horizontal="center" vertical="center"/>
    </xf>
    <xf numFmtId="166" fontId="40" fillId="0" borderId="24" xfId="0" applyNumberFormat="1" applyFont="1" applyFill="1" applyBorder="1" applyAlignment="1">
      <alignment horizontal="center" vertical="center"/>
    </xf>
    <xf numFmtId="49" fontId="16" fillId="0" borderId="23" xfId="0" applyNumberFormat="1" applyFont="1" applyFill="1" applyBorder="1" applyAlignment="1">
      <alignment horizontal="center" vertical="center"/>
    </xf>
    <xf numFmtId="49" fontId="16" fillId="0" borderId="22" xfId="0" applyNumberFormat="1" applyFont="1" applyFill="1" applyBorder="1" applyAlignment="1">
      <alignment horizontal="center" vertical="center"/>
    </xf>
    <xf numFmtId="49" fontId="16" fillId="0" borderId="24" xfId="0" applyNumberFormat="1" applyFont="1" applyFill="1" applyBorder="1" applyAlignment="1">
      <alignment horizontal="center" vertical="center"/>
    </xf>
    <xf numFmtId="49" fontId="22" fillId="0" borderId="23" xfId="0" applyNumberFormat="1" applyFont="1" applyFill="1" applyBorder="1" applyAlignment="1">
      <alignment horizontal="center" vertical="center"/>
    </xf>
    <xf numFmtId="49" fontId="22" fillId="0" borderId="22" xfId="0" applyNumberFormat="1" applyFont="1" applyFill="1" applyBorder="1" applyAlignment="1">
      <alignment horizontal="center" vertical="center"/>
    </xf>
    <xf numFmtId="49" fontId="22" fillId="0" borderId="24" xfId="0" applyNumberFormat="1" applyFont="1" applyFill="1" applyBorder="1" applyAlignment="1">
      <alignment horizontal="center" vertical="center"/>
    </xf>
    <xf numFmtId="0" fontId="45" fillId="2" borderId="30" xfId="0" applyFont="1" applyFill="1" applyBorder="1" applyAlignment="1" applyProtection="1">
      <alignment horizontal="center" vertical="center"/>
      <protection locked="0"/>
    </xf>
    <xf numFmtId="0" fontId="45" fillId="2" borderId="31" xfId="0" applyFont="1" applyFill="1" applyBorder="1" applyAlignment="1" applyProtection="1">
      <alignment horizontal="center" vertical="center"/>
      <protection locked="0"/>
    </xf>
    <xf numFmtId="0" fontId="45" fillId="2" borderId="32" xfId="0" applyFont="1" applyFill="1" applyBorder="1" applyAlignment="1" applyProtection="1">
      <alignment horizontal="center" vertical="center"/>
      <protection locked="0"/>
    </xf>
    <xf numFmtId="49" fontId="50" fillId="0" borderId="23" xfId="0" applyNumberFormat="1" applyFont="1" applyFill="1" applyBorder="1" applyAlignment="1">
      <alignment horizontal="center" vertical="center"/>
    </xf>
    <xf numFmtId="49" fontId="50" fillId="0" borderId="22" xfId="0" applyNumberFormat="1" applyFont="1" applyFill="1" applyBorder="1" applyAlignment="1">
      <alignment horizontal="center" vertical="center"/>
    </xf>
    <xf numFmtId="49" fontId="50" fillId="0" borderId="24" xfId="0" applyNumberFormat="1" applyFont="1" applyFill="1" applyBorder="1" applyAlignment="1">
      <alignment horizontal="center" vertical="center"/>
    </xf>
    <xf numFmtId="165" fontId="4" fillId="19" borderId="41" xfId="0" applyNumberFormat="1" applyFont="1" applyFill="1" applyBorder="1" applyAlignment="1" applyProtection="1">
      <alignment horizontal="center" vertical="center"/>
      <protection locked="0"/>
    </xf>
    <xf numFmtId="165" fontId="55" fillId="2" borderId="40" xfId="0" applyNumberFormat="1" applyFont="1" applyFill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11"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colors>
    <mruColors>
      <color rgb="FFAFEAFF"/>
      <color rgb="FF53D2FF"/>
      <color rgb="FFC6E0B4"/>
      <color rgb="FFACB9CA"/>
      <color rgb="FFD9D9D9"/>
      <color rgb="FFFFDF79"/>
      <color rgb="FFFFC000"/>
      <color rgb="FFFF7D7D"/>
      <color rgb="FF7030A0"/>
      <color rgb="FF00B0F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40</xdr:col>
          <xdr:colOff>76200</xdr:colOff>
          <xdr:row>4</xdr:row>
          <xdr:rowOff>104775</xdr:rowOff>
        </xdr:from>
        <xdr:to>
          <xdr:col>43</xdr:col>
          <xdr:colOff>342900</xdr:colOff>
          <xdr:row>7</xdr:row>
          <xdr:rowOff>47625</xdr:rowOff>
        </xdr:to>
        <xdr:sp macro="" textlink="">
          <xdr:nvSpPr>
            <xdr:cNvPr id="1035" name="Nouvelle_année" hidden="1">
              <a:extLst>
                <a:ext uri="{63B3BB69-23CF-44E3-9099-C40C66FF867C}">
                  <a14:compatExt spid="_x0000_s1035"/>
                </a:ext>
                <a:ext uri="{FF2B5EF4-FFF2-40B4-BE49-F238E27FC236}">
                  <a16:creationId xmlns:a16="http://schemas.microsoft.com/office/drawing/2014/main" xmlns="" id="{00000000-0008-0000-0100-00000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40</xdr:col>
          <xdr:colOff>76200</xdr:colOff>
          <xdr:row>4</xdr:row>
          <xdr:rowOff>104775</xdr:rowOff>
        </xdr:from>
        <xdr:to>
          <xdr:col>43</xdr:col>
          <xdr:colOff>342900</xdr:colOff>
          <xdr:row>7</xdr:row>
          <xdr:rowOff>47625</xdr:rowOff>
        </xdr:to>
        <xdr:sp macro="" textlink="">
          <xdr:nvSpPr>
            <xdr:cNvPr id="5121" name="Nouvelle_année" hidden="1">
              <a:extLst>
                <a:ext uri="{63B3BB69-23CF-44E3-9099-C40C66FF867C}">
                  <a14:compatExt spid="_x0000_s5121"/>
                </a:ext>
                <a:ext uri="{FF2B5EF4-FFF2-40B4-BE49-F238E27FC236}">
                  <a16:creationId xmlns:a16="http://schemas.microsoft.com/office/drawing/2014/main" xmlns="" id="{00000000-0008-0000-0200-000001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209550</xdr:colOff>
          <xdr:row>11</xdr:row>
          <xdr:rowOff>114300</xdr:rowOff>
        </xdr:from>
        <xdr:to>
          <xdr:col>12</xdr:col>
          <xdr:colOff>47625</xdr:colOff>
          <xdr:row>14</xdr:row>
          <xdr:rowOff>0</xdr:rowOff>
        </xdr:to>
        <xdr:sp macro="" textlink="">
          <xdr:nvSpPr>
            <xdr:cNvPr id="5122" name="validation_garde_Lana" hidden="1">
              <a:extLst>
                <a:ext uri="{63B3BB69-23CF-44E3-9099-C40C66FF867C}">
                  <a14:compatExt spid="_x0000_s5122"/>
                </a:ext>
                <a:ext uri="{FF2B5EF4-FFF2-40B4-BE49-F238E27FC236}">
                  <a16:creationId xmlns:a16="http://schemas.microsoft.com/office/drawing/2014/main" xmlns="" id="{00000000-0008-0000-0200-000002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7" Type="http://schemas.openxmlformats.org/officeDocument/2006/relationships/image" Target="../media/image3.emf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6" Type="http://schemas.openxmlformats.org/officeDocument/2006/relationships/control" Target="../activeX/activeX3.xml"/><Relationship Id="rId5" Type="http://schemas.openxmlformats.org/officeDocument/2006/relationships/image" Target="../media/image2.emf"/><Relationship Id="rId4" Type="http://schemas.openxmlformats.org/officeDocument/2006/relationships/control" Target="../activeX/activeX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U97"/>
  <sheetViews>
    <sheetView showGridLines="0" zoomScale="85" zoomScaleNormal="85" workbookViewId="0">
      <selection activeCell="L36" sqref="L36"/>
    </sheetView>
  </sheetViews>
  <sheetFormatPr baseColWidth="10" defaultColWidth="10.85546875" defaultRowHeight="15"/>
  <cols>
    <col min="1" max="1" width="5.5703125" style="6" customWidth="1"/>
    <col min="2" max="3" width="4.5703125" style="6" customWidth="1"/>
    <col min="4" max="4" width="4.5703125" style="60" customWidth="1"/>
    <col min="5" max="10" width="4.5703125" style="6" customWidth="1"/>
    <col min="11" max="11" width="4.5703125" style="61" customWidth="1"/>
    <col min="12" max="12" width="4.5703125" style="60" customWidth="1"/>
    <col min="13" max="19" width="4.5703125" style="6" customWidth="1"/>
    <col min="20" max="20" width="4.5703125" style="60" customWidth="1"/>
    <col min="21" max="26" width="4.5703125" style="6" customWidth="1"/>
    <col min="27" max="27" width="4.5703125" style="62" customWidth="1"/>
    <col min="28" max="34" width="4.5703125" style="6" customWidth="1"/>
    <col min="35" max="35" width="4.5703125" style="63" customWidth="1"/>
    <col min="36" max="48" width="4.5703125" style="6" customWidth="1"/>
    <col min="49" max="63" width="2.85546875" style="6" customWidth="1"/>
    <col min="64" max="64" width="2.7109375" style="6" customWidth="1"/>
    <col min="65" max="65" width="8.42578125" style="6" customWidth="1"/>
    <col min="66" max="66" width="3.140625" style="6" customWidth="1"/>
    <col min="67" max="16384" width="10.85546875" style="6"/>
  </cols>
  <sheetData>
    <row r="1" spans="1:73" ht="15" customHeight="1" thickBot="1">
      <c r="J1" s="61"/>
      <c r="L1" s="105"/>
      <c r="M1" s="61"/>
      <c r="N1" s="61"/>
      <c r="O1" s="61"/>
      <c r="P1" s="61"/>
      <c r="Q1" s="61"/>
      <c r="R1" s="61"/>
      <c r="S1" s="61"/>
      <c r="T1" s="105"/>
      <c r="U1" s="61"/>
      <c r="V1" s="61"/>
      <c r="W1" s="61"/>
      <c r="X1" s="61"/>
      <c r="Y1" s="61"/>
      <c r="Z1" s="61"/>
      <c r="AA1" s="105"/>
      <c r="AD1" s="100"/>
    </row>
    <row r="2" spans="1:73" ht="15" customHeight="1" thickTop="1" thickBot="1">
      <c r="B2" s="21" t="s">
        <v>37</v>
      </c>
      <c r="C2" s="202" t="s">
        <v>43</v>
      </c>
      <c r="D2" s="203"/>
      <c r="E2" s="203"/>
      <c r="F2" s="102" t="s">
        <v>39</v>
      </c>
      <c r="G2" s="203" t="s">
        <v>41</v>
      </c>
      <c r="H2" s="203"/>
      <c r="I2" s="203"/>
      <c r="J2" s="61"/>
      <c r="L2" s="204" t="s">
        <v>45</v>
      </c>
      <c r="M2" s="205"/>
      <c r="N2" s="205"/>
      <c r="O2" s="206"/>
      <c r="P2" s="207" t="s">
        <v>0</v>
      </c>
      <c r="Q2" s="207"/>
      <c r="R2" s="207"/>
      <c r="S2" s="208"/>
      <c r="T2" s="196" t="s">
        <v>52</v>
      </c>
      <c r="U2" s="197"/>
      <c r="V2" s="197"/>
      <c r="W2" s="198"/>
      <c r="X2" s="199" t="s">
        <v>50</v>
      </c>
      <c r="Y2" s="200"/>
      <c r="Z2" s="200"/>
      <c r="AA2" s="201"/>
      <c r="AD2" s="100" t="s">
        <v>37</v>
      </c>
    </row>
    <row r="3" spans="1:73" ht="15" customHeight="1" thickTop="1" thickBot="1">
      <c r="C3" s="64"/>
      <c r="D3" s="65"/>
      <c r="E3" s="64"/>
      <c r="J3" s="209" t="s">
        <v>47</v>
      </c>
      <c r="K3" s="210"/>
      <c r="L3" s="213"/>
      <c r="M3" s="214"/>
      <c r="N3" s="214"/>
      <c r="O3" s="215"/>
      <c r="P3" s="219"/>
      <c r="Q3" s="219"/>
      <c r="R3" s="219"/>
      <c r="S3" s="220"/>
      <c r="T3" s="223">
        <v>11</v>
      </c>
      <c r="U3" s="224"/>
      <c r="V3" s="224"/>
      <c r="W3" s="225"/>
      <c r="X3" s="229"/>
      <c r="Y3" s="230"/>
      <c r="Z3" s="230"/>
      <c r="AA3" s="231"/>
      <c r="AD3" s="100" t="s">
        <v>39</v>
      </c>
    </row>
    <row r="4" spans="1:73" ht="15" customHeight="1" thickTop="1" thickBot="1">
      <c r="B4" s="22" t="s">
        <v>13</v>
      </c>
      <c r="C4" s="202" t="s">
        <v>24</v>
      </c>
      <c r="D4" s="203"/>
      <c r="E4" s="203"/>
      <c r="F4" s="101" t="s">
        <v>40</v>
      </c>
      <c r="G4" s="6" t="s">
        <v>42</v>
      </c>
      <c r="J4" s="211"/>
      <c r="K4" s="212"/>
      <c r="L4" s="216"/>
      <c r="M4" s="217"/>
      <c r="N4" s="217"/>
      <c r="O4" s="218"/>
      <c r="P4" s="221"/>
      <c r="Q4" s="221"/>
      <c r="R4" s="221"/>
      <c r="S4" s="222"/>
      <c r="T4" s="226"/>
      <c r="U4" s="227"/>
      <c r="V4" s="227"/>
      <c r="W4" s="228"/>
      <c r="X4" s="232"/>
      <c r="Y4" s="233"/>
      <c r="Z4" s="233"/>
      <c r="AA4" s="234"/>
      <c r="AD4" s="100" t="s">
        <v>13</v>
      </c>
    </row>
    <row r="5" spans="1:73" ht="15" customHeight="1" thickTop="1" thickBot="1">
      <c r="C5" s="64"/>
      <c r="D5" s="65"/>
      <c r="E5" s="64"/>
      <c r="J5" s="61"/>
      <c r="L5" s="105"/>
      <c r="M5" s="61"/>
      <c r="N5" s="61"/>
      <c r="O5" s="61"/>
      <c r="P5" s="61"/>
      <c r="Q5" s="61"/>
      <c r="R5" s="61"/>
      <c r="S5" s="61"/>
      <c r="T5" s="105"/>
      <c r="U5" s="61"/>
      <c r="V5" s="61"/>
      <c r="W5" s="61"/>
      <c r="X5" s="61"/>
      <c r="Y5" s="61"/>
      <c r="Z5" s="61"/>
      <c r="AA5" s="105"/>
      <c r="AD5" s="100" t="s">
        <v>40</v>
      </c>
    </row>
    <row r="6" spans="1:73" ht="15" customHeight="1" thickTop="1" thickBot="1">
      <c r="B6" s="23" t="s">
        <v>38</v>
      </c>
      <c r="C6" s="202" t="s">
        <v>44</v>
      </c>
      <c r="D6" s="203"/>
      <c r="E6" s="203"/>
      <c r="F6" s="103" t="s">
        <v>10</v>
      </c>
      <c r="G6" s="235" t="s">
        <v>51</v>
      </c>
      <c r="H6" s="236"/>
      <c r="J6" s="61"/>
      <c r="L6" s="238" t="s">
        <v>48</v>
      </c>
      <c r="M6" s="239"/>
      <c r="N6" s="239"/>
      <c r="O6" s="240"/>
      <c r="P6" s="241" t="s">
        <v>0</v>
      </c>
      <c r="Q6" s="242"/>
      <c r="R6" s="242"/>
      <c r="S6" s="243"/>
      <c r="T6" s="244" t="s">
        <v>46</v>
      </c>
      <c r="U6" s="245"/>
      <c r="V6" s="245"/>
      <c r="W6" s="246"/>
      <c r="X6" s="61"/>
      <c r="Y6" s="61"/>
      <c r="Z6" s="61"/>
      <c r="AA6" s="105"/>
      <c r="AD6" s="100" t="s">
        <v>38</v>
      </c>
    </row>
    <row r="7" spans="1:73" ht="15" customHeight="1" thickTop="1" thickBot="1">
      <c r="C7" s="64"/>
      <c r="D7" s="65"/>
      <c r="E7" s="64"/>
      <c r="F7" s="104" t="s">
        <v>7</v>
      </c>
      <c r="G7" s="237"/>
      <c r="H7" s="236"/>
      <c r="J7" s="247" t="s">
        <v>13</v>
      </c>
      <c r="K7" s="248"/>
      <c r="L7" s="251"/>
      <c r="M7" s="251"/>
      <c r="N7" s="251"/>
      <c r="O7" s="251"/>
      <c r="P7" s="253"/>
      <c r="Q7" s="254"/>
      <c r="R7" s="254"/>
      <c r="S7" s="255"/>
      <c r="T7" s="259"/>
      <c r="U7" s="260"/>
      <c r="V7" s="260"/>
      <c r="W7" s="261"/>
      <c r="X7" s="61"/>
      <c r="Y7" s="61"/>
      <c r="Z7" s="61"/>
      <c r="AA7" s="61"/>
      <c r="AD7" s="100" t="s">
        <v>9</v>
      </c>
    </row>
    <row r="8" spans="1:73" ht="15" customHeight="1" thickTop="1" thickBot="1">
      <c r="B8" s="24" t="s">
        <v>14</v>
      </c>
      <c r="C8" s="202" t="s">
        <v>25</v>
      </c>
      <c r="D8" s="203"/>
      <c r="E8" s="203"/>
      <c r="J8" s="249"/>
      <c r="K8" s="250"/>
      <c r="L8" s="252"/>
      <c r="M8" s="252"/>
      <c r="N8" s="252"/>
      <c r="O8" s="252"/>
      <c r="P8" s="256"/>
      <c r="Q8" s="257"/>
      <c r="R8" s="257"/>
      <c r="S8" s="258"/>
      <c r="T8" s="262"/>
      <c r="U8" s="263"/>
      <c r="V8" s="263"/>
      <c r="W8" s="264"/>
      <c r="X8" s="61"/>
      <c r="Y8" s="61"/>
      <c r="Z8" s="61"/>
      <c r="AA8" s="105"/>
    </row>
    <row r="9" spans="1:73" ht="15" customHeight="1" thickTop="1" thickBot="1">
      <c r="B9" s="25"/>
      <c r="C9" s="59"/>
      <c r="D9" s="65"/>
      <c r="E9" s="64"/>
      <c r="T9" s="6"/>
      <c r="AA9" s="6"/>
    </row>
    <row r="10" spans="1:73" ht="15" customHeight="1" thickTop="1" thickBot="1">
      <c r="B10" s="4" t="s">
        <v>9</v>
      </c>
      <c r="C10" s="202" t="s">
        <v>17</v>
      </c>
      <c r="D10" s="203"/>
      <c r="E10" s="203"/>
      <c r="T10" s="6"/>
      <c r="AA10" s="6"/>
    </row>
    <row r="11" spans="1:73" ht="15" customHeight="1" thickTop="1">
      <c r="T11" s="6"/>
      <c r="AA11" s="6"/>
    </row>
    <row r="12" spans="1:73" ht="14.25" customHeight="1">
      <c r="D12" s="6"/>
      <c r="E12" s="58"/>
      <c r="T12" s="66"/>
      <c r="U12" s="66"/>
      <c r="V12" s="66"/>
      <c r="W12" s="66"/>
      <c r="X12" s="66"/>
      <c r="Y12" s="66"/>
      <c r="Z12" s="66"/>
    </row>
    <row r="13" spans="1:73" ht="14.25" customHeight="1" thickBot="1">
      <c r="A13" s="60"/>
      <c r="B13" s="60"/>
      <c r="C13" s="60"/>
      <c r="T13" s="66"/>
      <c r="U13" s="66"/>
      <c r="V13" s="66"/>
      <c r="W13" s="66"/>
      <c r="X13" s="66"/>
      <c r="Y13" s="66"/>
      <c r="Z13" s="66"/>
    </row>
    <row r="14" spans="1:73" ht="68.25" thickTop="1">
      <c r="B14" s="267" t="s">
        <v>30</v>
      </c>
      <c r="C14" s="268"/>
      <c r="D14" s="268"/>
      <c r="E14" s="268"/>
      <c r="F14" s="268"/>
      <c r="G14" s="268"/>
      <c r="H14" s="268"/>
      <c r="I14" s="268"/>
      <c r="J14" s="268"/>
      <c r="K14" s="268"/>
      <c r="L14" s="268"/>
      <c r="M14" s="268"/>
      <c r="N14" s="268"/>
      <c r="O14" s="268"/>
      <c r="P14" s="268"/>
      <c r="Q14" s="268"/>
      <c r="R14" s="268"/>
      <c r="S14" s="268"/>
      <c r="T14" s="268"/>
      <c r="U14" s="268"/>
      <c r="V14" s="268"/>
      <c r="W14" s="268"/>
      <c r="X14" s="268"/>
      <c r="Y14" s="268"/>
      <c r="Z14" s="268"/>
      <c r="AA14" s="268"/>
      <c r="AB14" s="268"/>
      <c r="AC14" s="268"/>
      <c r="AD14" s="268"/>
      <c r="AE14" s="268"/>
      <c r="AF14" s="268"/>
      <c r="AG14" s="268"/>
      <c r="AH14" s="268"/>
      <c r="AI14" s="268"/>
      <c r="AJ14" s="268"/>
      <c r="AK14" s="268"/>
      <c r="AL14" s="268"/>
      <c r="AM14" s="268"/>
      <c r="AN14" s="268"/>
      <c r="AO14" s="268"/>
      <c r="AP14" s="268"/>
      <c r="AQ14" s="268"/>
      <c r="AR14" s="268"/>
      <c r="AS14" s="268"/>
      <c r="AT14" s="268"/>
      <c r="AU14" s="268"/>
      <c r="AV14" s="269"/>
      <c r="AW14" s="1"/>
      <c r="AX14" s="1"/>
      <c r="AY14" s="1"/>
      <c r="AZ14" s="1"/>
      <c r="BA14" s="1"/>
      <c r="BB14" s="1"/>
      <c r="BC14" s="1"/>
      <c r="BD14" s="1"/>
      <c r="BE14" s="1"/>
      <c r="BF14" s="1"/>
      <c r="BG14" s="1"/>
      <c r="BH14" s="1"/>
      <c r="BI14" s="1"/>
      <c r="BJ14" s="1"/>
      <c r="BK14" s="1"/>
    </row>
    <row r="15" spans="1:73" ht="12.75" customHeight="1" thickBot="1">
      <c r="B15" s="270"/>
      <c r="C15" s="271"/>
      <c r="D15" s="271"/>
      <c r="E15" s="271"/>
      <c r="F15" s="271"/>
      <c r="G15" s="271"/>
      <c r="H15" s="271"/>
      <c r="I15" s="271"/>
      <c r="J15" s="271"/>
      <c r="K15" s="271"/>
      <c r="L15" s="271"/>
      <c r="M15" s="271"/>
      <c r="N15" s="271"/>
      <c r="O15" s="271"/>
      <c r="P15" s="271"/>
      <c r="Q15" s="271"/>
      <c r="R15" s="271"/>
      <c r="S15" s="271"/>
      <c r="T15" s="271"/>
      <c r="U15" s="271"/>
      <c r="V15" s="271"/>
      <c r="W15" s="271"/>
      <c r="X15" s="271"/>
      <c r="Y15" s="271"/>
      <c r="Z15" s="271"/>
      <c r="AA15" s="271"/>
      <c r="AB15" s="271"/>
      <c r="AC15" s="271"/>
      <c r="AD15" s="271"/>
      <c r="AE15" s="271"/>
      <c r="AF15" s="271"/>
      <c r="AG15" s="271"/>
      <c r="AH15" s="271"/>
      <c r="AI15" s="271"/>
      <c r="AJ15" s="271"/>
      <c r="AK15" s="271"/>
      <c r="AL15" s="271"/>
      <c r="AM15" s="271"/>
      <c r="AN15" s="271"/>
      <c r="AO15" s="271"/>
      <c r="AP15" s="271"/>
      <c r="AQ15" s="271"/>
      <c r="AR15" s="271"/>
      <c r="AS15" s="271"/>
      <c r="AT15" s="271"/>
      <c r="AU15" s="271"/>
      <c r="AV15" s="272"/>
      <c r="AY15" s="60"/>
      <c r="BE15" s="60"/>
      <c r="BF15" s="60"/>
      <c r="BK15" s="60"/>
      <c r="BP15" s="7"/>
      <c r="BQ15" s="7"/>
      <c r="BR15" s="7"/>
      <c r="BS15" s="7"/>
      <c r="BT15" s="7"/>
      <c r="BU15" s="7"/>
    </row>
    <row r="16" spans="1:73" ht="12.75" customHeight="1" thickTop="1">
      <c r="B16" s="45"/>
      <c r="C16" s="2"/>
      <c r="D16" s="2"/>
      <c r="E16" s="2"/>
      <c r="F16" s="2"/>
      <c r="G16" s="2"/>
      <c r="H16" s="2"/>
      <c r="I16" s="2"/>
      <c r="J16" s="2"/>
      <c r="K16" s="31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42"/>
      <c r="AB16" s="2"/>
      <c r="AC16" s="2"/>
      <c r="AD16" s="2"/>
      <c r="AE16" s="2"/>
      <c r="AF16" s="2"/>
      <c r="AG16" s="2"/>
      <c r="AH16" s="2"/>
      <c r="AI16" s="42"/>
      <c r="AJ16" s="2"/>
      <c r="AK16" s="2"/>
      <c r="AL16" s="2"/>
      <c r="AM16" s="2"/>
      <c r="AN16" s="2"/>
      <c r="AO16" s="2"/>
      <c r="AP16" s="2"/>
      <c r="AQ16" s="2"/>
      <c r="AR16" s="2"/>
      <c r="AS16" s="2"/>
      <c r="AT16" s="2"/>
      <c r="AU16" s="2"/>
      <c r="AV16" s="2"/>
      <c r="AY16" s="60"/>
      <c r="BE16" s="60"/>
      <c r="BF16" s="60"/>
      <c r="BK16" s="60"/>
      <c r="BP16" s="7"/>
      <c r="BQ16" s="7"/>
      <c r="BR16" s="7"/>
      <c r="BS16" s="7"/>
      <c r="BT16" s="7"/>
      <c r="BU16" s="7"/>
    </row>
    <row r="17" spans="2:48" s="7" customFormat="1" ht="5.25" customHeight="1">
      <c r="K17" s="67"/>
      <c r="U17" s="3"/>
      <c r="V17" s="3"/>
      <c r="W17" s="3"/>
      <c r="AA17" s="8"/>
      <c r="AI17" s="8"/>
    </row>
    <row r="18" spans="2:48" s="3" customFormat="1" ht="30.75" customHeight="1">
      <c r="B18" s="265" t="s">
        <v>1</v>
      </c>
      <c r="C18" s="266"/>
      <c r="D18" s="266"/>
      <c r="E18" s="266"/>
      <c r="F18" s="266"/>
      <c r="G18" s="266"/>
      <c r="H18" s="266"/>
      <c r="I18" s="20"/>
      <c r="J18" s="265" t="s">
        <v>2</v>
      </c>
      <c r="K18" s="266"/>
      <c r="L18" s="266"/>
      <c r="M18" s="266"/>
      <c r="N18" s="266"/>
      <c r="O18" s="266"/>
      <c r="P18" s="266"/>
      <c r="Q18" s="20"/>
      <c r="R18" s="265" t="s">
        <v>3</v>
      </c>
      <c r="S18" s="266"/>
      <c r="T18" s="266"/>
      <c r="U18" s="266"/>
      <c r="V18" s="266"/>
      <c r="W18" s="266"/>
      <c r="X18" s="266"/>
      <c r="Y18" s="20"/>
      <c r="Z18" s="265" t="s">
        <v>4</v>
      </c>
      <c r="AA18" s="266"/>
      <c r="AB18" s="266"/>
      <c r="AC18" s="266"/>
      <c r="AD18" s="266"/>
      <c r="AE18" s="266"/>
      <c r="AF18" s="266"/>
      <c r="AG18" s="20"/>
      <c r="AH18" s="265" t="s">
        <v>5</v>
      </c>
      <c r="AI18" s="266"/>
      <c r="AJ18" s="266"/>
      <c r="AK18" s="266"/>
      <c r="AL18" s="266"/>
      <c r="AM18" s="266"/>
      <c r="AN18" s="266"/>
      <c r="AO18" s="20"/>
      <c r="AP18" s="265" t="s">
        <v>6</v>
      </c>
      <c r="AQ18" s="266"/>
      <c r="AR18" s="266"/>
      <c r="AS18" s="266"/>
      <c r="AT18" s="266"/>
      <c r="AU18" s="266"/>
      <c r="AV18" s="266"/>
    </row>
    <row r="19" spans="2:48" s="28" customFormat="1" ht="12" customHeight="1">
      <c r="B19" s="34"/>
      <c r="C19" s="34"/>
      <c r="D19" s="34"/>
      <c r="E19" s="34"/>
      <c r="F19" s="34"/>
      <c r="G19" s="34"/>
      <c r="H19" s="34"/>
      <c r="I19" s="34"/>
      <c r="J19" s="34"/>
      <c r="K19" s="34"/>
      <c r="L19" s="34"/>
      <c r="M19" s="34"/>
      <c r="N19" s="34"/>
      <c r="O19" s="34"/>
      <c r="P19" s="34"/>
      <c r="Q19" s="34"/>
      <c r="R19" s="34"/>
      <c r="S19" s="34"/>
      <c r="T19" s="34"/>
      <c r="U19" s="34"/>
      <c r="V19" s="34"/>
      <c r="W19" s="34"/>
      <c r="X19" s="34"/>
      <c r="Y19" s="34"/>
      <c r="Z19" s="34"/>
      <c r="AA19" s="34"/>
      <c r="AB19" s="34"/>
      <c r="AC19" s="34"/>
      <c r="AD19" s="34"/>
      <c r="AE19" s="34"/>
      <c r="AF19" s="34"/>
      <c r="AG19" s="34"/>
      <c r="AH19" s="34"/>
      <c r="AI19" s="34"/>
      <c r="AJ19" s="34"/>
      <c r="AK19" s="34"/>
      <c r="AL19" s="34"/>
      <c r="AM19" s="34"/>
      <c r="AN19" s="34"/>
      <c r="AO19" s="34"/>
      <c r="AP19" s="34"/>
      <c r="AQ19" s="34"/>
      <c r="AR19" s="34"/>
      <c r="AS19" s="34"/>
      <c r="AT19" s="34"/>
      <c r="AU19" s="34"/>
      <c r="AV19" s="34"/>
    </row>
    <row r="20" spans="2:48" s="28" customFormat="1" ht="12" customHeight="1">
      <c r="B20" s="69" t="s">
        <v>15</v>
      </c>
      <c r="C20" s="69">
        <v>1</v>
      </c>
      <c r="D20" s="69"/>
      <c r="E20" s="69"/>
      <c r="F20" s="69"/>
      <c r="G20" s="69"/>
      <c r="H20" s="69"/>
      <c r="I20" s="70"/>
      <c r="J20" s="71" t="s">
        <v>16</v>
      </c>
      <c r="K20" s="71">
        <v>1</v>
      </c>
      <c r="L20" s="71"/>
      <c r="M20" s="71"/>
      <c r="N20" s="71"/>
      <c r="O20" s="71"/>
      <c r="P20" s="71"/>
      <c r="Q20" s="70"/>
      <c r="R20" s="71" t="s">
        <v>16</v>
      </c>
      <c r="S20" s="71">
        <v>1</v>
      </c>
      <c r="T20" s="71"/>
      <c r="U20" s="71"/>
      <c r="V20" s="71"/>
      <c r="W20" s="71"/>
      <c r="X20" s="71"/>
      <c r="Y20" s="70"/>
      <c r="Z20" s="71" t="s">
        <v>11</v>
      </c>
      <c r="AA20" s="71">
        <v>1</v>
      </c>
      <c r="AB20" s="71"/>
      <c r="AC20" s="71"/>
      <c r="AD20" s="71"/>
      <c r="AE20" s="71"/>
      <c r="AF20" s="71"/>
      <c r="AG20" s="70"/>
      <c r="AH20" s="69" t="s">
        <v>8</v>
      </c>
      <c r="AI20" s="69">
        <v>1</v>
      </c>
      <c r="AJ20" s="69"/>
      <c r="AK20" s="69"/>
      <c r="AL20" s="69"/>
      <c r="AM20" s="69"/>
      <c r="AN20" s="69"/>
      <c r="AO20" s="70"/>
      <c r="AP20" s="72" t="s">
        <v>10</v>
      </c>
      <c r="AQ20" s="72">
        <v>1</v>
      </c>
      <c r="AR20" s="72"/>
      <c r="AS20" s="72"/>
      <c r="AT20" s="72"/>
      <c r="AU20" s="72"/>
      <c r="AV20" s="72"/>
    </row>
    <row r="21" spans="2:48" s="28" customFormat="1" ht="12" customHeight="1">
      <c r="B21" s="71" t="s">
        <v>8</v>
      </c>
      <c r="C21" s="71">
        <v>2</v>
      </c>
      <c r="D21" s="110" t="s">
        <v>13</v>
      </c>
      <c r="E21" s="71"/>
      <c r="F21" s="71"/>
      <c r="G21" s="71"/>
      <c r="H21" s="71"/>
      <c r="I21" s="73"/>
      <c r="J21" s="74" t="s">
        <v>10</v>
      </c>
      <c r="K21" s="72">
        <v>2</v>
      </c>
      <c r="L21" s="72"/>
      <c r="M21" s="72"/>
      <c r="N21" s="72"/>
      <c r="O21" s="72"/>
      <c r="P21" s="72"/>
      <c r="Q21" s="73"/>
      <c r="R21" s="74" t="s">
        <v>10</v>
      </c>
      <c r="S21" s="72">
        <v>2</v>
      </c>
      <c r="T21" s="72"/>
      <c r="U21" s="72"/>
      <c r="V21" s="72"/>
      <c r="W21" s="72"/>
      <c r="X21" s="72"/>
      <c r="Y21" s="73"/>
      <c r="Z21" s="71" t="s">
        <v>15</v>
      </c>
      <c r="AA21" s="71">
        <v>2</v>
      </c>
      <c r="AB21" s="71"/>
      <c r="AC21" s="71"/>
      <c r="AD21" s="71"/>
      <c r="AE21" s="71"/>
      <c r="AF21" s="71"/>
      <c r="AG21" s="73"/>
      <c r="AH21" s="71" t="s">
        <v>12</v>
      </c>
      <c r="AI21" s="71">
        <v>2</v>
      </c>
      <c r="AJ21" s="71"/>
      <c r="AK21" s="71"/>
      <c r="AL21" s="71"/>
      <c r="AM21" s="71"/>
      <c r="AN21" s="71"/>
      <c r="AO21" s="73"/>
      <c r="AP21" s="72" t="s">
        <v>7</v>
      </c>
      <c r="AQ21" s="72">
        <v>2</v>
      </c>
      <c r="AR21" s="72"/>
      <c r="AS21" s="72"/>
      <c r="AT21" s="72"/>
      <c r="AU21" s="72"/>
      <c r="AV21" s="72"/>
    </row>
    <row r="22" spans="2:48" s="28" customFormat="1" ht="12" customHeight="1">
      <c r="B22" s="71" t="s">
        <v>12</v>
      </c>
      <c r="C22" s="71">
        <v>3</v>
      </c>
      <c r="D22" s="119" t="s">
        <v>13</v>
      </c>
      <c r="E22" s="71"/>
      <c r="F22" s="71"/>
      <c r="G22" s="71"/>
      <c r="H22" s="71"/>
      <c r="I22" s="73"/>
      <c r="J22" s="74" t="s">
        <v>7</v>
      </c>
      <c r="K22" s="72">
        <v>3</v>
      </c>
      <c r="L22" s="72"/>
      <c r="M22" s="72"/>
      <c r="N22" s="72"/>
      <c r="O22" s="72"/>
      <c r="P22" s="72"/>
      <c r="Q22" s="73"/>
      <c r="R22" s="74" t="s">
        <v>7</v>
      </c>
      <c r="S22" s="72">
        <v>3</v>
      </c>
      <c r="T22" s="72"/>
      <c r="U22" s="72"/>
      <c r="V22" s="72"/>
      <c r="W22" s="72"/>
      <c r="X22" s="72"/>
      <c r="Y22" s="73"/>
      <c r="Z22" s="71" t="s">
        <v>8</v>
      </c>
      <c r="AA22" s="71">
        <v>3</v>
      </c>
      <c r="AB22" s="71"/>
      <c r="AC22" s="71"/>
      <c r="AD22" s="71"/>
      <c r="AE22" s="71"/>
      <c r="AF22" s="71"/>
      <c r="AG22" s="73"/>
      <c r="AH22" s="71" t="s">
        <v>16</v>
      </c>
      <c r="AI22" s="71">
        <v>3</v>
      </c>
      <c r="AJ22" s="71"/>
      <c r="AK22" s="71"/>
      <c r="AL22" s="71"/>
      <c r="AM22" s="71"/>
      <c r="AN22" s="71"/>
      <c r="AO22" s="73"/>
      <c r="AP22" s="71" t="s">
        <v>11</v>
      </c>
      <c r="AQ22" s="71">
        <v>3</v>
      </c>
      <c r="AR22" s="71"/>
      <c r="AS22" s="71"/>
      <c r="AT22" s="71"/>
      <c r="AU22" s="71"/>
      <c r="AV22" s="71"/>
    </row>
    <row r="23" spans="2:48" s="28" customFormat="1" ht="12" customHeight="1">
      <c r="B23" s="71" t="s">
        <v>16</v>
      </c>
      <c r="C23" s="71">
        <v>4</v>
      </c>
      <c r="D23" s="125" t="s">
        <v>37</v>
      </c>
      <c r="E23" s="71"/>
      <c r="F23" s="71"/>
      <c r="G23" s="71"/>
      <c r="H23" s="71"/>
      <c r="I23" s="73"/>
      <c r="J23" s="71" t="s">
        <v>11</v>
      </c>
      <c r="K23" s="71">
        <v>4</v>
      </c>
      <c r="L23" s="71"/>
      <c r="M23" s="110"/>
      <c r="N23" s="71"/>
      <c r="O23" s="71"/>
      <c r="P23" s="71"/>
      <c r="Q23" s="73"/>
      <c r="R23" s="71" t="s">
        <v>11</v>
      </c>
      <c r="S23" s="71">
        <v>4</v>
      </c>
      <c r="T23" s="71"/>
      <c r="U23" s="71"/>
      <c r="V23" s="71"/>
      <c r="W23" s="71"/>
      <c r="X23" s="71"/>
      <c r="Y23" s="73"/>
      <c r="Z23" s="71" t="s">
        <v>12</v>
      </c>
      <c r="AA23" s="71">
        <v>4</v>
      </c>
      <c r="AB23" s="71"/>
      <c r="AC23" s="71"/>
      <c r="AD23" s="71"/>
      <c r="AE23" s="71"/>
      <c r="AF23" s="71"/>
      <c r="AG23" s="73"/>
      <c r="AH23" s="72" t="s">
        <v>10</v>
      </c>
      <c r="AI23" s="72">
        <v>4</v>
      </c>
      <c r="AJ23" s="72"/>
      <c r="AK23" s="72"/>
      <c r="AL23" s="72"/>
      <c r="AM23" s="72"/>
      <c r="AN23" s="72"/>
      <c r="AO23" s="73"/>
      <c r="AP23" s="71" t="s">
        <v>15</v>
      </c>
      <c r="AQ23" s="71">
        <v>4</v>
      </c>
      <c r="AR23" s="71"/>
      <c r="AS23" s="71"/>
      <c r="AT23" s="71"/>
      <c r="AU23" s="71"/>
      <c r="AV23" s="71"/>
    </row>
    <row r="24" spans="2:48" s="28" customFormat="1" ht="12" customHeight="1">
      <c r="B24" s="74" t="s">
        <v>10</v>
      </c>
      <c r="C24" s="72">
        <v>5</v>
      </c>
      <c r="D24" s="79"/>
      <c r="E24" s="72"/>
      <c r="F24" s="72"/>
      <c r="G24" s="72"/>
      <c r="H24" s="72"/>
      <c r="I24" s="73"/>
      <c r="J24" s="71" t="s">
        <v>15</v>
      </c>
      <c r="K24" s="71">
        <v>5</v>
      </c>
      <c r="L24" s="71"/>
      <c r="M24" s="112"/>
      <c r="N24" s="71"/>
      <c r="O24" s="71"/>
      <c r="P24" s="71"/>
      <c r="Q24" s="73"/>
      <c r="R24" s="71" t="s">
        <v>15</v>
      </c>
      <c r="S24" s="71">
        <v>5</v>
      </c>
      <c r="T24" s="71"/>
      <c r="U24" s="71"/>
      <c r="V24" s="71"/>
      <c r="W24" s="71"/>
      <c r="X24" s="71"/>
      <c r="Y24" s="73"/>
      <c r="Z24" s="71" t="s">
        <v>16</v>
      </c>
      <c r="AA24" s="71">
        <v>5</v>
      </c>
      <c r="AB24" s="71"/>
      <c r="AC24" s="71"/>
      <c r="AD24" s="71"/>
      <c r="AE24" s="71"/>
      <c r="AF24" s="71"/>
      <c r="AG24" s="73"/>
      <c r="AH24" s="72" t="s">
        <v>7</v>
      </c>
      <c r="AI24" s="72">
        <v>5</v>
      </c>
      <c r="AJ24" s="72"/>
      <c r="AK24" s="72"/>
      <c r="AL24" s="72"/>
      <c r="AM24" s="72"/>
      <c r="AN24" s="72"/>
      <c r="AO24" s="73"/>
      <c r="AP24" s="71" t="s">
        <v>8</v>
      </c>
      <c r="AQ24" s="71">
        <v>5</v>
      </c>
      <c r="AR24" s="71"/>
      <c r="AS24" s="71"/>
      <c r="AT24" s="71"/>
      <c r="AU24" s="71"/>
      <c r="AV24" s="71"/>
    </row>
    <row r="25" spans="2:48" s="28" customFormat="1" ht="12" customHeight="1">
      <c r="B25" s="74" t="s">
        <v>7</v>
      </c>
      <c r="C25" s="72">
        <v>6</v>
      </c>
      <c r="D25" s="72"/>
      <c r="E25" s="72"/>
      <c r="F25" s="72"/>
      <c r="G25" s="72"/>
      <c r="H25" s="72"/>
      <c r="I25" s="73"/>
      <c r="J25" s="71" t="s">
        <v>8</v>
      </c>
      <c r="K25" s="71">
        <v>6</v>
      </c>
      <c r="L25" s="71"/>
      <c r="M25" s="77"/>
      <c r="N25" s="71"/>
      <c r="O25" s="71"/>
      <c r="P25" s="71"/>
      <c r="Q25" s="73"/>
      <c r="R25" s="71" t="s">
        <v>8</v>
      </c>
      <c r="S25" s="71">
        <v>6</v>
      </c>
      <c r="T25" s="71"/>
      <c r="U25" s="71"/>
      <c r="V25" s="71"/>
      <c r="W25" s="71"/>
      <c r="X25" s="71"/>
      <c r="Y25" s="73"/>
      <c r="Z25" s="72" t="s">
        <v>10</v>
      </c>
      <c r="AA25" s="72">
        <v>6</v>
      </c>
      <c r="AB25" s="72"/>
      <c r="AC25" s="72"/>
      <c r="AD25" s="72"/>
      <c r="AE25" s="72"/>
      <c r="AF25" s="72"/>
      <c r="AG25" s="73"/>
      <c r="AH25" s="71" t="s">
        <v>11</v>
      </c>
      <c r="AI25" s="71">
        <v>6</v>
      </c>
      <c r="AJ25" s="71"/>
      <c r="AK25" s="71"/>
      <c r="AL25" s="71"/>
      <c r="AM25" s="71"/>
      <c r="AN25" s="71"/>
      <c r="AO25" s="73"/>
      <c r="AP25" s="71" t="s">
        <v>12</v>
      </c>
      <c r="AQ25" s="71">
        <v>6</v>
      </c>
      <c r="AR25" s="71"/>
      <c r="AS25" s="71"/>
      <c r="AT25" s="71"/>
      <c r="AU25" s="71"/>
      <c r="AV25" s="71"/>
    </row>
    <row r="26" spans="2:48" s="28" customFormat="1" ht="12" customHeight="1">
      <c r="B26" s="71" t="s">
        <v>11</v>
      </c>
      <c r="C26" s="71">
        <v>7</v>
      </c>
      <c r="D26" s="71"/>
      <c r="E26" s="71"/>
      <c r="F26" s="71"/>
      <c r="G26" s="71"/>
      <c r="H26" s="71"/>
      <c r="I26" s="73"/>
      <c r="J26" s="71" t="s">
        <v>12</v>
      </c>
      <c r="K26" s="71">
        <v>7</v>
      </c>
      <c r="L26" s="71"/>
      <c r="M26" s="71"/>
      <c r="N26" s="71"/>
      <c r="O26" s="71"/>
      <c r="P26" s="71"/>
      <c r="Q26" s="73"/>
      <c r="R26" s="71" t="s">
        <v>12</v>
      </c>
      <c r="S26" s="71">
        <v>7</v>
      </c>
      <c r="T26" s="71"/>
      <c r="U26" s="71"/>
      <c r="V26" s="71"/>
      <c r="W26" s="71"/>
      <c r="X26" s="71"/>
      <c r="Y26" s="73"/>
      <c r="Z26" s="72" t="s">
        <v>7</v>
      </c>
      <c r="AA26" s="72">
        <v>7</v>
      </c>
      <c r="AB26" s="72"/>
      <c r="AC26" s="72"/>
      <c r="AD26" s="72"/>
      <c r="AE26" s="72"/>
      <c r="AF26" s="72"/>
      <c r="AG26" s="73"/>
      <c r="AH26" s="71" t="s">
        <v>15</v>
      </c>
      <c r="AI26" s="71">
        <v>7</v>
      </c>
      <c r="AJ26" s="71"/>
      <c r="AK26" s="71"/>
      <c r="AL26" s="71"/>
      <c r="AM26" s="71"/>
      <c r="AN26" s="71"/>
      <c r="AO26" s="73"/>
      <c r="AP26" s="71" t="s">
        <v>16</v>
      </c>
      <c r="AQ26" s="71">
        <v>7</v>
      </c>
      <c r="AR26" s="71"/>
      <c r="AS26" s="71"/>
      <c r="AT26" s="71"/>
      <c r="AU26" s="71"/>
      <c r="AV26" s="71"/>
    </row>
    <row r="27" spans="2:48" s="28" customFormat="1" ht="12" customHeight="1">
      <c r="B27" s="71" t="s">
        <v>15</v>
      </c>
      <c r="C27" s="71">
        <v>8</v>
      </c>
      <c r="D27" s="71"/>
      <c r="E27" s="71"/>
      <c r="F27" s="71"/>
      <c r="G27" s="71"/>
      <c r="H27" s="71"/>
      <c r="I27" s="73"/>
      <c r="J27" s="71" t="s">
        <v>16</v>
      </c>
      <c r="K27" s="71">
        <v>8</v>
      </c>
      <c r="L27" s="71"/>
      <c r="M27" s="71"/>
      <c r="N27" s="71"/>
      <c r="O27" s="71"/>
      <c r="P27" s="71"/>
      <c r="Q27" s="73"/>
      <c r="R27" s="71" t="s">
        <v>16</v>
      </c>
      <c r="S27" s="71">
        <v>8</v>
      </c>
      <c r="T27" s="71"/>
      <c r="U27" s="71"/>
      <c r="V27" s="71"/>
      <c r="W27" s="71"/>
      <c r="X27" s="71"/>
      <c r="Y27" s="73"/>
      <c r="Z27" s="71" t="s">
        <v>11</v>
      </c>
      <c r="AA27" s="71">
        <v>8</v>
      </c>
      <c r="AB27" s="71"/>
      <c r="AC27" s="71"/>
      <c r="AD27" s="71"/>
      <c r="AE27" s="71"/>
      <c r="AF27" s="71"/>
      <c r="AG27" s="73"/>
      <c r="AH27" s="69" t="s">
        <v>8</v>
      </c>
      <c r="AI27" s="69">
        <v>8</v>
      </c>
      <c r="AJ27" s="69"/>
      <c r="AK27" s="69"/>
      <c r="AL27" s="69"/>
      <c r="AM27" s="69"/>
      <c r="AN27" s="69"/>
      <c r="AO27" s="73"/>
      <c r="AP27" s="74" t="s">
        <v>10</v>
      </c>
      <c r="AQ27" s="72">
        <v>8</v>
      </c>
      <c r="AR27" s="72"/>
      <c r="AS27" s="72"/>
      <c r="AT27" s="72"/>
      <c r="AU27" s="72"/>
      <c r="AV27" s="72"/>
    </row>
    <row r="28" spans="2:48" s="28" customFormat="1" ht="12" customHeight="1">
      <c r="B28" s="71" t="s">
        <v>8</v>
      </c>
      <c r="C28" s="71">
        <v>9</v>
      </c>
      <c r="D28" s="71"/>
      <c r="E28" s="71"/>
      <c r="F28" s="71"/>
      <c r="G28" s="71"/>
      <c r="H28" s="71"/>
      <c r="I28" s="73"/>
      <c r="J28" s="72" t="s">
        <v>10</v>
      </c>
      <c r="K28" s="72">
        <v>9</v>
      </c>
      <c r="L28" s="72"/>
      <c r="M28" s="72"/>
      <c r="N28" s="72"/>
      <c r="O28" s="72"/>
      <c r="P28" s="72"/>
      <c r="Q28" s="73"/>
      <c r="R28" s="72" t="s">
        <v>10</v>
      </c>
      <c r="S28" s="72">
        <v>9</v>
      </c>
      <c r="T28" s="72"/>
      <c r="U28" s="72"/>
      <c r="V28" s="72"/>
      <c r="W28" s="72"/>
      <c r="X28" s="72"/>
      <c r="Y28" s="73"/>
      <c r="Z28" s="71" t="s">
        <v>15</v>
      </c>
      <c r="AA28" s="71">
        <v>9</v>
      </c>
      <c r="AB28" s="71"/>
      <c r="AC28" s="71"/>
      <c r="AD28" s="71"/>
      <c r="AE28" s="71"/>
      <c r="AF28" s="71"/>
      <c r="AG28" s="73"/>
      <c r="AH28" s="71" t="s">
        <v>12</v>
      </c>
      <c r="AI28" s="71">
        <v>9</v>
      </c>
      <c r="AJ28" s="71"/>
      <c r="AK28" s="71"/>
      <c r="AL28" s="71"/>
      <c r="AM28" s="71"/>
      <c r="AN28" s="71"/>
      <c r="AO28" s="73"/>
      <c r="AP28" s="74" t="s">
        <v>7</v>
      </c>
      <c r="AQ28" s="72">
        <v>9</v>
      </c>
      <c r="AR28" s="72"/>
      <c r="AS28" s="72"/>
      <c r="AT28" s="72"/>
      <c r="AU28" s="72"/>
      <c r="AV28" s="72"/>
    </row>
    <row r="29" spans="2:48" s="28" customFormat="1" ht="12" customHeight="1">
      <c r="B29" s="71" t="s">
        <v>12</v>
      </c>
      <c r="C29" s="71">
        <v>10</v>
      </c>
      <c r="D29" s="71"/>
      <c r="E29" s="71"/>
      <c r="F29" s="71"/>
      <c r="G29" s="71"/>
      <c r="H29" s="71"/>
      <c r="I29" s="73"/>
      <c r="J29" s="72" t="s">
        <v>7</v>
      </c>
      <c r="K29" s="72">
        <v>10</v>
      </c>
      <c r="L29" s="72"/>
      <c r="M29" s="72"/>
      <c r="N29" s="72"/>
      <c r="O29" s="72"/>
      <c r="P29" s="72"/>
      <c r="Q29" s="73"/>
      <c r="R29" s="72" t="s">
        <v>7</v>
      </c>
      <c r="S29" s="72">
        <v>10</v>
      </c>
      <c r="T29" s="72"/>
      <c r="U29" s="72"/>
      <c r="V29" s="72"/>
      <c r="W29" s="72"/>
      <c r="X29" s="72"/>
      <c r="Y29" s="73"/>
      <c r="Z29" s="71" t="s">
        <v>8</v>
      </c>
      <c r="AA29" s="71">
        <v>10</v>
      </c>
      <c r="AB29" s="71"/>
      <c r="AC29" s="71"/>
      <c r="AD29" s="71"/>
      <c r="AE29" s="71"/>
      <c r="AF29" s="71"/>
      <c r="AG29" s="73"/>
      <c r="AH29" s="71" t="s">
        <v>16</v>
      </c>
      <c r="AI29" s="71">
        <v>10</v>
      </c>
      <c r="AJ29" s="71"/>
      <c r="AK29" s="71"/>
      <c r="AL29" s="71"/>
      <c r="AM29" s="71"/>
      <c r="AN29" s="71"/>
      <c r="AO29" s="73"/>
      <c r="AP29" s="71" t="s">
        <v>11</v>
      </c>
      <c r="AQ29" s="71">
        <v>10</v>
      </c>
      <c r="AR29" s="71"/>
      <c r="AS29" s="71"/>
      <c r="AT29" s="71"/>
      <c r="AU29" s="71"/>
      <c r="AV29" s="71"/>
    </row>
    <row r="30" spans="2:48" s="28" customFormat="1" ht="12" customHeight="1">
      <c r="B30" s="71" t="s">
        <v>16</v>
      </c>
      <c r="C30" s="71">
        <v>11</v>
      </c>
      <c r="D30" s="71"/>
      <c r="E30" s="71"/>
      <c r="F30" s="71"/>
      <c r="G30" s="71"/>
      <c r="H30" s="71"/>
      <c r="I30" s="73"/>
      <c r="J30" s="71" t="s">
        <v>11</v>
      </c>
      <c r="K30" s="71">
        <v>11</v>
      </c>
      <c r="L30" s="71"/>
      <c r="M30" s="71"/>
      <c r="N30" s="71"/>
      <c r="O30" s="71"/>
      <c r="P30" s="71"/>
      <c r="Q30" s="73"/>
      <c r="R30" s="71" t="s">
        <v>11</v>
      </c>
      <c r="S30" s="71">
        <v>11</v>
      </c>
      <c r="T30" s="71"/>
      <c r="U30" s="71"/>
      <c r="V30" s="71"/>
      <c r="W30" s="71"/>
      <c r="X30" s="71"/>
      <c r="Y30" s="73"/>
      <c r="Z30" s="71" t="s">
        <v>12</v>
      </c>
      <c r="AA30" s="71">
        <v>11</v>
      </c>
      <c r="AB30" s="71"/>
      <c r="AC30" s="71"/>
      <c r="AD30" s="71"/>
      <c r="AE30" s="71"/>
      <c r="AF30" s="71"/>
      <c r="AG30" s="73"/>
      <c r="AH30" s="74" t="s">
        <v>10</v>
      </c>
      <c r="AI30" s="72">
        <v>11</v>
      </c>
      <c r="AJ30" s="72"/>
      <c r="AK30" s="72"/>
      <c r="AL30" s="72"/>
      <c r="AM30" s="72"/>
      <c r="AN30" s="72"/>
      <c r="AO30" s="73"/>
      <c r="AP30" s="71" t="s">
        <v>15</v>
      </c>
      <c r="AQ30" s="71">
        <v>11</v>
      </c>
      <c r="AR30" s="71"/>
      <c r="AS30" s="71"/>
      <c r="AT30" s="71"/>
      <c r="AU30" s="71"/>
      <c r="AV30" s="71"/>
    </row>
    <row r="31" spans="2:48" s="28" customFormat="1" ht="12" customHeight="1">
      <c r="B31" s="72" t="s">
        <v>10</v>
      </c>
      <c r="C31" s="72">
        <v>12</v>
      </c>
      <c r="D31" s="72"/>
      <c r="E31" s="72"/>
      <c r="F31" s="72"/>
      <c r="G31" s="72"/>
      <c r="H31" s="72"/>
      <c r="I31" s="73"/>
      <c r="J31" s="71" t="s">
        <v>15</v>
      </c>
      <c r="K31" s="71">
        <v>12</v>
      </c>
      <c r="L31" s="71"/>
      <c r="M31" s="71"/>
      <c r="N31" s="71"/>
      <c r="O31" s="71"/>
      <c r="P31" s="71"/>
      <c r="Q31" s="73"/>
      <c r="R31" s="71" t="s">
        <v>15</v>
      </c>
      <c r="S31" s="71">
        <v>12</v>
      </c>
      <c r="T31" s="71"/>
      <c r="U31" s="71"/>
      <c r="V31" s="71"/>
      <c r="W31" s="71"/>
      <c r="X31" s="71"/>
      <c r="Y31" s="73"/>
      <c r="Z31" s="71" t="s">
        <v>16</v>
      </c>
      <c r="AA31" s="71">
        <v>12</v>
      </c>
      <c r="AB31" s="71"/>
      <c r="AC31" s="71"/>
      <c r="AD31" s="71"/>
      <c r="AE31" s="71"/>
      <c r="AF31" s="71"/>
      <c r="AG31" s="73"/>
      <c r="AH31" s="74" t="s">
        <v>7</v>
      </c>
      <c r="AI31" s="72">
        <v>12</v>
      </c>
      <c r="AJ31" s="72"/>
      <c r="AK31" s="72"/>
      <c r="AL31" s="72"/>
      <c r="AM31" s="72"/>
      <c r="AN31" s="72"/>
      <c r="AO31" s="73"/>
      <c r="AP31" s="71" t="s">
        <v>8</v>
      </c>
      <c r="AQ31" s="71">
        <v>12</v>
      </c>
      <c r="AR31" s="71"/>
      <c r="AS31" s="71"/>
      <c r="AT31" s="71"/>
      <c r="AU31" s="71"/>
      <c r="AV31" s="71"/>
    </row>
    <row r="32" spans="2:48" s="28" customFormat="1" ht="12" customHeight="1">
      <c r="B32" s="72" t="s">
        <v>7</v>
      </c>
      <c r="C32" s="72">
        <v>13</v>
      </c>
      <c r="D32" s="72"/>
      <c r="E32" s="72"/>
      <c r="F32" s="72"/>
      <c r="G32" s="72"/>
      <c r="H32" s="72"/>
      <c r="I32" s="73"/>
      <c r="J32" s="71" t="s">
        <v>8</v>
      </c>
      <c r="K32" s="71">
        <v>13</v>
      </c>
      <c r="L32" s="71"/>
      <c r="M32" s="71"/>
      <c r="N32" s="71"/>
      <c r="O32" s="71"/>
      <c r="P32" s="71"/>
      <c r="Q32" s="73"/>
      <c r="R32" s="71" t="s">
        <v>8</v>
      </c>
      <c r="S32" s="71">
        <v>13</v>
      </c>
      <c r="T32" s="71"/>
      <c r="U32" s="71"/>
      <c r="V32" s="71"/>
      <c r="W32" s="71"/>
      <c r="X32" s="71"/>
      <c r="Y32" s="73"/>
      <c r="Z32" s="74" t="s">
        <v>10</v>
      </c>
      <c r="AA32" s="72">
        <v>13</v>
      </c>
      <c r="AB32" s="72"/>
      <c r="AC32" s="72"/>
      <c r="AD32" s="72"/>
      <c r="AE32" s="72"/>
      <c r="AF32" s="72"/>
      <c r="AG32" s="73"/>
      <c r="AH32" s="71" t="s">
        <v>11</v>
      </c>
      <c r="AI32" s="71">
        <v>13</v>
      </c>
      <c r="AJ32" s="71"/>
      <c r="AK32" s="71"/>
      <c r="AL32" s="71"/>
      <c r="AM32" s="71"/>
      <c r="AN32" s="71"/>
      <c r="AO32" s="73"/>
      <c r="AP32" s="71" t="s">
        <v>12</v>
      </c>
      <c r="AQ32" s="71">
        <v>13</v>
      </c>
      <c r="AR32" s="71"/>
      <c r="AS32" s="71"/>
      <c r="AT32" s="71"/>
      <c r="AU32" s="71"/>
      <c r="AV32" s="71"/>
    </row>
    <row r="33" spans="2:48" s="28" customFormat="1" ht="12" customHeight="1">
      <c r="B33" s="71" t="s">
        <v>11</v>
      </c>
      <c r="C33" s="71">
        <v>14</v>
      </c>
      <c r="D33" s="71"/>
      <c r="E33" s="71"/>
      <c r="F33" s="71"/>
      <c r="G33" s="71"/>
      <c r="H33" s="71"/>
      <c r="I33" s="73"/>
      <c r="J33" s="71" t="s">
        <v>12</v>
      </c>
      <c r="K33" s="71">
        <v>14</v>
      </c>
      <c r="L33" s="71"/>
      <c r="M33" s="71"/>
      <c r="N33" s="71"/>
      <c r="O33" s="71"/>
      <c r="P33" s="71"/>
      <c r="Q33" s="73"/>
      <c r="R33" s="71" t="s">
        <v>12</v>
      </c>
      <c r="S33" s="71">
        <v>14</v>
      </c>
      <c r="T33" s="71"/>
      <c r="U33" s="71"/>
      <c r="V33" s="71"/>
      <c r="W33" s="71"/>
      <c r="X33" s="71"/>
      <c r="Y33" s="73"/>
      <c r="Z33" s="74" t="s">
        <v>7</v>
      </c>
      <c r="AA33" s="72">
        <v>14</v>
      </c>
      <c r="AB33" s="72"/>
      <c r="AC33" s="72"/>
      <c r="AD33" s="72"/>
      <c r="AE33" s="72"/>
      <c r="AF33" s="72"/>
      <c r="AG33" s="73"/>
      <c r="AH33" s="71" t="s">
        <v>15</v>
      </c>
      <c r="AI33" s="71">
        <v>14</v>
      </c>
      <c r="AJ33" s="71"/>
      <c r="AK33" s="71"/>
      <c r="AL33" s="71"/>
      <c r="AM33" s="71"/>
      <c r="AN33" s="71"/>
      <c r="AO33" s="73"/>
      <c r="AP33" s="71" t="s">
        <v>16</v>
      </c>
      <c r="AQ33" s="71">
        <v>14</v>
      </c>
      <c r="AR33" s="71"/>
      <c r="AS33" s="71"/>
      <c r="AT33" s="71"/>
      <c r="AU33" s="71"/>
      <c r="AV33" s="71"/>
    </row>
    <row r="34" spans="2:48" s="28" customFormat="1" ht="12" customHeight="1" thickBot="1">
      <c r="B34" s="71" t="s">
        <v>15</v>
      </c>
      <c r="C34" s="71">
        <v>15</v>
      </c>
      <c r="D34" s="71"/>
      <c r="E34" s="71"/>
      <c r="F34" s="71"/>
      <c r="G34" s="71"/>
      <c r="H34" s="71"/>
      <c r="I34" s="73"/>
      <c r="J34" s="71" t="s">
        <v>16</v>
      </c>
      <c r="K34" s="71">
        <v>15</v>
      </c>
      <c r="L34" s="71"/>
      <c r="M34" s="71"/>
      <c r="N34" s="110"/>
      <c r="O34" s="71"/>
      <c r="P34" s="71"/>
      <c r="Q34" s="73"/>
      <c r="R34" s="71" t="s">
        <v>16</v>
      </c>
      <c r="S34" s="71">
        <v>15</v>
      </c>
      <c r="T34" s="71"/>
      <c r="U34" s="71"/>
      <c r="V34" s="71"/>
      <c r="W34" s="71"/>
      <c r="X34" s="71"/>
      <c r="Y34" s="73"/>
      <c r="Z34" s="71" t="s">
        <v>11</v>
      </c>
      <c r="AA34" s="71">
        <v>15</v>
      </c>
      <c r="AB34" s="71"/>
      <c r="AC34" s="71"/>
      <c r="AD34" s="71"/>
      <c r="AE34" s="71"/>
      <c r="AF34" s="71"/>
      <c r="AG34" s="73"/>
      <c r="AH34" s="71" t="s">
        <v>8</v>
      </c>
      <c r="AI34" s="71">
        <v>15</v>
      </c>
      <c r="AJ34" s="71"/>
      <c r="AK34" s="71"/>
      <c r="AL34" s="71"/>
      <c r="AM34" s="71"/>
      <c r="AN34" s="71"/>
      <c r="AO34" s="73"/>
      <c r="AP34" s="72" t="s">
        <v>10</v>
      </c>
      <c r="AQ34" s="72">
        <v>15</v>
      </c>
      <c r="AR34" s="72"/>
      <c r="AS34" s="72"/>
      <c r="AT34" s="72"/>
      <c r="AU34" s="72"/>
      <c r="AV34" s="72"/>
    </row>
    <row r="35" spans="2:48" s="28" customFormat="1" ht="12" customHeight="1" thickTop="1" thickBot="1">
      <c r="B35" s="71" t="s">
        <v>8</v>
      </c>
      <c r="C35" s="71">
        <v>16</v>
      </c>
      <c r="D35" s="71"/>
      <c r="E35" s="71"/>
      <c r="F35" s="71"/>
      <c r="G35" s="71"/>
      <c r="H35" s="71"/>
      <c r="I35" s="73"/>
      <c r="J35" s="74" t="s">
        <v>10</v>
      </c>
      <c r="K35" s="72" t="s">
        <v>26</v>
      </c>
      <c r="L35" s="4" t="s">
        <v>9</v>
      </c>
      <c r="M35" s="72"/>
      <c r="N35" s="122" t="s">
        <v>38</v>
      </c>
      <c r="O35" s="72"/>
      <c r="P35" s="72"/>
      <c r="Q35" s="73"/>
      <c r="R35" s="74" t="s">
        <v>10</v>
      </c>
      <c r="S35" s="72">
        <v>16</v>
      </c>
      <c r="T35" s="72"/>
      <c r="U35" s="72"/>
      <c r="V35" s="72"/>
      <c r="W35" s="72"/>
      <c r="X35" s="72"/>
      <c r="Y35" s="73"/>
      <c r="Z35" s="71" t="s">
        <v>15</v>
      </c>
      <c r="AA35" s="71">
        <v>16</v>
      </c>
      <c r="AB35" s="71"/>
      <c r="AC35" s="71"/>
      <c r="AD35" s="71"/>
      <c r="AE35" s="71"/>
      <c r="AF35" s="71"/>
      <c r="AG35" s="73"/>
      <c r="AH35" s="71" t="s">
        <v>12</v>
      </c>
      <c r="AI35" s="71">
        <v>16</v>
      </c>
      <c r="AJ35" s="71"/>
      <c r="AK35" s="71"/>
      <c r="AL35" s="71"/>
      <c r="AM35" s="71"/>
      <c r="AN35" s="71"/>
      <c r="AO35" s="73"/>
      <c r="AP35" s="72" t="s">
        <v>7</v>
      </c>
      <c r="AQ35" s="72">
        <v>16</v>
      </c>
      <c r="AR35" s="72"/>
      <c r="AS35" s="72"/>
      <c r="AT35" s="72"/>
      <c r="AU35" s="72"/>
      <c r="AV35" s="72"/>
    </row>
    <row r="36" spans="2:48" s="28" customFormat="1" ht="12" customHeight="1" thickTop="1" thickBot="1">
      <c r="B36" s="71" t="s">
        <v>12</v>
      </c>
      <c r="C36" s="71">
        <v>17</v>
      </c>
      <c r="D36" s="71"/>
      <c r="E36" s="71"/>
      <c r="F36" s="71"/>
      <c r="G36" s="71"/>
      <c r="H36" s="71"/>
      <c r="I36" s="73"/>
      <c r="J36" s="74" t="s">
        <v>7</v>
      </c>
      <c r="K36" s="72" t="s">
        <v>27</v>
      </c>
      <c r="L36" s="4" t="s">
        <v>9</v>
      </c>
      <c r="M36" s="72"/>
      <c r="N36" s="124" t="s">
        <v>38</v>
      </c>
      <c r="O36" s="72"/>
      <c r="P36" s="72"/>
      <c r="Q36" s="73"/>
      <c r="R36" s="74" t="s">
        <v>7</v>
      </c>
      <c r="S36" s="72">
        <v>17</v>
      </c>
      <c r="T36" s="72"/>
      <c r="U36" s="72"/>
      <c r="V36" s="72"/>
      <c r="W36" s="72"/>
      <c r="X36" s="72"/>
      <c r="Y36" s="73"/>
      <c r="Z36" s="71" t="s">
        <v>8</v>
      </c>
      <c r="AA36" s="71">
        <v>17</v>
      </c>
      <c r="AB36" s="71"/>
      <c r="AC36" s="71"/>
      <c r="AD36" s="71"/>
      <c r="AE36" s="71"/>
      <c r="AF36" s="71"/>
      <c r="AG36" s="73"/>
      <c r="AH36" s="71" t="s">
        <v>16</v>
      </c>
      <c r="AI36" s="71">
        <v>17</v>
      </c>
      <c r="AJ36" s="71"/>
      <c r="AK36" s="71"/>
      <c r="AL36" s="71"/>
      <c r="AM36" s="71"/>
      <c r="AN36" s="71"/>
      <c r="AO36" s="73"/>
      <c r="AP36" s="71" t="s">
        <v>11</v>
      </c>
      <c r="AQ36" s="71">
        <v>17</v>
      </c>
      <c r="AR36" s="71"/>
      <c r="AS36" s="71"/>
      <c r="AT36" s="71"/>
      <c r="AU36" s="71"/>
      <c r="AV36" s="71"/>
    </row>
    <row r="37" spans="2:48" s="28" customFormat="1" ht="12" customHeight="1" thickTop="1">
      <c r="B37" s="71" t="s">
        <v>16</v>
      </c>
      <c r="C37" s="71">
        <v>18</v>
      </c>
      <c r="D37" s="71"/>
      <c r="E37" s="71"/>
      <c r="F37" s="71"/>
      <c r="G37" s="71"/>
      <c r="H37" s="71"/>
      <c r="I37" s="73"/>
      <c r="J37" s="71" t="s">
        <v>11</v>
      </c>
      <c r="K37" s="71">
        <v>18</v>
      </c>
      <c r="L37" s="71"/>
      <c r="M37" s="71"/>
      <c r="N37" s="77"/>
      <c r="O37" s="71"/>
      <c r="P37" s="71"/>
      <c r="Q37" s="73"/>
      <c r="R37" s="71" t="s">
        <v>11</v>
      </c>
      <c r="S37" s="71">
        <v>18</v>
      </c>
      <c r="T37" s="71"/>
      <c r="U37" s="71"/>
      <c r="V37" s="71"/>
      <c r="W37" s="71"/>
      <c r="X37" s="71"/>
      <c r="Y37" s="73"/>
      <c r="Z37" s="71" t="s">
        <v>12</v>
      </c>
      <c r="AA37" s="71">
        <v>18</v>
      </c>
      <c r="AB37" s="71"/>
      <c r="AC37" s="71"/>
      <c r="AD37" s="71"/>
      <c r="AE37" s="71"/>
      <c r="AF37" s="71"/>
      <c r="AG37" s="73"/>
      <c r="AH37" s="72" t="s">
        <v>10</v>
      </c>
      <c r="AI37" s="72">
        <v>18</v>
      </c>
      <c r="AJ37" s="72"/>
      <c r="AK37" s="72"/>
      <c r="AL37" s="72"/>
      <c r="AM37" s="72"/>
      <c r="AN37" s="72"/>
      <c r="AO37" s="73"/>
      <c r="AP37" s="71" t="s">
        <v>15</v>
      </c>
      <c r="AQ37" s="71">
        <v>18</v>
      </c>
      <c r="AR37" s="71"/>
      <c r="AS37" s="71"/>
      <c r="AT37" s="71"/>
      <c r="AU37" s="71"/>
      <c r="AV37" s="71"/>
    </row>
    <row r="38" spans="2:48" s="28" customFormat="1" ht="12" customHeight="1">
      <c r="B38" s="74" t="s">
        <v>10</v>
      </c>
      <c r="C38" s="72">
        <v>19</v>
      </c>
      <c r="D38" s="72"/>
      <c r="E38" s="72"/>
      <c r="F38" s="72"/>
      <c r="G38" s="72"/>
      <c r="H38" s="72"/>
      <c r="I38" s="73"/>
      <c r="J38" s="71" t="s">
        <v>15</v>
      </c>
      <c r="K38" s="71">
        <v>19</v>
      </c>
      <c r="L38" s="71"/>
      <c r="M38" s="71"/>
      <c r="N38" s="71"/>
      <c r="O38" s="71"/>
      <c r="P38" s="71"/>
      <c r="Q38" s="73"/>
      <c r="R38" s="71" t="s">
        <v>15</v>
      </c>
      <c r="S38" s="71">
        <v>19</v>
      </c>
      <c r="T38" s="71"/>
      <c r="U38" s="71"/>
      <c r="V38" s="71"/>
      <c r="W38" s="71"/>
      <c r="X38" s="71"/>
      <c r="Y38" s="73"/>
      <c r="Z38" s="71" t="s">
        <v>16</v>
      </c>
      <c r="AA38" s="71">
        <v>19</v>
      </c>
      <c r="AB38" s="71"/>
      <c r="AC38" s="71"/>
      <c r="AD38" s="71"/>
      <c r="AE38" s="71"/>
      <c r="AF38" s="71"/>
      <c r="AG38" s="73"/>
      <c r="AH38" s="72" t="s">
        <v>7</v>
      </c>
      <c r="AI38" s="72">
        <v>19</v>
      </c>
      <c r="AJ38" s="72"/>
      <c r="AK38" s="72"/>
      <c r="AL38" s="72"/>
      <c r="AM38" s="72"/>
      <c r="AN38" s="72"/>
      <c r="AO38" s="73"/>
      <c r="AP38" s="71" t="s">
        <v>8</v>
      </c>
      <c r="AQ38" s="71">
        <v>19</v>
      </c>
      <c r="AR38" s="71"/>
      <c r="AS38" s="71"/>
      <c r="AT38" s="71"/>
      <c r="AU38" s="71"/>
      <c r="AV38" s="71"/>
    </row>
    <row r="39" spans="2:48" s="28" customFormat="1" ht="12" customHeight="1">
      <c r="B39" s="74" t="s">
        <v>7</v>
      </c>
      <c r="C39" s="72">
        <v>20</v>
      </c>
      <c r="D39" s="72"/>
      <c r="E39" s="72"/>
      <c r="F39" s="72"/>
      <c r="G39" s="72"/>
      <c r="H39" s="72"/>
      <c r="I39" s="73"/>
      <c r="J39" s="71" t="s">
        <v>8</v>
      </c>
      <c r="K39" s="71">
        <v>20</v>
      </c>
      <c r="L39" s="71"/>
      <c r="M39" s="71"/>
      <c r="N39" s="71"/>
      <c r="O39" s="71"/>
      <c r="P39" s="71"/>
      <c r="Q39" s="73"/>
      <c r="R39" s="71" t="s">
        <v>8</v>
      </c>
      <c r="S39" s="71">
        <v>20</v>
      </c>
      <c r="T39" s="71"/>
      <c r="U39" s="71"/>
      <c r="V39" s="71"/>
      <c r="W39" s="71"/>
      <c r="X39" s="71"/>
      <c r="Y39" s="73"/>
      <c r="Z39" s="72" t="s">
        <v>10</v>
      </c>
      <c r="AA39" s="72">
        <v>20</v>
      </c>
      <c r="AB39" s="72"/>
      <c r="AC39" s="72"/>
      <c r="AD39" s="72"/>
      <c r="AE39" s="72"/>
      <c r="AF39" s="72"/>
      <c r="AG39" s="73"/>
      <c r="AH39" s="71" t="s">
        <v>11</v>
      </c>
      <c r="AI39" s="71">
        <v>20</v>
      </c>
      <c r="AJ39" s="71"/>
      <c r="AK39" s="71"/>
      <c r="AL39" s="71"/>
      <c r="AM39" s="71"/>
      <c r="AN39" s="71"/>
      <c r="AO39" s="73"/>
      <c r="AP39" s="71" t="s">
        <v>12</v>
      </c>
      <c r="AQ39" s="71">
        <v>20</v>
      </c>
      <c r="AR39" s="71"/>
      <c r="AS39" s="71"/>
      <c r="AT39" s="71"/>
      <c r="AU39" s="71"/>
      <c r="AV39" s="71"/>
    </row>
    <row r="40" spans="2:48" s="28" customFormat="1" ht="12" customHeight="1">
      <c r="B40" s="71" t="s">
        <v>11</v>
      </c>
      <c r="C40" s="71">
        <v>21</v>
      </c>
      <c r="D40" s="71"/>
      <c r="E40" s="71"/>
      <c r="F40" s="71"/>
      <c r="G40" s="71"/>
      <c r="H40" s="71"/>
      <c r="I40" s="73"/>
      <c r="J40" s="71" t="s">
        <v>12</v>
      </c>
      <c r="K40" s="71">
        <v>21</v>
      </c>
      <c r="L40" s="71"/>
      <c r="M40" s="71"/>
      <c r="N40" s="71"/>
      <c r="O40" s="71"/>
      <c r="P40" s="71"/>
      <c r="Q40" s="73"/>
      <c r="R40" s="71" t="s">
        <v>12</v>
      </c>
      <c r="S40" s="71">
        <v>21</v>
      </c>
      <c r="T40" s="71"/>
      <c r="U40" s="71"/>
      <c r="V40" s="71"/>
      <c r="W40" s="71"/>
      <c r="X40" s="71"/>
      <c r="Y40" s="73"/>
      <c r="Z40" s="72" t="s">
        <v>7</v>
      </c>
      <c r="AA40" s="72">
        <v>21</v>
      </c>
      <c r="AB40" s="72"/>
      <c r="AC40" s="72"/>
      <c r="AD40" s="72"/>
      <c r="AE40" s="72"/>
      <c r="AF40" s="72"/>
      <c r="AG40" s="73"/>
      <c r="AH40" s="71" t="s">
        <v>15</v>
      </c>
      <c r="AI40" s="71">
        <v>21</v>
      </c>
      <c r="AJ40" s="71"/>
      <c r="AK40" s="71"/>
      <c r="AL40" s="71"/>
      <c r="AM40" s="71"/>
      <c r="AN40" s="71"/>
      <c r="AO40" s="73"/>
      <c r="AP40" s="71" t="s">
        <v>16</v>
      </c>
      <c r="AQ40" s="71">
        <v>21</v>
      </c>
      <c r="AR40" s="71"/>
      <c r="AS40" s="71"/>
      <c r="AT40" s="71"/>
      <c r="AU40" s="71"/>
      <c r="AV40" s="71"/>
    </row>
    <row r="41" spans="2:48" s="28" customFormat="1" ht="12" customHeight="1">
      <c r="B41" s="71" t="s">
        <v>15</v>
      </c>
      <c r="C41" s="71">
        <v>22</v>
      </c>
      <c r="D41" s="71"/>
      <c r="E41" s="71"/>
      <c r="F41" s="71"/>
      <c r="G41" s="71"/>
      <c r="H41" s="71"/>
      <c r="I41" s="73"/>
      <c r="J41" s="71" t="s">
        <v>16</v>
      </c>
      <c r="K41" s="71">
        <v>22</v>
      </c>
      <c r="L41" s="71"/>
      <c r="M41" s="71"/>
      <c r="N41" s="110"/>
      <c r="O41" s="71"/>
      <c r="P41" s="71"/>
      <c r="Q41" s="73"/>
      <c r="R41" s="71" t="s">
        <v>16</v>
      </c>
      <c r="S41" s="71">
        <v>22</v>
      </c>
      <c r="T41" s="71"/>
      <c r="U41" s="71"/>
      <c r="V41" s="71"/>
      <c r="W41" s="71"/>
      <c r="X41" s="71"/>
      <c r="Y41" s="73"/>
      <c r="Z41" s="69" t="s">
        <v>11</v>
      </c>
      <c r="AA41" s="69">
        <v>22</v>
      </c>
      <c r="AB41" s="69"/>
      <c r="AC41" s="69"/>
      <c r="AD41" s="69"/>
      <c r="AE41" s="69"/>
      <c r="AF41" s="69"/>
      <c r="AG41" s="73"/>
      <c r="AH41" s="71" t="s">
        <v>8</v>
      </c>
      <c r="AI41" s="71">
        <v>22</v>
      </c>
      <c r="AJ41" s="71"/>
      <c r="AK41" s="71"/>
      <c r="AL41" s="71"/>
      <c r="AM41" s="71"/>
      <c r="AN41" s="71"/>
      <c r="AO41" s="73"/>
      <c r="AP41" s="74" t="s">
        <v>10</v>
      </c>
      <c r="AQ41" s="72">
        <v>22</v>
      </c>
      <c r="AR41" s="72"/>
      <c r="AS41" s="72"/>
      <c r="AT41" s="72"/>
      <c r="AU41" s="72"/>
      <c r="AV41" s="72"/>
    </row>
    <row r="42" spans="2:48" s="28" customFormat="1" ht="12" customHeight="1">
      <c r="B42" s="71" t="s">
        <v>8</v>
      </c>
      <c r="C42" s="71">
        <v>23</v>
      </c>
      <c r="D42" s="71"/>
      <c r="E42" s="71"/>
      <c r="F42" s="71"/>
      <c r="G42" s="71"/>
      <c r="H42" s="71"/>
      <c r="I42" s="73"/>
      <c r="J42" s="72" t="s">
        <v>10</v>
      </c>
      <c r="K42" s="72" t="s">
        <v>28</v>
      </c>
      <c r="L42" s="72"/>
      <c r="M42" s="72"/>
      <c r="N42" s="122" t="s">
        <v>38</v>
      </c>
      <c r="O42" s="72"/>
      <c r="P42" s="72"/>
      <c r="Q42" s="73"/>
      <c r="R42" s="72" t="s">
        <v>10</v>
      </c>
      <c r="S42" s="72">
        <v>23</v>
      </c>
      <c r="T42" s="72"/>
      <c r="U42" s="72"/>
      <c r="V42" s="72"/>
      <c r="W42" s="72"/>
      <c r="X42" s="72"/>
      <c r="Y42" s="73"/>
      <c r="Z42" s="71" t="s">
        <v>15</v>
      </c>
      <c r="AA42" s="71">
        <v>23</v>
      </c>
      <c r="AB42" s="71"/>
      <c r="AC42" s="71"/>
      <c r="AD42" s="71"/>
      <c r="AE42" s="71"/>
      <c r="AF42" s="71"/>
      <c r="AG42" s="73"/>
      <c r="AH42" s="71" t="s">
        <v>12</v>
      </c>
      <c r="AI42" s="71">
        <v>23</v>
      </c>
      <c r="AJ42" s="71"/>
      <c r="AK42" s="71"/>
      <c r="AL42" s="71"/>
      <c r="AM42" s="71"/>
      <c r="AN42" s="71"/>
      <c r="AO42" s="73"/>
      <c r="AP42" s="74" t="s">
        <v>7</v>
      </c>
      <c r="AQ42" s="72">
        <v>23</v>
      </c>
      <c r="AR42" s="72"/>
      <c r="AS42" s="72"/>
      <c r="AT42" s="72"/>
      <c r="AU42" s="72"/>
      <c r="AV42" s="72"/>
    </row>
    <row r="43" spans="2:48" s="28" customFormat="1" ht="12" customHeight="1">
      <c r="B43" s="71" t="s">
        <v>12</v>
      </c>
      <c r="C43" s="71">
        <v>24</v>
      </c>
      <c r="D43" s="71"/>
      <c r="E43" s="71"/>
      <c r="F43" s="71"/>
      <c r="G43" s="71"/>
      <c r="H43" s="71"/>
      <c r="I43" s="73"/>
      <c r="J43" s="72" t="s">
        <v>7</v>
      </c>
      <c r="K43" s="72" t="s">
        <v>29</v>
      </c>
      <c r="L43" s="72"/>
      <c r="M43" s="72"/>
      <c r="N43" s="124" t="s">
        <v>38</v>
      </c>
      <c r="O43" s="72"/>
      <c r="P43" s="72"/>
      <c r="Q43" s="73"/>
      <c r="R43" s="72" t="s">
        <v>7</v>
      </c>
      <c r="S43" s="72">
        <v>24</v>
      </c>
      <c r="T43" s="72"/>
      <c r="U43" s="72"/>
      <c r="V43" s="72"/>
      <c r="W43" s="72"/>
      <c r="X43" s="72"/>
      <c r="Y43" s="73"/>
      <c r="Z43" s="71" t="s">
        <v>8</v>
      </c>
      <c r="AA43" s="71">
        <v>24</v>
      </c>
      <c r="AB43" s="71"/>
      <c r="AC43" s="71"/>
      <c r="AD43" s="71"/>
      <c r="AE43" s="71"/>
      <c r="AF43" s="71"/>
      <c r="AG43" s="73"/>
      <c r="AH43" s="71" t="s">
        <v>16</v>
      </c>
      <c r="AI43" s="71">
        <v>24</v>
      </c>
      <c r="AJ43" s="71"/>
      <c r="AK43" s="71"/>
      <c r="AL43" s="71"/>
      <c r="AM43" s="71"/>
      <c r="AN43" s="71"/>
      <c r="AO43" s="73"/>
      <c r="AP43" s="71" t="s">
        <v>11</v>
      </c>
      <c r="AQ43" s="71">
        <v>24</v>
      </c>
      <c r="AR43" s="71"/>
      <c r="AS43" s="71"/>
      <c r="AT43" s="71"/>
      <c r="AU43" s="71"/>
      <c r="AV43" s="71"/>
    </row>
    <row r="44" spans="2:48" s="28" customFormat="1" ht="12" customHeight="1">
      <c r="B44" s="76" t="s">
        <v>16</v>
      </c>
      <c r="C44" s="71">
        <v>25</v>
      </c>
      <c r="D44" s="71"/>
      <c r="E44" s="71"/>
      <c r="F44" s="71"/>
      <c r="G44" s="71"/>
      <c r="H44" s="71"/>
      <c r="I44" s="73"/>
      <c r="J44" s="76" t="s">
        <v>11</v>
      </c>
      <c r="K44" s="71">
        <v>25</v>
      </c>
      <c r="L44" s="71"/>
      <c r="M44" s="71"/>
      <c r="N44" s="77"/>
      <c r="O44" s="71"/>
      <c r="P44" s="71"/>
      <c r="Q44" s="73"/>
      <c r="R44" s="76" t="s">
        <v>11</v>
      </c>
      <c r="S44" s="71">
        <v>25</v>
      </c>
      <c r="T44" s="71"/>
      <c r="U44" s="71"/>
      <c r="V44" s="71"/>
      <c r="W44" s="71"/>
      <c r="X44" s="71"/>
      <c r="Y44" s="73"/>
      <c r="Z44" s="71" t="s">
        <v>12</v>
      </c>
      <c r="AA44" s="71">
        <v>25</v>
      </c>
      <c r="AB44" s="71"/>
      <c r="AC44" s="71"/>
      <c r="AD44" s="71"/>
      <c r="AE44" s="71"/>
      <c r="AF44" s="71"/>
      <c r="AG44" s="73"/>
      <c r="AH44" s="74" t="s">
        <v>10</v>
      </c>
      <c r="AI44" s="72">
        <v>25</v>
      </c>
      <c r="AJ44" s="72"/>
      <c r="AK44" s="72"/>
      <c r="AL44" s="72"/>
      <c r="AM44" s="72"/>
      <c r="AN44" s="72"/>
      <c r="AO44" s="73"/>
      <c r="AP44" s="71" t="s">
        <v>15</v>
      </c>
      <c r="AQ44" s="71">
        <v>25</v>
      </c>
      <c r="AR44" s="71"/>
      <c r="AS44" s="71"/>
      <c r="AT44" s="71"/>
      <c r="AU44" s="71"/>
      <c r="AV44" s="71"/>
    </row>
    <row r="45" spans="2:48" s="28" customFormat="1" ht="12" customHeight="1">
      <c r="B45" s="72" t="s">
        <v>10</v>
      </c>
      <c r="C45" s="72">
        <v>26</v>
      </c>
      <c r="D45" s="72"/>
      <c r="E45" s="72"/>
      <c r="F45" s="72"/>
      <c r="G45" s="72"/>
      <c r="H45" s="72"/>
      <c r="I45" s="73"/>
      <c r="J45" s="71" t="s">
        <v>15</v>
      </c>
      <c r="K45" s="71">
        <v>26</v>
      </c>
      <c r="L45" s="71"/>
      <c r="M45" s="71"/>
      <c r="N45" s="71"/>
      <c r="O45" s="71"/>
      <c r="P45" s="71"/>
      <c r="Q45" s="73"/>
      <c r="R45" s="71" t="s">
        <v>15</v>
      </c>
      <c r="S45" s="71">
        <v>26</v>
      </c>
      <c r="T45" s="71"/>
      <c r="U45" s="71"/>
      <c r="V45" s="71"/>
      <c r="W45" s="71"/>
      <c r="X45" s="71"/>
      <c r="Y45" s="73"/>
      <c r="Z45" s="77" t="s">
        <v>16</v>
      </c>
      <c r="AA45" s="71">
        <v>26</v>
      </c>
      <c r="AB45" s="71"/>
      <c r="AC45" s="71"/>
      <c r="AD45" s="71"/>
      <c r="AE45" s="71"/>
      <c r="AF45" s="71"/>
      <c r="AG45" s="73"/>
      <c r="AH45" s="78" t="s">
        <v>7</v>
      </c>
      <c r="AI45" s="72">
        <v>26</v>
      </c>
      <c r="AJ45" s="72"/>
      <c r="AK45" s="72"/>
      <c r="AL45" s="72"/>
      <c r="AM45" s="72"/>
      <c r="AN45" s="72"/>
      <c r="AO45" s="73"/>
      <c r="AP45" s="75" t="s">
        <v>8</v>
      </c>
      <c r="AQ45" s="71">
        <v>26</v>
      </c>
      <c r="AR45" s="71"/>
      <c r="AS45" s="71"/>
      <c r="AT45" s="71"/>
      <c r="AU45" s="71"/>
      <c r="AV45" s="71"/>
    </row>
    <row r="46" spans="2:48" s="28" customFormat="1" ht="12" customHeight="1">
      <c r="B46" s="79" t="s">
        <v>7</v>
      </c>
      <c r="C46" s="72">
        <v>27</v>
      </c>
      <c r="D46" s="72"/>
      <c r="E46" s="72"/>
      <c r="F46" s="72"/>
      <c r="G46" s="72"/>
      <c r="H46" s="72"/>
      <c r="I46" s="73"/>
      <c r="J46" s="71" t="s">
        <v>8</v>
      </c>
      <c r="K46" s="71">
        <v>27</v>
      </c>
      <c r="L46" s="71"/>
      <c r="M46" s="71"/>
      <c r="N46" s="71"/>
      <c r="O46" s="71"/>
      <c r="P46" s="71"/>
      <c r="Q46" s="73"/>
      <c r="R46" s="77" t="s">
        <v>8</v>
      </c>
      <c r="S46" s="71">
        <v>27</v>
      </c>
      <c r="T46" s="71"/>
      <c r="U46" s="71"/>
      <c r="V46" s="71"/>
      <c r="W46" s="71"/>
      <c r="X46" s="71"/>
      <c r="Y46" s="73"/>
      <c r="Z46" s="74" t="s">
        <v>10</v>
      </c>
      <c r="AA46" s="72">
        <v>27</v>
      </c>
      <c r="AB46" s="72"/>
      <c r="AC46" s="72"/>
      <c r="AD46" s="72"/>
      <c r="AE46" s="72"/>
      <c r="AF46" s="72"/>
      <c r="AG46" s="73"/>
      <c r="AH46" s="75" t="s">
        <v>11</v>
      </c>
      <c r="AI46" s="75">
        <v>27</v>
      </c>
      <c r="AJ46" s="71"/>
      <c r="AK46" s="71"/>
      <c r="AL46" s="71"/>
      <c r="AM46" s="71"/>
      <c r="AN46" s="71"/>
      <c r="AO46" s="73"/>
      <c r="AP46" s="71" t="s">
        <v>12</v>
      </c>
      <c r="AQ46" s="75">
        <v>27</v>
      </c>
      <c r="AR46" s="71"/>
      <c r="AS46" s="71"/>
      <c r="AT46" s="71"/>
      <c r="AU46" s="71"/>
      <c r="AV46" s="71"/>
    </row>
    <row r="47" spans="2:48" s="28" customFormat="1" ht="12" customHeight="1">
      <c r="B47" s="71" t="s">
        <v>11</v>
      </c>
      <c r="C47" s="71">
        <v>28</v>
      </c>
      <c r="D47" s="71"/>
      <c r="E47" s="71"/>
      <c r="F47" s="71"/>
      <c r="G47" s="71"/>
      <c r="H47" s="71"/>
      <c r="I47" s="73"/>
      <c r="J47" s="71" t="s">
        <v>12</v>
      </c>
      <c r="K47" s="71">
        <v>28</v>
      </c>
      <c r="L47" s="71"/>
      <c r="M47" s="71"/>
      <c r="N47" s="71"/>
      <c r="O47" s="71"/>
      <c r="P47" s="71"/>
      <c r="Q47" s="73"/>
      <c r="R47" s="71" t="s">
        <v>12</v>
      </c>
      <c r="S47" s="71">
        <v>28</v>
      </c>
      <c r="T47" s="71"/>
      <c r="U47" s="71"/>
      <c r="V47" s="71"/>
      <c r="W47" s="71"/>
      <c r="X47" s="71"/>
      <c r="Y47" s="73"/>
      <c r="Z47" s="74" t="s">
        <v>7</v>
      </c>
      <c r="AA47" s="72">
        <v>28</v>
      </c>
      <c r="AB47" s="72"/>
      <c r="AC47" s="72"/>
      <c r="AD47" s="72"/>
      <c r="AE47" s="72"/>
      <c r="AF47" s="72"/>
      <c r="AG47" s="73"/>
      <c r="AH47" s="71" t="s">
        <v>15</v>
      </c>
      <c r="AI47" s="75">
        <v>28</v>
      </c>
      <c r="AJ47" s="71"/>
      <c r="AK47" s="71"/>
      <c r="AL47" s="71"/>
      <c r="AM47" s="71"/>
      <c r="AN47" s="71"/>
      <c r="AO47" s="73"/>
      <c r="AP47" s="71" t="s">
        <v>16</v>
      </c>
      <c r="AQ47" s="71">
        <v>28</v>
      </c>
      <c r="AR47" s="71"/>
      <c r="AS47" s="71"/>
      <c r="AT47" s="71"/>
      <c r="AU47" s="71"/>
      <c r="AV47" s="71"/>
    </row>
    <row r="48" spans="2:48" s="28" customFormat="1" ht="12" customHeight="1">
      <c r="B48" s="71" t="s">
        <v>15</v>
      </c>
      <c r="C48" s="71">
        <v>29</v>
      </c>
      <c r="D48" s="71"/>
      <c r="E48" s="71"/>
      <c r="F48" s="71"/>
      <c r="G48" s="71"/>
      <c r="H48" s="71"/>
      <c r="I48" s="73"/>
      <c r="J48" s="73"/>
      <c r="K48" s="73"/>
      <c r="L48" s="43"/>
      <c r="M48" s="73"/>
      <c r="N48" s="73"/>
      <c r="O48" s="73"/>
      <c r="P48" s="73"/>
      <c r="Q48" s="73"/>
      <c r="R48" s="77" t="s">
        <v>16</v>
      </c>
      <c r="S48" s="71">
        <v>29</v>
      </c>
      <c r="T48" s="71"/>
      <c r="U48" s="71"/>
      <c r="V48" s="71"/>
      <c r="W48" s="71"/>
      <c r="X48" s="71"/>
      <c r="Y48" s="73"/>
      <c r="Z48" s="71" t="s">
        <v>11</v>
      </c>
      <c r="AA48" s="71">
        <v>29</v>
      </c>
      <c r="AB48" s="71"/>
      <c r="AC48" s="71"/>
      <c r="AD48" s="71"/>
      <c r="AE48" s="71"/>
      <c r="AF48" s="71"/>
      <c r="AG48" s="73"/>
      <c r="AH48" s="71" t="s">
        <v>8</v>
      </c>
      <c r="AI48" s="71">
        <v>29</v>
      </c>
      <c r="AJ48" s="71"/>
      <c r="AK48" s="71"/>
      <c r="AL48" s="71"/>
      <c r="AM48" s="71"/>
      <c r="AN48" s="71"/>
      <c r="AO48" s="73"/>
      <c r="AP48" s="72" t="s">
        <v>10</v>
      </c>
      <c r="AQ48" s="72">
        <v>29</v>
      </c>
      <c r="AR48" s="72"/>
      <c r="AS48" s="72"/>
      <c r="AT48" s="72"/>
      <c r="AU48" s="72"/>
      <c r="AV48" s="72"/>
    </row>
    <row r="49" spans="2:67" s="28" customFormat="1" ht="12" customHeight="1">
      <c r="B49" s="71" t="s">
        <v>8</v>
      </c>
      <c r="C49" s="71">
        <v>30</v>
      </c>
      <c r="D49" s="71"/>
      <c r="E49" s="71"/>
      <c r="F49" s="71"/>
      <c r="G49" s="71"/>
      <c r="H49" s="71"/>
      <c r="I49" s="73"/>
      <c r="J49" s="76"/>
      <c r="K49" s="76"/>
      <c r="L49" s="76"/>
      <c r="M49" s="76"/>
      <c r="N49" s="76"/>
      <c r="O49" s="76"/>
      <c r="P49" s="76"/>
      <c r="Q49" s="73"/>
      <c r="R49" s="74" t="s">
        <v>10</v>
      </c>
      <c r="S49" s="72">
        <v>30</v>
      </c>
      <c r="T49" s="72"/>
      <c r="U49" s="72"/>
      <c r="V49" s="72"/>
      <c r="W49" s="72"/>
      <c r="X49" s="72"/>
      <c r="Y49" s="73"/>
      <c r="Z49" s="71" t="s">
        <v>15</v>
      </c>
      <c r="AA49" s="71">
        <v>30</v>
      </c>
      <c r="AB49" s="71"/>
      <c r="AC49" s="71"/>
      <c r="AD49" s="71"/>
      <c r="AE49" s="71"/>
      <c r="AF49" s="71"/>
      <c r="AG49" s="73"/>
      <c r="AH49" s="69" t="s">
        <v>12</v>
      </c>
      <c r="AI49" s="69">
        <v>30</v>
      </c>
      <c r="AJ49" s="69"/>
      <c r="AK49" s="69"/>
      <c r="AL49" s="69"/>
      <c r="AM49" s="69"/>
      <c r="AN49" s="69"/>
      <c r="AO49" s="73"/>
      <c r="AP49" s="72" t="s">
        <v>7</v>
      </c>
      <c r="AQ49" s="72">
        <v>30</v>
      </c>
      <c r="AR49" s="72"/>
      <c r="AS49" s="72"/>
      <c r="AT49" s="72"/>
      <c r="AU49" s="72"/>
      <c r="AV49" s="72"/>
    </row>
    <row r="50" spans="2:67" s="28" customFormat="1" ht="12" customHeight="1">
      <c r="B50" s="71" t="s">
        <v>12</v>
      </c>
      <c r="C50" s="71">
        <v>31</v>
      </c>
      <c r="D50" s="71"/>
      <c r="E50" s="71"/>
      <c r="F50" s="71"/>
      <c r="G50" s="71"/>
      <c r="H50" s="71"/>
      <c r="I50" s="73"/>
      <c r="J50" s="80"/>
      <c r="K50" s="80"/>
      <c r="L50" s="80"/>
      <c r="M50" s="80"/>
      <c r="N50" s="80"/>
      <c r="O50" s="80"/>
      <c r="P50" s="80"/>
      <c r="Q50" s="73"/>
      <c r="R50" s="74" t="s">
        <v>7</v>
      </c>
      <c r="S50" s="72">
        <v>31</v>
      </c>
      <c r="T50" s="72"/>
      <c r="U50" s="72"/>
      <c r="V50" s="72"/>
      <c r="W50" s="72"/>
      <c r="X50" s="72"/>
      <c r="Y50" s="73"/>
      <c r="Z50" s="80"/>
      <c r="AA50" s="80"/>
      <c r="AB50" s="80"/>
      <c r="AC50" s="80"/>
      <c r="AD50" s="80"/>
      <c r="AE50" s="80"/>
      <c r="AF50" s="80"/>
      <c r="AG50" s="80"/>
      <c r="AH50" s="71" t="s">
        <v>16</v>
      </c>
      <c r="AI50" s="71">
        <v>31</v>
      </c>
      <c r="AJ50" s="71"/>
      <c r="AK50" s="71"/>
      <c r="AL50" s="71"/>
      <c r="AM50" s="71"/>
      <c r="AN50" s="71"/>
      <c r="AO50" s="73"/>
      <c r="AP50" s="34"/>
      <c r="AQ50" s="34"/>
      <c r="AR50" s="34"/>
      <c r="AS50" s="34"/>
      <c r="AT50" s="34"/>
      <c r="AU50" s="34"/>
      <c r="AV50" s="34"/>
      <c r="AW50" s="34"/>
      <c r="AX50" s="34"/>
      <c r="AY50" s="34"/>
    </row>
    <row r="51" spans="2:67" ht="12" customHeight="1">
      <c r="B51" s="36"/>
      <c r="C51" s="37"/>
      <c r="D51" s="37"/>
      <c r="E51" s="37"/>
      <c r="F51" s="37"/>
      <c r="G51" s="37"/>
      <c r="H51" s="37"/>
      <c r="I51" s="35"/>
      <c r="J51" s="38"/>
      <c r="K51" s="39"/>
      <c r="L51" s="39"/>
      <c r="M51" s="39"/>
      <c r="N51" s="39"/>
      <c r="O51" s="39"/>
      <c r="P51" s="39"/>
      <c r="Q51" s="35"/>
      <c r="R51" s="35"/>
      <c r="S51" s="35"/>
      <c r="T51" s="35"/>
      <c r="U51" s="35"/>
      <c r="V51" s="35"/>
      <c r="W51" s="35"/>
      <c r="X51" s="35"/>
      <c r="Y51" s="35"/>
      <c r="Z51" s="38"/>
      <c r="AA51" s="39"/>
      <c r="AB51" s="39"/>
      <c r="AC51" s="39"/>
      <c r="AD51" s="39"/>
      <c r="AE51" s="39"/>
      <c r="AF51" s="39"/>
      <c r="AG51" s="35"/>
      <c r="AH51" s="36"/>
      <c r="AI51" s="37"/>
      <c r="AJ51" s="37"/>
      <c r="AK51" s="37"/>
      <c r="AL51" s="37"/>
      <c r="AM51" s="37"/>
      <c r="AN51" s="37"/>
      <c r="AO51" s="35"/>
      <c r="AP51" s="40"/>
      <c r="AQ51" s="41"/>
      <c r="AR51" s="41"/>
      <c r="AS51" s="41"/>
      <c r="AT51" s="41"/>
      <c r="AU51" s="41"/>
      <c r="AV51" s="41"/>
    </row>
    <row r="52" spans="2:67" ht="12" customHeight="1" thickBot="1">
      <c r="B52" s="9"/>
      <c r="C52" s="10"/>
      <c r="F52" s="44" t="s">
        <v>34</v>
      </c>
      <c r="G52" s="15"/>
      <c r="H52" s="57" t="s">
        <v>32</v>
      </c>
      <c r="J52" s="14"/>
      <c r="K52" s="33"/>
      <c r="L52" s="44" t="s">
        <v>34</v>
      </c>
      <c r="M52" s="15"/>
      <c r="N52" s="57" t="s">
        <v>32</v>
      </c>
      <c r="O52" s="15"/>
      <c r="P52" s="16"/>
      <c r="Q52" s="5"/>
      <c r="R52" s="5"/>
      <c r="S52" s="5"/>
      <c r="T52" s="44" t="s">
        <v>34</v>
      </c>
      <c r="U52" s="15"/>
      <c r="V52" s="57" t="s">
        <v>32</v>
      </c>
      <c r="W52" s="5"/>
      <c r="X52" s="5"/>
      <c r="Y52" s="5"/>
      <c r="Z52" s="14"/>
      <c r="AA52" s="39"/>
      <c r="AB52" s="44" t="s">
        <v>34</v>
      </c>
      <c r="AC52" s="15"/>
      <c r="AD52" s="57" t="s">
        <v>32</v>
      </c>
      <c r="AE52" s="15"/>
      <c r="AF52" s="16"/>
      <c r="AG52" s="5"/>
      <c r="AH52" s="9"/>
      <c r="AI52" s="37"/>
      <c r="AJ52" s="44" t="s">
        <v>34</v>
      </c>
      <c r="AK52" s="57" t="s">
        <v>32</v>
      </c>
      <c r="AM52" s="10"/>
      <c r="AN52" s="11"/>
      <c r="AO52" s="5"/>
      <c r="AP52" s="17"/>
      <c r="AQ52" s="18"/>
      <c r="AR52" s="44" t="s">
        <v>34</v>
      </c>
      <c r="AS52" s="57" t="s">
        <v>32</v>
      </c>
      <c r="AU52" s="18"/>
      <c r="AV52" s="19"/>
    </row>
    <row r="53" spans="2:67" s="49" customFormat="1" ht="16.5" customHeight="1" thickTop="1" thickBot="1">
      <c r="B53" s="21" t="s">
        <v>37</v>
      </c>
      <c r="F53" s="55">
        <f>SUM((COUNTIF(D20:H50,$F$2)/2),(COUNTIF(D20:H50,$B$2)))</f>
        <v>1</v>
      </c>
      <c r="H53" s="55" t="e">
        <f>#REF!-'2018'!F53</f>
        <v>#REF!</v>
      </c>
      <c r="J53" s="21" t="s">
        <v>37</v>
      </c>
      <c r="L53" s="55">
        <f>SUM((COUNTIF(L20:P50,#REF!)/2),COUNTIF(L20:P50,$B$2))</f>
        <v>0</v>
      </c>
      <c r="N53" s="55" t="e">
        <f>H53-L53</f>
        <v>#REF!</v>
      </c>
      <c r="O53" s="56"/>
      <c r="P53" s="56"/>
      <c r="R53" s="21" t="s">
        <v>37</v>
      </c>
      <c r="T53" s="55">
        <f>SUM((COUNTIF(T20:X50,#REF!)/2),COUNTIF(T20:X50,$B$2))</f>
        <v>0</v>
      </c>
      <c r="V53" s="55" t="e">
        <f>N53-T53</f>
        <v>#REF!</v>
      </c>
      <c r="Z53" s="21" t="s">
        <v>37</v>
      </c>
      <c r="AB53" s="55">
        <f>SUM((COUNTIF(AB20:AF50,#REF!)/2),COUNTIF(AB20:AF50,$B$2))</f>
        <v>0</v>
      </c>
      <c r="AD53" s="55" t="e">
        <f>V53-AB53</f>
        <v>#REF!</v>
      </c>
      <c r="AE53" s="56"/>
      <c r="AF53" s="56"/>
      <c r="AH53" s="21" t="s">
        <v>37</v>
      </c>
      <c r="AJ53" s="55">
        <f>SUM((COUNTIF(AJ20:AN50,#REF!)/2),COUNTIF(AJ20:AN50,$B$2))</f>
        <v>0</v>
      </c>
      <c r="AL53" s="55" t="e">
        <f>AD53-AJ53</f>
        <v>#REF!</v>
      </c>
      <c r="AM53" s="56"/>
      <c r="AN53" s="56"/>
      <c r="AP53" s="21" t="s">
        <v>37</v>
      </c>
      <c r="AR53" s="55">
        <f>SUM((COUNTIF(AR20:AV50,#REF!)/2),COUNTIF(AR20:AV50,$B$2))</f>
        <v>0</v>
      </c>
      <c r="AT53" s="55" t="e">
        <f>AL53-AR53</f>
        <v>#REF!</v>
      </c>
      <c r="AU53" s="56"/>
      <c r="AV53" s="56"/>
    </row>
    <row r="54" spans="2:67" ht="16.5" customHeight="1" thickTop="1" thickBot="1">
      <c r="B54" s="9"/>
      <c r="C54" s="10"/>
      <c r="D54" s="46" t="s">
        <v>33</v>
      </c>
      <c r="E54" s="10"/>
      <c r="F54" s="44" t="s">
        <v>34</v>
      </c>
      <c r="G54" s="10"/>
      <c r="H54" s="47" t="s">
        <v>32</v>
      </c>
      <c r="I54" s="5"/>
      <c r="J54" s="9"/>
      <c r="K54" s="10"/>
      <c r="L54" s="46" t="s">
        <v>31</v>
      </c>
      <c r="M54" s="10"/>
      <c r="N54" s="44" t="s">
        <v>34</v>
      </c>
      <c r="O54" s="10"/>
      <c r="P54" s="47" t="s">
        <v>32</v>
      </c>
      <c r="Q54" s="5"/>
      <c r="R54" s="9"/>
      <c r="S54" s="10"/>
      <c r="T54" s="46" t="s">
        <v>31</v>
      </c>
      <c r="U54" s="10"/>
      <c r="V54" s="44" t="s">
        <v>34</v>
      </c>
      <c r="W54" s="10"/>
      <c r="X54" s="47" t="s">
        <v>32</v>
      </c>
      <c r="Y54" s="5"/>
      <c r="Z54" s="9"/>
      <c r="AA54" s="10"/>
      <c r="AB54" s="46" t="s">
        <v>31</v>
      </c>
      <c r="AC54" s="10"/>
      <c r="AD54" s="44" t="s">
        <v>34</v>
      </c>
      <c r="AE54" s="10"/>
      <c r="AF54" s="47" t="s">
        <v>32</v>
      </c>
      <c r="AG54" s="5"/>
      <c r="AH54" s="9"/>
      <c r="AI54" s="10"/>
      <c r="AJ54" s="46" t="s">
        <v>31</v>
      </c>
      <c r="AK54" s="10"/>
      <c r="AL54" s="44" t="s">
        <v>34</v>
      </c>
      <c r="AM54" s="10"/>
      <c r="AN54" s="47" t="s">
        <v>32</v>
      </c>
      <c r="AO54" s="5"/>
      <c r="AP54" s="9"/>
      <c r="AQ54" s="10"/>
      <c r="AR54" s="46" t="s">
        <v>31</v>
      </c>
      <c r="AS54" s="10"/>
      <c r="AT54" s="44" t="s">
        <v>34</v>
      </c>
      <c r="AU54" s="10"/>
      <c r="AV54" s="47" t="s">
        <v>32</v>
      </c>
    </row>
    <row r="55" spans="2:67" s="50" customFormat="1" ht="16.5" customHeight="1" thickTop="1" thickBot="1">
      <c r="B55" s="48" t="s">
        <v>13</v>
      </c>
      <c r="C55" s="51"/>
      <c r="D55" s="52">
        <v>2</v>
      </c>
      <c r="E55" s="53"/>
      <c r="F55" s="54">
        <f>COUNTIF(D20:H50,B55)</f>
        <v>2</v>
      </c>
      <c r="G55" s="51"/>
      <c r="H55" s="54">
        <f xml:space="preserve"> D55-F55</f>
        <v>0</v>
      </c>
      <c r="J55" s="48" t="s">
        <v>13</v>
      </c>
      <c r="K55" s="51"/>
      <c r="L55" s="52" t="s">
        <v>35</v>
      </c>
      <c r="M55" s="53"/>
      <c r="N55" s="54">
        <f>COUNTIF(L20:P50,J55)</f>
        <v>0</v>
      </c>
      <c r="O55" s="51"/>
      <c r="P55" s="54">
        <f xml:space="preserve"> L55-N55</f>
        <v>1</v>
      </c>
      <c r="R55" s="48" t="s">
        <v>13</v>
      </c>
      <c r="S55" s="51"/>
      <c r="T55" s="52">
        <f>2-N55</f>
        <v>2</v>
      </c>
      <c r="U55" s="53"/>
      <c r="V55" s="54">
        <f>COUNTIF(T20:X50,R55)</f>
        <v>0</v>
      </c>
      <c r="W55" s="51"/>
      <c r="X55" s="54">
        <f xml:space="preserve"> T55-V55</f>
        <v>2</v>
      </c>
      <c r="Z55" s="48" t="s">
        <v>13</v>
      </c>
      <c r="AA55" s="51"/>
      <c r="AB55" s="52">
        <f>3-V55-N55</f>
        <v>3</v>
      </c>
      <c r="AC55" s="53"/>
      <c r="AD55" s="54">
        <f xml:space="preserve"> COUNTIF(AB20:AF50,Z55)+V55+N55</f>
        <v>0</v>
      </c>
      <c r="AE55" s="51"/>
      <c r="AF55" s="54">
        <f>AB55-AD55</f>
        <v>3</v>
      </c>
      <c r="AH55" s="48" t="s">
        <v>13</v>
      </c>
      <c r="AI55" s="51"/>
      <c r="AJ55" s="52">
        <f>3-AD55-V55</f>
        <v>3</v>
      </c>
      <c r="AK55" s="53"/>
      <c r="AL55" s="54">
        <f xml:space="preserve"> COUNTIF(AJ20:AN50,AH55)+AD55+V55</f>
        <v>0</v>
      </c>
      <c r="AM55" s="51"/>
      <c r="AN55" s="54">
        <f>AJ55-AL55</f>
        <v>3</v>
      </c>
      <c r="AP55" s="48" t="s">
        <v>13</v>
      </c>
      <c r="AQ55" s="51"/>
      <c r="AR55" s="52">
        <f>3-AL55-AD55</f>
        <v>3</v>
      </c>
      <c r="AS55" s="53"/>
      <c r="AT55" s="54">
        <f xml:space="preserve"> COUNTIF(AR20:AV50,AP55)+AL55+AD55</f>
        <v>0</v>
      </c>
      <c r="AU55" s="51"/>
      <c r="AV55" s="54">
        <f>AR55-AT55</f>
        <v>3</v>
      </c>
    </row>
    <row r="56" spans="2:67" ht="12" customHeight="1" thickTop="1">
      <c r="B56" s="9"/>
      <c r="C56" s="10"/>
      <c r="D56" s="10"/>
      <c r="E56" s="10"/>
      <c r="F56" s="10"/>
      <c r="G56" s="10"/>
      <c r="H56" s="11"/>
      <c r="I56" s="5"/>
      <c r="J56" s="14"/>
      <c r="K56" s="33"/>
      <c r="L56" s="15"/>
      <c r="M56" s="15"/>
      <c r="N56" s="15"/>
      <c r="O56" s="15"/>
      <c r="P56" s="16"/>
      <c r="Q56" s="5"/>
      <c r="R56" s="9"/>
      <c r="S56" s="12"/>
      <c r="T56" s="12"/>
      <c r="U56" s="12"/>
      <c r="V56" s="12"/>
      <c r="W56" s="12"/>
      <c r="X56" s="13"/>
      <c r="Y56" s="5"/>
      <c r="Z56" s="14"/>
      <c r="AA56" s="39"/>
      <c r="AB56" s="15"/>
      <c r="AC56" s="15"/>
      <c r="AD56" s="15"/>
      <c r="AE56" s="15"/>
      <c r="AF56" s="16"/>
      <c r="AG56" s="5"/>
      <c r="AH56" s="9"/>
      <c r="AI56" s="37"/>
      <c r="AJ56" s="10"/>
      <c r="AK56" s="10"/>
      <c r="AL56" s="10"/>
      <c r="AM56" s="10"/>
      <c r="AN56" s="11"/>
      <c r="AO56" s="5"/>
      <c r="AP56" s="17"/>
      <c r="AQ56" s="18"/>
      <c r="AR56" s="18"/>
      <c r="AS56" s="18"/>
      <c r="AT56" s="18"/>
      <c r="AU56" s="18"/>
      <c r="AV56" s="19"/>
    </row>
    <row r="57" spans="2:67" ht="12" customHeight="1">
      <c r="BO57" s="60"/>
    </row>
    <row r="58" spans="2:67" ht="12" customHeight="1">
      <c r="BO58" s="60"/>
    </row>
    <row r="59" spans="2:67" ht="30.75" customHeight="1">
      <c r="B59" s="273" t="s">
        <v>18</v>
      </c>
      <c r="C59" s="274"/>
      <c r="D59" s="274"/>
      <c r="E59" s="274"/>
      <c r="F59" s="274"/>
      <c r="G59" s="274"/>
      <c r="H59" s="274"/>
      <c r="I59" s="68"/>
      <c r="J59" s="265" t="s">
        <v>19</v>
      </c>
      <c r="K59" s="266"/>
      <c r="L59" s="266"/>
      <c r="M59" s="266"/>
      <c r="N59" s="266"/>
      <c r="O59" s="266"/>
      <c r="P59" s="266"/>
      <c r="Q59" s="20"/>
      <c r="R59" s="265" t="s">
        <v>20</v>
      </c>
      <c r="S59" s="266"/>
      <c r="T59" s="266"/>
      <c r="U59" s="266"/>
      <c r="V59" s="266"/>
      <c r="W59" s="266"/>
      <c r="X59" s="266"/>
      <c r="Y59" s="20"/>
      <c r="Z59" s="265" t="s">
        <v>21</v>
      </c>
      <c r="AA59" s="266"/>
      <c r="AB59" s="266"/>
      <c r="AC59" s="266"/>
      <c r="AD59" s="266"/>
      <c r="AE59" s="266"/>
      <c r="AF59" s="266"/>
      <c r="AG59" s="20"/>
      <c r="AH59" s="265" t="s">
        <v>22</v>
      </c>
      <c r="AI59" s="266"/>
      <c r="AJ59" s="266"/>
      <c r="AK59" s="266"/>
      <c r="AL59" s="266"/>
      <c r="AM59" s="266"/>
      <c r="AN59" s="266"/>
      <c r="AO59" s="20"/>
      <c r="AP59" s="265" t="s">
        <v>23</v>
      </c>
      <c r="AQ59" s="266"/>
      <c r="AR59" s="266"/>
      <c r="AS59" s="266"/>
      <c r="AT59" s="266"/>
      <c r="AU59" s="266"/>
      <c r="AV59" s="266"/>
    </row>
    <row r="60" spans="2:67" s="28" customFormat="1" ht="12" customHeight="1">
      <c r="B60" s="30"/>
      <c r="C60" s="3"/>
      <c r="D60" s="3"/>
      <c r="E60" s="3"/>
      <c r="F60" s="3"/>
      <c r="G60" s="3"/>
      <c r="H60" s="3"/>
      <c r="I60" s="26"/>
      <c r="J60" s="3"/>
      <c r="K60" s="32"/>
      <c r="L60" s="3"/>
      <c r="M60" s="3"/>
      <c r="N60" s="3"/>
      <c r="O60" s="3"/>
      <c r="P60" s="3"/>
      <c r="Q60" s="3"/>
      <c r="R60" s="3"/>
      <c r="S60" s="3"/>
      <c r="T60" s="3"/>
      <c r="U60" s="3"/>
      <c r="V60" s="3"/>
      <c r="W60" s="3"/>
      <c r="X60" s="3"/>
      <c r="Y60" s="3"/>
      <c r="Z60" s="3"/>
      <c r="AA60" s="34"/>
      <c r="AB60" s="3"/>
      <c r="AC60" s="3"/>
      <c r="AD60" s="3"/>
      <c r="AE60" s="3"/>
      <c r="AF60" s="3"/>
      <c r="AG60" s="3"/>
      <c r="AH60" s="3"/>
      <c r="AI60" s="34"/>
      <c r="AJ60" s="3"/>
      <c r="AK60" s="3"/>
      <c r="AL60" s="3"/>
      <c r="AM60" s="3"/>
      <c r="AN60" s="3"/>
      <c r="AO60" s="3"/>
      <c r="AP60" s="3"/>
      <c r="AQ60" s="3"/>
      <c r="AR60" s="3"/>
      <c r="AS60" s="3"/>
      <c r="AT60" s="3"/>
      <c r="AU60" s="3"/>
      <c r="AV60" s="3"/>
      <c r="AW60" s="3"/>
      <c r="AX60" s="3"/>
      <c r="AY60" s="3"/>
    </row>
    <row r="61" spans="2:67" s="28" customFormat="1" ht="12" customHeight="1">
      <c r="B61" s="81" t="s">
        <v>11</v>
      </c>
      <c r="C61" s="82">
        <v>1</v>
      </c>
      <c r="D61" s="71"/>
      <c r="E61" s="71"/>
      <c r="F61" s="71"/>
      <c r="G61" s="71"/>
      <c r="H61" s="71"/>
      <c r="J61" s="81" t="s">
        <v>12</v>
      </c>
      <c r="K61" s="82">
        <v>1</v>
      </c>
      <c r="L61" s="71"/>
      <c r="M61" s="71"/>
      <c r="N61" s="71"/>
      <c r="O61" s="71"/>
      <c r="P61" s="71"/>
      <c r="Q61" s="83"/>
      <c r="R61" s="84" t="s">
        <v>7</v>
      </c>
      <c r="S61" s="85">
        <v>1</v>
      </c>
      <c r="T61" s="72"/>
      <c r="U61" s="72"/>
      <c r="V61" s="72"/>
      <c r="W61" s="72"/>
      <c r="X61" s="72"/>
      <c r="Y61" s="83"/>
      <c r="Z61" s="81" t="s">
        <v>15</v>
      </c>
      <c r="AA61" s="71">
        <v>1</v>
      </c>
      <c r="AB61" s="71"/>
      <c r="AC61" s="71"/>
      <c r="AD61" s="71"/>
      <c r="AE61" s="71"/>
      <c r="AF61" s="71"/>
      <c r="AG61" s="83"/>
      <c r="AH61" s="86" t="s">
        <v>16</v>
      </c>
      <c r="AI61" s="87">
        <v>1</v>
      </c>
      <c r="AJ61" s="69"/>
      <c r="AK61" s="69"/>
      <c r="AL61" s="69"/>
      <c r="AM61" s="69"/>
      <c r="AN61" s="69"/>
      <c r="AO61" s="88"/>
      <c r="AP61" s="89" t="s">
        <v>7</v>
      </c>
      <c r="AQ61" s="85">
        <v>1</v>
      </c>
      <c r="AR61" s="72"/>
      <c r="AS61" s="72"/>
      <c r="AT61" s="72"/>
      <c r="AU61" s="72"/>
      <c r="AV61" s="72"/>
    </row>
    <row r="62" spans="2:67" s="28" customFormat="1" ht="12" customHeight="1">
      <c r="B62" s="81" t="s">
        <v>15</v>
      </c>
      <c r="C62" s="82">
        <v>2</v>
      </c>
      <c r="D62" s="71"/>
      <c r="E62" s="71"/>
      <c r="F62" s="71"/>
      <c r="G62" s="71"/>
      <c r="H62" s="71"/>
      <c r="J62" s="81" t="s">
        <v>16</v>
      </c>
      <c r="K62" s="82">
        <v>2</v>
      </c>
      <c r="Q62" s="29"/>
      <c r="R62" s="81" t="s">
        <v>11</v>
      </c>
      <c r="S62" s="82">
        <v>2</v>
      </c>
      <c r="T62" s="71"/>
      <c r="U62" s="71"/>
      <c r="V62" s="71"/>
      <c r="W62" s="71"/>
      <c r="X62" s="71"/>
      <c r="Y62" s="29"/>
      <c r="Z62" s="81" t="s">
        <v>8</v>
      </c>
      <c r="AA62" s="71">
        <v>2</v>
      </c>
      <c r="AB62" s="71"/>
      <c r="AC62" s="71"/>
      <c r="AD62" s="71"/>
      <c r="AE62" s="71"/>
      <c r="AF62" s="71"/>
      <c r="AG62" s="29"/>
      <c r="AH62" s="89" t="s">
        <v>10</v>
      </c>
      <c r="AI62" s="72">
        <v>2</v>
      </c>
      <c r="AJ62" s="72"/>
      <c r="AK62" s="72"/>
      <c r="AL62" s="72"/>
      <c r="AM62" s="72"/>
      <c r="AN62" s="72"/>
      <c r="AO62" s="90"/>
      <c r="AP62" s="81" t="s">
        <v>11</v>
      </c>
      <c r="AQ62" s="82">
        <v>2</v>
      </c>
      <c r="AR62" s="71"/>
      <c r="AS62" s="71"/>
      <c r="AT62" s="71"/>
      <c r="AU62" s="71"/>
      <c r="AV62" s="71"/>
    </row>
    <row r="63" spans="2:67" s="28" customFormat="1" ht="12" customHeight="1">
      <c r="B63" s="81" t="s">
        <v>8</v>
      </c>
      <c r="C63" s="82">
        <v>3</v>
      </c>
      <c r="D63" s="71"/>
      <c r="E63" s="71"/>
      <c r="F63" s="71"/>
      <c r="G63" s="71"/>
      <c r="H63" s="71"/>
      <c r="J63" s="84" t="s">
        <v>10</v>
      </c>
      <c r="K63" s="85">
        <v>3</v>
      </c>
      <c r="L63" s="72"/>
      <c r="M63" s="72"/>
      <c r="N63" s="72"/>
      <c r="O63" s="72"/>
      <c r="P63" s="72"/>
      <c r="Q63" s="29"/>
      <c r="R63" s="81" t="s">
        <v>15</v>
      </c>
      <c r="S63" s="82">
        <v>3</v>
      </c>
      <c r="T63" s="71"/>
      <c r="U63" s="71"/>
      <c r="V63" s="71"/>
      <c r="W63" s="71"/>
      <c r="X63" s="71"/>
      <c r="Y63" s="29"/>
      <c r="Z63" s="81" t="s">
        <v>12</v>
      </c>
      <c r="AA63" s="71">
        <v>3</v>
      </c>
      <c r="AB63" s="71"/>
      <c r="AC63" s="71"/>
      <c r="AD63" s="71"/>
      <c r="AE63" s="71"/>
      <c r="AF63" s="71"/>
      <c r="AG63" s="29"/>
      <c r="AH63" s="89" t="s">
        <v>7</v>
      </c>
      <c r="AI63" s="72">
        <v>3</v>
      </c>
      <c r="AJ63" s="72"/>
      <c r="AK63" s="72"/>
      <c r="AL63" s="72"/>
      <c r="AM63" s="72"/>
      <c r="AN63" s="72"/>
      <c r="AO63" s="90"/>
      <c r="AP63" s="81" t="s">
        <v>15</v>
      </c>
      <c r="AQ63" s="82">
        <v>3</v>
      </c>
      <c r="AR63" s="71"/>
      <c r="AS63" s="71"/>
      <c r="AT63" s="71"/>
      <c r="AU63" s="71"/>
      <c r="AV63" s="71"/>
    </row>
    <row r="64" spans="2:67" s="28" customFormat="1" ht="12" customHeight="1">
      <c r="B64" s="81" t="s">
        <v>12</v>
      </c>
      <c r="C64" s="82">
        <v>4</v>
      </c>
      <c r="D64" s="71"/>
      <c r="E64" s="71"/>
      <c r="F64" s="71"/>
      <c r="G64" s="71"/>
      <c r="H64" s="71"/>
      <c r="J64" s="84" t="s">
        <v>7</v>
      </c>
      <c r="K64" s="85">
        <v>4</v>
      </c>
      <c r="L64" s="72"/>
      <c r="M64" s="72"/>
      <c r="N64" s="72"/>
      <c r="O64" s="72"/>
      <c r="P64" s="72"/>
      <c r="Q64" s="29"/>
      <c r="R64" s="81" t="s">
        <v>8</v>
      </c>
      <c r="S64" s="82">
        <v>4</v>
      </c>
      <c r="T64" s="71"/>
      <c r="U64" s="71"/>
      <c r="V64" s="71"/>
      <c r="W64" s="71"/>
      <c r="X64" s="71"/>
      <c r="Y64" s="29"/>
      <c r="Z64" s="81" t="s">
        <v>16</v>
      </c>
      <c r="AA64" s="71">
        <v>4</v>
      </c>
      <c r="AB64" s="71"/>
      <c r="AC64" s="71"/>
      <c r="AD64" s="71"/>
      <c r="AE64" s="71"/>
      <c r="AF64" s="71"/>
      <c r="AG64" s="29"/>
      <c r="AH64" s="81" t="s">
        <v>11</v>
      </c>
      <c r="AI64" s="71">
        <v>4</v>
      </c>
      <c r="AJ64" s="71"/>
      <c r="AK64" s="71"/>
      <c r="AL64" s="71"/>
      <c r="AM64" s="71"/>
      <c r="AN64" s="71"/>
      <c r="AO64" s="27"/>
      <c r="AP64" s="81" t="s">
        <v>8</v>
      </c>
      <c r="AQ64" s="82">
        <v>4</v>
      </c>
      <c r="AR64" s="71"/>
      <c r="AS64" s="71"/>
      <c r="AT64" s="71"/>
      <c r="AU64" s="71"/>
      <c r="AV64" s="71"/>
    </row>
    <row r="65" spans="2:48" s="28" customFormat="1" ht="12" customHeight="1">
      <c r="B65" s="81" t="s">
        <v>16</v>
      </c>
      <c r="C65" s="82">
        <v>5</v>
      </c>
      <c r="D65" s="71"/>
      <c r="E65" s="71"/>
      <c r="F65" s="71"/>
      <c r="G65" s="71"/>
      <c r="H65" s="71"/>
      <c r="J65" s="81" t="s">
        <v>11</v>
      </c>
      <c r="K65" s="82">
        <v>5</v>
      </c>
      <c r="L65" s="71"/>
      <c r="M65" s="71"/>
      <c r="N65" s="71"/>
      <c r="O65" s="71"/>
      <c r="P65" s="71"/>
      <c r="Q65" s="29"/>
      <c r="R65" s="81" t="s">
        <v>12</v>
      </c>
      <c r="S65" s="82">
        <v>5</v>
      </c>
      <c r="T65" s="71"/>
      <c r="U65" s="71"/>
      <c r="V65" s="71"/>
      <c r="W65" s="71"/>
      <c r="X65" s="71"/>
      <c r="Y65" s="29"/>
      <c r="Z65" s="89" t="s">
        <v>10</v>
      </c>
      <c r="AA65" s="72">
        <v>5</v>
      </c>
      <c r="AB65" s="72"/>
      <c r="AC65" s="72"/>
      <c r="AD65" s="72"/>
      <c r="AE65" s="72"/>
      <c r="AF65" s="72"/>
      <c r="AG65" s="29"/>
      <c r="AH65" s="81" t="s">
        <v>15</v>
      </c>
      <c r="AI65" s="71">
        <v>5</v>
      </c>
      <c r="AJ65" s="71"/>
      <c r="AK65" s="71"/>
      <c r="AL65" s="71"/>
      <c r="AM65" s="71"/>
      <c r="AN65" s="71"/>
      <c r="AO65" s="27"/>
      <c r="AP65" s="81" t="s">
        <v>12</v>
      </c>
      <c r="AQ65" s="82">
        <v>5</v>
      </c>
      <c r="AR65" s="71"/>
      <c r="AS65" s="71"/>
      <c r="AT65" s="71"/>
      <c r="AU65" s="71"/>
      <c r="AV65" s="71"/>
    </row>
    <row r="66" spans="2:48" s="28" customFormat="1" ht="12" customHeight="1">
      <c r="B66" s="84" t="s">
        <v>10</v>
      </c>
      <c r="C66" s="85">
        <v>6</v>
      </c>
      <c r="D66" s="72"/>
      <c r="E66" s="72"/>
      <c r="F66" s="72"/>
      <c r="G66" s="72"/>
      <c r="H66" s="72"/>
      <c r="J66" s="81" t="s">
        <v>15</v>
      </c>
      <c r="K66" s="82">
        <v>6</v>
      </c>
      <c r="L66" s="71"/>
      <c r="M66" s="71"/>
      <c r="N66" s="71"/>
      <c r="O66" s="71"/>
      <c r="P66" s="71"/>
      <c r="Q66" s="29"/>
      <c r="R66" s="81" t="s">
        <v>16</v>
      </c>
      <c r="S66" s="82">
        <v>6</v>
      </c>
      <c r="T66" s="71"/>
      <c r="U66" s="71"/>
      <c r="V66" s="71"/>
      <c r="W66" s="71"/>
      <c r="X66" s="71"/>
      <c r="Y66" s="29"/>
      <c r="Z66" s="89" t="s">
        <v>7</v>
      </c>
      <c r="AA66" s="72">
        <v>6</v>
      </c>
      <c r="AB66" s="72"/>
      <c r="AC66" s="72"/>
      <c r="AD66" s="72"/>
      <c r="AE66" s="72"/>
      <c r="AF66" s="72"/>
      <c r="AG66" s="29"/>
      <c r="AH66" s="81" t="s">
        <v>8</v>
      </c>
      <c r="AI66" s="71">
        <v>6</v>
      </c>
      <c r="AJ66" s="71"/>
      <c r="AK66" s="71"/>
      <c r="AL66" s="71"/>
      <c r="AM66" s="71"/>
      <c r="AN66" s="71"/>
      <c r="AO66" s="27"/>
      <c r="AP66" s="81" t="s">
        <v>16</v>
      </c>
      <c r="AQ66" s="82">
        <v>6</v>
      </c>
      <c r="AR66" s="71"/>
      <c r="AS66" s="71"/>
      <c r="AT66" s="71"/>
      <c r="AU66" s="71"/>
      <c r="AV66" s="71"/>
    </row>
    <row r="67" spans="2:48" s="28" customFormat="1" ht="12" customHeight="1">
      <c r="B67" s="84" t="s">
        <v>7</v>
      </c>
      <c r="C67" s="85">
        <v>7</v>
      </c>
      <c r="D67" s="72"/>
      <c r="E67" s="72"/>
      <c r="F67" s="72"/>
      <c r="G67" s="72"/>
      <c r="H67" s="72"/>
      <c r="J67" s="81" t="s">
        <v>8</v>
      </c>
      <c r="K67" s="82">
        <v>7</v>
      </c>
      <c r="L67" s="71"/>
      <c r="M67" s="71"/>
      <c r="N67" s="71"/>
      <c r="O67" s="71"/>
      <c r="P67" s="71"/>
      <c r="Q67" s="29"/>
      <c r="R67" s="89" t="s">
        <v>10</v>
      </c>
      <c r="S67" s="85">
        <v>7</v>
      </c>
      <c r="T67" s="72"/>
      <c r="U67" s="72"/>
      <c r="V67" s="72"/>
      <c r="W67" s="72"/>
      <c r="X67" s="72"/>
      <c r="Y67" s="29"/>
      <c r="Z67" s="81" t="s">
        <v>11</v>
      </c>
      <c r="AA67" s="71">
        <v>7</v>
      </c>
      <c r="AB67" s="71"/>
      <c r="AC67" s="71"/>
      <c r="AD67" s="71"/>
      <c r="AE67" s="71"/>
      <c r="AF67" s="71"/>
      <c r="AG67" s="29"/>
      <c r="AH67" s="81" t="s">
        <v>12</v>
      </c>
      <c r="AI67" s="71">
        <v>7</v>
      </c>
      <c r="AJ67" s="71"/>
      <c r="AK67" s="71"/>
      <c r="AL67" s="71"/>
      <c r="AM67" s="71"/>
      <c r="AN67" s="71"/>
      <c r="AO67" s="27"/>
      <c r="AP67" s="84" t="s">
        <v>10</v>
      </c>
      <c r="AQ67" s="85">
        <v>7</v>
      </c>
      <c r="AR67" s="72"/>
      <c r="AS67" s="72"/>
      <c r="AT67" s="72"/>
      <c r="AU67" s="72"/>
      <c r="AV67" s="72"/>
    </row>
    <row r="68" spans="2:48" s="28" customFormat="1" ht="12" customHeight="1">
      <c r="B68" s="81" t="s">
        <v>11</v>
      </c>
      <c r="C68" s="82">
        <v>8</v>
      </c>
      <c r="D68" s="71"/>
      <c r="E68" s="71"/>
      <c r="F68" s="71"/>
      <c r="G68" s="71"/>
      <c r="H68" s="71"/>
      <c r="J68" s="81" t="s">
        <v>12</v>
      </c>
      <c r="K68" s="82">
        <v>8</v>
      </c>
      <c r="L68" s="71"/>
      <c r="M68" s="71"/>
      <c r="N68" s="71"/>
      <c r="O68" s="71"/>
      <c r="P68" s="71"/>
      <c r="Q68" s="29"/>
      <c r="R68" s="89" t="s">
        <v>7</v>
      </c>
      <c r="S68" s="85">
        <v>8</v>
      </c>
      <c r="T68" s="72"/>
      <c r="U68" s="72"/>
      <c r="V68" s="72"/>
      <c r="W68" s="72"/>
      <c r="X68" s="72"/>
      <c r="Y68" s="29"/>
      <c r="Z68" s="81" t="s">
        <v>15</v>
      </c>
      <c r="AA68" s="71">
        <v>8</v>
      </c>
      <c r="AB68" s="71"/>
      <c r="AC68" s="71"/>
      <c r="AD68" s="71"/>
      <c r="AE68" s="71"/>
      <c r="AF68" s="71"/>
      <c r="AG68" s="29"/>
      <c r="AH68" s="81" t="s">
        <v>16</v>
      </c>
      <c r="AI68" s="71">
        <v>8</v>
      </c>
      <c r="AJ68" s="71"/>
      <c r="AK68" s="71"/>
      <c r="AL68" s="71"/>
      <c r="AM68" s="71"/>
      <c r="AN68" s="71"/>
      <c r="AO68" s="27"/>
      <c r="AP68" s="84" t="s">
        <v>7</v>
      </c>
      <c r="AQ68" s="85">
        <v>8</v>
      </c>
      <c r="AR68" s="72"/>
      <c r="AS68" s="72"/>
      <c r="AT68" s="72"/>
      <c r="AU68" s="72"/>
      <c r="AV68" s="72"/>
    </row>
    <row r="69" spans="2:48" s="28" customFormat="1" ht="12" customHeight="1">
      <c r="B69" s="81" t="s">
        <v>15</v>
      </c>
      <c r="C69" s="82">
        <v>9</v>
      </c>
      <c r="D69" s="71"/>
      <c r="E69" s="71"/>
      <c r="F69" s="71"/>
      <c r="G69" s="71"/>
      <c r="H69" s="71"/>
      <c r="J69" s="81" t="s">
        <v>16</v>
      </c>
      <c r="K69" s="82">
        <v>9</v>
      </c>
      <c r="L69" s="71"/>
      <c r="M69" s="71"/>
      <c r="N69" s="71"/>
      <c r="O69" s="71"/>
      <c r="P69" s="71"/>
      <c r="Q69" s="29"/>
      <c r="R69" s="81" t="s">
        <v>11</v>
      </c>
      <c r="S69" s="82">
        <v>9</v>
      </c>
      <c r="T69" s="71"/>
      <c r="U69" s="71"/>
      <c r="V69" s="71"/>
      <c r="W69" s="71"/>
      <c r="X69" s="71"/>
      <c r="Y69" s="29"/>
      <c r="Z69" s="81" t="s">
        <v>8</v>
      </c>
      <c r="AA69" s="71">
        <v>9</v>
      </c>
      <c r="AB69" s="71"/>
      <c r="AC69" s="71"/>
      <c r="AD69" s="71"/>
      <c r="AE69" s="71"/>
      <c r="AF69" s="71"/>
      <c r="AG69" s="29"/>
      <c r="AH69" s="84" t="s">
        <v>10</v>
      </c>
      <c r="AI69" s="72">
        <v>9</v>
      </c>
      <c r="AJ69" s="72"/>
      <c r="AK69" s="72"/>
      <c r="AL69" s="72"/>
      <c r="AM69" s="72"/>
      <c r="AN69" s="72"/>
      <c r="AO69" s="90"/>
      <c r="AP69" s="81" t="s">
        <v>11</v>
      </c>
      <c r="AQ69" s="82">
        <v>9</v>
      </c>
      <c r="AR69" s="71"/>
      <c r="AS69" s="71"/>
      <c r="AT69" s="71"/>
      <c r="AU69" s="71"/>
      <c r="AV69" s="71"/>
    </row>
    <row r="70" spans="2:48" s="28" customFormat="1" ht="12" customHeight="1">
      <c r="B70" s="81" t="s">
        <v>8</v>
      </c>
      <c r="C70" s="82">
        <v>10</v>
      </c>
      <c r="D70" s="71"/>
      <c r="E70" s="71"/>
      <c r="F70" s="71"/>
      <c r="G70" s="71"/>
      <c r="H70" s="71"/>
      <c r="J70" s="89" t="s">
        <v>10</v>
      </c>
      <c r="K70" s="85">
        <v>10</v>
      </c>
      <c r="L70" s="72"/>
      <c r="M70" s="72"/>
      <c r="N70" s="72"/>
      <c r="O70" s="72"/>
      <c r="P70" s="72"/>
      <c r="Q70" s="29"/>
      <c r="R70" s="81" t="s">
        <v>15</v>
      </c>
      <c r="S70" s="82">
        <v>10</v>
      </c>
      <c r="T70" s="71"/>
      <c r="U70" s="71"/>
      <c r="V70" s="71"/>
      <c r="W70" s="71"/>
      <c r="X70" s="71"/>
      <c r="Y70" s="29"/>
      <c r="Z70" s="81" t="s">
        <v>12</v>
      </c>
      <c r="AA70" s="71">
        <v>10</v>
      </c>
      <c r="AB70" s="71"/>
      <c r="AC70" s="71"/>
      <c r="AD70" s="71"/>
      <c r="AE70" s="71"/>
      <c r="AF70" s="71"/>
      <c r="AG70" s="29"/>
      <c r="AH70" s="84" t="s">
        <v>7</v>
      </c>
      <c r="AI70" s="72">
        <v>10</v>
      </c>
      <c r="AJ70" s="72"/>
      <c r="AK70" s="72"/>
      <c r="AL70" s="72"/>
      <c r="AM70" s="72"/>
      <c r="AN70" s="72"/>
      <c r="AO70" s="90"/>
      <c r="AP70" s="81" t="s">
        <v>15</v>
      </c>
      <c r="AQ70" s="82">
        <v>10</v>
      </c>
      <c r="AR70" s="71"/>
      <c r="AS70" s="71"/>
      <c r="AT70" s="71"/>
      <c r="AU70" s="71"/>
      <c r="AV70" s="71"/>
    </row>
    <row r="71" spans="2:48" s="28" customFormat="1" ht="12" customHeight="1">
      <c r="B71" s="81" t="s">
        <v>12</v>
      </c>
      <c r="C71" s="82">
        <v>11</v>
      </c>
      <c r="D71" s="71"/>
      <c r="E71" s="71"/>
      <c r="F71" s="71"/>
      <c r="G71" s="71"/>
      <c r="H71" s="71"/>
      <c r="J71" s="89" t="s">
        <v>7</v>
      </c>
      <c r="K71" s="85">
        <v>11</v>
      </c>
      <c r="L71" s="72"/>
      <c r="M71" s="72"/>
      <c r="N71" s="72"/>
      <c r="O71" s="72"/>
      <c r="P71" s="72"/>
      <c r="Q71" s="29"/>
      <c r="R71" s="81" t="s">
        <v>8</v>
      </c>
      <c r="S71" s="26">
        <v>11</v>
      </c>
      <c r="T71" s="71"/>
      <c r="U71" s="71"/>
      <c r="V71" s="71"/>
      <c r="W71" s="71"/>
      <c r="X71" s="71"/>
      <c r="Y71" s="29"/>
      <c r="Z71" s="81" t="s">
        <v>16</v>
      </c>
      <c r="AA71" s="71">
        <v>11</v>
      </c>
      <c r="AB71" s="71"/>
      <c r="AC71" s="71"/>
      <c r="AD71" s="71"/>
      <c r="AE71" s="71"/>
      <c r="AF71" s="71"/>
      <c r="AG71" s="29"/>
      <c r="AH71" s="86" t="s">
        <v>11</v>
      </c>
      <c r="AI71" s="87">
        <v>11</v>
      </c>
      <c r="AJ71" s="69"/>
      <c r="AK71" s="69"/>
      <c r="AL71" s="69"/>
      <c r="AM71" s="69"/>
      <c r="AN71" s="69"/>
      <c r="AO71" s="27"/>
      <c r="AP71" s="81" t="s">
        <v>8</v>
      </c>
      <c r="AQ71" s="82">
        <v>11</v>
      </c>
      <c r="AR71" s="71"/>
      <c r="AS71" s="71"/>
      <c r="AT71" s="71"/>
      <c r="AU71" s="71"/>
      <c r="AV71" s="71"/>
    </row>
    <row r="72" spans="2:48" s="28" customFormat="1" ht="12" customHeight="1">
      <c r="B72" s="81" t="s">
        <v>16</v>
      </c>
      <c r="C72" s="82">
        <v>12</v>
      </c>
      <c r="D72" s="71"/>
      <c r="E72" s="71"/>
      <c r="F72" s="71"/>
      <c r="G72" s="71"/>
      <c r="H72" s="71"/>
      <c r="J72" s="81" t="s">
        <v>11</v>
      </c>
      <c r="K72" s="82">
        <v>12</v>
      </c>
      <c r="L72" s="71"/>
      <c r="M72" s="71"/>
      <c r="N72" s="71"/>
      <c r="O72" s="71"/>
      <c r="P72" s="71"/>
      <c r="Q72" s="29"/>
      <c r="R72" s="81" t="s">
        <v>12</v>
      </c>
      <c r="S72" s="82">
        <v>12</v>
      </c>
      <c r="T72" s="71"/>
      <c r="U72" s="71"/>
      <c r="V72" s="71"/>
      <c r="W72" s="71"/>
      <c r="X72" s="71"/>
      <c r="Y72" s="29"/>
      <c r="Z72" s="84" t="s">
        <v>10</v>
      </c>
      <c r="AA72" s="72">
        <v>12</v>
      </c>
      <c r="AB72" s="72"/>
      <c r="AC72" s="72"/>
      <c r="AD72" s="72"/>
      <c r="AE72" s="72"/>
      <c r="AF72" s="72"/>
      <c r="AG72" s="29"/>
      <c r="AH72" s="81" t="s">
        <v>15</v>
      </c>
      <c r="AI72" s="71">
        <v>12</v>
      </c>
      <c r="AJ72" s="71"/>
      <c r="AK72" s="71"/>
      <c r="AL72" s="71"/>
      <c r="AM72" s="71"/>
      <c r="AN72" s="71"/>
      <c r="AO72" s="27"/>
      <c r="AP72" s="81" t="s">
        <v>12</v>
      </c>
      <c r="AQ72" s="82">
        <v>12</v>
      </c>
      <c r="AR72" s="71"/>
      <c r="AS72" s="71"/>
      <c r="AT72" s="71"/>
      <c r="AU72" s="71"/>
      <c r="AV72" s="71"/>
    </row>
    <row r="73" spans="2:48" s="28" customFormat="1" ht="12" customHeight="1">
      <c r="B73" s="89" t="s">
        <v>10</v>
      </c>
      <c r="C73" s="85">
        <v>13</v>
      </c>
      <c r="D73" s="72"/>
      <c r="E73" s="72"/>
      <c r="F73" s="72"/>
      <c r="G73" s="72"/>
      <c r="H73" s="72"/>
      <c r="J73" s="82" t="s">
        <v>15</v>
      </c>
      <c r="K73" s="82">
        <v>13</v>
      </c>
      <c r="L73" s="71"/>
      <c r="M73" s="71"/>
      <c r="N73" s="71"/>
      <c r="O73" s="71"/>
      <c r="P73" s="71"/>
      <c r="Q73" s="29"/>
      <c r="R73" s="81" t="s">
        <v>16</v>
      </c>
      <c r="S73" s="82">
        <v>13</v>
      </c>
      <c r="T73" s="71"/>
      <c r="U73" s="71"/>
      <c r="V73" s="71"/>
      <c r="W73" s="71"/>
      <c r="X73" s="71"/>
      <c r="Y73" s="29"/>
      <c r="Z73" s="84" t="s">
        <v>7</v>
      </c>
      <c r="AA73" s="72">
        <v>13</v>
      </c>
      <c r="AB73" s="72"/>
      <c r="AC73" s="72"/>
      <c r="AD73" s="72"/>
      <c r="AE73" s="72"/>
      <c r="AF73" s="72"/>
      <c r="AG73" s="29"/>
      <c r="AH73" s="81" t="s">
        <v>8</v>
      </c>
      <c r="AI73" s="71">
        <v>13</v>
      </c>
      <c r="AJ73" s="71"/>
      <c r="AK73" s="71"/>
      <c r="AL73" s="71"/>
      <c r="AM73" s="71"/>
      <c r="AN73" s="71"/>
      <c r="AO73" s="27"/>
      <c r="AP73" s="81" t="s">
        <v>16</v>
      </c>
      <c r="AQ73" s="82">
        <v>13</v>
      </c>
      <c r="AR73" s="71"/>
      <c r="AS73" s="71"/>
      <c r="AT73" s="71"/>
      <c r="AU73" s="71"/>
      <c r="AV73" s="71"/>
    </row>
    <row r="74" spans="2:48" s="28" customFormat="1" ht="12" customHeight="1">
      <c r="B74" s="86" t="s">
        <v>7</v>
      </c>
      <c r="C74" s="87">
        <v>14</v>
      </c>
      <c r="D74" s="69"/>
      <c r="E74" s="69"/>
      <c r="F74" s="69"/>
      <c r="G74" s="69"/>
      <c r="H74" s="69"/>
      <c r="J74" s="82" t="s">
        <v>8</v>
      </c>
      <c r="K74" s="82">
        <v>14</v>
      </c>
      <c r="L74" s="71"/>
      <c r="M74" s="71"/>
      <c r="N74" s="71"/>
      <c r="O74" s="71"/>
      <c r="P74" s="71"/>
      <c r="Q74" s="29"/>
      <c r="R74" s="84" t="s">
        <v>10</v>
      </c>
      <c r="S74" s="85">
        <v>14</v>
      </c>
      <c r="T74" s="72"/>
      <c r="U74" s="72"/>
      <c r="V74" s="72"/>
      <c r="W74" s="72"/>
      <c r="X74" s="72"/>
      <c r="Y74" s="29"/>
      <c r="Z74" s="81" t="s">
        <v>11</v>
      </c>
      <c r="AA74" s="71">
        <v>14</v>
      </c>
      <c r="AB74" s="71"/>
      <c r="AC74" s="71"/>
      <c r="AD74" s="71"/>
      <c r="AE74" s="71"/>
      <c r="AF74" s="71"/>
      <c r="AG74" s="29"/>
      <c r="AH74" s="81" t="s">
        <v>12</v>
      </c>
      <c r="AI74" s="71">
        <v>14</v>
      </c>
      <c r="AJ74" s="71"/>
      <c r="AK74" s="71"/>
      <c r="AL74" s="71"/>
      <c r="AM74" s="71"/>
      <c r="AN74" s="71"/>
      <c r="AO74" s="27"/>
      <c r="AP74" s="89" t="s">
        <v>10</v>
      </c>
      <c r="AQ74" s="85">
        <v>14</v>
      </c>
      <c r="AR74" s="72"/>
      <c r="AS74" s="72"/>
      <c r="AT74" s="72"/>
      <c r="AU74" s="72"/>
      <c r="AV74" s="72"/>
    </row>
    <row r="75" spans="2:48" s="28" customFormat="1" ht="12" customHeight="1">
      <c r="B75" s="81" t="s">
        <v>11</v>
      </c>
      <c r="C75" s="82">
        <v>15</v>
      </c>
      <c r="D75" s="71"/>
      <c r="E75" s="71"/>
      <c r="F75" s="71"/>
      <c r="G75" s="71"/>
      <c r="H75" s="71"/>
      <c r="J75" s="86" t="s">
        <v>12</v>
      </c>
      <c r="K75" s="87">
        <v>15</v>
      </c>
      <c r="L75" s="69"/>
      <c r="M75" s="69"/>
      <c r="N75" s="69"/>
      <c r="O75" s="69"/>
      <c r="P75" s="69"/>
      <c r="Q75" s="29"/>
      <c r="R75" s="84" t="s">
        <v>7</v>
      </c>
      <c r="S75" s="85">
        <v>15</v>
      </c>
      <c r="T75" s="72"/>
      <c r="U75" s="72"/>
      <c r="V75" s="72"/>
      <c r="W75" s="72"/>
      <c r="X75" s="72"/>
      <c r="Y75" s="29"/>
      <c r="Z75" s="81" t="s">
        <v>15</v>
      </c>
      <c r="AA75" s="71">
        <v>15</v>
      </c>
      <c r="AB75" s="71"/>
      <c r="AC75" s="71"/>
      <c r="AD75" s="71"/>
      <c r="AE75" s="71"/>
      <c r="AF75" s="71"/>
      <c r="AG75" s="29"/>
      <c r="AH75" s="81" t="s">
        <v>16</v>
      </c>
      <c r="AI75" s="71">
        <v>15</v>
      </c>
      <c r="AJ75" s="71"/>
      <c r="AK75" s="71"/>
      <c r="AL75" s="71"/>
      <c r="AM75" s="71"/>
      <c r="AN75" s="71"/>
      <c r="AO75" s="27"/>
      <c r="AP75" s="89" t="s">
        <v>7</v>
      </c>
      <c r="AQ75" s="85">
        <v>15</v>
      </c>
      <c r="AR75" s="72"/>
      <c r="AS75" s="72"/>
      <c r="AT75" s="72"/>
      <c r="AU75" s="72"/>
      <c r="AV75" s="72"/>
    </row>
    <row r="76" spans="2:48" s="28" customFormat="1" ht="12" customHeight="1">
      <c r="B76" s="81" t="s">
        <v>15</v>
      </c>
      <c r="C76" s="82">
        <v>16</v>
      </c>
      <c r="D76" s="71"/>
      <c r="E76" s="71"/>
      <c r="F76" s="71"/>
      <c r="G76" s="71"/>
      <c r="H76" s="71"/>
      <c r="J76" s="81" t="s">
        <v>16</v>
      </c>
      <c r="K76" s="82">
        <v>16</v>
      </c>
      <c r="Q76" s="29"/>
      <c r="R76" s="81" t="s">
        <v>11</v>
      </c>
      <c r="S76" s="82">
        <v>16</v>
      </c>
      <c r="T76" s="71"/>
      <c r="U76" s="71"/>
      <c r="V76" s="71"/>
      <c r="W76" s="71"/>
      <c r="X76" s="71"/>
      <c r="Y76" s="29"/>
      <c r="Z76" s="81" t="s">
        <v>8</v>
      </c>
      <c r="AA76" s="71">
        <v>16</v>
      </c>
      <c r="AB76" s="71"/>
      <c r="AC76" s="71"/>
      <c r="AD76" s="71"/>
      <c r="AE76" s="71"/>
      <c r="AF76" s="71"/>
      <c r="AG76" s="29"/>
      <c r="AH76" s="89" t="s">
        <v>10</v>
      </c>
      <c r="AI76" s="72">
        <v>16</v>
      </c>
      <c r="AJ76" s="72"/>
      <c r="AK76" s="72"/>
      <c r="AL76" s="72"/>
      <c r="AM76" s="72"/>
      <c r="AN76" s="72"/>
      <c r="AO76" s="90"/>
      <c r="AP76" s="81" t="s">
        <v>11</v>
      </c>
      <c r="AQ76" s="82">
        <v>16</v>
      </c>
      <c r="AR76" s="71"/>
      <c r="AS76" s="71"/>
      <c r="AT76" s="71"/>
      <c r="AU76" s="71"/>
      <c r="AV76" s="71"/>
    </row>
    <row r="77" spans="2:48" s="28" customFormat="1" ht="12" customHeight="1">
      <c r="B77" s="81" t="s">
        <v>8</v>
      </c>
      <c r="C77" s="82">
        <v>17</v>
      </c>
      <c r="D77" s="71"/>
      <c r="E77" s="71"/>
      <c r="F77" s="71"/>
      <c r="G77" s="71"/>
      <c r="H77" s="71"/>
      <c r="J77" s="84" t="s">
        <v>10</v>
      </c>
      <c r="K77" s="85">
        <v>17</v>
      </c>
      <c r="L77" s="72"/>
      <c r="M77" s="72"/>
      <c r="N77" s="72"/>
      <c r="O77" s="72"/>
      <c r="P77" s="72"/>
      <c r="Q77" s="29"/>
      <c r="R77" s="81" t="s">
        <v>15</v>
      </c>
      <c r="S77" s="82">
        <v>17</v>
      </c>
      <c r="T77" s="71"/>
      <c r="U77" s="71"/>
      <c r="V77" s="71"/>
      <c r="W77" s="71"/>
      <c r="X77" s="71"/>
      <c r="Y77" s="29"/>
      <c r="Z77" s="81" t="s">
        <v>12</v>
      </c>
      <c r="AA77" s="71">
        <v>17</v>
      </c>
      <c r="AB77" s="71"/>
      <c r="AC77" s="71"/>
      <c r="AD77" s="71"/>
      <c r="AE77" s="71"/>
      <c r="AF77" s="71"/>
      <c r="AG77" s="29"/>
      <c r="AH77" s="89" t="s">
        <v>7</v>
      </c>
      <c r="AI77" s="72">
        <v>17</v>
      </c>
      <c r="AJ77" s="72"/>
      <c r="AK77" s="72"/>
      <c r="AL77" s="72"/>
      <c r="AM77" s="72"/>
      <c r="AN77" s="72"/>
      <c r="AO77" s="90"/>
      <c r="AP77" s="81" t="s">
        <v>15</v>
      </c>
      <c r="AQ77" s="82">
        <v>17</v>
      </c>
      <c r="AR77" s="71"/>
      <c r="AS77" s="71"/>
      <c r="AT77" s="71"/>
      <c r="AU77" s="71"/>
      <c r="AV77" s="71"/>
    </row>
    <row r="78" spans="2:48" s="28" customFormat="1" ht="12" customHeight="1">
      <c r="B78" s="81" t="s">
        <v>12</v>
      </c>
      <c r="C78" s="82">
        <v>18</v>
      </c>
      <c r="D78" s="71"/>
      <c r="E78" s="71"/>
      <c r="F78" s="71"/>
      <c r="G78" s="71"/>
      <c r="H78" s="71"/>
      <c r="J78" s="84" t="s">
        <v>7</v>
      </c>
      <c r="K78" s="85">
        <v>18</v>
      </c>
      <c r="L78" s="72"/>
      <c r="M78" s="72"/>
      <c r="N78" s="72"/>
      <c r="O78" s="72"/>
      <c r="P78" s="72"/>
      <c r="Q78" s="29"/>
      <c r="R78" s="81" t="s">
        <v>8</v>
      </c>
      <c r="S78" s="82">
        <v>18</v>
      </c>
      <c r="T78" s="71"/>
      <c r="U78" s="71"/>
      <c r="V78" s="71"/>
      <c r="W78" s="71"/>
      <c r="X78" s="71"/>
      <c r="Y78" s="29"/>
      <c r="Z78" s="81" t="s">
        <v>16</v>
      </c>
      <c r="AA78" s="71">
        <v>18</v>
      </c>
      <c r="AB78" s="71"/>
      <c r="AC78" s="71"/>
      <c r="AD78" s="71"/>
      <c r="AE78" s="71"/>
      <c r="AF78" s="71"/>
      <c r="AG78" s="29"/>
      <c r="AH78" s="81" t="s">
        <v>11</v>
      </c>
      <c r="AI78" s="71">
        <v>18</v>
      </c>
      <c r="AJ78" s="71"/>
      <c r="AK78" s="71"/>
      <c r="AL78" s="71"/>
      <c r="AM78" s="71"/>
      <c r="AN78" s="71"/>
      <c r="AO78" s="27"/>
      <c r="AP78" s="81" t="s">
        <v>8</v>
      </c>
      <c r="AQ78" s="82">
        <v>18</v>
      </c>
      <c r="AR78" s="71"/>
      <c r="AS78" s="71"/>
      <c r="AT78" s="71"/>
      <c r="AU78" s="71"/>
      <c r="AV78" s="71"/>
    </row>
    <row r="79" spans="2:48" s="28" customFormat="1" ht="12" customHeight="1">
      <c r="B79" s="81" t="s">
        <v>16</v>
      </c>
      <c r="C79" s="82">
        <v>19</v>
      </c>
      <c r="D79" s="71"/>
      <c r="E79" s="71"/>
      <c r="F79" s="71"/>
      <c r="G79" s="71"/>
      <c r="H79" s="71"/>
      <c r="J79" s="81" t="s">
        <v>11</v>
      </c>
      <c r="K79" s="82">
        <v>19</v>
      </c>
      <c r="L79" s="71"/>
      <c r="M79" s="71"/>
      <c r="N79" s="71"/>
      <c r="O79" s="71"/>
      <c r="P79" s="71"/>
      <c r="Q79" s="29"/>
      <c r="R79" s="81" t="s">
        <v>12</v>
      </c>
      <c r="S79" s="82">
        <v>19</v>
      </c>
      <c r="T79" s="71"/>
      <c r="U79" s="71"/>
      <c r="V79" s="71"/>
      <c r="W79" s="71"/>
      <c r="X79" s="71"/>
      <c r="Y79" s="29"/>
      <c r="Z79" s="89" t="s">
        <v>10</v>
      </c>
      <c r="AA79" s="72">
        <v>19</v>
      </c>
      <c r="AB79" s="72"/>
      <c r="AC79" s="72"/>
      <c r="AD79" s="72"/>
      <c r="AE79" s="72"/>
      <c r="AF79" s="72"/>
      <c r="AG79" s="29"/>
      <c r="AH79" s="81" t="s">
        <v>15</v>
      </c>
      <c r="AI79" s="71">
        <v>19</v>
      </c>
      <c r="AJ79" s="71"/>
      <c r="AK79" s="71"/>
      <c r="AL79" s="71"/>
      <c r="AM79" s="71"/>
      <c r="AN79" s="71"/>
      <c r="AO79" s="27"/>
      <c r="AP79" s="81" t="s">
        <v>12</v>
      </c>
      <c r="AQ79" s="82">
        <v>19</v>
      </c>
      <c r="AR79" s="71"/>
      <c r="AS79" s="71"/>
      <c r="AT79" s="71"/>
      <c r="AU79" s="71"/>
      <c r="AV79" s="71"/>
    </row>
    <row r="80" spans="2:48" s="28" customFormat="1" ht="12" customHeight="1">
      <c r="B80" s="84" t="s">
        <v>10</v>
      </c>
      <c r="C80" s="85">
        <v>20</v>
      </c>
      <c r="D80" s="72"/>
      <c r="E80" s="72"/>
      <c r="F80" s="72"/>
      <c r="G80" s="72"/>
      <c r="H80" s="72"/>
      <c r="J80" s="81" t="s">
        <v>15</v>
      </c>
      <c r="K80" s="82">
        <v>20</v>
      </c>
      <c r="L80" s="71"/>
      <c r="M80" s="71"/>
      <c r="N80" s="71"/>
      <c r="O80" s="71"/>
      <c r="P80" s="71"/>
      <c r="Q80" s="29"/>
      <c r="R80" s="81" t="s">
        <v>16</v>
      </c>
      <c r="S80" s="82">
        <v>20</v>
      </c>
      <c r="T80" s="71"/>
      <c r="U80" s="71"/>
      <c r="V80" s="71"/>
      <c r="W80" s="71"/>
      <c r="X80" s="71"/>
      <c r="Y80" s="29"/>
      <c r="Z80" s="89" t="s">
        <v>7</v>
      </c>
      <c r="AA80" s="72">
        <v>20</v>
      </c>
      <c r="AB80" s="72"/>
      <c r="AC80" s="72"/>
      <c r="AD80" s="72"/>
      <c r="AE80" s="72"/>
      <c r="AF80" s="72"/>
      <c r="AG80" s="29"/>
      <c r="AH80" s="81" t="s">
        <v>8</v>
      </c>
      <c r="AI80" s="71">
        <v>20</v>
      </c>
      <c r="AJ80" s="71"/>
      <c r="AK80" s="71"/>
      <c r="AL80" s="71"/>
      <c r="AM80" s="71"/>
      <c r="AN80" s="71"/>
      <c r="AO80" s="27"/>
      <c r="AP80" s="81" t="s">
        <v>16</v>
      </c>
      <c r="AQ80" s="82">
        <v>20</v>
      </c>
      <c r="AR80" s="71"/>
      <c r="AS80" s="71"/>
      <c r="AT80" s="71"/>
      <c r="AU80" s="71"/>
      <c r="AV80" s="71"/>
    </row>
    <row r="81" spans="2:48" s="28" customFormat="1" ht="12" customHeight="1">
      <c r="B81" s="84" t="s">
        <v>7</v>
      </c>
      <c r="C81" s="85">
        <v>21</v>
      </c>
      <c r="D81" s="72"/>
      <c r="E81" s="72"/>
      <c r="F81" s="72"/>
      <c r="G81" s="72"/>
      <c r="H81" s="72"/>
      <c r="J81" s="81" t="s">
        <v>8</v>
      </c>
      <c r="K81" s="82">
        <v>21</v>
      </c>
      <c r="L81" s="71"/>
      <c r="M81" s="71"/>
      <c r="N81" s="71"/>
      <c r="O81" s="71"/>
      <c r="P81" s="71"/>
      <c r="Q81" s="29"/>
      <c r="R81" s="89" t="s">
        <v>10</v>
      </c>
      <c r="S81" s="85">
        <v>21</v>
      </c>
      <c r="T81" s="72"/>
      <c r="U81" s="72"/>
      <c r="V81" s="72"/>
      <c r="W81" s="72"/>
      <c r="X81" s="72"/>
      <c r="Y81" s="29"/>
      <c r="Z81" s="81" t="s">
        <v>11</v>
      </c>
      <c r="AA81" s="71">
        <v>21</v>
      </c>
      <c r="AB81" s="71"/>
      <c r="AC81" s="71"/>
      <c r="AD81" s="71"/>
      <c r="AE81" s="71"/>
      <c r="AF81" s="71"/>
      <c r="AG81" s="29"/>
      <c r="AH81" s="81" t="s">
        <v>12</v>
      </c>
      <c r="AI81" s="71">
        <v>21</v>
      </c>
      <c r="AJ81" s="71"/>
      <c r="AK81" s="71"/>
      <c r="AL81" s="71"/>
      <c r="AM81" s="71"/>
      <c r="AN81" s="71"/>
      <c r="AO81" s="27"/>
      <c r="AP81" s="84" t="s">
        <v>10</v>
      </c>
      <c r="AQ81" s="85">
        <v>21</v>
      </c>
      <c r="AR81" s="72"/>
      <c r="AS81" s="72"/>
      <c r="AT81" s="72"/>
      <c r="AU81" s="72"/>
      <c r="AV81" s="72"/>
    </row>
    <row r="82" spans="2:48" s="28" customFormat="1" ht="12" customHeight="1">
      <c r="B82" s="81" t="s">
        <v>11</v>
      </c>
      <c r="C82" s="82">
        <v>22</v>
      </c>
      <c r="D82" s="71"/>
      <c r="E82" s="71"/>
      <c r="F82" s="71"/>
      <c r="G82" s="71"/>
      <c r="H82" s="71"/>
      <c r="J82" s="81" t="s">
        <v>12</v>
      </c>
      <c r="K82" s="82">
        <v>22</v>
      </c>
      <c r="L82" s="71"/>
      <c r="M82" s="71"/>
      <c r="N82" s="71"/>
      <c r="O82" s="71"/>
      <c r="P82" s="71"/>
      <c r="Q82" s="29"/>
      <c r="R82" s="89" t="s">
        <v>7</v>
      </c>
      <c r="S82" s="85">
        <v>22</v>
      </c>
      <c r="T82" s="72"/>
      <c r="U82" s="72"/>
      <c r="V82" s="72"/>
      <c r="W82" s="72"/>
      <c r="X82" s="72"/>
      <c r="Y82" s="29"/>
      <c r="Z82" s="81" t="s">
        <v>15</v>
      </c>
      <c r="AA82" s="71">
        <v>22</v>
      </c>
      <c r="AB82" s="71"/>
      <c r="AC82" s="71"/>
      <c r="AD82" s="71"/>
      <c r="AE82" s="71"/>
      <c r="AF82" s="71"/>
      <c r="AG82" s="29"/>
      <c r="AH82" s="81" t="s">
        <v>16</v>
      </c>
      <c r="AI82" s="71">
        <v>22</v>
      </c>
      <c r="AJ82" s="71"/>
      <c r="AK82" s="71"/>
      <c r="AL82" s="71"/>
      <c r="AM82" s="71"/>
      <c r="AN82" s="71"/>
      <c r="AO82" s="27"/>
      <c r="AP82" s="84" t="s">
        <v>7</v>
      </c>
      <c r="AQ82" s="85">
        <v>22</v>
      </c>
      <c r="AR82" s="72"/>
      <c r="AS82" s="72"/>
      <c r="AT82" s="72"/>
      <c r="AU82" s="72"/>
      <c r="AV82" s="72"/>
    </row>
    <row r="83" spans="2:48" s="28" customFormat="1" ht="12" customHeight="1">
      <c r="B83" s="81" t="s">
        <v>15</v>
      </c>
      <c r="C83" s="82">
        <v>23</v>
      </c>
      <c r="D83" s="71"/>
      <c r="E83" s="71"/>
      <c r="F83" s="71"/>
      <c r="G83" s="71"/>
      <c r="H83" s="71"/>
      <c r="J83" s="81" t="s">
        <v>16</v>
      </c>
      <c r="K83" s="82">
        <v>23</v>
      </c>
      <c r="L83" s="71"/>
      <c r="M83" s="71"/>
      <c r="N83" s="71"/>
      <c r="O83" s="71"/>
      <c r="P83" s="71"/>
      <c r="Q83" s="29"/>
      <c r="R83" s="81" t="s">
        <v>11</v>
      </c>
      <c r="S83" s="82">
        <v>23</v>
      </c>
      <c r="T83" s="71"/>
      <c r="U83" s="71"/>
      <c r="V83" s="71"/>
      <c r="W83" s="71"/>
      <c r="X83" s="71"/>
      <c r="Y83" s="29"/>
      <c r="Z83" s="81" t="s">
        <v>8</v>
      </c>
      <c r="AA83" s="71">
        <v>23</v>
      </c>
      <c r="AB83" s="71"/>
      <c r="AC83" s="71"/>
      <c r="AD83" s="71"/>
      <c r="AE83" s="71"/>
      <c r="AF83" s="71"/>
      <c r="AG83" s="29"/>
      <c r="AH83" s="84" t="s">
        <v>10</v>
      </c>
      <c r="AI83" s="72">
        <v>23</v>
      </c>
      <c r="AJ83" s="72"/>
      <c r="AK83" s="72"/>
      <c r="AL83" s="72"/>
      <c r="AM83" s="72"/>
      <c r="AN83" s="72"/>
      <c r="AO83" s="90"/>
      <c r="AP83" s="91" t="s">
        <v>11</v>
      </c>
      <c r="AQ83" s="82">
        <v>23</v>
      </c>
      <c r="AR83" s="71"/>
      <c r="AS83" s="71"/>
      <c r="AT83" s="71"/>
      <c r="AU83" s="71"/>
      <c r="AV83" s="71"/>
    </row>
    <row r="84" spans="2:48" s="28" customFormat="1" ht="12" customHeight="1">
      <c r="B84" s="81" t="s">
        <v>8</v>
      </c>
      <c r="C84" s="82">
        <v>24</v>
      </c>
      <c r="D84" s="71"/>
      <c r="E84" s="71"/>
      <c r="F84" s="71"/>
      <c r="G84" s="71"/>
      <c r="H84" s="71"/>
      <c r="J84" s="89" t="s">
        <v>10</v>
      </c>
      <c r="K84" s="85">
        <v>24</v>
      </c>
      <c r="L84" s="72"/>
      <c r="M84" s="72"/>
      <c r="N84" s="72"/>
      <c r="O84" s="72"/>
      <c r="P84" s="72"/>
      <c r="Q84" s="29"/>
      <c r="R84" s="81" t="s">
        <v>15</v>
      </c>
      <c r="S84" s="82">
        <v>24</v>
      </c>
      <c r="T84" s="71"/>
      <c r="U84" s="71"/>
      <c r="V84" s="71"/>
      <c r="W84" s="71"/>
      <c r="X84" s="71"/>
      <c r="Y84" s="29"/>
      <c r="Z84" s="81" t="s">
        <v>12</v>
      </c>
      <c r="AA84" s="71">
        <v>24</v>
      </c>
      <c r="AB84" s="71"/>
      <c r="AC84" s="71"/>
      <c r="AD84" s="71"/>
      <c r="AE84" s="71"/>
      <c r="AF84" s="71"/>
      <c r="AG84" s="29"/>
      <c r="AH84" s="84" t="s">
        <v>7</v>
      </c>
      <c r="AI84" s="72">
        <v>24</v>
      </c>
      <c r="AJ84" s="72"/>
      <c r="AK84" s="72"/>
      <c r="AL84" s="72"/>
      <c r="AM84" s="72"/>
      <c r="AN84" s="72"/>
      <c r="AO84" s="90"/>
      <c r="AP84" s="91" t="s">
        <v>15</v>
      </c>
      <c r="AQ84" s="82">
        <v>24</v>
      </c>
      <c r="AR84" s="71"/>
      <c r="AS84" s="71"/>
      <c r="AT84" s="71"/>
      <c r="AU84" s="71"/>
      <c r="AV84" s="71"/>
    </row>
    <row r="85" spans="2:48" s="28" customFormat="1" ht="12" customHeight="1">
      <c r="B85" s="81" t="s">
        <v>12</v>
      </c>
      <c r="C85" s="82">
        <v>25</v>
      </c>
      <c r="D85" s="71"/>
      <c r="E85" s="71"/>
      <c r="F85" s="71"/>
      <c r="G85" s="71"/>
      <c r="H85" s="71"/>
      <c r="J85" s="89" t="s">
        <v>7</v>
      </c>
      <c r="K85" s="85">
        <v>25</v>
      </c>
      <c r="L85" s="72"/>
      <c r="M85" s="72"/>
      <c r="N85" s="72"/>
      <c r="O85" s="72"/>
      <c r="P85" s="72"/>
      <c r="Q85" s="29"/>
      <c r="R85" s="92" t="s">
        <v>8</v>
      </c>
      <c r="S85" s="82">
        <v>25</v>
      </c>
      <c r="T85" s="71"/>
      <c r="U85" s="71"/>
      <c r="V85" s="71"/>
      <c r="W85" s="71"/>
      <c r="X85" s="71"/>
      <c r="Y85" s="29"/>
      <c r="Z85" s="91" t="s">
        <v>16</v>
      </c>
      <c r="AA85" s="71">
        <v>25</v>
      </c>
      <c r="AB85" s="71"/>
      <c r="AC85" s="71"/>
      <c r="AD85" s="71"/>
      <c r="AE85" s="71"/>
      <c r="AF85" s="71"/>
      <c r="AG85" s="29"/>
      <c r="AH85" s="92" t="s">
        <v>11</v>
      </c>
      <c r="AI85" s="75">
        <v>25</v>
      </c>
      <c r="AJ85" s="71"/>
      <c r="AK85" s="71"/>
      <c r="AL85" s="71"/>
      <c r="AM85" s="71"/>
      <c r="AN85" s="71"/>
      <c r="AO85" s="27"/>
      <c r="AP85" s="86" t="s">
        <v>8</v>
      </c>
      <c r="AQ85" s="87">
        <v>25</v>
      </c>
      <c r="AR85" s="69"/>
      <c r="AS85" s="69"/>
      <c r="AT85" s="69"/>
      <c r="AU85" s="69"/>
      <c r="AV85" s="69"/>
    </row>
    <row r="86" spans="2:48" s="28" customFormat="1" ht="12" customHeight="1">
      <c r="B86" s="94" t="s">
        <v>16</v>
      </c>
      <c r="C86" s="82">
        <v>26</v>
      </c>
      <c r="D86" s="71"/>
      <c r="E86" s="71"/>
      <c r="F86" s="71"/>
      <c r="G86" s="71"/>
      <c r="H86" s="71"/>
      <c r="J86" s="92" t="s">
        <v>11</v>
      </c>
      <c r="K86" s="93">
        <v>26</v>
      </c>
      <c r="L86" s="71"/>
      <c r="M86" s="71"/>
      <c r="N86" s="71"/>
      <c r="O86" s="71"/>
      <c r="P86" s="71"/>
      <c r="Q86" s="29"/>
      <c r="R86" s="81" t="s">
        <v>12</v>
      </c>
      <c r="S86" s="93">
        <v>26</v>
      </c>
      <c r="T86" s="71"/>
      <c r="U86" s="71"/>
      <c r="V86" s="71"/>
      <c r="W86" s="71"/>
      <c r="X86" s="71"/>
      <c r="Y86" s="29"/>
      <c r="Z86" s="95" t="s">
        <v>10</v>
      </c>
      <c r="AA86" s="96">
        <v>26</v>
      </c>
      <c r="AB86" s="72"/>
      <c r="AC86" s="72"/>
      <c r="AD86" s="72"/>
      <c r="AE86" s="72"/>
      <c r="AF86" s="72"/>
      <c r="AG86" s="29"/>
      <c r="AH86" s="81" t="s">
        <v>15</v>
      </c>
      <c r="AI86" s="75">
        <v>26</v>
      </c>
      <c r="AJ86" s="71"/>
      <c r="AK86" s="71"/>
      <c r="AL86" s="71"/>
      <c r="AM86" s="71"/>
      <c r="AN86" s="71"/>
      <c r="AO86" s="27"/>
      <c r="AP86" s="81" t="s">
        <v>12</v>
      </c>
      <c r="AQ86" s="97">
        <v>26</v>
      </c>
      <c r="AR86" s="71"/>
      <c r="AS86" s="71"/>
      <c r="AT86" s="71"/>
      <c r="AU86" s="71"/>
      <c r="AV86" s="71"/>
    </row>
    <row r="87" spans="2:48" s="28" customFormat="1" ht="12" customHeight="1">
      <c r="B87" s="89" t="s">
        <v>10</v>
      </c>
      <c r="C87" s="85">
        <v>27</v>
      </c>
      <c r="D87" s="72"/>
      <c r="E87" s="72"/>
      <c r="F87" s="72"/>
      <c r="G87" s="72"/>
      <c r="H87" s="72"/>
      <c r="J87" s="81" t="s">
        <v>15</v>
      </c>
      <c r="K87" s="93">
        <v>27</v>
      </c>
      <c r="L87" s="71"/>
      <c r="M87" s="71"/>
      <c r="N87" s="71"/>
      <c r="O87" s="71"/>
      <c r="P87" s="71"/>
      <c r="Q87" s="29"/>
      <c r="R87" s="81" t="s">
        <v>16</v>
      </c>
      <c r="S87" s="82">
        <v>27</v>
      </c>
      <c r="T87" s="71"/>
      <c r="U87" s="71"/>
      <c r="V87" s="71"/>
      <c r="W87" s="71"/>
      <c r="X87" s="71"/>
      <c r="Y87" s="29"/>
      <c r="Z87" s="84" t="s">
        <v>7</v>
      </c>
      <c r="AA87" s="96">
        <v>27</v>
      </c>
      <c r="AB87" s="72"/>
      <c r="AC87" s="72"/>
      <c r="AD87" s="72"/>
      <c r="AE87" s="72"/>
      <c r="AF87" s="72"/>
      <c r="AG87" s="29"/>
      <c r="AH87" s="81" t="s">
        <v>8</v>
      </c>
      <c r="AI87" s="71">
        <v>27</v>
      </c>
      <c r="AJ87" s="71"/>
      <c r="AK87" s="71"/>
      <c r="AL87" s="71"/>
      <c r="AM87" s="71"/>
      <c r="AN87" s="71"/>
      <c r="AO87" s="27"/>
      <c r="AP87" s="81" t="s">
        <v>16</v>
      </c>
      <c r="AQ87" s="82">
        <v>27</v>
      </c>
      <c r="AR87" s="71"/>
      <c r="AS87" s="71"/>
      <c r="AT87" s="71"/>
      <c r="AU87" s="71"/>
      <c r="AV87" s="71"/>
    </row>
    <row r="88" spans="2:48" s="28" customFormat="1" ht="12" customHeight="1">
      <c r="B88" s="89" t="s">
        <v>7</v>
      </c>
      <c r="C88" s="85">
        <v>28</v>
      </c>
      <c r="D88" s="72"/>
      <c r="E88" s="72"/>
      <c r="F88" s="72"/>
      <c r="G88" s="72"/>
      <c r="H88" s="72"/>
      <c r="J88" s="81" t="s">
        <v>8</v>
      </c>
      <c r="K88" s="82">
        <v>28</v>
      </c>
      <c r="L88" s="71"/>
      <c r="M88" s="71"/>
      <c r="N88" s="71"/>
      <c r="O88" s="71"/>
      <c r="P88" s="71"/>
      <c r="Q88" s="29"/>
      <c r="R88" s="84" t="s">
        <v>10</v>
      </c>
      <c r="S88" s="85">
        <v>28</v>
      </c>
      <c r="T88" s="72"/>
      <c r="U88" s="72"/>
      <c r="V88" s="72"/>
      <c r="W88" s="72"/>
      <c r="X88" s="72"/>
      <c r="Y88" s="29"/>
      <c r="Z88" s="81" t="s">
        <v>11</v>
      </c>
      <c r="AA88" s="71">
        <v>28</v>
      </c>
      <c r="AB88" s="71"/>
      <c r="AC88" s="71"/>
      <c r="AD88" s="71"/>
      <c r="AE88" s="71"/>
      <c r="AF88" s="71"/>
      <c r="AG88" s="29"/>
      <c r="AH88" s="81" t="s">
        <v>12</v>
      </c>
      <c r="AI88" s="71">
        <v>28</v>
      </c>
      <c r="AJ88" s="71"/>
      <c r="AK88" s="71"/>
      <c r="AL88" s="71"/>
      <c r="AM88" s="71"/>
      <c r="AN88" s="71"/>
      <c r="AO88" s="27"/>
      <c r="AP88" s="89" t="s">
        <v>10</v>
      </c>
      <c r="AQ88" s="85">
        <v>28</v>
      </c>
      <c r="AR88" s="72"/>
      <c r="AS88" s="72"/>
      <c r="AT88" s="72"/>
      <c r="AU88" s="72"/>
      <c r="AV88" s="72"/>
    </row>
    <row r="89" spans="2:48" s="28" customFormat="1" ht="12" customHeight="1">
      <c r="B89" s="92" t="s">
        <v>11</v>
      </c>
      <c r="C89" s="93">
        <v>29</v>
      </c>
      <c r="D89" s="71"/>
      <c r="E89" s="71"/>
      <c r="F89" s="71"/>
      <c r="G89" s="71"/>
      <c r="H89" s="71"/>
      <c r="J89" s="81" t="s">
        <v>12</v>
      </c>
      <c r="K89" s="82">
        <v>29</v>
      </c>
      <c r="L89" s="71"/>
      <c r="M89" s="71"/>
      <c r="N89" s="71"/>
      <c r="O89" s="71"/>
      <c r="P89" s="71"/>
      <c r="Q89" s="29"/>
      <c r="R89" s="84" t="s">
        <v>7</v>
      </c>
      <c r="S89" s="85">
        <v>29</v>
      </c>
      <c r="T89" s="72"/>
      <c r="U89" s="72"/>
      <c r="V89" s="72"/>
      <c r="W89" s="72"/>
      <c r="X89" s="72"/>
      <c r="Y89" s="29"/>
      <c r="Z89" s="81" t="s">
        <v>15</v>
      </c>
      <c r="AA89" s="71">
        <v>29</v>
      </c>
      <c r="AB89" s="71"/>
      <c r="AC89" s="71"/>
      <c r="AD89" s="71"/>
      <c r="AE89" s="71"/>
      <c r="AF89" s="71"/>
      <c r="AG89" s="29"/>
      <c r="AH89" s="81" t="s">
        <v>16</v>
      </c>
      <c r="AI89" s="71">
        <v>29</v>
      </c>
      <c r="AJ89" s="71"/>
      <c r="AK89" s="71"/>
      <c r="AL89" s="71"/>
      <c r="AM89" s="71"/>
      <c r="AN89" s="71"/>
      <c r="AO89" s="27"/>
      <c r="AP89" s="89" t="s">
        <v>7</v>
      </c>
      <c r="AQ89" s="85">
        <v>29</v>
      </c>
      <c r="AR89" s="72"/>
      <c r="AS89" s="72"/>
      <c r="AT89" s="72"/>
      <c r="AU89" s="72"/>
      <c r="AV89" s="72"/>
    </row>
    <row r="90" spans="2:48" s="28" customFormat="1" ht="12" customHeight="1">
      <c r="B90" s="92" t="s">
        <v>15</v>
      </c>
      <c r="C90" s="93">
        <v>30</v>
      </c>
      <c r="D90" s="71"/>
      <c r="E90" s="71"/>
      <c r="F90" s="71"/>
      <c r="G90" s="71"/>
      <c r="H90" s="71"/>
      <c r="J90" s="81" t="s">
        <v>16</v>
      </c>
      <c r="K90" s="82">
        <v>30</v>
      </c>
      <c r="L90" s="71"/>
      <c r="M90" s="71"/>
      <c r="N90" s="71"/>
      <c r="O90" s="71"/>
      <c r="P90" s="71"/>
      <c r="Q90" s="29"/>
      <c r="R90" s="81" t="s">
        <v>11</v>
      </c>
      <c r="S90" s="82">
        <v>30</v>
      </c>
      <c r="T90" s="71"/>
      <c r="U90" s="71"/>
      <c r="V90" s="71"/>
      <c r="W90" s="71"/>
      <c r="X90" s="71"/>
      <c r="Y90" s="29"/>
      <c r="Z90" s="82" t="s">
        <v>8</v>
      </c>
      <c r="AA90" s="71">
        <v>30</v>
      </c>
      <c r="AB90" s="71"/>
      <c r="AC90" s="71"/>
      <c r="AD90" s="71"/>
      <c r="AE90" s="71"/>
      <c r="AF90" s="71"/>
      <c r="AG90" s="29"/>
      <c r="AH90" s="89" t="s">
        <v>10</v>
      </c>
      <c r="AI90" s="72">
        <v>30</v>
      </c>
      <c r="AJ90" s="72"/>
      <c r="AK90" s="72"/>
      <c r="AL90" s="72"/>
      <c r="AM90" s="72"/>
      <c r="AN90" s="72"/>
      <c r="AO90" s="90"/>
      <c r="AP90" s="81" t="s">
        <v>11</v>
      </c>
      <c r="AQ90" s="82">
        <v>30</v>
      </c>
      <c r="AR90" s="71"/>
      <c r="AS90" s="71"/>
      <c r="AT90" s="71"/>
      <c r="AU90" s="71"/>
      <c r="AV90" s="71"/>
    </row>
    <row r="91" spans="2:48" s="28" customFormat="1" ht="12" customHeight="1">
      <c r="B91" s="92" t="s">
        <v>8</v>
      </c>
      <c r="C91" s="93">
        <v>31</v>
      </c>
      <c r="D91" s="71"/>
      <c r="E91" s="71"/>
      <c r="F91" s="71"/>
      <c r="G91" s="71"/>
      <c r="H91" s="71"/>
      <c r="J91" s="89" t="s">
        <v>10</v>
      </c>
      <c r="K91" s="85">
        <v>31</v>
      </c>
      <c r="L91" s="72"/>
      <c r="M91" s="72"/>
      <c r="N91" s="72"/>
      <c r="O91" s="72"/>
      <c r="P91" s="72"/>
      <c r="Q91" s="29"/>
      <c r="R91" s="98"/>
      <c r="S91" s="99"/>
      <c r="Y91" s="29"/>
      <c r="Z91" s="82" t="s">
        <v>12</v>
      </c>
      <c r="AA91" s="71">
        <v>31</v>
      </c>
      <c r="AB91" s="71"/>
      <c r="AC91" s="71"/>
      <c r="AD91" s="71"/>
      <c r="AE91" s="71"/>
      <c r="AF91" s="71"/>
      <c r="AG91" s="29"/>
      <c r="AH91" s="98"/>
      <c r="AI91" s="80"/>
      <c r="AJ91" s="80"/>
      <c r="AK91" s="80"/>
      <c r="AL91" s="80"/>
      <c r="AM91" s="80"/>
      <c r="AN91" s="80"/>
      <c r="AO91" s="90"/>
      <c r="AP91" s="81" t="s">
        <v>15</v>
      </c>
      <c r="AQ91" s="82">
        <v>31</v>
      </c>
      <c r="AR91" s="71"/>
      <c r="AS91" s="71"/>
      <c r="AT91" s="71"/>
      <c r="AU91" s="71"/>
      <c r="AV91" s="71"/>
    </row>
    <row r="92" spans="2:48">
      <c r="D92" s="6"/>
      <c r="E92" s="60"/>
      <c r="F92" s="60"/>
      <c r="G92" s="60"/>
      <c r="L92" s="6"/>
      <c r="T92" s="6"/>
      <c r="X92" s="16"/>
      <c r="AA92" s="63"/>
    </row>
    <row r="93" spans="2:48" ht="15.75" thickBot="1">
      <c r="D93" s="44" t="s">
        <v>34</v>
      </c>
      <c r="E93" s="57" t="s">
        <v>36</v>
      </c>
      <c r="G93" s="60"/>
      <c r="L93" s="44" t="s">
        <v>34</v>
      </c>
      <c r="M93" s="47" t="s">
        <v>32</v>
      </c>
      <c r="O93" s="60"/>
      <c r="T93" s="44" t="s">
        <v>34</v>
      </c>
      <c r="U93" s="57" t="s">
        <v>36</v>
      </c>
      <c r="W93" s="18"/>
      <c r="X93" s="16"/>
      <c r="AA93" s="63"/>
      <c r="AB93" s="44" t="s">
        <v>34</v>
      </c>
      <c r="AC93" s="57" t="s">
        <v>36</v>
      </c>
      <c r="AE93" s="60"/>
      <c r="AJ93" s="44" t="s">
        <v>34</v>
      </c>
      <c r="AK93" s="57" t="s">
        <v>36</v>
      </c>
      <c r="AM93" s="60"/>
      <c r="AN93" s="60"/>
      <c r="AR93" s="44" t="s">
        <v>34</v>
      </c>
      <c r="AS93" s="57" t="s">
        <v>36</v>
      </c>
      <c r="AU93" s="60"/>
    </row>
    <row r="94" spans="2:48" ht="16.5" thickTop="1" thickBot="1">
      <c r="B94" s="21" t="s">
        <v>37</v>
      </c>
      <c r="C94" s="49"/>
      <c r="D94" s="49"/>
      <c r="E94" s="49"/>
      <c r="F94" s="55">
        <f>SUM((COUNTIF(D61:H91,$F$2)/2),(COUNTIF(D61:H91,$B$2)))</f>
        <v>0</v>
      </c>
      <c r="G94" s="49"/>
      <c r="H94" s="55" t="e">
        <f>#REF!-'2018'!F94</f>
        <v>#REF!</v>
      </c>
      <c r="I94" s="5"/>
      <c r="J94" s="21" t="s">
        <v>37</v>
      </c>
      <c r="K94" s="49"/>
      <c r="L94" s="49"/>
      <c r="M94" s="49"/>
      <c r="N94" s="55">
        <f>SUM((COUNTIF(L61:P91,$F$2)/2),(COUNTIF(L61:P91,$B$2)))</f>
        <v>0</v>
      </c>
      <c r="O94" s="49"/>
      <c r="P94" s="55" t="e">
        <f>#REF!-'2018'!N94</f>
        <v>#REF!</v>
      </c>
      <c r="Q94" s="5"/>
      <c r="R94" s="21" t="s">
        <v>37</v>
      </c>
      <c r="S94" s="49"/>
      <c r="T94" s="49"/>
      <c r="U94" s="49"/>
      <c r="V94" s="55">
        <f>SUM((COUNTIF(T61:X89,$F$2)/2),(COUNTIF(T61:X89,$B$2)))</f>
        <v>0</v>
      </c>
      <c r="W94" s="49"/>
      <c r="X94" s="55" t="e">
        <f>#REF!-'2018'!V94</f>
        <v>#REF!</v>
      </c>
      <c r="Y94" s="5"/>
      <c r="Z94" s="21" t="s">
        <v>37</v>
      </c>
      <c r="AA94" s="49"/>
      <c r="AB94" s="49"/>
      <c r="AC94" s="49"/>
      <c r="AD94" s="55">
        <f>SUM((COUNTIF(AB61:AF91,$F$2)/2),(COUNTIF(AB61:AF91,$B$2)))</f>
        <v>0</v>
      </c>
      <c r="AE94" s="49"/>
      <c r="AF94" s="55" t="e">
        <f>#REF!-'2018'!AD94</f>
        <v>#REF!</v>
      </c>
      <c r="AG94" s="5"/>
      <c r="AH94" s="21" t="s">
        <v>37</v>
      </c>
      <c r="AI94" s="49"/>
      <c r="AJ94" s="49"/>
      <c r="AK94" s="49"/>
      <c r="AL94" s="55">
        <f>SUM((COUNTIF(AJ61:AN91,$F$2)/2),(COUNTIF(AJ61:AN91,$B$2)))</f>
        <v>0</v>
      </c>
      <c r="AM94" s="49"/>
      <c r="AN94" s="55" t="e">
        <f>#REF!-'2018'!AL94</f>
        <v>#REF!</v>
      </c>
      <c r="AO94" s="5"/>
      <c r="AP94" s="21" t="s">
        <v>37</v>
      </c>
      <c r="AQ94" s="49"/>
      <c r="AR94" s="49"/>
      <c r="AS94" s="49"/>
      <c r="AT94" s="55">
        <f>SUM((COUNTIF(AR83:AV89,$F$2)/2),(COUNTIF(AR83:AV89,$B$2)))</f>
        <v>0</v>
      </c>
      <c r="AU94" s="49"/>
      <c r="AV94" s="55" t="e">
        <f>#REF!-'2018'!AT94</f>
        <v>#REF!</v>
      </c>
    </row>
    <row r="95" spans="2:48" ht="16.5" thickTop="1" thickBot="1">
      <c r="B95" s="9"/>
      <c r="C95" s="10"/>
      <c r="D95" s="46" t="s">
        <v>33</v>
      </c>
      <c r="E95" s="10"/>
      <c r="F95" s="44" t="s">
        <v>34</v>
      </c>
      <c r="G95" s="10"/>
      <c r="H95" s="47" t="s">
        <v>32</v>
      </c>
      <c r="I95" s="5"/>
      <c r="J95" s="9"/>
      <c r="K95" s="10"/>
      <c r="L95" s="46" t="s">
        <v>33</v>
      </c>
      <c r="M95" s="10"/>
      <c r="N95" s="44" t="s">
        <v>34</v>
      </c>
      <c r="O95" s="10"/>
      <c r="P95" s="47" t="s">
        <v>32</v>
      </c>
      <c r="Q95" s="5"/>
      <c r="R95" s="9"/>
      <c r="S95" s="10"/>
      <c r="T95" s="46" t="s">
        <v>33</v>
      </c>
      <c r="U95" s="10"/>
      <c r="V95" s="44" t="s">
        <v>34</v>
      </c>
      <c r="W95" s="10"/>
      <c r="X95" s="47" t="s">
        <v>32</v>
      </c>
      <c r="Y95" s="5"/>
      <c r="Z95" s="9"/>
      <c r="AA95" s="10"/>
      <c r="AB95" s="46" t="s">
        <v>33</v>
      </c>
      <c r="AC95" s="10"/>
      <c r="AD95" s="44" t="s">
        <v>34</v>
      </c>
      <c r="AE95" s="10"/>
      <c r="AF95" s="47" t="s">
        <v>32</v>
      </c>
      <c r="AG95" s="5"/>
      <c r="AH95" s="9"/>
      <c r="AI95" s="10"/>
      <c r="AJ95" s="46" t="s">
        <v>33</v>
      </c>
      <c r="AK95" s="10"/>
      <c r="AL95" s="44" t="s">
        <v>34</v>
      </c>
      <c r="AM95" s="10"/>
      <c r="AN95" s="47" t="s">
        <v>32</v>
      </c>
      <c r="AO95" s="5"/>
      <c r="AP95" s="9"/>
      <c r="AQ95" s="10"/>
      <c r="AR95" s="46" t="s">
        <v>33</v>
      </c>
      <c r="AS95" s="10"/>
      <c r="AT95" s="44" t="s">
        <v>34</v>
      </c>
      <c r="AU95" s="10"/>
      <c r="AV95" s="47" t="s">
        <v>32</v>
      </c>
    </row>
    <row r="96" spans="2:48" ht="20.25" customHeight="1" thickTop="1" thickBot="1">
      <c r="B96" s="48" t="s">
        <v>13</v>
      </c>
      <c r="C96" s="51"/>
      <c r="D96" s="52">
        <v>2</v>
      </c>
      <c r="E96" s="53"/>
      <c r="F96" s="54">
        <f>COUNTIF(D61:H91,B96)</f>
        <v>0</v>
      </c>
      <c r="G96" s="51"/>
      <c r="H96" s="54">
        <f xml:space="preserve"> D96-F96</f>
        <v>2</v>
      </c>
      <c r="I96" s="29"/>
      <c r="J96" s="48" t="s">
        <v>13</v>
      </c>
      <c r="K96" s="51"/>
      <c r="L96" s="52">
        <v>2</v>
      </c>
      <c r="M96" s="53"/>
      <c r="N96" s="54">
        <f>COUNTIF(L61:P91,J96)</f>
        <v>0</v>
      </c>
      <c r="O96" s="51"/>
      <c r="P96" s="54">
        <f xml:space="preserve"> L96-N96</f>
        <v>2</v>
      </c>
      <c r="Q96" s="29"/>
      <c r="R96" s="48" t="s">
        <v>13</v>
      </c>
      <c r="S96" s="51"/>
      <c r="T96" s="52">
        <v>2</v>
      </c>
      <c r="U96" s="53"/>
      <c r="V96" s="54">
        <f>COUNTIF(T61:X89,R96)</f>
        <v>0</v>
      </c>
      <c r="W96" s="51"/>
      <c r="X96" s="54">
        <f xml:space="preserve"> T96-V96</f>
        <v>2</v>
      </c>
      <c r="Y96" s="29"/>
      <c r="Z96" s="48" t="s">
        <v>13</v>
      </c>
      <c r="AA96" s="51"/>
      <c r="AB96" s="52">
        <v>2</v>
      </c>
      <c r="AC96" s="53"/>
      <c r="AD96" s="54">
        <f>COUNTIF(AB61:AF91,Z96)</f>
        <v>0</v>
      </c>
      <c r="AE96" s="51"/>
      <c r="AF96" s="54">
        <f xml:space="preserve"> AB96-AD96</f>
        <v>2</v>
      </c>
      <c r="AG96" s="29"/>
      <c r="AH96" s="48" t="s">
        <v>13</v>
      </c>
      <c r="AI96" s="51"/>
      <c r="AJ96" s="52">
        <v>2</v>
      </c>
      <c r="AK96" s="53"/>
      <c r="AL96" s="54">
        <f>COUNTIF(AJ61:AN91,AH96)</f>
        <v>0</v>
      </c>
      <c r="AM96" s="51"/>
      <c r="AN96" s="54">
        <f xml:space="preserve"> AJ96-AL96</f>
        <v>2</v>
      </c>
      <c r="AO96" s="29"/>
      <c r="AP96" s="48" t="s">
        <v>13</v>
      </c>
      <c r="AQ96" s="51"/>
      <c r="AR96" s="52">
        <v>2</v>
      </c>
      <c r="AS96" s="53"/>
      <c r="AT96" s="54">
        <f>COUNTIF(AR83:AV89,AP96)</f>
        <v>0</v>
      </c>
      <c r="AU96" s="51"/>
      <c r="AV96" s="54">
        <f xml:space="preserve"> AR96-AT96</f>
        <v>2</v>
      </c>
    </row>
    <row r="97" ht="15.75" thickTop="1"/>
  </sheetData>
  <mergeCells count="36">
    <mergeCell ref="AP59:AV59"/>
    <mergeCell ref="C10:E10"/>
    <mergeCell ref="B14:AV15"/>
    <mergeCell ref="B18:H18"/>
    <mergeCell ref="J18:P18"/>
    <mergeCell ref="R18:X18"/>
    <mergeCell ref="Z18:AF18"/>
    <mergeCell ref="AH18:AN18"/>
    <mergeCell ref="AP18:AV18"/>
    <mergeCell ref="B59:H59"/>
    <mergeCell ref="J59:P59"/>
    <mergeCell ref="R59:X59"/>
    <mergeCell ref="Z59:AF59"/>
    <mergeCell ref="AH59:AN59"/>
    <mergeCell ref="C6:E6"/>
    <mergeCell ref="G6:H7"/>
    <mergeCell ref="L6:O6"/>
    <mergeCell ref="P6:S6"/>
    <mergeCell ref="T6:W6"/>
    <mergeCell ref="J7:K8"/>
    <mergeCell ref="L7:O8"/>
    <mergeCell ref="P7:S8"/>
    <mergeCell ref="T7:W8"/>
    <mergeCell ref="C8:E8"/>
    <mergeCell ref="T2:W2"/>
    <mergeCell ref="X2:AA2"/>
    <mergeCell ref="C4:E4"/>
    <mergeCell ref="C2:E2"/>
    <mergeCell ref="G2:I2"/>
    <mergeCell ref="L2:O2"/>
    <mergeCell ref="P2:S2"/>
    <mergeCell ref="J3:K4"/>
    <mergeCell ref="L3:O4"/>
    <mergeCell ref="P3:S4"/>
    <mergeCell ref="T3:W4"/>
    <mergeCell ref="X3:AA4"/>
  </mergeCells>
  <dataValidations count="2">
    <dataValidation type="list" allowBlank="1" showInputMessage="1" showErrorMessage="1" sqref="D21:H23 L30:P34 D33:H37 D40:H44 D47:H50 L20:P20 L23:P27 D26:H30 T23:X27 T30:X34 T37:X41 N35:N36 L37:P41 L44:P47 T20:X20 N42:N43 T44:X48 AR83:AV91 AB20:AF24 AJ46:AN48 AR22:AV26 AR29:AV33 AJ50:AN50 AR36:AV40 D68:H72 D74:H79 D82:H86 D61:H65 D89:H91 L65:P69 L72:P75 L79:P83 L61:P61 L86:P90 T62:X66 T69:X73 T76:X80 T83:X87 AB67:AF71 AB74:AF78 AB81:AF85 AB61:AF64 AB88:AF91 AJ64:AN68 AJ71:AN75 AJ78:AN82 AJ61:AN61 AJ85:AN89 AR62:AV66 AR69:AV73 AR76:AV80 AB48:AF49 AB27:AF31 AB34:AF38 AB41:AF45 AJ20:AN22 AJ25:AN29 AJ32:AN36 AJ39:AN43 AR43:AV47 T90:X90">
      <formula1>Liste_Choix</formula1>
    </dataValidation>
    <dataValidation type="list" showInputMessage="1" showErrorMessage="1" sqref="D20:H20">
      <formula1>Liste_Choix</formula1>
    </dataValidation>
  </dataValidations>
  <pageMargins left="0.7" right="0.7" top="0.75" bottom="0.75" header="0.3" footer="0.3"/>
  <pageSetup paperSize="9" scale="39" orientation="portrait" r:id="rId1"/>
  <colBreaks count="1" manualBreakCount="1">
    <brk id="49" max="1048575" man="1"/>
  </colBreak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BU99"/>
  <sheetViews>
    <sheetView showGridLines="0" topLeftCell="T67" zoomScale="85" zoomScaleNormal="85" workbookViewId="0">
      <selection activeCell="AP83" sqref="AP83:AP84"/>
    </sheetView>
  </sheetViews>
  <sheetFormatPr baseColWidth="10" defaultColWidth="10.85546875" defaultRowHeight="15"/>
  <cols>
    <col min="1" max="3" width="6.42578125" style="6" customWidth="1"/>
    <col min="4" max="4" width="6.42578125" style="60" customWidth="1"/>
    <col min="5" max="10" width="6.42578125" style="6" customWidth="1"/>
    <col min="11" max="11" width="6.42578125" style="61" customWidth="1"/>
    <col min="12" max="12" width="6.42578125" style="60" customWidth="1"/>
    <col min="13" max="19" width="6.42578125" style="6" customWidth="1"/>
    <col min="20" max="20" width="6.42578125" style="60" customWidth="1"/>
    <col min="21" max="26" width="6.42578125" style="6" customWidth="1"/>
    <col min="27" max="27" width="6.42578125" style="62" customWidth="1"/>
    <col min="28" max="34" width="6.42578125" style="6" customWidth="1"/>
    <col min="35" max="35" width="6.42578125" style="63" customWidth="1"/>
    <col min="36" max="48" width="6.42578125" style="6" customWidth="1"/>
    <col min="49" max="63" width="2.85546875" style="6" customWidth="1"/>
    <col min="64" max="64" width="2.7109375" style="6" customWidth="1"/>
    <col min="65" max="65" width="8.42578125" style="6" customWidth="1"/>
    <col min="66" max="66" width="3.140625" style="6" customWidth="1"/>
    <col min="67" max="16384" width="10.85546875" style="6"/>
  </cols>
  <sheetData>
    <row r="1" spans="1:63" ht="15.75" thickBot="1"/>
    <row r="2" spans="1:63" ht="16.5" thickTop="1" thickBot="1">
      <c r="B2" s="21" t="s">
        <v>37</v>
      </c>
      <c r="C2" s="202" t="s">
        <v>43</v>
      </c>
      <c r="D2" s="203"/>
      <c r="E2" s="203"/>
      <c r="F2" s="102" t="s">
        <v>39</v>
      </c>
      <c r="G2" s="203" t="s">
        <v>41</v>
      </c>
      <c r="H2" s="203"/>
      <c r="I2" s="203"/>
    </row>
    <row r="3" spans="1:63" ht="15" customHeight="1" thickTop="1" thickBot="1">
      <c r="P3" s="345" t="s">
        <v>58</v>
      </c>
      <c r="Q3" s="346"/>
      <c r="R3" s="346"/>
      <c r="S3" s="346"/>
      <c r="T3" s="346"/>
      <c r="U3" s="346"/>
      <c r="V3" s="346"/>
      <c r="W3" s="346"/>
      <c r="X3" s="346"/>
      <c r="Y3" s="346"/>
      <c r="Z3" s="346"/>
      <c r="AA3" s="347"/>
      <c r="AB3" s="280" t="s">
        <v>55</v>
      </c>
      <c r="AC3" s="281"/>
      <c r="AD3" s="281"/>
      <c r="AE3" s="281"/>
      <c r="AF3" s="281"/>
      <c r="AG3" s="281"/>
      <c r="AH3" s="281"/>
      <c r="AI3" s="282"/>
      <c r="AJ3" s="323" t="s">
        <v>59</v>
      </c>
      <c r="AK3" s="324"/>
    </row>
    <row r="4" spans="1:63" ht="15" customHeight="1" thickTop="1" thickBot="1">
      <c r="B4" s="130" t="s">
        <v>70</v>
      </c>
      <c r="C4" s="202" t="s">
        <v>63</v>
      </c>
      <c r="D4" s="203"/>
      <c r="E4" s="203"/>
      <c r="J4" s="61"/>
      <c r="L4" s="204" t="s">
        <v>57</v>
      </c>
      <c r="M4" s="205"/>
      <c r="N4" s="205"/>
      <c r="O4" s="205"/>
      <c r="P4" s="339" t="s">
        <v>56</v>
      </c>
      <c r="Q4" s="340"/>
      <c r="R4" s="340"/>
      <c r="S4" s="341"/>
      <c r="T4" s="342" t="s">
        <v>49</v>
      </c>
      <c r="U4" s="343"/>
      <c r="V4" s="343"/>
      <c r="W4" s="344"/>
      <c r="X4" s="348" t="s">
        <v>64</v>
      </c>
      <c r="Y4" s="349"/>
      <c r="Z4" s="349"/>
      <c r="AA4" s="350"/>
      <c r="AB4" s="280" t="s">
        <v>54</v>
      </c>
      <c r="AC4" s="281"/>
      <c r="AD4" s="281"/>
      <c r="AE4" s="282"/>
      <c r="AF4" s="280" t="s">
        <v>50</v>
      </c>
      <c r="AG4" s="281"/>
      <c r="AH4" s="281"/>
      <c r="AI4" s="282"/>
      <c r="AJ4" s="325"/>
      <c r="AK4" s="326"/>
      <c r="AV4" s="60" t="s">
        <v>37</v>
      </c>
    </row>
    <row r="5" spans="1:63" ht="15" customHeight="1" thickTop="1" thickBot="1">
      <c r="C5" s="64"/>
      <c r="D5" s="65"/>
      <c r="E5" s="64"/>
      <c r="J5" s="209" t="s">
        <v>47</v>
      </c>
      <c r="K5" s="210"/>
      <c r="L5" s="295">
        <f>D55-SUM(F55,L55,T55,AB55)</f>
        <v>3</v>
      </c>
      <c r="M5" s="296"/>
      <c r="N5" s="296"/>
      <c r="O5" s="296"/>
      <c r="P5" s="327" t="e">
        <f xml:space="preserve"> SUM(AJ55,AR55,D96,L96,T96,AB96,AJ96,AR96,#REF!,#REF!,#REF!,#REF!,#REF!)</f>
        <v>#REF!</v>
      </c>
      <c r="Q5" s="328"/>
      <c r="R5" s="328"/>
      <c r="S5" s="329"/>
      <c r="T5" s="333" t="e">
        <f xml:space="preserve"> 25-P5</f>
        <v>#REF!</v>
      </c>
      <c r="U5" s="334"/>
      <c r="V5" s="334"/>
      <c r="W5" s="335"/>
      <c r="X5" s="313">
        <f xml:space="preserve"> 1-COUNTIF(B22:AV52,B4)+COUNTIF(B63:AV93,B4)</f>
        <v>1</v>
      </c>
      <c r="Y5" s="314"/>
      <c r="Z5" s="314"/>
      <c r="AA5" s="315"/>
      <c r="AB5" s="283" t="e">
        <f>P5+ROUNDDOWN(P5/5,0)</f>
        <v>#REF!</v>
      </c>
      <c r="AC5" s="284"/>
      <c r="AD5" s="284"/>
      <c r="AE5" s="285"/>
      <c r="AF5" s="289" t="e">
        <f>31-AB5</f>
        <v>#REF!</v>
      </c>
      <c r="AG5" s="290"/>
      <c r="AH5" s="290"/>
      <c r="AI5" s="291"/>
      <c r="AJ5" s="319" t="e">
        <f xml:space="preserve"> ROUNDDOWN(P5/5,0)</f>
        <v>#REF!</v>
      </c>
      <c r="AK5" s="320"/>
      <c r="AV5" s="60" t="s">
        <v>39</v>
      </c>
    </row>
    <row r="6" spans="1:63" ht="15" customHeight="1" thickTop="1" thickBot="1">
      <c r="B6" s="22" t="s">
        <v>13</v>
      </c>
      <c r="C6" s="202" t="s">
        <v>24</v>
      </c>
      <c r="D6" s="203"/>
      <c r="E6" s="203"/>
      <c r="F6" s="101" t="s">
        <v>40</v>
      </c>
      <c r="G6" s="6" t="s">
        <v>42</v>
      </c>
      <c r="J6" s="211"/>
      <c r="K6" s="212"/>
      <c r="L6" s="298"/>
      <c r="M6" s="299"/>
      <c r="N6" s="299"/>
      <c r="O6" s="299"/>
      <c r="P6" s="330"/>
      <c r="Q6" s="331"/>
      <c r="R6" s="331"/>
      <c r="S6" s="332"/>
      <c r="T6" s="336"/>
      <c r="U6" s="337"/>
      <c r="V6" s="337"/>
      <c r="W6" s="338"/>
      <c r="X6" s="316"/>
      <c r="Y6" s="317"/>
      <c r="Z6" s="317"/>
      <c r="AA6" s="318"/>
      <c r="AB6" s="286"/>
      <c r="AC6" s="287"/>
      <c r="AD6" s="287"/>
      <c r="AE6" s="288"/>
      <c r="AF6" s="292"/>
      <c r="AG6" s="293"/>
      <c r="AH6" s="293"/>
      <c r="AI6" s="294"/>
      <c r="AJ6" s="321"/>
      <c r="AK6" s="322"/>
      <c r="AV6" s="60" t="s">
        <v>13</v>
      </c>
    </row>
    <row r="7" spans="1:63" ht="15" customHeight="1" thickTop="1" thickBot="1">
      <c r="C7" s="64"/>
      <c r="D7" s="65"/>
      <c r="E7" s="64"/>
      <c r="J7" s="61"/>
      <c r="L7" s="105"/>
      <c r="M7" s="61"/>
      <c r="N7" s="61"/>
      <c r="O7" s="61"/>
      <c r="P7" s="61"/>
      <c r="Q7" s="61"/>
      <c r="R7" s="61"/>
      <c r="S7" s="61"/>
      <c r="T7" s="105"/>
      <c r="U7" s="61"/>
      <c r="V7" s="61"/>
      <c r="W7" s="61"/>
      <c r="X7" s="61"/>
      <c r="Y7" s="61"/>
      <c r="Z7" s="61"/>
      <c r="AA7" s="105"/>
      <c r="AB7" s="60"/>
      <c r="AC7" s="60"/>
      <c r="AE7" s="60"/>
      <c r="AF7" s="60"/>
      <c r="AV7" s="60" t="s">
        <v>40</v>
      </c>
    </row>
    <row r="8" spans="1:63" ht="15" customHeight="1" thickTop="1" thickBot="1">
      <c r="B8" s="23" t="s">
        <v>38</v>
      </c>
      <c r="C8" s="202" t="s">
        <v>44</v>
      </c>
      <c r="D8" s="203"/>
      <c r="E8" s="203"/>
      <c r="F8" s="103" t="s">
        <v>10</v>
      </c>
      <c r="G8" s="277" t="s">
        <v>51</v>
      </c>
      <c r="H8" s="278"/>
      <c r="J8" s="61"/>
      <c r="L8" s="204" t="s">
        <v>65</v>
      </c>
      <c r="M8" s="205"/>
      <c r="N8" s="205"/>
      <c r="O8" s="205"/>
      <c r="P8" s="241" t="s">
        <v>0</v>
      </c>
      <c r="Q8" s="242"/>
      <c r="R8" s="242"/>
      <c r="S8" s="243"/>
      <c r="T8" s="244" t="s">
        <v>53</v>
      </c>
      <c r="U8" s="245"/>
      <c r="V8" s="245"/>
      <c r="W8" s="246"/>
      <c r="AA8" s="61"/>
      <c r="AB8" s="61"/>
      <c r="AC8" s="61"/>
      <c r="AD8" s="61"/>
      <c r="AE8" s="61"/>
      <c r="AF8" s="61"/>
      <c r="AG8" s="61"/>
      <c r="AH8" s="61"/>
      <c r="AI8" s="61"/>
      <c r="AJ8" s="61"/>
      <c r="AK8" s="61"/>
      <c r="AL8" s="61"/>
      <c r="AS8" s="61"/>
      <c r="AT8" s="61"/>
      <c r="AV8" s="60" t="s">
        <v>38</v>
      </c>
    </row>
    <row r="9" spans="1:63" ht="15" customHeight="1" thickTop="1" thickBot="1">
      <c r="C9" s="64"/>
      <c r="D9" s="65"/>
      <c r="E9" s="64"/>
      <c r="F9" s="104" t="s">
        <v>7</v>
      </c>
      <c r="G9" s="279"/>
      <c r="H9" s="278"/>
      <c r="J9" s="247" t="s">
        <v>13</v>
      </c>
      <c r="K9" s="248"/>
      <c r="L9" s="295">
        <f>D57</f>
        <v>3</v>
      </c>
      <c r="M9" s="296"/>
      <c r="N9" s="296"/>
      <c r="O9" s="297"/>
      <c r="P9" s="301">
        <f xml:space="preserve"> SUM(F57,L57,T57,AB57,AJ57,AR57,D98,L98,T98,AB98,AJ98,AR98)</f>
        <v>13.5</v>
      </c>
      <c r="Q9" s="302"/>
      <c r="R9" s="302"/>
      <c r="S9" s="303"/>
      <c r="T9" s="307">
        <f xml:space="preserve"> 11+D57-P9</f>
        <v>0.5</v>
      </c>
      <c r="U9" s="308"/>
      <c r="V9" s="308"/>
      <c r="W9" s="309"/>
      <c r="AA9" s="61"/>
      <c r="AB9" s="61"/>
      <c r="AC9" s="61"/>
      <c r="AD9" s="61"/>
      <c r="AE9" s="61"/>
      <c r="AF9" s="61"/>
      <c r="AG9" s="61"/>
      <c r="AH9" s="61"/>
      <c r="AI9" s="61"/>
      <c r="AJ9" s="61"/>
      <c r="AK9" s="61"/>
      <c r="AL9" s="61"/>
      <c r="AS9" s="61"/>
      <c r="AT9" s="61"/>
      <c r="AV9" s="60" t="s">
        <v>66</v>
      </c>
    </row>
    <row r="10" spans="1:63" ht="15" customHeight="1" thickTop="1" thickBot="1">
      <c r="B10" s="24" t="s">
        <v>14</v>
      </c>
      <c r="C10" s="202" t="s">
        <v>25</v>
      </c>
      <c r="D10" s="203"/>
      <c r="E10" s="203"/>
      <c r="J10" s="249"/>
      <c r="K10" s="250"/>
      <c r="L10" s="298"/>
      <c r="M10" s="299"/>
      <c r="N10" s="299"/>
      <c r="O10" s="300"/>
      <c r="P10" s="304"/>
      <c r="Q10" s="305"/>
      <c r="R10" s="305"/>
      <c r="S10" s="306"/>
      <c r="T10" s="310"/>
      <c r="U10" s="311"/>
      <c r="V10" s="311"/>
      <c r="W10" s="312"/>
      <c r="AA10" s="116"/>
      <c r="AB10" s="61"/>
      <c r="AC10" s="61"/>
      <c r="AD10" s="61"/>
      <c r="AE10" s="61"/>
      <c r="AF10" s="61"/>
      <c r="AG10" s="61"/>
      <c r="AH10" s="61"/>
      <c r="AI10" s="61"/>
      <c r="AJ10" s="61"/>
      <c r="AK10" s="61"/>
      <c r="AL10" s="61"/>
      <c r="AM10" s="61"/>
      <c r="AN10" s="61"/>
      <c r="AS10" s="61"/>
      <c r="AT10" s="61"/>
      <c r="AV10" s="6" t="s">
        <v>67</v>
      </c>
    </row>
    <row r="11" spans="1:63" ht="15" customHeight="1" thickTop="1" thickBot="1">
      <c r="B11" s="25"/>
      <c r="C11" s="59"/>
      <c r="D11" s="65"/>
      <c r="E11" s="64"/>
      <c r="T11" s="6"/>
      <c r="AA11" s="61"/>
      <c r="AB11" s="61"/>
      <c r="AC11" s="61"/>
      <c r="AD11" s="61"/>
      <c r="AE11" s="61"/>
      <c r="AF11" s="61"/>
      <c r="AG11" s="61"/>
      <c r="AH11" s="61"/>
      <c r="AI11" s="61"/>
      <c r="AJ11" s="61"/>
      <c r="AK11" s="61"/>
      <c r="AL11" s="61"/>
      <c r="AM11" s="61"/>
      <c r="AN11" s="61"/>
      <c r="AS11" s="61"/>
      <c r="AT11" s="61"/>
      <c r="AV11" s="60" t="s">
        <v>60</v>
      </c>
    </row>
    <row r="12" spans="1:63" ht="15" customHeight="1" thickTop="1" thickBot="1">
      <c r="B12" s="4" t="s">
        <v>66</v>
      </c>
      <c r="C12" s="202" t="s">
        <v>68</v>
      </c>
      <c r="D12" s="203"/>
      <c r="E12" s="203"/>
      <c r="K12" s="6"/>
      <c r="L12" s="6"/>
      <c r="T12" s="6"/>
      <c r="AA12" s="6"/>
      <c r="AI12" s="6"/>
      <c r="AV12" s="60" t="s">
        <v>70</v>
      </c>
    </row>
    <row r="13" spans="1:63" ht="15" customHeight="1" thickTop="1" thickBot="1">
      <c r="K13" s="6"/>
      <c r="L13" s="6"/>
      <c r="T13" s="6"/>
      <c r="AA13" s="6"/>
      <c r="AI13" s="6"/>
    </row>
    <row r="14" spans="1:63" ht="14.25" customHeight="1" thickTop="1" thickBot="1">
      <c r="B14" s="109" t="s">
        <v>67</v>
      </c>
      <c r="C14" s="203" t="s">
        <v>69</v>
      </c>
      <c r="D14" s="203"/>
      <c r="E14" s="203"/>
      <c r="K14" s="6"/>
      <c r="L14" s="6"/>
      <c r="T14" s="6"/>
      <c r="AA14" s="6"/>
      <c r="AI14" s="6"/>
    </row>
    <row r="15" spans="1:63" ht="14.25" customHeight="1" thickTop="1" thickBot="1">
      <c r="A15" s="60"/>
      <c r="B15" s="60"/>
      <c r="C15" s="60"/>
      <c r="T15" s="66"/>
      <c r="U15" s="66"/>
      <c r="V15" s="66"/>
      <c r="W15" s="66"/>
      <c r="X15" s="66"/>
      <c r="Y15" s="66"/>
      <c r="Z15" s="66"/>
    </row>
    <row r="16" spans="1:63" ht="68.25" thickTop="1">
      <c r="B16" s="267" t="s">
        <v>30</v>
      </c>
      <c r="C16" s="268"/>
      <c r="D16" s="268"/>
      <c r="E16" s="268"/>
      <c r="F16" s="268"/>
      <c r="G16" s="268"/>
      <c r="H16" s="268"/>
      <c r="I16" s="268"/>
      <c r="J16" s="268"/>
      <c r="K16" s="268"/>
      <c r="L16" s="268"/>
      <c r="M16" s="268"/>
      <c r="N16" s="268"/>
      <c r="O16" s="268"/>
      <c r="P16" s="268"/>
      <c r="Q16" s="268"/>
      <c r="R16" s="268"/>
      <c r="S16" s="268"/>
      <c r="T16" s="268"/>
      <c r="U16" s="268"/>
      <c r="V16" s="268"/>
      <c r="W16" s="268"/>
      <c r="X16" s="268"/>
      <c r="Y16" s="268"/>
      <c r="Z16" s="268"/>
      <c r="AA16" s="268"/>
      <c r="AB16" s="268"/>
      <c r="AC16" s="268"/>
      <c r="AD16" s="268"/>
      <c r="AE16" s="268"/>
      <c r="AF16" s="268"/>
      <c r="AG16" s="268"/>
      <c r="AH16" s="268"/>
      <c r="AI16" s="268"/>
      <c r="AJ16" s="268"/>
      <c r="AK16" s="268"/>
      <c r="AL16" s="268"/>
      <c r="AM16" s="268"/>
      <c r="AN16" s="268"/>
      <c r="AO16" s="268"/>
      <c r="AP16" s="268"/>
      <c r="AQ16" s="268"/>
      <c r="AR16" s="268"/>
      <c r="AS16" s="268"/>
      <c r="AT16" s="268"/>
      <c r="AU16" s="268"/>
      <c r="AV16" s="269"/>
      <c r="AW16" s="1"/>
      <c r="AX16" s="1"/>
      <c r="AY16" s="1"/>
      <c r="AZ16" s="1"/>
      <c r="BA16" s="1"/>
      <c r="BB16" s="1"/>
      <c r="BC16" s="1"/>
      <c r="BD16" s="1"/>
      <c r="BE16" s="1"/>
      <c r="BF16" s="1"/>
      <c r="BG16" s="1"/>
      <c r="BH16" s="1"/>
      <c r="BI16" s="1"/>
      <c r="BJ16" s="1"/>
      <c r="BK16" s="1"/>
    </row>
    <row r="17" spans="2:73" ht="12.75" customHeight="1" thickBot="1">
      <c r="B17" s="270"/>
      <c r="C17" s="271"/>
      <c r="D17" s="271"/>
      <c r="E17" s="271"/>
      <c r="F17" s="271"/>
      <c r="G17" s="271"/>
      <c r="H17" s="271"/>
      <c r="I17" s="271"/>
      <c r="J17" s="271"/>
      <c r="K17" s="271"/>
      <c r="L17" s="271"/>
      <c r="M17" s="271"/>
      <c r="N17" s="271"/>
      <c r="O17" s="271"/>
      <c r="P17" s="271"/>
      <c r="Q17" s="271"/>
      <c r="R17" s="271"/>
      <c r="S17" s="271"/>
      <c r="T17" s="271"/>
      <c r="U17" s="271"/>
      <c r="V17" s="271"/>
      <c r="W17" s="271"/>
      <c r="X17" s="271"/>
      <c r="Y17" s="271"/>
      <c r="Z17" s="271"/>
      <c r="AA17" s="271"/>
      <c r="AB17" s="271"/>
      <c r="AC17" s="271"/>
      <c r="AD17" s="271"/>
      <c r="AE17" s="271"/>
      <c r="AF17" s="271"/>
      <c r="AG17" s="271"/>
      <c r="AH17" s="271"/>
      <c r="AI17" s="271"/>
      <c r="AJ17" s="271"/>
      <c r="AK17" s="271"/>
      <c r="AL17" s="271"/>
      <c r="AM17" s="271"/>
      <c r="AN17" s="271"/>
      <c r="AO17" s="271"/>
      <c r="AP17" s="271"/>
      <c r="AQ17" s="271"/>
      <c r="AR17" s="271"/>
      <c r="AS17" s="271"/>
      <c r="AT17" s="271"/>
      <c r="AU17" s="271"/>
      <c r="AV17" s="272"/>
      <c r="AY17" s="60"/>
      <c r="BE17" s="60"/>
      <c r="BF17" s="60"/>
      <c r="BK17" s="60"/>
      <c r="BP17" s="7"/>
      <c r="BQ17" s="7"/>
      <c r="BR17" s="7"/>
      <c r="BS17" s="7"/>
      <c r="BT17" s="7"/>
      <c r="BU17" s="7"/>
    </row>
    <row r="18" spans="2:73" ht="12.75" customHeight="1" thickTop="1">
      <c r="B18" s="45"/>
      <c r="C18" s="2"/>
      <c r="D18" s="2"/>
      <c r="E18" s="2"/>
      <c r="F18" s="2"/>
      <c r="G18" s="2"/>
      <c r="H18" s="2"/>
      <c r="I18" s="2"/>
      <c r="J18" s="2"/>
      <c r="K18" s="31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42"/>
      <c r="AB18" s="2"/>
      <c r="AC18" s="2"/>
      <c r="AD18" s="2"/>
      <c r="AE18" s="2"/>
      <c r="AF18" s="2"/>
      <c r="AG18" s="2"/>
      <c r="AH18" s="2"/>
      <c r="AI18" s="42"/>
      <c r="AJ18" s="2"/>
      <c r="AK18" s="2"/>
      <c r="AL18" s="2"/>
      <c r="AM18" s="2"/>
      <c r="AN18" s="2"/>
      <c r="AO18" s="2"/>
      <c r="AP18" s="2"/>
      <c r="AQ18" s="2"/>
      <c r="AR18" s="2"/>
      <c r="AS18" s="2"/>
      <c r="AT18" s="2"/>
      <c r="AU18" s="2"/>
      <c r="AV18" s="2"/>
      <c r="AY18" s="60"/>
      <c r="BE18" s="60"/>
      <c r="BF18" s="60"/>
      <c r="BK18" s="60"/>
      <c r="BP18" s="7"/>
      <c r="BQ18" s="7"/>
      <c r="BR18" s="7"/>
      <c r="BS18" s="7"/>
      <c r="BT18" s="7"/>
      <c r="BU18" s="7"/>
    </row>
    <row r="19" spans="2:73" s="7" customFormat="1" ht="5.25" customHeight="1">
      <c r="K19" s="67"/>
      <c r="U19" s="3"/>
      <c r="V19" s="3"/>
      <c r="W19" s="3"/>
      <c r="AA19" s="8"/>
      <c r="AI19" s="8"/>
    </row>
    <row r="20" spans="2:73" s="3" customFormat="1" ht="30.75" customHeight="1">
      <c r="B20" s="275" t="s">
        <v>1</v>
      </c>
      <c r="C20" s="276"/>
      <c r="D20" s="276"/>
      <c r="E20" s="276"/>
      <c r="F20" s="276"/>
      <c r="G20" s="276"/>
      <c r="H20" s="276"/>
      <c r="I20" s="20"/>
      <c r="J20" s="265" t="s">
        <v>2</v>
      </c>
      <c r="K20" s="266"/>
      <c r="L20" s="266"/>
      <c r="M20" s="266"/>
      <c r="N20" s="266"/>
      <c r="O20" s="266"/>
      <c r="P20" s="266"/>
      <c r="Q20" s="20"/>
      <c r="R20" s="265" t="s">
        <v>3</v>
      </c>
      <c r="S20" s="266"/>
      <c r="T20" s="266"/>
      <c r="U20" s="266"/>
      <c r="V20" s="266"/>
      <c r="W20" s="266"/>
      <c r="X20" s="266"/>
      <c r="Y20" s="20"/>
      <c r="Z20" s="265" t="s">
        <v>4</v>
      </c>
      <c r="AA20" s="266"/>
      <c r="AB20" s="266"/>
      <c r="AC20" s="266"/>
      <c r="AD20" s="266"/>
      <c r="AE20" s="266"/>
      <c r="AF20" s="266"/>
      <c r="AG20" s="20"/>
      <c r="AH20" s="265" t="s">
        <v>5</v>
      </c>
      <c r="AI20" s="266"/>
      <c r="AJ20" s="266"/>
      <c r="AK20" s="266"/>
      <c r="AL20" s="266"/>
      <c r="AM20" s="266"/>
      <c r="AN20" s="266"/>
      <c r="AO20" s="20"/>
      <c r="AP20" s="265" t="s">
        <v>6</v>
      </c>
      <c r="AQ20" s="266"/>
      <c r="AR20" s="266"/>
      <c r="AS20" s="266"/>
      <c r="AT20" s="266"/>
      <c r="AU20" s="266"/>
      <c r="AV20" s="266"/>
    </row>
    <row r="21" spans="2:73" s="28" customFormat="1" ht="12" customHeight="1">
      <c r="B21" s="145"/>
      <c r="C21" s="34"/>
      <c r="D21" s="34"/>
      <c r="E21" s="34"/>
      <c r="F21" s="34"/>
      <c r="G21" s="34"/>
      <c r="H21" s="34"/>
      <c r="I21" s="34"/>
      <c r="J21" s="34"/>
      <c r="K21" s="34"/>
      <c r="L21" s="34"/>
      <c r="M21" s="34"/>
      <c r="N21" s="34"/>
      <c r="O21" s="34"/>
      <c r="P21" s="34"/>
      <c r="Q21" s="34"/>
      <c r="R21" s="34"/>
      <c r="S21" s="34"/>
      <c r="T21" s="34"/>
      <c r="U21" s="34"/>
      <c r="V21" s="34"/>
      <c r="W21" s="34"/>
      <c r="X21" s="34"/>
      <c r="Y21" s="34"/>
      <c r="Z21" s="34"/>
      <c r="AA21" s="34"/>
      <c r="AB21" s="34"/>
      <c r="AC21" s="34"/>
      <c r="AD21" s="34"/>
      <c r="AE21" s="34"/>
      <c r="AF21" s="34"/>
      <c r="AG21" s="34"/>
      <c r="AH21" s="34"/>
      <c r="AI21" s="34"/>
      <c r="AJ21" s="34"/>
      <c r="AK21" s="34"/>
      <c r="AL21" s="34"/>
      <c r="AM21" s="34"/>
      <c r="AN21" s="34"/>
      <c r="AO21" s="34"/>
      <c r="AP21" s="34"/>
      <c r="AQ21" s="34"/>
      <c r="AR21" s="34"/>
      <c r="AS21" s="34"/>
      <c r="AT21" s="34"/>
      <c r="AU21" s="34"/>
      <c r="AV21" s="34"/>
    </row>
    <row r="22" spans="2:73" s="28" customFormat="1" ht="12" customHeight="1">
      <c r="B22" s="139">
        <f>DATE(D54+1,1,1)</f>
        <v>43466</v>
      </c>
      <c r="C22" s="146">
        <v>1</v>
      </c>
      <c r="D22" s="147"/>
      <c r="E22" s="146"/>
      <c r="F22" s="146"/>
      <c r="G22" s="146"/>
      <c r="H22" s="146"/>
      <c r="I22" s="34"/>
      <c r="J22" s="139">
        <f>DATE(D54+1,2,1)</f>
        <v>43497</v>
      </c>
      <c r="K22" s="146">
        <v>1</v>
      </c>
      <c r="L22" s="113"/>
      <c r="M22" s="113"/>
      <c r="N22" s="113"/>
      <c r="O22" s="113"/>
      <c r="P22" s="113"/>
      <c r="Q22" s="34"/>
      <c r="R22" s="139">
        <f>DATE(D54+1,3,1)</f>
        <v>43525</v>
      </c>
      <c r="S22" s="146">
        <v>1</v>
      </c>
      <c r="T22" s="132" t="s">
        <v>67</v>
      </c>
      <c r="U22" s="113"/>
      <c r="V22" s="113"/>
      <c r="W22" s="113"/>
      <c r="X22" s="113"/>
      <c r="Y22" s="34"/>
      <c r="Z22" s="139">
        <f>DATE(D54+1,4,1)</f>
        <v>43556</v>
      </c>
      <c r="AA22" s="146">
        <v>1</v>
      </c>
      <c r="AB22" s="113"/>
      <c r="AC22" s="113"/>
      <c r="AD22" s="113"/>
      <c r="AE22" s="113"/>
      <c r="AF22" s="113"/>
      <c r="AG22" s="34"/>
      <c r="AH22" s="139">
        <f>DATE(D54+1,5,1)</f>
        <v>43586</v>
      </c>
      <c r="AI22" s="146">
        <v>1</v>
      </c>
      <c r="AJ22" s="146"/>
      <c r="AK22" s="146"/>
      <c r="AL22" s="146"/>
      <c r="AM22" s="146"/>
      <c r="AN22" s="146"/>
      <c r="AO22" s="34"/>
      <c r="AP22" s="149">
        <f>DATE(D54+1,6,1)</f>
        <v>43617</v>
      </c>
      <c r="AQ22" s="123">
        <v>1</v>
      </c>
      <c r="AR22" s="123"/>
      <c r="AS22" s="122" t="s">
        <v>38</v>
      </c>
      <c r="AT22" s="123"/>
      <c r="AU22" s="123"/>
      <c r="AV22" s="123"/>
    </row>
    <row r="23" spans="2:73" s="28" customFormat="1" ht="12" customHeight="1">
      <c r="B23" s="139">
        <f>DATE(D54+1,1,2)</f>
        <v>43467</v>
      </c>
      <c r="C23" s="146">
        <v>2</v>
      </c>
      <c r="D23" s="119" t="s">
        <v>13</v>
      </c>
      <c r="E23" s="113"/>
      <c r="F23" s="113"/>
      <c r="G23" s="113"/>
      <c r="H23" s="113"/>
      <c r="I23" s="34"/>
      <c r="J23" s="149">
        <f>DATE(D54+1,2,2)</f>
        <v>43498</v>
      </c>
      <c r="K23" s="123">
        <v>2</v>
      </c>
      <c r="L23" s="123"/>
      <c r="M23" s="123"/>
      <c r="N23" s="123"/>
      <c r="O23" s="123"/>
      <c r="P23" s="123"/>
      <c r="Q23" s="34"/>
      <c r="R23" s="140">
        <f>DATE(D54+1,3,2)</f>
        <v>43526</v>
      </c>
      <c r="S23" s="123">
        <v>2</v>
      </c>
      <c r="T23" s="132" t="s">
        <v>67</v>
      </c>
      <c r="U23" s="123"/>
      <c r="V23" s="123"/>
      <c r="W23" s="123"/>
      <c r="X23" s="123"/>
      <c r="Y23" s="34"/>
      <c r="Z23" s="151">
        <f>DATE(D54+1,4,2)</f>
        <v>43557</v>
      </c>
      <c r="AA23" s="146">
        <v>2</v>
      </c>
      <c r="AB23" s="113"/>
      <c r="AC23" s="113"/>
      <c r="AD23" s="113"/>
      <c r="AE23" s="113"/>
      <c r="AF23" s="113"/>
      <c r="AG23" s="34"/>
      <c r="AH23" s="151">
        <f>DATE(D54+1,5,2)</f>
        <v>43587</v>
      </c>
      <c r="AI23" s="146">
        <v>2</v>
      </c>
      <c r="AJ23" s="113"/>
      <c r="AK23" s="113"/>
      <c r="AL23" s="113"/>
      <c r="AM23" s="113"/>
      <c r="AN23" s="113"/>
      <c r="AO23" s="34"/>
      <c r="AP23" s="140">
        <f>DATE(D54+1,6,2)</f>
        <v>43618</v>
      </c>
      <c r="AQ23" s="123">
        <v>2</v>
      </c>
      <c r="AR23" s="123"/>
      <c r="AS23" s="124" t="s">
        <v>38</v>
      </c>
      <c r="AT23" s="123"/>
      <c r="AU23" s="123"/>
      <c r="AV23" s="123"/>
    </row>
    <row r="24" spans="2:73" s="28" customFormat="1" ht="12" customHeight="1">
      <c r="B24" s="139">
        <f>DATE(D54+1,1,3)</f>
        <v>43468</v>
      </c>
      <c r="C24" s="146">
        <v>3</v>
      </c>
      <c r="D24" s="120" t="s">
        <v>13</v>
      </c>
      <c r="E24" s="112"/>
      <c r="F24" s="113"/>
      <c r="G24" s="113"/>
      <c r="H24" s="113"/>
      <c r="I24" s="34"/>
      <c r="J24" s="149">
        <f>DATE(D54+1,2,3)</f>
        <v>43499</v>
      </c>
      <c r="K24" s="123">
        <v>3</v>
      </c>
      <c r="L24" s="123"/>
      <c r="M24" s="123"/>
      <c r="N24" s="123"/>
      <c r="O24" s="123"/>
      <c r="P24" s="123"/>
      <c r="Q24" s="34"/>
      <c r="R24" s="140">
        <f>DATE(D54+1,3,3)</f>
        <v>43527</v>
      </c>
      <c r="S24" s="123">
        <v>3</v>
      </c>
      <c r="T24" s="129" t="s">
        <v>67</v>
      </c>
      <c r="U24" s="123"/>
      <c r="V24" s="123"/>
      <c r="W24" s="123"/>
      <c r="X24" s="123"/>
      <c r="Y24" s="34"/>
      <c r="Z24" s="151">
        <f>DATE(D54+1,4,3)</f>
        <v>43558</v>
      </c>
      <c r="AA24" s="146">
        <v>3</v>
      </c>
      <c r="AB24" s="113"/>
      <c r="AC24" s="113"/>
      <c r="AD24" s="113"/>
      <c r="AE24" s="113"/>
      <c r="AF24" s="113"/>
      <c r="AG24" s="34"/>
      <c r="AH24" s="151">
        <f>DATE(D54+1,5,3)</f>
        <v>43588</v>
      </c>
      <c r="AI24" s="146">
        <v>3</v>
      </c>
      <c r="AJ24" s="113"/>
      <c r="AK24" s="113"/>
      <c r="AL24" s="113"/>
      <c r="AM24" s="113"/>
      <c r="AN24" s="113"/>
      <c r="AO24" s="34"/>
      <c r="AP24" s="151">
        <f>DATE(D54+1,6,3)</f>
        <v>43619</v>
      </c>
      <c r="AQ24" s="146">
        <v>3</v>
      </c>
      <c r="AR24" s="113"/>
      <c r="AS24" s="126"/>
      <c r="AT24" s="113"/>
      <c r="AU24" s="113"/>
      <c r="AV24" s="113"/>
    </row>
    <row r="25" spans="2:73" s="28" customFormat="1" ht="12" customHeight="1">
      <c r="B25" s="139">
        <f>DATE(D54+1,1,4)</f>
        <v>43469</v>
      </c>
      <c r="C25" s="146">
        <v>4</v>
      </c>
      <c r="D25" s="126"/>
      <c r="E25" s="126"/>
      <c r="F25" s="112"/>
      <c r="G25" s="112"/>
      <c r="H25" s="112"/>
      <c r="I25" s="34"/>
      <c r="J25" s="139">
        <f>DATE(D54+1,2,4)</f>
        <v>43500</v>
      </c>
      <c r="K25" s="146">
        <v>4</v>
      </c>
      <c r="L25" s="113"/>
      <c r="M25" s="113"/>
      <c r="N25" s="113"/>
      <c r="O25" s="113"/>
      <c r="P25" s="113"/>
      <c r="Q25" s="34"/>
      <c r="R25" s="151">
        <f>DATE(D54+1,3,4)</f>
        <v>43528</v>
      </c>
      <c r="S25" s="146">
        <v>4</v>
      </c>
      <c r="T25" s="126"/>
      <c r="U25" s="113"/>
      <c r="V25" s="113"/>
      <c r="W25" s="113"/>
      <c r="X25" s="113"/>
      <c r="Y25" s="34"/>
      <c r="Z25" s="151">
        <f>DATE(D54+1,4,4)</f>
        <v>43559</v>
      </c>
      <c r="AA25" s="146">
        <v>4</v>
      </c>
      <c r="AB25" s="113"/>
      <c r="AC25" s="113"/>
      <c r="AD25" s="113"/>
      <c r="AE25" s="113"/>
      <c r="AF25" s="113"/>
      <c r="AG25" s="34"/>
      <c r="AH25" s="140">
        <f>DATE(D54+1,5,4)</f>
        <v>43589</v>
      </c>
      <c r="AI25" s="123">
        <v>4</v>
      </c>
      <c r="AJ25" s="123"/>
      <c r="AK25" s="123"/>
      <c r="AL25" s="123"/>
      <c r="AM25" s="123"/>
      <c r="AN25" s="123"/>
      <c r="AO25" s="34"/>
      <c r="AP25" s="151">
        <f>DATE(D54+1,6,4)</f>
        <v>43620</v>
      </c>
      <c r="AQ25" s="146">
        <v>4</v>
      </c>
      <c r="AR25" s="113"/>
      <c r="AS25" s="113"/>
      <c r="AT25" s="113"/>
      <c r="AU25" s="113"/>
      <c r="AV25" s="113"/>
    </row>
    <row r="26" spans="2:73" s="28" customFormat="1" ht="12" customHeight="1">
      <c r="B26" s="140">
        <f>DATE(D54+1,1,5)</f>
        <v>43470</v>
      </c>
      <c r="C26" s="123">
        <v>5</v>
      </c>
      <c r="D26" s="123"/>
      <c r="E26" s="123"/>
      <c r="F26" s="143"/>
      <c r="G26" s="138"/>
      <c r="H26" s="143"/>
      <c r="I26" s="34"/>
      <c r="J26" s="139">
        <f>DATE(D54+1,2,5)</f>
        <v>43501</v>
      </c>
      <c r="K26" s="146">
        <v>5</v>
      </c>
      <c r="L26" s="113"/>
      <c r="M26" s="113"/>
      <c r="N26" s="113"/>
      <c r="O26" s="113"/>
      <c r="P26" s="128"/>
      <c r="Q26" s="34"/>
      <c r="R26" s="151">
        <f>DATE(D54+1,3,5)</f>
        <v>43529</v>
      </c>
      <c r="S26" s="146">
        <v>5</v>
      </c>
      <c r="T26" s="113"/>
      <c r="U26" s="113"/>
      <c r="V26" s="112"/>
      <c r="W26" s="113"/>
      <c r="X26" s="113"/>
      <c r="Y26" s="34"/>
      <c r="Z26" s="151">
        <f>DATE(D54+1,4,5)</f>
        <v>43560</v>
      </c>
      <c r="AA26" s="146">
        <v>5</v>
      </c>
      <c r="AB26" s="113"/>
      <c r="AC26" s="113"/>
      <c r="AD26" s="113"/>
      <c r="AE26" s="113"/>
      <c r="AF26" s="113"/>
      <c r="AG26" s="34"/>
      <c r="AH26" s="140">
        <f>DATE(D54+1,5,5)</f>
        <v>43590</v>
      </c>
      <c r="AI26" s="123">
        <v>5</v>
      </c>
      <c r="AJ26" s="123"/>
      <c r="AK26" s="123"/>
      <c r="AL26" s="123"/>
      <c r="AM26" s="123"/>
      <c r="AN26" s="123"/>
      <c r="AO26" s="34"/>
      <c r="AP26" s="151">
        <f>DATE(D54+1,6,5)</f>
        <v>43621</v>
      </c>
      <c r="AQ26" s="146">
        <v>5</v>
      </c>
      <c r="AR26" s="113"/>
      <c r="AS26" s="113"/>
      <c r="AT26" s="113"/>
      <c r="AU26" s="113"/>
      <c r="AV26" s="113"/>
    </row>
    <row r="27" spans="2:73" s="28" customFormat="1" ht="12" customHeight="1">
      <c r="B27" s="140">
        <f>DATE(D54+1,1,6)</f>
        <v>43471</v>
      </c>
      <c r="C27" s="123">
        <v>6</v>
      </c>
      <c r="D27" s="123"/>
      <c r="E27" s="123"/>
      <c r="F27" s="123"/>
      <c r="G27" s="137"/>
      <c r="H27" s="123"/>
      <c r="I27" s="34"/>
      <c r="J27" s="139">
        <f>DATE(D54+1,2,6)</f>
        <v>43502</v>
      </c>
      <c r="K27" s="146">
        <v>6</v>
      </c>
      <c r="L27" s="113"/>
      <c r="M27" s="112"/>
      <c r="N27" s="113"/>
      <c r="O27" s="134"/>
      <c r="P27" s="126"/>
      <c r="Q27" s="34"/>
      <c r="R27" s="151">
        <f>DATE(D54+1,3,6)</f>
        <v>43530</v>
      </c>
      <c r="S27" s="146">
        <v>6</v>
      </c>
      <c r="T27" s="113"/>
      <c r="U27" s="113"/>
      <c r="V27" s="126"/>
      <c r="W27" s="113"/>
      <c r="X27" s="113"/>
      <c r="Y27" s="34"/>
      <c r="Z27" s="140">
        <f>DATE(D54+1,4,6)</f>
        <v>43561</v>
      </c>
      <c r="AA27" s="123">
        <v>6</v>
      </c>
      <c r="AB27" s="123"/>
      <c r="AC27" s="123"/>
      <c r="AD27" s="123"/>
      <c r="AE27" s="123"/>
      <c r="AF27" s="123"/>
      <c r="AG27" s="34"/>
      <c r="AH27" s="151">
        <f>DATE(D54+1,5,6)</f>
        <v>43591</v>
      </c>
      <c r="AI27" s="146">
        <v>6</v>
      </c>
      <c r="AJ27" s="113"/>
      <c r="AK27" s="113"/>
      <c r="AL27" s="113"/>
      <c r="AM27" s="113"/>
      <c r="AN27" s="113"/>
      <c r="AO27" s="34"/>
      <c r="AP27" s="151">
        <f>DATE(D54+1,6,6)</f>
        <v>43622</v>
      </c>
      <c r="AQ27" s="146">
        <v>6</v>
      </c>
      <c r="AR27" s="113"/>
      <c r="AS27" s="113"/>
      <c r="AT27" s="113"/>
      <c r="AU27" s="113"/>
      <c r="AV27" s="113"/>
    </row>
    <row r="28" spans="2:73" s="28" customFormat="1" ht="12" customHeight="1">
      <c r="B28" s="139">
        <f>DATE(D54+1,1,7)</f>
        <v>43472</v>
      </c>
      <c r="C28" s="146">
        <v>7</v>
      </c>
      <c r="D28" s="113"/>
      <c r="E28" s="113"/>
      <c r="F28" s="113"/>
      <c r="G28" s="113"/>
      <c r="H28" s="113"/>
      <c r="I28" s="34"/>
      <c r="J28" s="139">
        <f>DATE(D54+1,2,7)</f>
        <v>43503</v>
      </c>
      <c r="K28" s="146">
        <v>7</v>
      </c>
      <c r="L28" s="113"/>
      <c r="M28" s="126"/>
      <c r="N28" s="113"/>
      <c r="O28" s="126"/>
      <c r="P28" s="113"/>
      <c r="Q28" s="34"/>
      <c r="R28" s="151">
        <f>DATE(D54+1,3,7)</f>
        <v>43531</v>
      </c>
      <c r="S28" s="146">
        <v>7</v>
      </c>
      <c r="T28" s="113"/>
      <c r="U28" s="113"/>
      <c r="V28" s="113"/>
      <c r="W28" s="113"/>
      <c r="X28" s="113"/>
      <c r="Y28" s="34"/>
      <c r="Z28" s="140">
        <f>DATE(D54+1,4,7)</f>
        <v>43562</v>
      </c>
      <c r="AA28" s="123">
        <v>7</v>
      </c>
      <c r="AB28" s="123"/>
      <c r="AC28" s="123"/>
      <c r="AD28" s="123"/>
      <c r="AE28" s="123"/>
      <c r="AF28" s="123"/>
      <c r="AG28" s="34"/>
      <c r="AH28" s="151">
        <f>DATE(D54+1,5,7)</f>
        <v>43592</v>
      </c>
      <c r="AI28" s="146">
        <v>7</v>
      </c>
      <c r="AJ28" s="113"/>
      <c r="AK28" s="113"/>
      <c r="AL28" s="113"/>
      <c r="AM28" s="113"/>
      <c r="AN28" s="113"/>
      <c r="AO28" s="34"/>
      <c r="AP28" s="151">
        <f>DATE(D54+1,6,7)</f>
        <v>43623</v>
      </c>
      <c r="AQ28" s="146">
        <v>7</v>
      </c>
      <c r="AR28" s="133" t="s">
        <v>60</v>
      </c>
      <c r="AS28" s="120" t="s">
        <v>13</v>
      </c>
      <c r="AT28" s="113"/>
      <c r="AU28" s="113"/>
      <c r="AV28" s="113"/>
    </row>
    <row r="29" spans="2:73" s="28" customFormat="1" ht="12" customHeight="1">
      <c r="B29" s="139">
        <f>DATE(D54+1,1,8)</f>
        <v>43473</v>
      </c>
      <c r="C29" s="146">
        <v>8</v>
      </c>
      <c r="D29" s="148"/>
      <c r="E29" s="128"/>
      <c r="F29" s="114"/>
      <c r="G29" s="113"/>
      <c r="H29" s="113"/>
      <c r="I29" s="34"/>
      <c r="J29" s="139">
        <f>DATE(D54+1,2,8)</f>
        <v>43504</v>
      </c>
      <c r="K29" s="146">
        <v>8</v>
      </c>
      <c r="L29" s="113"/>
      <c r="M29" s="113"/>
      <c r="N29" s="113"/>
      <c r="O29" s="113"/>
      <c r="P29" s="113"/>
      <c r="Q29" s="34"/>
      <c r="R29" s="151">
        <f>DATE(D54+1,3,8)</f>
        <v>43532</v>
      </c>
      <c r="S29" s="146">
        <v>8</v>
      </c>
      <c r="T29" s="113"/>
      <c r="U29" s="113"/>
      <c r="V29" s="113"/>
      <c r="W29" s="113"/>
      <c r="X29" s="113"/>
      <c r="Y29" s="34"/>
      <c r="Z29" s="151">
        <f>DATE(D54+1,4,8)</f>
        <v>43563</v>
      </c>
      <c r="AA29" s="146">
        <v>8</v>
      </c>
      <c r="AB29" s="113"/>
      <c r="AC29" s="113"/>
      <c r="AD29" s="113"/>
      <c r="AE29" s="113"/>
      <c r="AF29" s="113"/>
      <c r="AG29" s="34"/>
      <c r="AH29" s="151">
        <f>DATE(D54+1,5,8)</f>
        <v>43593</v>
      </c>
      <c r="AI29" s="146">
        <v>8</v>
      </c>
      <c r="AJ29" s="146"/>
      <c r="AK29" s="146"/>
      <c r="AL29" s="146"/>
      <c r="AM29" s="146"/>
      <c r="AN29" s="146"/>
      <c r="AO29" s="34"/>
      <c r="AP29" s="140">
        <f>DATE(D54+1,6,8)</f>
        <v>43624</v>
      </c>
      <c r="AQ29" s="123">
        <v>8</v>
      </c>
      <c r="AR29" s="143"/>
      <c r="AS29" s="143"/>
      <c r="AT29" s="123"/>
      <c r="AU29" s="123"/>
      <c r="AV29" s="123"/>
    </row>
    <row r="30" spans="2:73" s="28" customFormat="1" ht="12" customHeight="1">
      <c r="B30" s="139">
        <f>DATE(D54+1,1,9)</f>
        <v>43474</v>
      </c>
      <c r="C30" s="146">
        <v>9</v>
      </c>
      <c r="D30" s="113"/>
      <c r="E30" s="126"/>
      <c r="F30" s="113"/>
      <c r="G30" s="112"/>
      <c r="H30" s="113"/>
      <c r="I30" s="34"/>
      <c r="J30" s="149">
        <f>DATE(D54+1,2,9)</f>
        <v>43505</v>
      </c>
      <c r="K30" s="123">
        <v>9</v>
      </c>
      <c r="L30" s="123"/>
      <c r="M30" s="123"/>
      <c r="N30" s="123"/>
      <c r="O30" s="123"/>
      <c r="P30" s="123"/>
      <c r="Q30" s="34"/>
      <c r="R30" s="140">
        <f>DATE(D54+1,3,9)</f>
        <v>43533</v>
      </c>
      <c r="S30" s="123">
        <v>9</v>
      </c>
      <c r="T30" s="123"/>
      <c r="U30" s="123"/>
      <c r="V30" s="123"/>
      <c r="W30" s="123"/>
      <c r="X30" s="123"/>
      <c r="Y30" s="34"/>
      <c r="Z30" s="151">
        <f>DATE(D54+1,4,9)</f>
        <v>43564</v>
      </c>
      <c r="AA30" s="146">
        <v>9</v>
      </c>
      <c r="AB30" s="113"/>
      <c r="AC30" s="113"/>
      <c r="AD30" s="113"/>
      <c r="AE30" s="113"/>
      <c r="AF30" s="113"/>
      <c r="AG30" s="34"/>
      <c r="AH30" s="151">
        <f>DATE(D54+1,5,9)</f>
        <v>43594</v>
      </c>
      <c r="AI30" s="146">
        <v>9</v>
      </c>
      <c r="AJ30" s="113"/>
      <c r="AK30" s="113"/>
      <c r="AL30" s="113"/>
      <c r="AM30" s="113"/>
      <c r="AN30" s="113"/>
      <c r="AO30" s="34"/>
      <c r="AP30" s="140">
        <f>DATE(D54+1,6,9)</f>
        <v>43625</v>
      </c>
      <c r="AQ30" s="123">
        <v>9</v>
      </c>
      <c r="AR30" s="123"/>
      <c r="AS30" s="137"/>
      <c r="AT30" s="137"/>
      <c r="AU30" s="123"/>
      <c r="AV30" s="123"/>
    </row>
    <row r="31" spans="2:73" s="28" customFormat="1" ht="12" customHeight="1">
      <c r="B31" s="139">
        <f>DATE(D54+1,1,10)</f>
        <v>43475</v>
      </c>
      <c r="C31" s="146">
        <v>10</v>
      </c>
      <c r="D31" s="113"/>
      <c r="E31" s="118"/>
      <c r="F31" s="113"/>
      <c r="G31" s="126"/>
      <c r="H31" s="113"/>
      <c r="I31" s="34"/>
      <c r="J31" s="149">
        <f>DATE(D54+1,2,10)</f>
        <v>43506</v>
      </c>
      <c r="K31" s="123">
        <v>10</v>
      </c>
      <c r="L31" s="123"/>
      <c r="M31" s="123"/>
      <c r="N31" s="123"/>
      <c r="O31" s="123"/>
      <c r="P31" s="123"/>
      <c r="Q31" s="34"/>
      <c r="R31" s="140">
        <f>DATE(D54+1,3,10)</f>
        <v>43534</v>
      </c>
      <c r="S31" s="123">
        <v>10</v>
      </c>
      <c r="T31" s="123"/>
      <c r="U31" s="123"/>
      <c r="V31" s="123"/>
      <c r="W31" s="123"/>
      <c r="X31" s="123"/>
      <c r="Y31" s="34"/>
      <c r="Z31" s="151">
        <f>DATE(D54+1,4,10)</f>
        <v>43565</v>
      </c>
      <c r="AA31" s="146">
        <v>10</v>
      </c>
      <c r="AB31" s="113"/>
      <c r="AC31" s="113"/>
      <c r="AD31" s="113"/>
      <c r="AE31" s="113"/>
      <c r="AF31" s="113"/>
      <c r="AG31" s="34"/>
      <c r="AH31" s="151">
        <f>DATE(D54+1,5,10)</f>
        <v>43595</v>
      </c>
      <c r="AI31" s="146">
        <v>10</v>
      </c>
      <c r="AJ31" s="113"/>
      <c r="AK31" s="113"/>
      <c r="AL31" s="113"/>
      <c r="AM31" s="113"/>
      <c r="AN31" s="113"/>
      <c r="AO31" s="34"/>
      <c r="AP31" s="151">
        <f>DATE(D54+1,6,10)</f>
        <v>43626</v>
      </c>
      <c r="AQ31" s="146">
        <v>10</v>
      </c>
      <c r="AR31" s="113"/>
      <c r="AS31" s="135" t="s">
        <v>40</v>
      </c>
      <c r="AT31" s="136" t="s">
        <v>39</v>
      </c>
      <c r="AU31" s="113"/>
      <c r="AV31" s="113"/>
    </row>
    <row r="32" spans="2:73" s="28" customFormat="1" ht="12" customHeight="1">
      <c r="B32" s="139">
        <f>DATE(D54+1,1,11)</f>
        <v>43476</v>
      </c>
      <c r="C32" s="146">
        <v>11</v>
      </c>
      <c r="D32" s="113"/>
      <c r="E32" s="113"/>
      <c r="F32" s="113"/>
      <c r="G32" s="113"/>
      <c r="H32" s="113"/>
      <c r="I32" s="34"/>
      <c r="J32" s="139">
        <f>DATE(D54+1,2,11)</f>
        <v>43507</v>
      </c>
      <c r="K32" s="146">
        <v>11</v>
      </c>
      <c r="L32" s="113"/>
      <c r="M32" s="113"/>
      <c r="N32" s="113"/>
      <c r="O32" s="113"/>
      <c r="P32" s="113"/>
      <c r="Q32" s="34"/>
      <c r="R32" s="151">
        <f>DATE(D54+1,3,11)</f>
        <v>43535</v>
      </c>
      <c r="S32" s="146">
        <v>11</v>
      </c>
      <c r="T32" s="113"/>
      <c r="U32" s="113"/>
      <c r="V32" s="113"/>
      <c r="W32" s="113"/>
      <c r="X32" s="113"/>
      <c r="Y32" s="34"/>
      <c r="Z32" s="151">
        <f>DATE(D54+1,4,11)</f>
        <v>43566</v>
      </c>
      <c r="AA32" s="146">
        <v>11</v>
      </c>
      <c r="AB32" s="113"/>
      <c r="AC32" s="113"/>
      <c r="AD32" s="113"/>
      <c r="AE32" s="113"/>
      <c r="AF32" s="113"/>
      <c r="AG32" s="34"/>
      <c r="AH32" s="140">
        <f>DATE(D54+1,5,11)</f>
        <v>43596</v>
      </c>
      <c r="AI32" s="123">
        <v>11</v>
      </c>
      <c r="AJ32" s="123"/>
      <c r="AK32" s="123"/>
      <c r="AL32" s="123"/>
      <c r="AM32" s="123"/>
      <c r="AN32" s="123"/>
      <c r="AO32" s="34"/>
      <c r="AP32" s="151">
        <f>DATE(D54+1,6,11)</f>
        <v>43627</v>
      </c>
      <c r="AQ32" s="146">
        <v>11</v>
      </c>
      <c r="AR32" s="113"/>
      <c r="AS32" s="126"/>
      <c r="AT32" s="126"/>
      <c r="AU32" s="113"/>
      <c r="AV32" s="113"/>
    </row>
    <row r="33" spans="2:48" s="28" customFormat="1" ht="12" customHeight="1">
      <c r="B33" s="140">
        <f>DATE(D54+1,1,12)</f>
        <v>43477</v>
      </c>
      <c r="C33" s="123">
        <v>12</v>
      </c>
      <c r="D33" s="123"/>
      <c r="E33" s="123"/>
      <c r="F33" s="123"/>
      <c r="G33" s="123"/>
      <c r="H33" s="123"/>
      <c r="I33" s="34"/>
      <c r="J33" s="139">
        <f>DATE(D54+1,2,12)</f>
        <v>43508</v>
      </c>
      <c r="K33" s="146">
        <v>12</v>
      </c>
      <c r="L33" s="113"/>
      <c r="M33" s="113"/>
      <c r="N33" s="113"/>
      <c r="O33" s="113"/>
      <c r="P33" s="113"/>
      <c r="Q33" s="34"/>
      <c r="R33" s="151">
        <f>DATE(D54+1,3,12)</f>
        <v>43536</v>
      </c>
      <c r="S33" s="146">
        <v>12</v>
      </c>
      <c r="T33" s="113"/>
      <c r="U33" s="113"/>
      <c r="V33" s="113"/>
      <c r="W33" s="113"/>
      <c r="X33" s="113"/>
      <c r="Y33" s="34"/>
      <c r="Z33" s="151">
        <f>DATE(D54+1,4,12)</f>
        <v>43567</v>
      </c>
      <c r="AA33" s="146">
        <v>12</v>
      </c>
      <c r="AB33" s="113"/>
      <c r="AC33" s="113"/>
      <c r="AD33" s="113"/>
      <c r="AE33" s="113"/>
      <c r="AF33" s="113"/>
      <c r="AG33" s="34"/>
      <c r="AH33" s="140">
        <f>DATE(D54+1,5,12)</f>
        <v>43597</v>
      </c>
      <c r="AI33" s="123">
        <v>12</v>
      </c>
      <c r="AJ33" s="123"/>
      <c r="AK33" s="123"/>
      <c r="AL33" s="123"/>
      <c r="AM33" s="123"/>
      <c r="AN33" s="123"/>
      <c r="AO33" s="34"/>
      <c r="AP33" s="151">
        <f>DATE(D54+1,6,12)</f>
        <v>43628</v>
      </c>
      <c r="AQ33" s="146">
        <v>12</v>
      </c>
      <c r="AR33" s="113"/>
      <c r="AS33" s="113"/>
      <c r="AT33" s="113"/>
      <c r="AU33" s="113"/>
      <c r="AV33" s="113"/>
    </row>
    <row r="34" spans="2:48" s="28" customFormat="1" ht="12" customHeight="1">
      <c r="B34" s="140">
        <f>DATE(D54+1,1,13)</f>
        <v>43478</v>
      </c>
      <c r="C34" s="123">
        <v>13</v>
      </c>
      <c r="D34" s="123"/>
      <c r="E34" s="123"/>
      <c r="F34" s="123"/>
      <c r="G34" s="123"/>
      <c r="H34" s="123"/>
      <c r="I34" s="34"/>
      <c r="J34" s="139">
        <f>DATE(D54+1,2,13)</f>
        <v>43509</v>
      </c>
      <c r="K34" s="146">
        <v>13</v>
      </c>
      <c r="L34" s="113"/>
      <c r="M34" s="113"/>
      <c r="N34" s="113"/>
      <c r="O34" s="113"/>
      <c r="P34" s="112"/>
      <c r="Q34" s="34"/>
      <c r="R34" s="151">
        <f>DATE(D54+1,3,13)</f>
        <v>43537</v>
      </c>
      <c r="S34" s="146">
        <v>13</v>
      </c>
      <c r="T34" s="113"/>
      <c r="U34" s="113"/>
      <c r="V34" s="113"/>
      <c r="W34" s="113"/>
      <c r="X34" s="113"/>
      <c r="Y34" s="34"/>
      <c r="Z34" s="140">
        <f>DATE(D54+1,4,13)</f>
        <v>43568</v>
      </c>
      <c r="AA34" s="123">
        <v>13</v>
      </c>
      <c r="AB34" s="131" t="s">
        <v>66</v>
      </c>
      <c r="AC34" s="123"/>
      <c r="AD34" s="123"/>
      <c r="AE34" s="123"/>
      <c r="AF34" s="123"/>
      <c r="AG34" s="34"/>
      <c r="AH34" s="151">
        <f>DATE(D54+1,5,13)</f>
        <v>43598</v>
      </c>
      <c r="AI34" s="146">
        <v>13</v>
      </c>
      <c r="AJ34" s="113"/>
      <c r="AK34" s="113"/>
      <c r="AL34" s="113"/>
      <c r="AM34" s="113"/>
      <c r="AN34" s="113"/>
      <c r="AO34" s="34"/>
      <c r="AP34" s="151">
        <f>DATE(D54+1,6,13)</f>
        <v>43629</v>
      </c>
      <c r="AQ34" s="146">
        <v>13</v>
      </c>
      <c r="AR34" s="113"/>
      <c r="AS34" s="113"/>
      <c r="AT34" s="113"/>
      <c r="AU34" s="113"/>
      <c r="AV34" s="113"/>
    </row>
    <row r="35" spans="2:48" s="28" customFormat="1" ht="12" customHeight="1">
      <c r="B35" s="139">
        <f>DATE(D54+1,1,14)</f>
        <v>43479</v>
      </c>
      <c r="C35" s="146">
        <v>14</v>
      </c>
      <c r="D35" s="113"/>
      <c r="E35" s="113"/>
      <c r="F35" s="113"/>
      <c r="G35" s="113"/>
      <c r="H35" s="113"/>
      <c r="I35" s="34"/>
      <c r="J35" s="139">
        <f>DATE(D54+1,2,14)</f>
        <v>43510</v>
      </c>
      <c r="K35" s="146">
        <v>14</v>
      </c>
      <c r="L35" s="113"/>
      <c r="M35" s="113"/>
      <c r="N35" s="113"/>
      <c r="O35" s="113"/>
      <c r="P35" s="126"/>
      <c r="Q35" s="34"/>
      <c r="R35" s="151">
        <f>DATE(D54+1,3,14)</f>
        <v>43538</v>
      </c>
      <c r="S35" s="146">
        <v>14</v>
      </c>
      <c r="T35" s="152"/>
      <c r="U35" s="113"/>
      <c r="V35" s="113"/>
      <c r="W35" s="113"/>
      <c r="X35" s="113"/>
      <c r="Y35" s="34"/>
      <c r="Z35" s="140">
        <f>DATE(D54+1,4,14)</f>
        <v>43569</v>
      </c>
      <c r="AA35" s="123">
        <v>14</v>
      </c>
      <c r="AB35" s="131" t="s">
        <v>66</v>
      </c>
      <c r="AC35" s="137"/>
      <c r="AD35" s="123"/>
      <c r="AE35" s="123"/>
      <c r="AF35" s="123"/>
      <c r="AG35" s="34"/>
      <c r="AH35" s="151">
        <f>DATE(D54+1,5,14)</f>
        <v>43599</v>
      </c>
      <c r="AI35" s="146">
        <v>14</v>
      </c>
      <c r="AJ35" s="113"/>
      <c r="AK35" s="113"/>
      <c r="AL35" s="113"/>
      <c r="AM35" s="113"/>
      <c r="AN35" s="113"/>
      <c r="AO35" s="34"/>
      <c r="AP35" s="151">
        <f>DATE(D54+1,6,14)</f>
        <v>43630</v>
      </c>
      <c r="AQ35" s="146">
        <v>14</v>
      </c>
      <c r="AR35" s="113"/>
      <c r="AS35" s="113"/>
      <c r="AT35" s="113"/>
      <c r="AU35" s="113"/>
      <c r="AV35" s="113"/>
    </row>
    <row r="36" spans="2:48" s="28" customFormat="1" ht="12" customHeight="1">
      <c r="B36" s="139">
        <f>DATE(D54+1,1,15)</f>
        <v>43480</v>
      </c>
      <c r="C36" s="146">
        <v>15</v>
      </c>
      <c r="D36" s="113"/>
      <c r="E36" s="113"/>
      <c r="F36" s="113"/>
      <c r="G36" s="113"/>
      <c r="H36" s="113"/>
      <c r="I36" s="34"/>
      <c r="J36" s="139">
        <f>DATE(D54+1,2,15)</f>
        <v>43511</v>
      </c>
      <c r="K36" s="146">
        <v>15</v>
      </c>
      <c r="L36" s="113"/>
      <c r="M36" s="113"/>
      <c r="N36" s="113"/>
      <c r="O36" s="113"/>
      <c r="P36" s="113"/>
      <c r="Q36" s="34"/>
      <c r="R36" s="151">
        <f>DATE(D54+1,3,15)</f>
        <v>43539</v>
      </c>
      <c r="S36" s="146">
        <v>15</v>
      </c>
      <c r="T36" s="126"/>
      <c r="U36" s="113"/>
      <c r="V36" s="113"/>
      <c r="W36" s="113"/>
      <c r="X36" s="113"/>
      <c r="Y36" s="34"/>
      <c r="Z36" s="151">
        <f>DATE(D54+1,4,15)</f>
        <v>43570</v>
      </c>
      <c r="AA36" s="146">
        <v>15</v>
      </c>
      <c r="AB36" s="131" t="s">
        <v>66</v>
      </c>
      <c r="AC36" s="117" t="s">
        <v>37</v>
      </c>
      <c r="AD36" s="113"/>
      <c r="AE36" s="113"/>
      <c r="AF36" s="113"/>
      <c r="AG36" s="34"/>
      <c r="AH36" s="151">
        <f>DATE(D54+1,5,15)</f>
        <v>43600</v>
      </c>
      <c r="AI36" s="146">
        <v>15</v>
      </c>
      <c r="AJ36" s="113"/>
      <c r="AK36" s="113"/>
      <c r="AL36" s="113"/>
      <c r="AM36" s="113"/>
      <c r="AN36" s="113"/>
      <c r="AO36" s="34"/>
      <c r="AP36" s="140">
        <f>DATE(D54+1,6,15)</f>
        <v>43631</v>
      </c>
      <c r="AQ36" s="123">
        <v>15</v>
      </c>
      <c r="AR36" s="123"/>
      <c r="AS36" s="123"/>
      <c r="AT36" s="123"/>
      <c r="AU36" s="123"/>
      <c r="AV36" s="123"/>
    </row>
    <row r="37" spans="2:48" s="28" customFormat="1" ht="12" customHeight="1">
      <c r="B37" s="139">
        <f>DATE(D54+1,1,16)</f>
        <v>43481</v>
      </c>
      <c r="C37" s="146">
        <v>16</v>
      </c>
      <c r="D37" s="113"/>
      <c r="E37" s="113"/>
      <c r="F37" s="114"/>
      <c r="G37" s="113"/>
      <c r="H37" s="113"/>
      <c r="I37" s="34"/>
      <c r="J37" s="149">
        <f>DATE(D54+1,2,16)</f>
        <v>43512</v>
      </c>
      <c r="K37" s="123" t="s">
        <v>26</v>
      </c>
      <c r="L37" s="131" t="s">
        <v>66</v>
      </c>
      <c r="M37" s="123"/>
      <c r="N37" s="122" t="s">
        <v>38</v>
      </c>
      <c r="O37" s="123"/>
      <c r="P37" s="123"/>
      <c r="Q37" s="34"/>
      <c r="R37" s="140">
        <f>DATE(D54+1,3,16)</f>
        <v>43540</v>
      </c>
      <c r="S37" s="123">
        <v>16</v>
      </c>
      <c r="T37" s="123"/>
      <c r="U37" s="123"/>
      <c r="V37" s="123"/>
      <c r="W37" s="123"/>
      <c r="X37" s="123"/>
      <c r="Y37" s="34"/>
      <c r="Z37" s="151">
        <f>DATE(D54+1,4,16)</f>
        <v>43571</v>
      </c>
      <c r="AA37" s="146">
        <v>16</v>
      </c>
      <c r="AB37" s="131" t="s">
        <v>66</v>
      </c>
      <c r="AC37" s="117" t="s">
        <v>37</v>
      </c>
      <c r="AD37" s="113"/>
      <c r="AE37" s="113"/>
      <c r="AF37" s="113"/>
      <c r="AG37" s="34"/>
      <c r="AH37" s="151">
        <f>DATE(D54+1,5,16)</f>
        <v>43601</v>
      </c>
      <c r="AI37" s="146">
        <v>16</v>
      </c>
      <c r="AJ37" s="113"/>
      <c r="AK37" s="113"/>
      <c r="AL37" s="113"/>
      <c r="AM37" s="113"/>
      <c r="AN37" s="113"/>
      <c r="AO37" s="34"/>
      <c r="AP37" s="140">
        <f>DATE(D54+1,6,16)</f>
        <v>43632</v>
      </c>
      <c r="AQ37" s="123">
        <v>16</v>
      </c>
      <c r="AR37" s="123"/>
      <c r="AS37" s="123"/>
      <c r="AT37" s="123"/>
      <c r="AU37" s="123"/>
      <c r="AV37" s="123"/>
    </row>
    <row r="38" spans="2:48" s="28" customFormat="1" ht="12" customHeight="1">
      <c r="B38" s="139">
        <f>DATE(D54+1,1,17)</f>
        <v>43482</v>
      </c>
      <c r="C38" s="146">
        <v>17</v>
      </c>
      <c r="D38" s="113"/>
      <c r="E38" s="113"/>
      <c r="F38" s="113"/>
      <c r="G38" s="113"/>
      <c r="H38" s="113"/>
      <c r="I38" s="34"/>
      <c r="J38" s="149">
        <f>DATE(D54+1,2,17)</f>
        <v>43513</v>
      </c>
      <c r="K38" s="123" t="s">
        <v>27</v>
      </c>
      <c r="L38" s="131" t="s">
        <v>66</v>
      </c>
      <c r="M38" s="137"/>
      <c r="N38" s="122" t="s">
        <v>38</v>
      </c>
      <c r="O38" s="123"/>
      <c r="P38" s="123"/>
      <c r="Q38" s="34"/>
      <c r="R38" s="140">
        <f>DATE(D54+1,3,17)</f>
        <v>43541</v>
      </c>
      <c r="S38" s="123">
        <v>17</v>
      </c>
      <c r="T38" s="123"/>
      <c r="U38" s="123"/>
      <c r="V38" s="123"/>
      <c r="W38" s="123"/>
      <c r="X38" s="123"/>
      <c r="Y38" s="34"/>
      <c r="Z38" s="151">
        <f>DATE(D54+1,4,17)</f>
        <v>43572</v>
      </c>
      <c r="AA38" s="146">
        <v>17</v>
      </c>
      <c r="AB38" s="131" t="s">
        <v>66</v>
      </c>
      <c r="AC38" s="117" t="s">
        <v>37</v>
      </c>
      <c r="AD38" s="113"/>
      <c r="AE38" s="113"/>
      <c r="AF38" s="113"/>
      <c r="AG38" s="34"/>
      <c r="AH38" s="151">
        <f>DATE(D54+1,5,17)</f>
        <v>43602</v>
      </c>
      <c r="AI38" s="146">
        <v>17</v>
      </c>
      <c r="AJ38" s="113"/>
      <c r="AK38" s="113"/>
      <c r="AL38" s="113"/>
      <c r="AM38" s="113"/>
      <c r="AN38" s="113"/>
      <c r="AO38" s="34"/>
      <c r="AP38" s="151">
        <f>DATE(D54+1,6,17)</f>
        <v>43633</v>
      </c>
      <c r="AQ38" s="146">
        <v>17</v>
      </c>
      <c r="AR38" s="113"/>
      <c r="AS38" s="113"/>
      <c r="AT38" s="113"/>
      <c r="AU38" s="113"/>
      <c r="AV38" s="113"/>
    </row>
    <row r="39" spans="2:48" s="28" customFormat="1" ht="12" customHeight="1">
      <c r="B39" s="139">
        <f>DATE(D54+1,1,18)</f>
        <v>43483</v>
      </c>
      <c r="C39" s="146">
        <v>18</v>
      </c>
      <c r="D39" s="113"/>
      <c r="E39" s="113"/>
      <c r="F39" s="113"/>
      <c r="G39" s="113"/>
      <c r="H39" s="113"/>
      <c r="I39" s="34"/>
      <c r="J39" s="139">
        <f>DATE(D54+1,2,18)</f>
        <v>43514</v>
      </c>
      <c r="K39" s="146">
        <v>18</v>
      </c>
      <c r="L39" s="131" t="s">
        <v>66</v>
      </c>
      <c r="M39" s="119" t="s">
        <v>13</v>
      </c>
      <c r="N39" s="122" t="s">
        <v>38</v>
      </c>
      <c r="O39" s="113"/>
      <c r="P39" s="113"/>
      <c r="Q39" s="34"/>
      <c r="R39" s="151">
        <f>DATE(D54+1,3,18)</f>
        <v>43542</v>
      </c>
      <c r="S39" s="146">
        <v>18</v>
      </c>
      <c r="T39" s="113"/>
      <c r="U39" s="113"/>
      <c r="V39" s="113"/>
      <c r="W39" s="113"/>
      <c r="X39" s="113"/>
      <c r="Y39" s="34"/>
      <c r="Z39" s="151">
        <f>DATE(D54+1,4,18)</f>
        <v>43573</v>
      </c>
      <c r="AA39" s="146">
        <v>18</v>
      </c>
      <c r="AB39" s="131" t="s">
        <v>66</v>
      </c>
      <c r="AC39" s="117" t="s">
        <v>37</v>
      </c>
      <c r="AD39" s="113"/>
      <c r="AE39" s="112"/>
      <c r="AF39" s="113"/>
      <c r="AG39" s="34"/>
      <c r="AH39" s="140">
        <f>DATE(D54+1,5,18)</f>
        <v>43603</v>
      </c>
      <c r="AI39" s="123">
        <v>18</v>
      </c>
      <c r="AJ39" s="123"/>
      <c r="AK39" s="123"/>
      <c r="AL39" s="123"/>
      <c r="AM39" s="123"/>
      <c r="AN39" s="123"/>
      <c r="AO39" s="34"/>
      <c r="AP39" s="151">
        <f>DATE(D54+1,6,18)</f>
        <v>43634</v>
      </c>
      <c r="AQ39" s="146">
        <v>18</v>
      </c>
      <c r="AR39" s="113"/>
      <c r="AS39" s="113"/>
      <c r="AT39" s="113"/>
      <c r="AU39" s="113"/>
      <c r="AV39" s="113"/>
    </row>
    <row r="40" spans="2:48" s="28" customFormat="1" ht="12" customHeight="1">
      <c r="B40" s="140">
        <f>DATE(D54+1,1,19)</f>
        <v>43484</v>
      </c>
      <c r="C40" s="123">
        <v>19</v>
      </c>
      <c r="D40" s="123"/>
      <c r="E40" s="123"/>
      <c r="F40" s="123"/>
      <c r="G40" s="123"/>
      <c r="H40" s="123"/>
      <c r="I40" s="34"/>
      <c r="J40" s="139">
        <f>DATE(D54+1,2,19)</f>
        <v>43515</v>
      </c>
      <c r="K40" s="146">
        <v>19</v>
      </c>
      <c r="L40" s="131" t="s">
        <v>66</v>
      </c>
      <c r="M40" s="117" t="s">
        <v>37</v>
      </c>
      <c r="N40" s="122" t="s">
        <v>38</v>
      </c>
      <c r="O40" s="113"/>
      <c r="P40" s="113"/>
      <c r="Q40" s="34"/>
      <c r="R40" s="151">
        <f>DATE(D54+1,3,19)</f>
        <v>43543</v>
      </c>
      <c r="S40" s="146">
        <v>19</v>
      </c>
      <c r="T40" s="113"/>
      <c r="U40" s="113"/>
      <c r="V40" s="113"/>
      <c r="W40" s="113"/>
      <c r="X40" s="113"/>
      <c r="Y40" s="34"/>
      <c r="Z40" s="151">
        <f>DATE(D54+1,4,19)</f>
        <v>43574</v>
      </c>
      <c r="AA40" s="146">
        <v>19</v>
      </c>
      <c r="AB40" s="131" t="s">
        <v>66</v>
      </c>
      <c r="AC40" s="120" t="s">
        <v>13</v>
      </c>
      <c r="AD40" s="113"/>
      <c r="AE40" s="113"/>
      <c r="AF40" s="113"/>
      <c r="AG40" s="34"/>
      <c r="AH40" s="140">
        <f>DATE(D54+1,5,19)</f>
        <v>43604</v>
      </c>
      <c r="AI40" s="123">
        <v>19</v>
      </c>
      <c r="AJ40" s="123"/>
      <c r="AK40" s="123"/>
      <c r="AL40" s="123"/>
      <c r="AM40" s="123"/>
      <c r="AN40" s="123"/>
      <c r="AO40" s="34"/>
      <c r="AP40" s="151">
        <f>DATE(D54+1,6,19)</f>
        <v>43635</v>
      </c>
      <c r="AQ40" s="146">
        <v>19</v>
      </c>
      <c r="AR40" s="113"/>
      <c r="AS40" s="113"/>
      <c r="AT40" s="113"/>
      <c r="AU40" s="113"/>
      <c r="AV40" s="113"/>
    </row>
    <row r="41" spans="2:48" s="28" customFormat="1" ht="12" customHeight="1">
      <c r="B41" s="140">
        <f>DATE(D54+1,1,20)</f>
        <v>43485</v>
      </c>
      <c r="C41" s="123">
        <v>20</v>
      </c>
      <c r="D41" s="123"/>
      <c r="E41" s="123"/>
      <c r="F41" s="123"/>
      <c r="G41" s="123"/>
      <c r="H41" s="123"/>
      <c r="I41" s="34"/>
      <c r="J41" s="139">
        <f>DATE(D54+1,2,20)</f>
        <v>43516</v>
      </c>
      <c r="K41" s="146">
        <v>20</v>
      </c>
      <c r="L41" s="131" t="s">
        <v>66</v>
      </c>
      <c r="M41" s="117" t="s">
        <v>37</v>
      </c>
      <c r="N41" s="122" t="s">
        <v>38</v>
      </c>
      <c r="O41" s="113"/>
      <c r="P41" s="113"/>
      <c r="Q41" s="34"/>
      <c r="R41" s="151">
        <f>DATE(D54+1,3,20)</f>
        <v>43544</v>
      </c>
      <c r="S41" s="146">
        <v>20</v>
      </c>
      <c r="T41" s="113"/>
      <c r="U41" s="113"/>
      <c r="V41" s="113"/>
      <c r="W41" s="113"/>
      <c r="X41" s="113"/>
      <c r="Y41" s="34"/>
      <c r="Z41" s="140">
        <f>DATE(D54+1,4,20)</f>
        <v>43575</v>
      </c>
      <c r="AA41" s="123">
        <v>20</v>
      </c>
      <c r="AB41" s="131" t="s">
        <v>66</v>
      </c>
      <c r="AC41" s="143"/>
      <c r="AD41" s="123"/>
      <c r="AE41" s="123"/>
      <c r="AF41" s="123"/>
      <c r="AG41" s="34"/>
      <c r="AH41" s="151">
        <f>DATE(D54+1,5,20)</f>
        <v>43605</v>
      </c>
      <c r="AI41" s="146">
        <v>20</v>
      </c>
      <c r="AJ41" s="113"/>
      <c r="AK41" s="113"/>
      <c r="AL41" s="113"/>
      <c r="AM41" s="113"/>
      <c r="AN41" s="113"/>
      <c r="AO41" s="34"/>
      <c r="AP41" s="151">
        <f>DATE(D54+1,6,20)</f>
        <v>43636</v>
      </c>
      <c r="AQ41" s="146">
        <v>20</v>
      </c>
      <c r="AR41" s="113"/>
      <c r="AS41" s="113"/>
      <c r="AT41" s="113"/>
      <c r="AU41" s="113"/>
      <c r="AV41" s="113"/>
    </row>
    <row r="42" spans="2:48" s="28" customFormat="1" ht="12" customHeight="1">
      <c r="B42" s="139">
        <f>DATE(D54+1,1,21)</f>
        <v>43486</v>
      </c>
      <c r="C42" s="146">
        <v>21</v>
      </c>
      <c r="D42" s="113"/>
      <c r="E42" s="113"/>
      <c r="F42" s="113"/>
      <c r="G42" s="113"/>
      <c r="H42" s="113"/>
      <c r="I42" s="34"/>
      <c r="J42" s="139">
        <f>DATE(D54+1,2,21)</f>
        <v>43517</v>
      </c>
      <c r="K42" s="146">
        <v>21</v>
      </c>
      <c r="L42" s="131" t="s">
        <v>66</v>
      </c>
      <c r="M42" s="117" t="s">
        <v>37</v>
      </c>
      <c r="N42" s="122" t="s">
        <v>38</v>
      </c>
      <c r="O42" s="113"/>
      <c r="P42" s="112"/>
      <c r="Q42" s="34"/>
      <c r="R42" s="151">
        <f>DATE(D54+1,3,21)</f>
        <v>43545</v>
      </c>
      <c r="S42" s="146">
        <v>21</v>
      </c>
      <c r="T42" s="113"/>
      <c r="U42" s="113"/>
      <c r="V42" s="113"/>
      <c r="W42" s="113"/>
      <c r="X42" s="113"/>
      <c r="Y42" s="34"/>
      <c r="Z42" s="140">
        <f>DATE(D54+1,4,21)</f>
        <v>43576</v>
      </c>
      <c r="AA42" s="123">
        <v>21</v>
      </c>
      <c r="AB42" s="131" t="s">
        <v>66</v>
      </c>
      <c r="AC42" s="123"/>
      <c r="AD42" s="123"/>
      <c r="AE42" s="123"/>
      <c r="AF42" s="123"/>
      <c r="AG42" s="34"/>
      <c r="AH42" s="151">
        <f>DATE(D54+1,5,21)</f>
        <v>43606</v>
      </c>
      <c r="AI42" s="146">
        <v>21</v>
      </c>
      <c r="AJ42" s="113"/>
      <c r="AK42" s="113"/>
      <c r="AL42" s="113"/>
      <c r="AM42" s="113"/>
      <c r="AN42" s="113"/>
      <c r="AO42" s="34"/>
      <c r="AP42" s="151">
        <f>DATE(D54+1,6,21)</f>
        <v>43637</v>
      </c>
      <c r="AQ42" s="146">
        <v>21</v>
      </c>
      <c r="AR42" s="113"/>
      <c r="AS42" s="113"/>
      <c r="AT42" s="113"/>
      <c r="AU42" s="113"/>
      <c r="AV42" s="113"/>
    </row>
    <row r="43" spans="2:48" s="28" customFormat="1" ht="12" customHeight="1">
      <c r="B43" s="139">
        <f>DATE(D54+1,1,22)</f>
        <v>43487</v>
      </c>
      <c r="C43" s="146">
        <v>22</v>
      </c>
      <c r="D43" s="113"/>
      <c r="E43" s="113"/>
      <c r="F43" s="113"/>
      <c r="G43" s="113"/>
      <c r="H43" s="113"/>
      <c r="I43" s="34"/>
      <c r="J43" s="139">
        <f>DATE(D54+1,2,22)</f>
        <v>43518</v>
      </c>
      <c r="K43" s="146">
        <v>22</v>
      </c>
      <c r="L43" s="131" t="s">
        <v>66</v>
      </c>
      <c r="M43" s="125" t="s">
        <v>37</v>
      </c>
      <c r="N43" s="122" t="s">
        <v>38</v>
      </c>
      <c r="O43" s="113"/>
      <c r="P43" s="126"/>
      <c r="Q43" s="34"/>
      <c r="R43" s="151">
        <f>DATE(D54+1,3,22)</f>
        <v>43546</v>
      </c>
      <c r="S43" s="146">
        <v>22</v>
      </c>
      <c r="T43" s="113"/>
      <c r="U43" s="113"/>
      <c r="V43" s="113"/>
      <c r="W43" s="113"/>
      <c r="X43" s="134"/>
      <c r="Y43" s="34"/>
      <c r="Z43" s="151">
        <f>DATE(D54+1,4,22)</f>
        <v>43577</v>
      </c>
      <c r="AA43" s="146">
        <v>22</v>
      </c>
      <c r="AB43" s="132" t="s">
        <v>67</v>
      </c>
      <c r="AC43" s="146"/>
      <c r="AD43" s="146"/>
      <c r="AE43" s="146"/>
      <c r="AF43" s="146"/>
      <c r="AG43" s="34"/>
      <c r="AH43" s="151">
        <f>DATE(D54+1,5,22)</f>
        <v>43607</v>
      </c>
      <c r="AI43" s="146">
        <v>22</v>
      </c>
      <c r="AJ43" s="113"/>
      <c r="AK43" s="113"/>
      <c r="AL43" s="113"/>
      <c r="AM43" s="113"/>
      <c r="AN43" s="113"/>
      <c r="AO43" s="34"/>
      <c r="AP43" s="140">
        <f>DATE(D54+1,6,22)</f>
        <v>43638</v>
      </c>
      <c r="AQ43" s="123">
        <v>22</v>
      </c>
      <c r="AR43" s="123"/>
      <c r="AS43" s="123"/>
      <c r="AT43" s="123"/>
      <c r="AU43" s="123"/>
      <c r="AV43" s="123"/>
    </row>
    <row r="44" spans="2:48" s="28" customFormat="1" ht="12" customHeight="1">
      <c r="B44" s="139">
        <f>DATE(D54+1,1,23)</f>
        <v>43488</v>
      </c>
      <c r="C44" s="146">
        <v>23</v>
      </c>
      <c r="D44" s="113"/>
      <c r="E44" s="113"/>
      <c r="F44" s="113"/>
      <c r="G44" s="113"/>
      <c r="H44" s="113"/>
      <c r="I44" s="34"/>
      <c r="J44" s="149">
        <f>DATE(D54+1,2,23)</f>
        <v>43519</v>
      </c>
      <c r="K44" s="123" t="s">
        <v>28</v>
      </c>
      <c r="L44" s="132" t="s">
        <v>67</v>
      </c>
      <c r="M44" s="143"/>
      <c r="N44" s="122" t="s">
        <v>38</v>
      </c>
      <c r="O44" s="123"/>
      <c r="P44" s="123"/>
      <c r="Q44" s="34"/>
      <c r="R44" s="140">
        <f>DATE(D54+1,3,23)</f>
        <v>43547</v>
      </c>
      <c r="S44" s="123">
        <v>23</v>
      </c>
      <c r="T44" s="123"/>
      <c r="U44" s="123"/>
      <c r="V44" s="123"/>
      <c r="W44" s="123"/>
      <c r="X44" s="143"/>
      <c r="Y44" s="34"/>
      <c r="Z44" s="151">
        <f>DATE(D54+1,4,23)</f>
        <v>43578</v>
      </c>
      <c r="AA44" s="146">
        <v>23</v>
      </c>
      <c r="AB44" s="132" t="s">
        <v>67</v>
      </c>
      <c r="AC44" s="113"/>
      <c r="AD44" s="113"/>
      <c r="AE44" s="113"/>
      <c r="AF44" s="113"/>
      <c r="AG44" s="34"/>
      <c r="AH44" s="151">
        <f>DATE(D54+1,5,23)</f>
        <v>43608</v>
      </c>
      <c r="AI44" s="146">
        <v>23</v>
      </c>
      <c r="AJ44" s="113"/>
      <c r="AK44" s="113"/>
      <c r="AL44" s="113"/>
      <c r="AM44" s="113"/>
      <c r="AN44" s="113"/>
      <c r="AO44" s="34"/>
      <c r="AP44" s="140">
        <f>DATE(D54+1,6,23)</f>
        <v>43639</v>
      </c>
      <c r="AQ44" s="123">
        <v>23</v>
      </c>
      <c r="AR44" s="123"/>
      <c r="AS44" s="123"/>
      <c r="AT44" s="123"/>
      <c r="AU44" s="123"/>
      <c r="AV44" s="123"/>
    </row>
    <row r="45" spans="2:48" s="28" customFormat="1" ht="12" customHeight="1">
      <c r="B45" s="139">
        <f>DATE(D54+1,1,24)</f>
        <v>43489</v>
      </c>
      <c r="C45" s="146">
        <v>24</v>
      </c>
      <c r="D45" s="113"/>
      <c r="E45" s="113"/>
      <c r="F45" s="113"/>
      <c r="G45" s="113"/>
      <c r="H45" s="113"/>
      <c r="I45" s="34"/>
      <c r="J45" s="149">
        <f>DATE(D54+1,2,24)</f>
        <v>43520</v>
      </c>
      <c r="K45" s="123" t="s">
        <v>29</v>
      </c>
      <c r="L45" s="132" t="s">
        <v>67</v>
      </c>
      <c r="M45" s="123"/>
      <c r="N45" s="124" t="s">
        <v>38</v>
      </c>
      <c r="O45" s="123"/>
      <c r="P45" s="123"/>
      <c r="Q45" s="34"/>
      <c r="R45" s="140">
        <f>DATE(D54+1,3,24)</f>
        <v>43548</v>
      </c>
      <c r="S45" s="123">
        <v>24</v>
      </c>
      <c r="T45" s="123"/>
      <c r="U45" s="123"/>
      <c r="V45" s="123"/>
      <c r="W45" s="123"/>
      <c r="X45" s="123"/>
      <c r="Y45" s="34"/>
      <c r="Z45" s="151">
        <f>DATE(D54+1,4,24)</f>
        <v>43579</v>
      </c>
      <c r="AA45" s="146">
        <v>24</v>
      </c>
      <c r="AB45" s="132" t="s">
        <v>67</v>
      </c>
      <c r="AC45" s="113"/>
      <c r="AD45" s="113"/>
      <c r="AE45" s="113"/>
      <c r="AF45" s="113"/>
      <c r="AG45" s="34"/>
      <c r="AH45" s="151">
        <f>DATE(D54+1,5,24)</f>
        <v>43609</v>
      </c>
      <c r="AI45" s="146">
        <v>24</v>
      </c>
      <c r="AJ45" s="113"/>
      <c r="AK45" s="113"/>
      <c r="AL45" s="113"/>
      <c r="AM45" s="113"/>
      <c r="AN45" s="113"/>
      <c r="AO45" s="34"/>
      <c r="AP45" s="151">
        <f>DATE(D54+1,6,24)</f>
        <v>43640</v>
      </c>
      <c r="AQ45" s="146">
        <v>24</v>
      </c>
      <c r="AR45" s="113"/>
      <c r="AS45" s="113"/>
      <c r="AT45" s="113"/>
      <c r="AU45" s="113"/>
      <c r="AV45" s="113"/>
    </row>
    <row r="46" spans="2:48" s="28" customFormat="1" ht="12" customHeight="1">
      <c r="B46" s="139">
        <f>DATE(D54+1,1,25)</f>
        <v>43490</v>
      </c>
      <c r="C46" s="146">
        <v>25</v>
      </c>
      <c r="D46" s="113"/>
      <c r="E46" s="113"/>
      <c r="F46" s="113"/>
      <c r="G46" s="113"/>
      <c r="H46" s="113"/>
      <c r="I46" s="34"/>
      <c r="J46" s="139">
        <f>DATE(D54+1,2,25)</f>
        <v>43521</v>
      </c>
      <c r="K46" s="146">
        <v>25</v>
      </c>
      <c r="L46" s="132" t="s">
        <v>67</v>
      </c>
      <c r="M46" s="113"/>
      <c r="N46" s="126"/>
      <c r="O46" s="113"/>
      <c r="P46" s="113"/>
      <c r="Q46" s="34"/>
      <c r="R46" s="151">
        <f>DATE(D54+1,3,25)</f>
        <v>43549</v>
      </c>
      <c r="S46" s="146">
        <v>25</v>
      </c>
      <c r="T46" s="113"/>
      <c r="U46" s="113"/>
      <c r="V46" s="113"/>
      <c r="W46" s="113"/>
      <c r="X46" s="113"/>
      <c r="Y46" s="34"/>
      <c r="Z46" s="151">
        <f>DATE(D54+1,4,25)</f>
        <v>43580</v>
      </c>
      <c r="AA46" s="146">
        <v>25</v>
      </c>
      <c r="AB46" s="132" t="s">
        <v>67</v>
      </c>
      <c r="AC46" s="113"/>
      <c r="AD46" s="113"/>
      <c r="AE46" s="113"/>
      <c r="AF46" s="113"/>
      <c r="AG46" s="34"/>
      <c r="AH46" s="140">
        <f>DATE(D54+1,5,25)</f>
        <v>43610</v>
      </c>
      <c r="AI46" s="123">
        <v>25</v>
      </c>
      <c r="AJ46" s="123"/>
      <c r="AK46" s="123"/>
      <c r="AL46" s="122" t="s">
        <v>38</v>
      </c>
      <c r="AM46" s="123"/>
      <c r="AN46" s="123"/>
      <c r="AO46" s="34"/>
      <c r="AP46" s="151">
        <f>DATE(D54+1,6,25)</f>
        <v>43641</v>
      </c>
      <c r="AQ46" s="146">
        <v>25</v>
      </c>
      <c r="AR46" s="113"/>
      <c r="AS46" s="113"/>
      <c r="AT46" s="113"/>
      <c r="AU46" s="113"/>
      <c r="AV46" s="113"/>
    </row>
    <row r="47" spans="2:48" s="28" customFormat="1" ht="12" customHeight="1">
      <c r="B47" s="140">
        <f>DATE(D54+1,1,26)</f>
        <v>43491</v>
      </c>
      <c r="C47" s="123">
        <v>26</v>
      </c>
      <c r="D47" s="123"/>
      <c r="E47" s="123"/>
      <c r="F47" s="123"/>
      <c r="G47" s="123"/>
      <c r="H47" s="123"/>
      <c r="I47" s="34"/>
      <c r="J47" s="139">
        <f>DATE(D54+1,2,26)</f>
        <v>43522</v>
      </c>
      <c r="K47" s="146">
        <v>26</v>
      </c>
      <c r="L47" s="132" t="s">
        <v>67</v>
      </c>
      <c r="M47" s="113"/>
      <c r="N47" s="113"/>
      <c r="O47" s="113"/>
      <c r="P47" s="113"/>
      <c r="Q47" s="34"/>
      <c r="R47" s="151">
        <f>DATE(D54+1,3,26)</f>
        <v>43550</v>
      </c>
      <c r="S47" s="146">
        <v>26</v>
      </c>
      <c r="T47" s="113"/>
      <c r="U47" s="113"/>
      <c r="V47" s="113"/>
      <c r="W47" s="113"/>
      <c r="X47" s="113"/>
      <c r="Y47" s="34"/>
      <c r="Z47" s="151">
        <f>DATE(D54+1,4,26)</f>
        <v>43581</v>
      </c>
      <c r="AA47" s="146">
        <v>26</v>
      </c>
      <c r="AB47" s="132" t="s">
        <v>67</v>
      </c>
      <c r="AC47" s="113"/>
      <c r="AD47" s="113"/>
      <c r="AE47" s="113"/>
      <c r="AF47" s="113"/>
      <c r="AG47" s="34"/>
      <c r="AH47" s="140">
        <f>DATE(D54+1,5,26)</f>
        <v>43611</v>
      </c>
      <c r="AI47" s="123">
        <v>26</v>
      </c>
      <c r="AJ47" s="123"/>
      <c r="AK47" s="123"/>
      <c r="AL47" s="122" t="s">
        <v>38</v>
      </c>
      <c r="AM47" s="123"/>
      <c r="AN47" s="123"/>
      <c r="AO47" s="34"/>
      <c r="AP47" s="151">
        <f>DATE(D54+1,6,26)</f>
        <v>43642</v>
      </c>
      <c r="AQ47" s="146">
        <v>26</v>
      </c>
      <c r="AR47" s="113"/>
      <c r="AS47" s="113"/>
      <c r="AT47" s="113"/>
      <c r="AU47" s="113"/>
      <c r="AV47" s="113"/>
    </row>
    <row r="48" spans="2:48" s="28" customFormat="1" ht="12" customHeight="1">
      <c r="B48" s="140">
        <f>DATE(D54+1,1,27)</f>
        <v>43492</v>
      </c>
      <c r="C48" s="123">
        <v>27</v>
      </c>
      <c r="D48" s="123"/>
      <c r="E48" s="123"/>
      <c r="F48" s="123"/>
      <c r="G48" s="123"/>
      <c r="H48" s="123"/>
      <c r="I48" s="34"/>
      <c r="J48" s="139">
        <f>DATE(D54+1,2,27)</f>
        <v>43523</v>
      </c>
      <c r="K48" s="146">
        <v>27</v>
      </c>
      <c r="L48" s="129" t="s">
        <v>67</v>
      </c>
      <c r="M48" s="113"/>
      <c r="N48" s="113"/>
      <c r="O48" s="113"/>
      <c r="P48" s="113"/>
      <c r="Q48" s="34"/>
      <c r="R48" s="151">
        <f>DATE(D54+1,3,27)</f>
        <v>43551</v>
      </c>
      <c r="S48" s="146">
        <v>27</v>
      </c>
      <c r="T48" s="113"/>
      <c r="U48" s="113"/>
      <c r="V48" s="113"/>
      <c r="W48" s="113"/>
      <c r="X48" s="113"/>
      <c r="Y48" s="34"/>
      <c r="Z48" s="140">
        <f>DATE(D54+1,4,27)</f>
        <v>43582</v>
      </c>
      <c r="AA48" s="123">
        <v>27</v>
      </c>
      <c r="AB48" s="132" t="s">
        <v>67</v>
      </c>
      <c r="AC48" s="123"/>
      <c r="AD48" s="123"/>
      <c r="AE48" s="123"/>
      <c r="AF48" s="123"/>
      <c r="AG48" s="34"/>
      <c r="AH48" s="151">
        <f>DATE(D54+1,5,27)</f>
        <v>43612</v>
      </c>
      <c r="AI48" s="158">
        <v>27</v>
      </c>
      <c r="AJ48" s="113"/>
      <c r="AK48" s="113"/>
      <c r="AL48" s="122" t="s">
        <v>38</v>
      </c>
      <c r="AM48" s="113"/>
      <c r="AN48" s="113"/>
      <c r="AO48" s="34"/>
      <c r="AP48" s="151">
        <f>DATE(D54+1,6,27)</f>
        <v>43643</v>
      </c>
      <c r="AQ48" s="158">
        <v>27</v>
      </c>
      <c r="AR48" s="113"/>
      <c r="AS48" s="113"/>
      <c r="AT48" s="113"/>
      <c r="AU48" s="113"/>
      <c r="AV48" s="113"/>
    </row>
    <row r="49" spans="2:67" s="28" customFormat="1" ht="12" customHeight="1">
      <c r="B49" s="139">
        <f>DATE(D54+1,1,28)</f>
        <v>43493</v>
      </c>
      <c r="C49" s="146">
        <v>28</v>
      </c>
      <c r="D49" s="113"/>
      <c r="E49" s="113"/>
      <c r="F49" s="113"/>
      <c r="G49" s="113"/>
      <c r="H49" s="113"/>
      <c r="I49" s="34"/>
      <c r="J49" s="139">
        <f>DATE(D54+1,2,28)</f>
        <v>43524</v>
      </c>
      <c r="K49" s="146">
        <v>28</v>
      </c>
      <c r="L49" s="150"/>
      <c r="M49" s="146"/>
      <c r="N49" s="146"/>
      <c r="O49" s="146"/>
      <c r="P49" s="146"/>
      <c r="Q49" s="34"/>
      <c r="R49" s="151">
        <f>DATE(D54+1,3,28)</f>
        <v>43552</v>
      </c>
      <c r="S49" s="146">
        <v>28</v>
      </c>
      <c r="T49" s="113"/>
      <c r="U49" s="113"/>
      <c r="V49" s="113"/>
      <c r="W49" s="113"/>
      <c r="X49" s="113"/>
      <c r="Y49" s="34"/>
      <c r="Z49" s="140">
        <f>DATE(D54+1,4,28)</f>
        <v>43583</v>
      </c>
      <c r="AA49" s="123">
        <v>28</v>
      </c>
      <c r="AB49" s="129" t="s">
        <v>67</v>
      </c>
      <c r="AC49" s="123"/>
      <c r="AD49" s="123"/>
      <c r="AE49" s="123"/>
      <c r="AF49" s="123"/>
      <c r="AG49" s="34"/>
      <c r="AH49" s="151">
        <f>DATE(D54+1,5,28)</f>
        <v>43613</v>
      </c>
      <c r="AI49" s="158">
        <v>28</v>
      </c>
      <c r="AJ49" s="113"/>
      <c r="AK49" s="113"/>
      <c r="AL49" s="122" t="s">
        <v>38</v>
      </c>
      <c r="AM49" s="113"/>
      <c r="AN49" s="113"/>
      <c r="AO49" s="34"/>
      <c r="AP49" s="151">
        <f>DATE(D54+1,6,28)</f>
        <v>43644</v>
      </c>
      <c r="AQ49" s="146">
        <v>28</v>
      </c>
      <c r="AR49" s="113"/>
      <c r="AS49" s="113"/>
      <c r="AT49" s="113"/>
      <c r="AU49" s="113"/>
      <c r="AV49" s="113"/>
    </row>
    <row r="50" spans="2:67" s="28" customFormat="1" ht="12" customHeight="1">
      <c r="B50" s="139">
        <f>DATE(D54+1,1,29)</f>
        <v>43494</v>
      </c>
      <c r="C50" s="146">
        <v>29</v>
      </c>
      <c r="D50" s="113"/>
      <c r="E50" s="113"/>
      <c r="F50" s="113"/>
      <c r="G50" s="113"/>
      <c r="H50" s="113"/>
      <c r="I50" s="34"/>
      <c r="J50" s="34">
        <f>DATE(D54+1,2,)</f>
        <v>43496</v>
      </c>
      <c r="K50" s="34"/>
      <c r="L50" s="34"/>
      <c r="M50" s="34"/>
      <c r="N50" s="34"/>
      <c r="O50" s="34"/>
      <c r="P50" s="34"/>
      <c r="Q50" s="34"/>
      <c r="R50" s="151">
        <f>DATE(D54+1,3,29)</f>
        <v>43553</v>
      </c>
      <c r="S50" s="146">
        <v>29</v>
      </c>
      <c r="T50" s="113"/>
      <c r="U50" s="113"/>
      <c r="V50" s="113"/>
      <c r="W50" s="113"/>
      <c r="X50" s="113"/>
      <c r="Y50" s="34"/>
      <c r="Z50" s="151">
        <f>DATE(D54+1,4,29)</f>
        <v>43584</v>
      </c>
      <c r="AA50" s="146">
        <v>29</v>
      </c>
      <c r="AB50" s="126"/>
      <c r="AC50" s="113"/>
      <c r="AD50" s="113"/>
      <c r="AE50" s="113"/>
      <c r="AF50" s="113"/>
      <c r="AG50" s="34"/>
      <c r="AH50" s="151">
        <f>DATE(D54+1,5,29)</f>
        <v>43614</v>
      </c>
      <c r="AI50" s="146">
        <v>29</v>
      </c>
      <c r="AJ50" s="113"/>
      <c r="AK50" s="113"/>
      <c r="AL50" s="122" t="s">
        <v>38</v>
      </c>
      <c r="AM50" s="113"/>
      <c r="AN50" s="113"/>
      <c r="AO50" s="34"/>
      <c r="AP50" s="140">
        <f>DATE(D54+1,6,29)</f>
        <v>43645</v>
      </c>
      <c r="AQ50" s="123">
        <v>29</v>
      </c>
      <c r="AR50" s="123"/>
      <c r="AS50" s="123"/>
      <c r="AT50" s="123"/>
      <c r="AU50" s="123"/>
      <c r="AV50" s="123"/>
    </row>
    <row r="51" spans="2:67" s="28" customFormat="1" ht="12" customHeight="1">
      <c r="B51" s="139">
        <f>DATE(D54+1,1,30)</f>
        <v>43495</v>
      </c>
      <c r="C51" s="146">
        <v>30</v>
      </c>
      <c r="D51" s="113"/>
      <c r="E51" s="113"/>
      <c r="F51" s="113"/>
      <c r="G51" s="113"/>
      <c r="H51" s="113"/>
      <c r="I51" s="34"/>
      <c r="J51" s="34"/>
      <c r="K51" s="34"/>
      <c r="L51" s="34"/>
      <c r="M51" s="34"/>
      <c r="N51" s="34"/>
      <c r="O51" s="34"/>
      <c r="P51" s="34"/>
      <c r="Q51" s="34"/>
      <c r="R51" s="140">
        <f>DATE(D54+1,3,30)</f>
        <v>43554</v>
      </c>
      <c r="S51" s="123">
        <v>30</v>
      </c>
      <c r="T51" s="123"/>
      <c r="U51" s="123"/>
      <c r="V51" s="123"/>
      <c r="W51" s="123"/>
      <c r="X51" s="123"/>
      <c r="Y51" s="34"/>
      <c r="Z51" s="151">
        <f>DATE(D54+1,4,30)</f>
        <v>43585</v>
      </c>
      <c r="AA51" s="146">
        <v>30</v>
      </c>
      <c r="AB51" s="152"/>
      <c r="AC51" s="112"/>
      <c r="AD51" s="112"/>
      <c r="AE51" s="112"/>
      <c r="AF51" s="112"/>
      <c r="AG51" s="34"/>
      <c r="AH51" s="151">
        <f>DATE(D54+1,5,30)</f>
        <v>43615</v>
      </c>
      <c r="AI51" s="146">
        <v>30</v>
      </c>
      <c r="AJ51" s="147"/>
      <c r="AK51" s="147"/>
      <c r="AL51" s="122" t="s">
        <v>38</v>
      </c>
      <c r="AM51" s="146"/>
      <c r="AN51" s="146"/>
      <c r="AO51" s="34"/>
      <c r="AP51" s="140">
        <f>DATE(D54+1,6,30)</f>
        <v>43646</v>
      </c>
      <c r="AQ51" s="137">
        <v>30</v>
      </c>
      <c r="AR51" s="123"/>
      <c r="AS51" s="123"/>
      <c r="AT51" s="123"/>
      <c r="AU51" s="123"/>
      <c r="AV51" s="123"/>
    </row>
    <row r="52" spans="2:67" s="28" customFormat="1" ht="12" customHeight="1">
      <c r="B52" s="139">
        <f>DATE(D54+1,1,31)</f>
        <v>43496</v>
      </c>
      <c r="C52" s="146">
        <v>31</v>
      </c>
      <c r="D52" s="111"/>
      <c r="E52" s="111"/>
      <c r="F52" s="111"/>
      <c r="G52" s="111"/>
      <c r="H52" s="111"/>
      <c r="I52" s="34"/>
      <c r="J52" s="34"/>
      <c r="K52" s="34"/>
      <c r="L52" s="34"/>
      <c r="M52" s="34"/>
      <c r="N52" s="34"/>
      <c r="O52" s="34"/>
      <c r="P52" s="34"/>
      <c r="Q52" s="34"/>
      <c r="R52" s="140">
        <f>DATE(D54+1,3,31)</f>
        <v>43555</v>
      </c>
      <c r="S52" s="123">
        <v>31</v>
      </c>
      <c r="T52" s="123"/>
      <c r="U52" s="123"/>
      <c r="V52" s="123"/>
      <c r="W52" s="123"/>
      <c r="X52" s="123"/>
      <c r="Y52" s="34"/>
      <c r="Z52" s="145"/>
      <c r="AA52" s="34"/>
      <c r="AB52" s="34"/>
      <c r="AC52" s="34"/>
      <c r="AD52" s="34"/>
      <c r="AE52" s="34"/>
      <c r="AF52" s="34"/>
      <c r="AG52" s="34"/>
      <c r="AH52" s="151">
        <f>DATE(D54+1,5,31)</f>
        <v>43616</v>
      </c>
      <c r="AI52" s="146">
        <v>31</v>
      </c>
      <c r="AJ52" s="133" t="s">
        <v>60</v>
      </c>
      <c r="AK52" s="120" t="s">
        <v>13</v>
      </c>
      <c r="AL52" s="124" t="s">
        <v>38</v>
      </c>
      <c r="AM52" s="111"/>
      <c r="AN52" s="111"/>
      <c r="AO52" s="34"/>
      <c r="AP52" s="145"/>
      <c r="AQ52" s="34"/>
      <c r="AR52" s="34"/>
      <c r="AS52" s="34"/>
      <c r="AT52" s="34"/>
      <c r="AU52" s="34"/>
      <c r="AV52" s="34"/>
      <c r="AW52" s="34"/>
      <c r="AX52" s="34"/>
      <c r="AY52" s="34"/>
    </row>
    <row r="53" spans="2:67" ht="12" customHeight="1">
      <c r="B53" s="36"/>
      <c r="C53" s="37"/>
      <c r="D53" s="37"/>
      <c r="E53" s="37"/>
      <c r="F53" s="37"/>
      <c r="G53" s="37"/>
      <c r="H53" s="37"/>
      <c r="I53" s="35"/>
      <c r="J53" s="38"/>
      <c r="K53" s="39"/>
      <c r="L53" s="39"/>
      <c r="M53" s="39"/>
      <c r="N53" s="39"/>
      <c r="O53" s="39"/>
      <c r="P53" s="39"/>
      <c r="Q53" s="34"/>
      <c r="R53" s="35"/>
      <c r="S53" s="35"/>
      <c r="T53" s="35"/>
      <c r="U53" s="35"/>
      <c r="V53" s="35"/>
      <c r="W53" s="35"/>
      <c r="X53" s="35"/>
      <c r="Y53" s="35"/>
      <c r="Z53" s="34"/>
      <c r="AA53" s="34"/>
      <c r="AB53" s="34"/>
      <c r="AC53" s="34"/>
      <c r="AD53" s="34"/>
      <c r="AE53" s="34"/>
      <c r="AF53" s="34"/>
      <c r="AG53" s="34"/>
      <c r="AH53" s="36"/>
      <c r="AI53" s="37"/>
      <c r="AJ53" s="37"/>
      <c r="AK53" s="37"/>
      <c r="AL53" s="37"/>
      <c r="AM53" s="37"/>
      <c r="AN53" s="37"/>
      <c r="AO53" s="34"/>
      <c r="AP53" s="40"/>
      <c r="AQ53" s="41"/>
      <c r="AR53" s="41"/>
      <c r="AS53" s="41"/>
      <c r="AT53" s="41"/>
      <c r="AU53" s="41"/>
      <c r="AV53" s="41"/>
    </row>
    <row r="54" spans="2:67" ht="12" customHeight="1" thickBot="1">
      <c r="B54" s="9"/>
      <c r="C54" s="10"/>
      <c r="D54" s="46" t="s">
        <v>33</v>
      </c>
      <c r="F54" s="44" t="s">
        <v>34</v>
      </c>
      <c r="G54" s="15"/>
      <c r="H54" s="57" t="s">
        <v>32</v>
      </c>
      <c r="J54" s="14"/>
      <c r="K54" s="33"/>
      <c r="L54" s="44" t="s">
        <v>34</v>
      </c>
      <c r="M54" s="15"/>
      <c r="N54" s="57" t="s">
        <v>32</v>
      </c>
      <c r="Q54" s="5"/>
      <c r="R54" s="5"/>
      <c r="S54" s="5"/>
      <c r="T54" s="44" t="s">
        <v>34</v>
      </c>
      <c r="U54" s="15"/>
      <c r="V54" s="57" t="s">
        <v>32</v>
      </c>
      <c r="Y54" s="5"/>
      <c r="Z54" s="14"/>
      <c r="AA54" s="39"/>
      <c r="AB54" s="44" t="s">
        <v>34</v>
      </c>
      <c r="AC54" s="15"/>
      <c r="AD54" s="57" t="s">
        <v>32</v>
      </c>
      <c r="AG54" s="5"/>
      <c r="AH54" s="9"/>
      <c r="AI54" s="37"/>
      <c r="AJ54" s="44" t="s">
        <v>34</v>
      </c>
      <c r="AK54" s="15"/>
      <c r="AL54" s="57" t="s">
        <v>32</v>
      </c>
      <c r="AM54" s="10"/>
      <c r="AN54" s="11"/>
      <c r="AO54" s="5"/>
      <c r="AP54" s="17"/>
      <c r="AQ54" s="18"/>
      <c r="AR54" s="44" t="s">
        <v>34</v>
      </c>
      <c r="AT54" s="57" t="s">
        <v>32</v>
      </c>
      <c r="AU54" s="18"/>
      <c r="AV54" s="57" t="s">
        <v>32</v>
      </c>
    </row>
    <row r="55" spans="2:67" s="49" customFormat="1" ht="16.5" customHeight="1" thickTop="1" thickBot="1">
      <c r="B55" s="21" t="s">
        <v>47</v>
      </c>
      <c r="D55" s="52">
        <f>'2018'!T3</f>
        <v>11</v>
      </c>
      <c r="F55" s="55">
        <f>SUM((COUNTIF(D22:H52,$F$2)/2),COUNTIF(D22:H52,$B$2))</f>
        <v>0</v>
      </c>
      <c r="H55" s="106">
        <f>D55-F55</f>
        <v>11</v>
      </c>
      <c r="J55" s="21" t="s">
        <v>47</v>
      </c>
      <c r="L55" s="55">
        <f>SUM((COUNTIF(L22:P52,$F$2)/2),COUNTIF(L22:P52,$B$2))</f>
        <v>4</v>
      </c>
      <c r="N55" s="106">
        <f>H55-L55</f>
        <v>7</v>
      </c>
      <c r="R55" s="21" t="s">
        <v>47</v>
      </c>
      <c r="T55" s="55">
        <f>SUM((COUNTIF(T22:X52,$F$2)/2),COUNTIF(T22:X52,$B$2))</f>
        <v>0</v>
      </c>
      <c r="V55" s="106">
        <f>N55-T55</f>
        <v>7</v>
      </c>
      <c r="Z55" s="21" t="s">
        <v>47</v>
      </c>
      <c r="AB55" s="55">
        <f>SUM((COUNTIF(AB22:AF52,$F$2)/2),COUNTIF(AB22:AF52,$B$2))</f>
        <v>4</v>
      </c>
      <c r="AD55" s="106">
        <f>V55-AB55</f>
        <v>3</v>
      </c>
      <c r="AH55" s="21" t="s">
        <v>47</v>
      </c>
      <c r="AJ55" s="55">
        <f>SUM((COUNTIF(AJ22:AN52,$F$2)/2),COUNTIF(AJ22:AN52,$B$2))</f>
        <v>0</v>
      </c>
      <c r="AL55" s="106">
        <f>AD55-AJ55</f>
        <v>3</v>
      </c>
      <c r="AM55" s="56"/>
      <c r="AN55" s="56"/>
      <c r="AP55" s="21" t="s">
        <v>47</v>
      </c>
      <c r="AR55" s="55">
        <f>SUM((COUNTIF(AR22:AV52,$F$2)/2),COUNTIF(AR22:AV52,$B$2))</f>
        <v>0.5</v>
      </c>
      <c r="AT55" s="55">
        <f>26-AR55</f>
        <v>25.5</v>
      </c>
      <c r="AU55" s="56"/>
      <c r="AV55" s="55">
        <f>AT55+ROUNDDOWN(AT55/5,0)-1</f>
        <v>29.5</v>
      </c>
    </row>
    <row r="56" spans="2:67" ht="16.5" customHeight="1" thickTop="1" thickBot="1">
      <c r="B56" s="9"/>
      <c r="C56" s="10"/>
      <c r="D56" s="107" t="s">
        <v>33</v>
      </c>
      <c r="E56" s="10"/>
      <c r="F56" s="44" t="s">
        <v>34</v>
      </c>
      <c r="G56" s="10"/>
      <c r="H56" s="44" t="s">
        <v>36</v>
      </c>
      <c r="I56" s="5"/>
      <c r="J56" s="9"/>
      <c r="K56" s="10"/>
      <c r="L56" s="44" t="s">
        <v>34</v>
      </c>
      <c r="M56" s="10"/>
      <c r="N56" s="44" t="s">
        <v>36</v>
      </c>
      <c r="O56" s="10"/>
      <c r="Q56" s="5"/>
      <c r="R56" s="9"/>
      <c r="S56" s="10"/>
      <c r="T56" s="44" t="s">
        <v>34</v>
      </c>
      <c r="U56" s="10"/>
      <c r="V56" s="44" t="s">
        <v>36</v>
      </c>
      <c r="Y56" s="5"/>
      <c r="Z56" s="9"/>
      <c r="AA56" s="10"/>
      <c r="AB56" s="44" t="s">
        <v>34</v>
      </c>
      <c r="AC56" s="10"/>
      <c r="AD56" s="44" t="s">
        <v>36</v>
      </c>
      <c r="AE56" s="10"/>
      <c r="AG56" s="5"/>
      <c r="AH56" s="9"/>
      <c r="AI56" s="10"/>
      <c r="AJ56" s="44" t="s">
        <v>34</v>
      </c>
      <c r="AK56" s="10"/>
      <c r="AL56" s="44" t="s">
        <v>36</v>
      </c>
      <c r="AO56" s="5"/>
      <c r="AP56" s="9"/>
      <c r="AQ56" s="10"/>
      <c r="AR56" s="44" t="s">
        <v>34</v>
      </c>
      <c r="AS56" s="10"/>
      <c r="AT56" s="44" t="s">
        <v>36</v>
      </c>
      <c r="AU56" s="10"/>
      <c r="AV56" s="10"/>
    </row>
    <row r="57" spans="2:67" s="50" customFormat="1" ht="16.5" customHeight="1" thickTop="1" thickBot="1">
      <c r="B57" s="48" t="s">
        <v>13</v>
      </c>
      <c r="C57" s="51"/>
      <c r="D57" s="54">
        <v>3</v>
      </c>
      <c r="E57" s="53"/>
      <c r="F57" s="54">
        <f>COUNTIF(D22:H52,$B$6)+COUNTIF(D22:H52,$F$6)/2</f>
        <v>2</v>
      </c>
      <c r="G57" s="51"/>
      <c r="H57" s="54">
        <f>D57-F57</f>
        <v>1</v>
      </c>
      <c r="J57" s="48" t="s">
        <v>13</v>
      </c>
      <c r="K57" s="51"/>
      <c r="L57" s="54">
        <f>COUNTIF(L22:P52,$B$6)+COUNTIF(L22:P52,$F$6)/2</f>
        <v>1</v>
      </c>
      <c r="M57" s="51"/>
      <c r="N57" s="54">
        <f>1+H57-L57</f>
        <v>1</v>
      </c>
      <c r="O57" s="51"/>
      <c r="R57" s="48" t="s">
        <v>13</v>
      </c>
      <c r="S57" s="51"/>
      <c r="T57" s="54">
        <f>COUNTIF(T22:X52,$B$6)+COUNTIF(T22:X52,$F$6)/2</f>
        <v>0</v>
      </c>
      <c r="U57" s="51"/>
      <c r="V57" s="54">
        <f>1+N57-T57</f>
        <v>2</v>
      </c>
      <c r="Z57" s="48" t="s">
        <v>13</v>
      </c>
      <c r="AA57" s="51"/>
      <c r="AB57" s="54">
        <f>COUNTIF(AB22:AF52,$B$6)+COUNTIF(AB22:AF52,$F$6)/2</f>
        <v>1</v>
      </c>
      <c r="AC57" s="51"/>
      <c r="AD57" s="54">
        <f>1+V57-AB57</f>
        <v>2</v>
      </c>
      <c r="AE57" s="51"/>
      <c r="AH57" s="48" t="s">
        <v>13</v>
      </c>
      <c r="AI57" s="51"/>
      <c r="AJ57" s="54">
        <f>COUNTIF(AJ22:AN52,$B$6)+COUNTIF(AJ22:AN52,$F$6)/2</f>
        <v>1</v>
      </c>
      <c r="AK57" s="51"/>
      <c r="AL57" s="54">
        <f>1+AD57-AJ57</f>
        <v>2</v>
      </c>
      <c r="AP57" s="48" t="s">
        <v>13</v>
      </c>
      <c r="AQ57" s="51"/>
      <c r="AR57" s="54">
        <f>COUNTIF(AR22:AV52,$B$6)+COUNTIF(AR22:AV52,$F$6)/2</f>
        <v>1.5</v>
      </c>
      <c r="AS57" s="51"/>
      <c r="AT57" s="54">
        <f>1+AL57-AR57</f>
        <v>1.5</v>
      </c>
      <c r="AU57" s="51"/>
      <c r="AV57" s="51"/>
    </row>
    <row r="58" spans="2:67" ht="12" customHeight="1" thickTop="1">
      <c r="B58" s="9"/>
      <c r="C58" s="10"/>
      <c r="D58" s="10"/>
      <c r="E58" s="10"/>
      <c r="F58" s="10"/>
      <c r="G58" s="10"/>
      <c r="H58" s="11"/>
      <c r="I58" s="5"/>
      <c r="J58" s="14"/>
      <c r="K58" s="33"/>
      <c r="L58" s="15"/>
      <c r="M58" s="15"/>
      <c r="N58" s="15"/>
      <c r="O58" s="15"/>
      <c r="P58" s="16"/>
      <c r="Q58" s="5"/>
      <c r="R58" s="9"/>
      <c r="S58" s="12"/>
      <c r="T58" s="12"/>
      <c r="U58" s="12"/>
      <c r="V58" s="12"/>
      <c r="W58" s="12"/>
      <c r="X58" s="13"/>
      <c r="Y58" s="5"/>
      <c r="Z58" s="14"/>
      <c r="AA58" s="39"/>
      <c r="AB58" s="15"/>
      <c r="AC58" s="15"/>
      <c r="AD58" s="15"/>
      <c r="AE58" s="15"/>
      <c r="AF58" s="16"/>
      <c r="AG58" s="5"/>
      <c r="AH58" s="9"/>
      <c r="AI58" s="37"/>
      <c r="AJ58" s="10"/>
      <c r="AK58" s="10"/>
      <c r="AL58" s="10"/>
      <c r="AM58" s="10"/>
      <c r="AN58" s="11"/>
      <c r="AO58" s="5"/>
      <c r="AP58" s="17"/>
      <c r="AQ58" s="18"/>
      <c r="AR58" s="18"/>
      <c r="AS58" s="18"/>
      <c r="AT58" s="18"/>
      <c r="AU58" s="18"/>
      <c r="AV58" s="19"/>
    </row>
    <row r="59" spans="2:67" ht="12" customHeight="1">
      <c r="BO59" s="60"/>
    </row>
    <row r="60" spans="2:67" ht="12" customHeight="1">
      <c r="BO60" s="60"/>
    </row>
    <row r="61" spans="2:67" ht="30.75" customHeight="1">
      <c r="B61" s="273" t="s">
        <v>18</v>
      </c>
      <c r="C61" s="274"/>
      <c r="D61" s="274"/>
      <c r="E61" s="274"/>
      <c r="F61" s="274"/>
      <c r="G61" s="274"/>
      <c r="H61" s="274"/>
      <c r="I61" s="68"/>
      <c r="J61" s="265" t="s">
        <v>19</v>
      </c>
      <c r="K61" s="266"/>
      <c r="L61" s="266"/>
      <c r="M61" s="266"/>
      <c r="N61" s="266"/>
      <c r="O61" s="266"/>
      <c r="P61" s="266"/>
      <c r="Q61" s="20"/>
      <c r="R61" s="265" t="s">
        <v>20</v>
      </c>
      <c r="S61" s="266"/>
      <c r="T61" s="266"/>
      <c r="U61" s="266"/>
      <c r="V61" s="266"/>
      <c r="W61" s="266"/>
      <c r="X61" s="266"/>
      <c r="Y61" s="20"/>
      <c r="Z61" s="265" t="s">
        <v>21</v>
      </c>
      <c r="AA61" s="266"/>
      <c r="AB61" s="266"/>
      <c r="AC61" s="266"/>
      <c r="AD61" s="266"/>
      <c r="AE61" s="266"/>
      <c r="AF61" s="266"/>
      <c r="AG61" s="20"/>
      <c r="AH61" s="265" t="s">
        <v>22</v>
      </c>
      <c r="AI61" s="266"/>
      <c r="AJ61" s="266"/>
      <c r="AK61" s="266"/>
      <c r="AL61" s="266"/>
      <c r="AM61" s="266"/>
      <c r="AN61" s="266"/>
      <c r="AO61" s="20"/>
      <c r="AP61" s="265" t="s">
        <v>23</v>
      </c>
      <c r="AQ61" s="266"/>
      <c r="AR61" s="266"/>
      <c r="AS61" s="266"/>
      <c r="AT61" s="266"/>
      <c r="AU61" s="266"/>
      <c r="AV61" s="266"/>
    </row>
    <row r="62" spans="2:67" s="28" customFormat="1" ht="12" customHeight="1">
      <c r="B62" s="30"/>
      <c r="C62" s="3"/>
      <c r="D62" s="3"/>
      <c r="E62" s="3"/>
      <c r="F62" s="3"/>
      <c r="G62" s="3"/>
      <c r="H62" s="3"/>
      <c r="I62" s="26"/>
      <c r="J62" s="3"/>
      <c r="K62" s="32"/>
      <c r="L62" s="3"/>
      <c r="M62" s="3"/>
      <c r="N62" s="3"/>
      <c r="O62" s="3"/>
      <c r="P62" s="3"/>
      <c r="Q62" s="3"/>
      <c r="R62" s="3"/>
      <c r="S62" s="3"/>
      <c r="T62" s="3"/>
      <c r="U62" s="3"/>
      <c r="V62" s="3"/>
      <c r="W62" s="3"/>
      <c r="X62" s="3"/>
      <c r="Y62" s="3"/>
      <c r="Z62" s="3"/>
      <c r="AA62" s="34"/>
      <c r="AB62" s="3"/>
      <c r="AC62" s="3"/>
      <c r="AD62" s="3"/>
      <c r="AE62" s="3"/>
      <c r="AF62" s="3"/>
      <c r="AG62" s="3"/>
      <c r="AH62" s="3"/>
      <c r="AI62" s="34"/>
      <c r="AJ62" s="3"/>
      <c r="AK62" s="3"/>
      <c r="AL62" s="3"/>
      <c r="AM62" s="3"/>
      <c r="AN62" s="3"/>
      <c r="AO62" s="3"/>
      <c r="AP62" s="3"/>
      <c r="AQ62" s="3"/>
      <c r="AR62" s="3"/>
      <c r="AS62" s="3"/>
      <c r="AT62" s="3"/>
      <c r="AU62" s="3"/>
      <c r="AV62" s="3"/>
      <c r="AW62" s="3"/>
      <c r="AX62" s="3"/>
      <c r="AY62" s="3"/>
    </row>
    <row r="63" spans="2:67" s="28" customFormat="1" ht="12" customHeight="1">
      <c r="B63" s="139">
        <f>DATE(D54+1,7,1)</f>
        <v>43647</v>
      </c>
      <c r="C63" s="153">
        <v>1</v>
      </c>
      <c r="D63" s="113"/>
      <c r="E63" s="113"/>
      <c r="F63" s="113"/>
      <c r="G63" s="113"/>
      <c r="H63" s="113"/>
      <c r="I63" s="26"/>
      <c r="J63" s="139">
        <f>DATE(D54+1,8,1)</f>
        <v>43678</v>
      </c>
      <c r="K63" s="153">
        <v>1</v>
      </c>
      <c r="L63" s="113"/>
      <c r="M63" s="113"/>
      <c r="N63" s="113"/>
      <c r="O63" s="113"/>
      <c r="P63" s="113"/>
      <c r="Q63" s="3"/>
      <c r="R63" s="149">
        <f>DATE(D54+1,9,1)</f>
        <v>43709</v>
      </c>
      <c r="S63" s="141">
        <v>1</v>
      </c>
      <c r="T63" s="123"/>
      <c r="U63" s="123"/>
      <c r="V63" s="123"/>
      <c r="W63" s="123"/>
      <c r="X63" s="123"/>
      <c r="Y63" s="3"/>
      <c r="Z63" s="139">
        <f>DATE(D54+1,10,1)</f>
        <v>43739</v>
      </c>
      <c r="AA63" s="146">
        <v>1</v>
      </c>
      <c r="AB63" s="113"/>
      <c r="AC63" s="113"/>
      <c r="AD63" s="113"/>
      <c r="AE63" s="113"/>
      <c r="AF63" s="113"/>
      <c r="AG63" s="3"/>
      <c r="AH63" s="139">
        <f>DATE(D54+1,11,1)</f>
        <v>43770</v>
      </c>
      <c r="AI63" s="153">
        <v>1</v>
      </c>
      <c r="AJ63" s="131" t="s">
        <v>66</v>
      </c>
      <c r="AK63" s="146"/>
      <c r="AL63" s="146"/>
      <c r="AM63" s="146"/>
      <c r="AN63" s="146"/>
      <c r="AO63" s="3"/>
      <c r="AP63" s="149">
        <f>DATE(D54+1,12,1)</f>
        <v>43800</v>
      </c>
      <c r="AQ63" s="141">
        <v>1</v>
      </c>
      <c r="AR63" s="123"/>
      <c r="AS63" s="123"/>
      <c r="AT63" s="123"/>
      <c r="AU63" s="123"/>
      <c r="AV63" s="123"/>
    </row>
    <row r="64" spans="2:67" s="28" customFormat="1" ht="12" customHeight="1">
      <c r="B64" s="139">
        <f>DATE(D54+1,7,2)</f>
        <v>43648</v>
      </c>
      <c r="C64" s="153">
        <v>2</v>
      </c>
      <c r="D64" s="113"/>
      <c r="E64" s="113"/>
      <c r="F64" s="113"/>
      <c r="G64" s="113"/>
      <c r="H64" s="113"/>
      <c r="I64" s="26"/>
      <c r="J64" s="139">
        <f>DATE(D54+1,8,2)</f>
        <v>43679</v>
      </c>
      <c r="K64" s="153">
        <v>2</v>
      </c>
      <c r="L64" s="115"/>
      <c r="M64" s="115"/>
      <c r="N64" s="115"/>
      <c r="O64" s="115"/>
      <c r="P64" s="115"/>
      <c r="Q64" s="3"/>
      <c r="R64" s="139">
        <f>DATE(D54+1,9,2)</f>
        <v>43710</v>
      </c>
      <c r="S64" s="153">
        <v>2</v>
      </c>
      <c r="T64" s="113"/>
      <c r="U64" s="113"/>
      <c r="V64" s="113"/>
      <c r="W64" s="113"/>
      <c r="X64" s="113"/>
      <c r="Y64" s="3"/>
      <c r="Z64" s="139">
        <f>DATE(D54+1,10,2)</f>
        <v>43740</v>
      </c>
      <c r="AA64" s="146">
        <v>2</v>
      </c>
      <c r="AB64" s="113"/>
      <c r="AC64" s="113"/>
      <c r="AD64" s="113"/>
      <c r="AE64" s="113"/>
      <c r="AF64" s="113"/>
      <c r="AG64" s="3"/>
      <c r="AH64" s="149">
        <f>DATE(D54+1,11,2)</f>
        <v>43771</v>
      </c>
      <c r="AI64" s="123">
        <v>2</v>
      </c>
      <c r="AJ64" s="131" t="s">
        <v>66</v>
      </c>
      <c r="AK64" s="123"/>
      <c r="AL64" s="123"/>
      <c r="AM64" s="123"/>
      <c r="AN64" s="123"/>
      <c r="AO64" s="3"/>
      <c r="AP64" s="139">
        <f>DATE(D54+1,12,2)</f>
        <v>43801</v>
      </c>
      <c r="AQ64" s="153">
        <v>2</v>
      </c>
      <c r="AR64" s="113"/>
      <c r="AS64" s="113"/>
      <c r="AT64" s="113"/>
      <c r="AU64" s="113"/>
      <c r="AV64" s="113"/>
    </row>
    <row r="65" spans="2:48" s="28" customFormat="1" ht="12" customHeight="1">
      <c r="B65" s="139">
        <f>DATE(D54+1,7,3)</f>
        <v>43649</v>
      </c>
      <c r="C65" s="153">
        <v>3</v>
      </c>
      <c r="D65" s="113"/>
      <c r="E65" s="113"/>
      <c r="F65" s="113"/>
      <c r="G65" s="113"/>
      <c r="H65" s="113"/>
      <c r="I65" s="26"/>
      <c r="J65" s="149">
        <f>DATE(D54+1,8,3)</f>
        <v>43680</v>
      </c>
      <c r="K65" s="141">
        <v>3</v>
      </c>
      <c r="L65" s="123"/>
      <c r="M65" s="122" t="s">
        <v>38</v>
      </c>
      <c r="N65" s="123"/>
      <c r="O65" s="123"/>
      <c r="P65" s="123"/>
      <c r="Q65" s="3"/>
      <c r="R65" s="139">
        <f>DATE(D54+1,9,3)</f>
        <v>43711</v>
      </c>
      <c r="S65" s="153">
        <v>3</v>
      </c>
      <c r="T65" s="113"/>
      <c r="U65" s="113"/>
      <c r="V65" s="113"/>
      <c r="W65" s="113"/>
      <c r="X65" s="113"/>
      <c r="Y65" s="3"/>
      <c r="Z65" s="139">
        <f>DATE(D54+1,10,3)</f>
        <v>43741</v>
      </c>
      <c r="AA65" s="146">
        <v>3</v>
      </c>
      <c r="AB65" s="113"/>
      <c r="AC65" s="113"/>
      <c r="AD65" s="113"/>
      <c r="AE65" s="113"/>
      <c r="AF65" s="113"/>
      <c r="AG65" s="3"/>
      <c r="AH65" s="149">
        <f>DATE(D54+1,11,3)</f>
        <v>43772</v>
      </c>
      <c r="AI65" s="123">
        <v>3</v>
      </c>
      <c r="AJ65" s="127" t="s">
        <v>66</v>
      </c>
      <c r="AK65" s="123"/>
      <c r="AL65" s="123"/>
      <c r="AM65" s="123"/>
      <c r="AN65" s="123"/>
      <c r="AO65" s="3"/>
      <c r="AP65" s="139">
        <f>DATE(D54+1,12,3)</f>
        <v>43802</v>
      </c>
      <c r="AQ65" s="153">
        <v>3</v>
      </c>
      <c r="AR65" s="113"/>
      <c r="AS65" s="113"/>
      <c r="AT65" s="113"/>
      <c r="AU65" s="113"/>
      <c r="AV65" s="113"/>
    </row>
    <row r="66" spans="2:48" s="28" customFormat="1" ht="12" customHeight="1">
      <c r="B66" s="139">
        <f>DATE(D54+1,7,4)</f>
        <v>43650</v>
      </c>
      <c r="C66" s="153">
        <v>4</v>
      </c>
      <c r="D66" s="113"/>
      <c r="E66" s="113"/>
      <c r="F66" s="113"/>
      <c r="G66" s="113"/>
      <c r="H66" s="113"/>
      <c r="I66" s="26"/>
      <c r="J66" s="149">
        <f>DATE(D54+1,8,4)</f>
        <v>43681</v>
      </c>
      <c r="K66" s="141">
        <v>4</v>
      </c>
      <c r="L66" s="123"/>
      <c r="M66" s="122" t="s">
        <v>38</v>
      </c>
      <c r="N66" s="137"/>
      <c r="O66" s="123"/>
      <c r="P66" s="123"/>
      <c r="Q66" s="3"/>
      <c r="R66" s="139">
        <f>DATE(D54+1,9,4)</f>
        <v>43712</v>
      </c>
      <c r="S66" s="153">
        <v>4</v>
      </c>
      <c r="T66" s="113"/>
      <c r="U66" s="113"/>
      <c r="V66" s="113"/>
      <c r="W66" s="113"/>
      <c r="X66" s="113"/>
      <c r="Y66" s="3"/>
      <c r="Z66" s="139">
        <f>DATE(D54+1,10,4)</f>
        <v>43742</v>
      </c>
      <c r="AA66" s="146">
        <v>4</v>
      </c>
      <c r="AB66" s="113"/>
      <c r="AC66" s="113"/>
      <c r="AD66" s="113"/>
      <c r="AE66" s="113"/>
      <c r="AF66" s="113"/>
      <c r="AG66" s="3"/>
      <c r="AH66" s="139">
        <f>DATE(D54+1,11,4)</f>
        <v>43773</v>
      </c>
      <c r="AI66" s="146">
        <v>4</v>
      </c>
      <c r="AJ66" s="126"/>
      <c r="AK66" s="113"/>
      <c r="AL66" s="113"/>
      <c r="AM66" s="113"/>
      <c r="AN66" s="113"/>
      <c r="AO66" s="3"/>
      <c r="AP66" s="139">
        <f>DATE(D54+1,12,4)</f>
        <v>43803</v>
      </c>
      <c r="AQ66" s="153">
        <v>4</v>
      </c>
      <c r="AR66" s="113"/>
      <c r="AS66" s="113"/>
      <c r="AT66" s="113"/>
      <c r="AU66" s="113"/>
      <c r="AV66" s="113"/>
    </row>
    <row r="67" spans="2:48" s="28" customFormat="1" ht="12" customHeight="1">
      <c r="B67" s="139">
        <f>DATE(D54+1,7,5)</f>
        <v>43651</v>
      </c>
      <c r="C67" s="153">
        <v>5</v>
      </c>
      <c r="D67" s="113"/>
      <c r="E67" s="113"/>
      <c r="F67" s="113"/>
      <c r="G67" s="113"/>
      <c r="H67" s="113"/>
      <c r="I67" s="26"/>
      <c r="J67" s="139">
        <f>DATE(D54+1,8,5)</f>
        <v>43682</v>
      </c>
      <c r="K67" s="153">
        <v>5</v>
      </c>
      <c r="L67" s="113"/>
      <c r="M67" s="122" t="s">
        <v>38</v>
      </c>
      <c r="N67" s="117" t="s">
        <v>37</v>
      </c>
      <c r="O67" s="113"/>
      <c r="P67" s="113"/>
      <c r="Q67" s="3"/>
      <c r="R67" s="139">
        <f>DATE(D54+1,9,5)</f>
        <v>43713</v>
      </c>
      <c r="S67" s="153">
        <v>5</v>
      </c>
      <c r="T67" s="113"/>
      <c r="U67" s="113"/>
      <c r="V67" s="113"/>
      <c r="W67" s="113"/>
      <c r="X67" s="113"/>
      <c r="Y67" s="3"/>
      <c r="Z67" s="149">
        <f>DATE(D54+1,10,5)</f>
        <v>43743</v>
      </c>
      <c r="AA67" s="123">
        <v>5</v>
      </c>
      <c r="AB67" s="123"/>
      <c r="AC67" s="123"/>
      <c r="AD67" s="123"/>
      <c r="AE67" s="123"/>
      <c r="AF67" s="123"/>
      <c r="AG67" s="3"/>
      <c r="AH67" s="139">
        <f>DATE(D54+1,11,5)</f>
        <v>43774</v>
      </c>
      <c r="AI67" s="146">
        <v>5</v>
      </c>
      <c r="AJ67" s="113"/>
      <c r="AK67" s="113"/>
      <c r="AL67" s="113"/>
      <c r="AM67" s="113"/>
      <c r="AN67" s="113"/>
      <c r="AO67" s="3"/>
      <c r="AP67" s="139">
        <f>DATE(D54+1,12,5)</f>
        <v>43804</v>
      </c>
      <c r="AQ67" s="153">
        <v>5</v>
      </c>
      <c r="AR67" s="113"/>
      <c r="AS67" s="113"/>
      <c r="AT67" s="113"/>
      <c r="AU67" s="113"/>
      <c r="AV67" s="113"/>
    </row>
    <row r="68" spans="2:48" s="28" customFormat="1" ht="12" customHeight="1">
      <c r="B68" s="149">
        <f>DATE(D54+1,7,6)</f>
        <v>43652</v>
      </c>
      <c r="C68" s="141">
        <v>6</v>
      </c>
      <c r="D68" s="123"/>
      <c r="E68" s="123"/>
      <c r="F68" s="123"/>
      <c r="G68" s="123"/>
      <c r="H68" s="123"/>
      <c r="I68" s="26"/>
      <c r="J68" s="139">
        <f>DATE(D54+1,8,6)</f>
        <v>43683</v>
      </c>
      <c r="K68" s="153">
        <v>6</v>
      </c>
      <c r="L68" s="113"/>
      <c r="M68" s="122" t="s">
        <v>38</v>
      </c>
      <c r="N68" s="117" t="s">
        <v>37</v>
      </c>
      <c r="O68" s="113"/>
      <c r="P68" s="113"/>
      <c r="Q68" s="3"/>
      <c r="R68" s="139">
        <f>DATE(D54+1,9,6)</f>
        <v>43714</v>
      </c>
      <c r="S68" s="153">
        <v>6</v>
      </c>
      <c r="T68" s="113"/>
      <c r="U68" s="113"/>
      <c r="V68" s="113"/>
      <c r="W68" s="113"/>
      <c r="X68" s="113"/>
      <c r="Y68" s="3"/>
      <c r="Z68" s="149">
        <f>DATE(D54+1,10,6)</f>
        <v>43744</v>
      </c>
      <c r="AA68" s="123">
        <v>6</v>
      </c>
      <c r="AB68" s="123"/>
      <c r="AC68" s="123"/>
      <c r="AD68" s="123"/>
      <c r="AE68" s="123"/>
      <c r="AF68" s="123"/>
      <c r="AG68" s="3"/>
      <c r="AH68" s="139">
        <f>DATE(D54+1,11,6)</f>
        <v>43775</v>
      </c>
      <c r="AI68" s="146">
        <v>6</v>
      </c>
      <c r="AJ68" s="113"/>
      <c r="AK68" s="113"/>
      <c r="AL68" s="113"/>
      <c r="AM68" s="113"/>
      <c r="AN68" s="113"/>
      <c r="AO68" s="3"/>
      <c r="AP68" s="139">
        <f>DATE(D54+1,12,6)</f>
        <v>43805</v>
      </c>
      <c r="AQ68" s="153">
        <v>6</v>
      </c>
      <c r="AR68" s="113"/>
      <c r="AS68" s="113"/>
      <c r="AT68" s="113"/>
      <c r="AU68" s="113"/>
      <c r="AV68" s="113"/>
    </row>
    <row r="69" spans="2:48" s="28" customFormat="1" ht="12" customHeight="1">
      <c r="B69" s="149">
        <f>DATE(D54+1,7,7)</f>
        <v>43653</v>
      </c>
      <c r="C69" s="141">
        <v>7</v>
      </c>
      <c r="D69" s="123"/>
      <c r="E69" s="123"/>
      <c r="F69" s="123"/>
      <c r="G69" s="123"/>
      <c r="H69" s="123"/>
      <c r="I69" s="26"/>
      <c r="J69" s="139">
        <f>DATE(D54+1,8,7)</f>
        <v>43684</v>
      </c>
      <c r="K69" s="153">
        <v>7</v>
      </c>
      <c r="L69" s="113"/>
      <c r="M69" s="122" t="s">
        <v>38</v>
      </c>
      <c r="N69" s="117" t="s">
        <v>37</v>
      </c>
      <c r="O69" s="113"/>
      <c r="P69" s="113"/>
      <c r="Q69" s="3"/>
      <c r="R69" s="149">
        <f>DATE(D54+1,9,7)</f>
        <v>43715</v>
      </c>
      <c r="S69" s="141">
        <v>7</v>
      </c>
      <c r="T69" s="123"/>
      <c r="U69" s="123"/>
      <c r="V69" s="123"/>
      <c r="W69" s="123"/>
      <c r="X69" s="123"/>
      <c r="Y69" s="3"/>
      <c r="Z69" s="139">
        <f>DATE(D54+1,10,7)</f>
        <v>43745</v>
      </c>
      <c r="AA69" s="146">
        <v>7</v>
      </c>
      <c r="AB69" s="113"/>
      <c r="AC69" s="113"/>
      <c r="AD69" s="113"/>
      <c r="AE69" s="113"/>
      <c r="AF69" s="113"/>
      <c r="AG69" s="3"/>
      <c r="AH69" s="139">
        <f>DATE(D54+1,11,7)</f>
        <v>43776</v>
      </c>
      <c r="AI69" s="146">
        <v>7</v>
      </c>
      <c r="AJ69" s="113"/>
      <c r="AK69" s="113"/>
      <c r="AL69" s="113"/>
      <c r="AM69" s="113"/>
      <c r="AN69" s="113"/>
      <c r="AO69" s="3"/>
      <c r="AP69" s="193">
        <f>DATE(D54+1,12,7)</f>
        <v>43806</v>
      </c>
      <c r="AQ69" s="141">
        <v>7</v>
      </c>
      <c r="AR69" s="122" t="s">
        <v>38</v>
      </c>
      <c r="AS69" s="123"/>
      <c r="AT69" s="123"/>
      <c r="AU69" s="123"/>
      <c r="AV69" s="123"/>
    </row>
    <row r="70" spans="2:48" s="28" customFormat="1" ht="12" customHeight="1">
      <c r="B70" s="139">
        <f>DATE(D54+1,7,8)</f>
        <v>43654</v>
      </c>
      <c r="C70" s="153">
        <v>8</v>
      </c>
      <c r="D70" s="113"/>
      <c r="E70" s="113"/>
      <c r="F70" s="113"/>
      <c r="G70" s="113"/>
      <c r="H70" s="113"/>
      <c r="I70" s="26"/>
      <c r="J70" s="139">
        <f>DATE(D54+1,8,8)</f>
        <v>43685</v>
      </c>
      <c r="K70" s="153">
        <v>8</v>
      </c>
      <c r="L70" s="113"/>
      <c r="M70" s="122" t="s">
        <v>38</v>
      </c>
      <c r="N70" s="117" t="s">
        <v>37</v>
      </c>
      <c r="O70" s="113"/>
      <c r="P70" s="113"/>
      <c r="Q70" s="3"/>
      <c r="R70" s="149">
        <f>DATE(D54+1,9,8)</f>
        <v>43716</v>
      </c>
      <c r="S70" s="141">
        <v>8</v>
      </c>
      <c r="T70" s="123"/>
      <c r="U70" s="123"/>
      <c r="V70" s="123"/>
      <c r="W70" s="123"/>
      <c r="X70" s="123"/>
      <c r="Y70" s="3"/>
      <c r="Z70" s="139">
        <f>DATE(D54+1,10,8)</f>
        <v>43746</v>
      </c>
      <c r="AA70" s="146">
        <v>8</v>
      </c>
      <c r="AB70" s="113"/>
      <c r="AC70" s="113"/>
      <c r="AD70" s="113"/>
      <c r="AE70" s="113"/>
      <c r="AF70" s="113"/>
      <c r="AG70" s="3"/>
      <c r="AH70" s="139">
        <f>DATE(D54+1,11,8)</f>
        <v>43777</v>
      </c>
      <c r="AI70" s="146">
        <v>8</v>
      </c>
      <c r="AJ70" s="113"/>
      <c r="AK70" s="113"/>
      <c r="AL70" s="113"/>
      <c r="AM70" s="113"/>
      <c r="AN70" s="113"/>
      <c r="AO70" s="3"/>
      <c r="AP70" s="193">
        <f>DATE(D54+1,12,8)</f>
        <v>43807</v>
      </c>
      <c r="AQ70" s="141">
        <v>8</v>
      </c>
      <c r="AR70" s="122" t="s">
        <v>38</v>
      </c>
      <c r="AS70" s="123"/>
      <c r="AT70" s="123"/>
      <c r="AU70" s="123"/>
      <c r="AV70" s="123"/>
    </row>
    <row r="71" spans="2:48" s="28" customFormat="1" ht="12" customHeight="1">
      <c r="B71" s="139">
        <f>DATE(D54+1,7,9)</f>
        <v>43655</v>
      </c>
      <c r="C71" s="153">
        <v>9</v>
      </c>
      <c r="D71" s="120" t="s">
        <v>13</v>
      </c>
      <c r="E71" s="113"/>
      <c r="F71" s="113"/>
      <c r="G71" s="113"/>
      <c r="H71" s="113"/>
      <c r="I71" s="26"/>
      <c r="J71" s="139">
        <f>DATE(D54+1,8,9)</f>
        <v>43686</v>
      </c>
      <c r="K71" s="153">
        <v>9</v>
      </c>
      <c r="L71" s="113"/>
      <c r="M71" s="122" t="s">
        <v>38</v>
      </c>
      <c r="N71" s="125" t="s">
        <v>37</v>
      </c>
      <c r="O71" s="113"/>
      <c r="P71" s="113"/>
      <c r="Q71" s="3"/>
      <c r="R71" s="139">
        <f>DATE(D54+1,9,9)</f>
        <v>43717</v>
      </c>
      <c r="S71" s="153">
        <v>9</v>
      </c>
      <c r="T71" s="113"/>
      <c r="U71" s="113"/>
      <c r="V71" s="113"/>
      <c r="W71" s="113"/>
      <c r="X71" s="113"/>
      <c r="Y71" s="3"/>
      <c r="Z71" s="139">
        <f>DATE(D54+1,10,9)</f>
        <v>43747</v>
      </c>
      <c r="AA71" s="146">
        <v>9</v>
      </c>
      <c r="AB71" s="113"/>
      <c r="AC71" s="128"/>
      <c r="AD71" s="113"/>
      <c r="AE71" s="113"/>
      <c r="AF71" s="113"/>
      <c r="AG71" s="3"/>
      <c r="AH71" s="193">
        <f>DATE(D54+1,11,9)</f>
        <v>43778</v>
      </c>
      <c r="AI71" s="123">
        <v>9</v>
      </c>
      <c r="AJ71" s="123"/>
      <c r="AK71" s="123"/>
      <c r="AL71" s="123"/>
      <c r="AM71" s="123"/>
      <c r="AN71" s="123"/>
      <c r="AO71" s="3"/>
      <c r="AP71" s="139">
        <f>DATE(D54+1,12,9)</f>
        <v>43808</v>
      </c>
      <c r="AQ71" s="153">
        <v>9</v>
      </c>
      <c r="AR71" s="122" t="s">
        <v>38</v>
      </c>
      <c r="AS71" s="113"/>
      <c r="AT71" s="113"/>
      <c r="AU71" s="113"/>
      <c r="AV71" s="113"/>
    </row>
    <row r="72" spans="2:48" s="28" customFormat="1" ht="12" customHeight="1">
      <c r="B72" s="139">
        <f>DATE(D54+1,7,10)</f>
        <v>43656</v>
      </c>
      <c r="C72" s="153">
        <v>10</v>
      </c>
      <c r="D72" s="126"/>
      <c r="E72" s="113"/>
      <c r="F72" s="113"/>
      <c r="G72" s="113"/>
      <c r="H72" s="113"/>
      <c r="I72" s="26"/>
      <c r="J72" s="149">
        <f>DATE(D54+1,8,10)</f>
        <v>43687</v>
      </c>
      <c r="K72" s="141">
        <v>10</v>
      </c>
      <c r="L72" s="123"/>
      <c r="M72" s="122" t="s">
        <v>38</v>
      </c>
      <c r="N72" s="143"/>
      <c r="O72" s="123"/>
      <c r="P72" s="123"/>
      <c r="Q72" s="3"/>
      <c r="R72" s="139">
        <f>DATE(D54+1,9,10)</f>
        <v>43718</v>
      </c>
      <c r="S72" s="153">
        <v>10</v>
      </c>
      <c r="T72" s="113"/>
      <c r="U72" s="113"/>
      <c r="V72" s="113"/>
      <c r="W72" s="113"/>
      <c r="X72" s="113"/>
      <c r="Y72" s="3"/>
      <c r="Z72" s="139">
        <f>DATE(D54+1,10,10)</f>
        <v>43748</v>
      </c>
      <c r="AA72" s="146">
        <v>10</v>
      </c>
      <c r="AB72" s="113"/>
      <c r="AC72" s="126"/>
      <c r="AD72" s="113"/>
      <c r="AE72" s="113"/>
      <c r="AF72" s="113"/>
      <c r="AG72" s="3"/>
      <c r="AH72" s="193">
        <f>DATE(D54+1,11,10)</f>
        <v>43779</v>
      </c>
      <c r="AI72" s="123">
        <v>10</v>
      </c>
      <c r="AJ72" s="123"/>
      <c r="AK72" s="123"/>
      <c r="AL72" s="123"/>
      <c r="AM72" s="123"/>
      <c r="AN72" s="123"/>
      <c r="AO72" s="3"/>
      <c r="AP72" s="139">
        <f>DATE(D54+1,12,10)</f>
        <v>43809</v>
      </c>
      <c r="AQ72" s="153">
        <v>10</v>
      </c>
      <c r="AR72" s="122" t="s">
        <v>38</v>
      </c>
      <c r="AS72" s="113"/>
      <c r="AT72" s="113"/>
      <c r="AU72" s="113"/>
      <c r="AV72" s="113"/>
    </row>
    <row r="73" spans="2:48" s="28" customFormat="1" ht="12" customHeight="1">
      <c r="B73" s="139">
        <f>DATE(D54+1,7,11)</f>
        <v>43657</v>
      </c>
      <c r="C73" s="153">
        <v>11</v>
      </c>
      <c r="D73" s="113"/>
      <c r="E73" s="113"/>
      <c r="F73" s="113"/>
      <c r="G73" s="113"/>
      <c r="H73" s="113"/>
      <c r="I73" s="26"/>
      <c r="J73" s="149">
        <f>DATE(D54+1,8,11)</f>
        <v>43688</v>
      </c>
      <c r="K73" s="141">
        <v>11</v>
      </c>
      <c r="L73" s="137"/>
      <c r="M73" s="122" t="s">
        <v>38</v>
      </c>
      <c r="N73" s="137"/>
      <c r="O73" s="143"/>
      <c r="P73" s="143"/>
      <c r="Q73" s="3"/>
      <c r="R73" s="139">
        <f>DATE(D54+1,9,11)</f>
        <v>43719</v>
      </c>
      <c r="S73" s="157">
        <v>11</v>
      </c>
      <c r="T73" s="113"/>
      <c r="U73" s="113"/>
      <c r="V73" s="113"/>
      <c r="W73" s="113"/>
      <c r="X73" s="113"/>
      <c r="Y73" s="3"/>
      <c r="Z73" s="139">
        <f>DATE(D54+1,10,11)</f>
        <v>43749</v>
      </c>
      <c r="AA73" s="146">
        <v>11</v>
      </c>
      <c r="AB73" s="113"/>
      <c r="AC73" s="113"/>
      <c r="AD73" s="113"/>
      <c r="AE73" s="113"/>
      <c r="AF73" s="113"/>
      <c r="AG73" s="3"/>
      <c r="AH73" s="139">
        <f>DATE(D54+1,11,11)</f>
        <v>43780</v>
      </c>
      <c r="AI73" s="153">
        <v>11</v>
      </c>
      <c r="AJ73" s="146"/>
      <c r="AK73" s="146"/>
      <c r="AL73" s="146"/>
      <c r="AM73" s="146"/>
      <c r="AN73" s="146"/>
      <c r="AO73" s="3"/>
      <c r="AP73" s="139">
        <f>DATE(D54+1,12,11)</f>
        <v>43810</v>
      </c>
      <c r="AQ73" s="153">
        <v>11</v>
      </c>
      <c r="AR73" s="122" t="s">
        <v>38</v>
      </c>
      <c r="AS73" s="113"/>
      <c r="AT73" s="113"/>
      <c r="AU73" s="113"/>
      <c r="AV73" s="113"/>
    </row>
    <row r="74" spans="2:48" s="28" customFormat="1" ht="12" customHeight="1">
      <c r="B74" s="139">
        <f>DATE(D54+1,7,12)</f>
        <v>43658</v>
      </c>
      <c r="C74" s="153">
        <v>12</v>
      </c>
      <c r="D74" s="113"/>
      <c r="E74" s="113"/>
      <c r="F74" s="113"/>
      <c r="G74" s="113"/>
      <c r="H74" s="113"/>
      <c r="I74" s="26"/>
      <c r="J74" s="139">
        <f>DATE(D54+1,8,12)</f>
        <v>43689</v>
      </c>
      <c r="K74" s="153">
        <v>12</v>
      </c>
      <c r="L74" s="121" t="s">
        <v>60</v>
      </c>
      <c r="M74" s="122" t="s">
        <v>38</v>
      </c>
      <c r="N74" s="117" t="s">
        <v>37</v>
      </c>
      <c r="O74" s="113"/>
      <c r="P74" s="113"/>
      <c r="Q74" s="3"/>
      <c r="R74" s="139">
        <f>DATE(D54+1,9,12)</f>
        <v>43720</v>
      </c>
      <c r="S74" s="153">
        <v>12</v>
      </c>
      <c r="T74" s="113"/>
      <c r="U74" s="113"/>
      <c r="V74" s="113"/>
      <c r="W74" s="113"/>
      <c r="X74" s="113"/>
      <c r="Y74" s="3"/>
      <c r="Z74" s="149">
        <f>DATE(D54+1,10,12)</f>
        <v>43750</v>
      </c>
      <c r="AA74" s="123">
        <v>12</v>
      </c>
      <c r="AB74" s="123"/>
      <c r="AC74" s="123"/>
      <c r="AD74" s="123"/>
      <c r="AE74" s="123"/>
      <c r="AF74" s="123"/>
      <c r="AG74" s="3"/>
      <c r="AH74" s="139">
        <f>DATE(D54+1,11,12)</f>
        <v>43781</v>
      </c>
      <c r="AI74" s="146">
        <v>12</v>
      </c>
      <c r="AJ74" s="113"/>
      <c r="AK74" s="113"/>
      <c r="AL74" s="113"/>
      <c r="AM74" s="113"/>
      <c r="AN74" s="113"/>
      <c r="AO74" s="3"/>
      <c r="AP74" s="139">
        <f>DATE(D54+1,12,12)</f>
        <v>43811</v>
      </c>
      <c r="AQ74" s="153">
        <v>12</v>
      </c>
      <c r="AR74" s="122" t="s">
        <v>38</v>
      </c>
      <c r="AS74" s="113"/>
      <c r="AT74" s="113"/>
      <c r="AU74" s="113"/>
      <c r="AV74" s="113"/>
    </row>
    <row r="75" spans="2:48" s="28" customFormat="1" ht="12" customHeight="1">
      <c r="B75" s="149">
        <f>DATE(D54+1,7,13)</f>
        <v>43659</v>
      </c>
      <c r="C75" s="141">
        <v>13</v>
      </c>
      <c r="D75" s="123"/>
      <c r="E75" s="123"/>
      <c r="F75" s="123"/>
      <c r="G75" s="123"/>
      <c r="H75" s="123"/>
      <c r="I75" s="26"/>
      <c r="J75" s="139">
        <f>DATE(D54+1,8,13)</f>
        <v>43690</v>
      </c>
      <c r="K75" s="153">
        <v>13</v>
      </c>
      <c r="L75" s="121" t="s">
        <v>60</v>
      </c>
      <c r="M75" s="122" t="s">
        <v>38</v>
      </c>
      <c r="N75" s="117" t="s">
        <v>37</v>
      </c>
      <c r="O75" s="113"/>
      <c r="P75" s="128"/>
      <c r="Q75" s="3"/>
      <c r="R75" s="139">
        <f>DATE(D54+1,9,13)</f>
        <v>43721</v>
      </c>
      <c r="S75" s="153">
        <v>13</v>
      </c>
      <c r="T75" s="113"/>
      <c r="U75" s="113"/>
      <c r="V75" s="113"/>
      <c r="W75" s="113"/>
      <c r="X75" s="113"/>
      <c r="Y75" s="3"/>
      <c r="Z75" s="149">
        <f>DATE(D54+1,10,13)</f>
        <v>43751</v>
      </c>
      <c r="AA75" s="123">
        <v>13</v>
      </c>
      <c r="AB75" s="123"/>
      <c r="AC75" s="123"/>
      <c r="AD75" s="123"/>
      <c r="AE75" s="123"/>
      <c r="AF75" s="123"/>
      <c r="AG75" s="3"/>
      <c r="AH75" s="139">
        <f>DATE(D54+1,11,13)</f>
        <v>43782</v>
      </c>
      <c r="AI75" s="146">
        <v>13</v>
      </c>
      <c r="AJ75" s="113"/>
      <c r="AK75" s="113"/>
      <c r="AL75" s="113"/>
      <c r="AM75" s="113"/>
      <c r="AN75" s="113"/>
      <c r="AO75" s="3"/>
      <c r="AP75" s="139">
        <f>DATE(D54+1,12,13)</f>
        <v>43812</v>
      </c>
      <c r="AQ75" s="153">
        <v>13</v>
      </c>
      <c r="AR75" s="122" t="s">
        <v>38</v>
      </c>
      <c r="AS75" s="113"/>
      <c r="AT75" s="113"/>
      <c r="AU75" s="113"/>
      <c r="AV75" s="113"/>
    </row>
    <row r="76" spans="2:48" s="28" customFormat="1" ht="12" customHeight="1">
      <c r="B76" s="149">
        <f>DATE(D54+1,7,14)</f>
        <v>43660</v>
      </c>
      <c r="C76" s="154">
        <v>14</v>
      </c>
      <c r="D76" s="155"/>
      <c r="E76" s="144"/>
      <c r="F76" s="144"/>
      <c r="G76" s="144"/>
      <c r="H76" s="144"/>
      <c r="I76" s="26"/>
      <c r="J76" s="139">
        <f>DATE(D54+1,8,14)</f>
        <v>43691</v>
      </c>
      <c r="K76" s="153">
        <v>14</v>
      </c>
      <c r="L76" s="133" t="s">
        <v>60</v>
      </c>
      <c r="M76" s="122" t="s">
        <v>38</v>
      </c>
      <c r="N76" s="125" t="s">
        <v>37</v>
      </c>
      <c r="O76" s="113"/>
      <c r="P76" s="126"/>
      <c r="Q76" s="3"/>
      <c r="R76" s="149">
        <f>DATE(D54+1,9,14)</f>
        <v>43722</v>
      </c>
      <c r="S76" s="141">
        <v>14</v>
      </c>
      <c r="T76" s="123"/>
      <c r="U76" s="123"/>
      <c r="V76" s="123"/>
      <c r="W76" s="123"/>
      <c r="X76" s="123"/>
      <c r="Y76" s="3"/>
      <c r="Z76" s="139">
        <f>DATE(D54+1,10,14)</f>
        <v>43752</v>
      </c>
      <c r="AA76" s="146">
        <v>14</v>
      </c>
      <c r="AB76" s="113"/>
      <c r="AC76" s="113"/>
      <c r="AD76" s="113"/>
      <c r="AE76" s="113"/>
      <c r="AF76" s="113"/>
      <c r="AG76" s="3"/>
      <c r="AH76" s="139">
        <f>DATE(D54+1,11,14)</f>
        <v>43783</v>
      </c>
      <c r="AI76" s="146">
        <v>14</v>
      </c>
      <c r="AJ76" s="113"/>
      <c r="AK76" s="113"/>
      <c r="AL76" s="113"/>
      <c r="AM76" s="113"/>
      <c r="AN76" s="113"/>
      <c r="AO76" s="3"/>
      <c r="AP76" s="149">
        <f>DATE(D54+1,12,14)</f>
        <v>43813</v>
      </c>
      <c r="AQ76" s="141">
        <v>14</v>
      </c>
      <c r="AR76" s="122" t="s">
        <v>38</v>
      </c>
      <c r="AS76" s="123"/>
      <c r="AT76" s="123"/>
      <c r="AU76" s="123"/>
      <c r="AV76" s="123"/>
    </row>
    <row r="77" spans="2:48" s="28" customFormat="1" ht="12" customHeight="1">
      <c r="B77" s="139">
        <f>DATE(D54+1,7,15)</f>
        <v>43661</v>
      </c>
      <c r="C77" s="153">
        <v>15</v>
      </c>
      <c r="D77" s="113"/>
      <c r="E77" s="113"/>
      <c r="F77" s="113"/>
      <c r="G77" s="113"/>
      <c r="H77" s="113"/>
      <c r="I77" s="26"/>
      <c r="J77" s="139">
        <f>DATE(D54+1,8,15)</f>
        <v>43692</v>
      </c>
      <c r="K77" s="153">
        <v>15</v>
      </c>
      <c r="L77" s="126"/>
      <c r="M77" s="122" t="s">
        <v>38</v>
      </c>
      <c r="N77" s="126"/>
      <c r="O77" s="146"/>
      <c r="P77" s="146"/>
      <c r="Q77" s="3"/>
      <c r="R77" s="149">
        <f>DATE(D54+1,9,15)</f>
        <v>43723</v>
      </c>
      <c r="S77" s="141">
        <v>15</v>
      </c>
      <c r="T77" s="123"/>
      <c r="U77" s="123"/>
      <c r="V77" s="123"/>
      <c r="W77" s="123"/>
      <c r="X77" s="123"/>
      <c r="Y77" s="3"/>
      <c r="Z77" s="139">
        <f>DATE(D54+1,10,15)</f>
        <v>43753</v>
      </c>
      <c r="AA77" s="146">
        <v>15</v>
      </c>
      <c r="AB77" s="113"/>
      <c r="AC77" s="113"/>
      <c r="AD77" s="113"/>
      <c r="AE77" s="113"/>
      <c r="AF77" s="113"/>
      <c r="AG77" s="3"/>
      <c r="AH77" s="139">
        <f>DATE(D54+1,11,15)</f>
        <v>43784</v>
      </c>
      <c r="AI77" s="146">
        <v>15</v>
      </c>
      <c r="AJ77" s="113"/>
      <c r="AK77" s="113"/>
      <c r="AL77" s="113"/>
      <c r="AM77" s="113"/>
      <c r="AN77" s="113"/>
      <c r="AO77" s="3"/>
      <c r="AP77" s="149">
        <f>DATE(D54+1,12,15)</f>
        <v>43814</v>
      </c>
      <c r="AQ77" s="141">
        <v>15</v>
      </c>
      <c r="AR77" s="124" t="s">
        <v>38</v>
      </c>
      <c r="AS77" s="123"/>
      <c r="AT77" s="123"/>
      <c r="AU77" s="123"/>
      <c r="AV77" s="123"/>
    </row>
    <row r="78" spans="2:48" s="28" customFormat="1" ht="12" customHeight="1">
      <c r="B78" s="139">
        <f>DATE(D54+1,7,16)</f>
        <v>43662</v>
      </c>
      <c r="C78" s="153">
        <v>16</v>
      </c>
      <c r="D78" s="113"/>
      <c r="E78" s="113"/>
      <c r="F78" s="113"/>
      <c r="G78" s="113"/>
      <c r="H78" s="113"/>
      <c r="I78" s="26"/>
      <c r="J78" s="139">
        <f>DATE(D54+1,8,16)</f>
        <v>43693</v>
      </c>
      <c r="K78" s="153">
        <v>16</v>
      </c>
      <c r="L78" s="133" t="s">
        <v>60</v>
      </c>
      <c r="M78" s="122" t="s">
        <v>38</v>
      </c>
      <c r="N78" s="125" t="s">
        <v>37</v>
      </c>
      <c r="O78" s="113"/>
      <c r="P78" s="113"/>
      <c r="Q78" s="3"/>
      <c r="R78" s="139">
        <f>DATE(D54+1,9,16)</f>
        <v>43724</v>
      </c>
      <c r="S78" s="153">
        <v>16</v>
      </c>
      <c r="T78" s="113"/>
      <c r="U78" s="113"/>
      <c r="V78" s="113"/>
      <c r="W78" s="113"/>
      <c r="X78" s="113"/>
      <c r="Y78" s="3"/>
      <c r="Z78" s="139">
        <f>DATE(D54+1,10,16)</f>
        <v>43754</v>
      </c>
      <c r="AA78" s="146">
        <v>16</v>
      </c>
      <c r="AB78" s="113"/>
      <c r="AC78" s="113"/>
      <c r="AD78" s="113"/>
      <c r="AE78" s="113"/>
      <c r="AF78" s="113"/>
      <c r="AG78" s="3"/>
      <c r="AH78" s="149">
        <f>DATE(D54+1,11,16)</f>
        <v>43785</v>
      </c>
      <c r="AI78" s="123">
        <v>16</v>
      </c>
      <c r="AJ78" s="123"/>
      <c r="AK78" s="123"/>
      <c r="AL78" s="123"/>
      <c r="AM78" s="123"/>
      <c r="AN78" s="123"/>
      <c r="AO78" s="3"/>
      <c r="AP78" s="139">
        <f>DATE(D54+1,12,16)</f>
        <v>43815</v>
      </c>
      <c r="AQ78" s="153">
        <v>16</v>
      </c>
      <c r="AR78" s="126"/>
      <c r="AS78" s="113"/>
      <c r="AT78" s="113"/>
      <c r="AU78" s="113"/>
      <c r="AV78" s="113"/>
    </row>
    <row r="79" spans="2:48" s="28" customFormat="1" ht="12" customHeight="1">
      <c r="B79" s="139">
        <f>DATE(D54+1,7,17)</f>
        <v>43663</v>
      </c>
      <c r="C79" s="153">
        <v>17</v>
      </c>
      <c r="D79" s="113"/>
      <c r="E79" s="113"/>
      <c r="F79" s="113"/>
      <c r="G79" s="113"/>
      <c r="H79" s="113"/>
      <c r="I79" s="26"/>
      <c r="J79" s="149">
        <f>DATE(D54+1,8,17)</f>
        <v>43694</v>
      </c>
      <c r="K79" s="141">
        <v>17</v>
      </c>
      <c r="L79" s="143"/>
      <c r="M79" s="122" t="s">
        <v>38</v>
      </c>
      <c r="N79" s="143"/>
      <c r="O79" s="123"/>
      <c r="P79" s="123"/>
      <c r="Q79" s="3"/>
      <c r="R79" s="139">
        <f>DATE(D54+1,9,17)</f>
        <v>43725</v>
      </c>
      <c r="S79" s="153">
        <v>17</v>
      </c>
      <c r="T79" s="113"/>
      <c r="U79" s="113"/>
      <c r="V79" s="113"/>
      <c r="W79" s="113"/>
      <c r="X79" s="113"/>
      <c r="Y79" s="3"/>
      <c r="Z79" s="139">
        <f>DATE(D54+1,10,17)</f>
        <v>43755</v>
      </c>
      <c r="AA79" s="146">
        <v>17</v>
      </c>
      <c r="AB79" s="113"/>
      <c r="AC79" s="113"/>
      <c r="AD79" s="113"/>
      <c r="AE79" s="113"/>
      <c r="AF79" s="113"/>
      <c r="AG79" s="3"/>
      <c r="AH79" s="149">
        <f>DATE(D54+1,11,17)</f>
        <v>43786</v>
      </c>
      <c r="AI79" s="123">
        <v>17</v>
      </c>
      <c r="AJ79" s="123"/>
      <c r="AK79" s="123"/>
      <c r="AL79" s="123"/>
      <c r="AM79" s="123"/>
      <c r="AN79" s="123"/>
      <c r="AO79" s="3"/>
      <c r="AP79" s="139">
        <f>DATE(D54+1,12,17)</f>
        <v>43816</v>
      </c>
      <c r="AQ79" s="153">
        <v>17</v>
      </c>
      <c r="AR79" s="113"/>
      <c r="AS79" s="113"/>
      <c r="AT79" s="113"/>
      <c r="AU79" s="113"/>
      <c r="AV79" s="113"/>
    </row>
    <row r="80" spans="2:48" s="28" customFormat="1" ht="12" customHeight="1">
      <c r="B80" s="139">
        <f>DATE(D54+1,7,18)</f>
        <v>43664</v>
      </c>
      <c r="C80" s="153">
        <v>18</v>
      </c>
      <c r="D80" s="113"/>
      <c r="E80" s="113"/>
      <c r="F80" s="113"/>
      <c r="G80" s="113"/>
      <c r="H80" s="113"/>
      <c r="I80" s="26"/>
      <c r="J80" s="149">
        <f>DATE(D54+1,8,18)</f>
        <v>43695</v>
      </c>
      <c r="K80" s="141">
        <v>18</v>
      </c>
      <c r="L80" s="123"/>
      <c r="M80" s="124" t="s">
        <v>38</v>
      </c>
      <c r="N80" s="123"/>
      <c r="O80" s="123"/>
      <c r="P80" s="123"/>
      <c r="Q80" s="3"/>
      <c r="R80" s="139">
        <f>DATE(D54+1,9,18)</f>
        <v>43726</v>
      </c>
      <c r="S80" s="153">
        <v>18</v>
      </c>
      <c r="T80" s="113"/>
      <c r="U80" s="113"/>
      <c r="V80" s="113"/>
      <c r="W80" s="113"/>
      <c r="X80" s="113"/>
      <c r="Y80" s="3"/>
      <c r="Z80" s="139">
        <f>DATE(D54+1,10,18)</f>
        <v>43756</v>
      </c>
      <c r="AA80" s="146">
        <v>18</v>
      </c>
      <c r="AB80" s="113"/>
      <c r="AC80" s="113"/>
      <c r="AD80" s="113"/>
      <c r="AE80" s="113"/>
      <c r="AF80" s="113"/>
      <c r="AG80" s="3"/>
      <c r="AH80" s="139">
        <f>DATE(D54+1,11,18)</f>
        <v>43787</v>
      </c>
      <c r="AI80" s="146">
        <v>18</v>
      </c>
      <c r="AJ80" s="113"/>
      <c r="AK80" s="113"/>
      <c r="AL80" s="113"/>
      <c r="AM80" s="113"/>
      <c r="AN80" s="113"/>
      <c r="AO80" s="3"/>
      <c r="AP80" s="139">
        <f>DATE(D54+1,12,18)</f>
        <v>43817</v>
      </c>
      <c r="AQ80" s="153">
        <v>18</v>
      </c>
      <c r="AR80" s="113"/>
      <c r="AS80" s="113"/>
      <c r="AT80" s="113"/>
      <c r="AU80" s="113"/>
      <c r="AV80" s="113"/>
    </row>
    <row r="81" spans="2:48" s="28" customFormat="1" ht="12" customHeight="1">
      <c r="B81" s="139">
        <f>DATE(D54+1,7,19)</f>
        <v>43665</v>
      </c>
      <c r="C81" s="153">
        <v>19</v>
      </c>
      <c r="D81" s="113"/>
      <c r="E81" s="113"/>
      <c r="F81" s="113"/>
      <c r="G81" s="113"/>
      <c r="H81" s="113"/>
      <c r="I81" s="26"/>
      <c r="J81" s="139">
        <f>DATE(D54+1,8,19)</f>
        <v>43696</v>
      </c>
      <c r="K81" s="153">
        <v>19</v>
      </c>
      <c r="L81" s="113"/>
      <c r="M81" s="126"/>
      <c r="N81" s="113"/>
      <c r="O81" s="113"/>
      <c r="P81" s="113"/>
      <c r="Q81" s="3"/>
      <c r="R81" s="139">
        <f>DATE(D54+1,9,19)</f>
        <v>43727</v>
      </c>
      <c r="S81" s="153">
        <v>19</v>
      </c>
      <c r="T81" s="113"/>
      <c r="U81" s="113"/>
      <c r="V81" s="113"/>
      <c r="W81" s="113"/>
      <c r="X81" s="113"/>
      <c r="Y81" s="3"/>
      <c r="Z81" s="149">
        <f>DATE(D54+1,10,19)</f>
        <v>43757</v>
      </c>
      <c r="AA81" s="123">
        <v>19</v>
      </c>
      <c r="AB81" s="132" t="s">
        <v>67</v>
      </c>
      <c r="AC81" s="123"/>
      <c r="AD81" s="123"/>
      <c r="AE81" s="123"/>
      <c r="AF81" s="123"/>
      <c r="AG81" s="3"/>
      <c r="AH81" s="139">
        <f>DATE(D54+1,11,19)</f>
        <v>43788</v>
      </c>
      <c r="AI81" s="146">
        <v>19</v>
      </c>
      <c r="AJ81" s="113"/>
      <c r="AK81" s="113"/>
      <c r="AL81" s="112"/>
      <c r="AM81" s="113"/>
      <c r="AN81" s="113"/>
      <c r="AO81" s="3"/>
      <c r="AP81" s="139">
        <f>DATE(D54+1,12,19)</f>
        <v>43818</v>
      </c>
      <c r="AQ81" s="153">
        <v>19</v>
      </c>
      <c r="AR81" s="113"/>
      <c r="AS81" s="113"/>
      <c r="AT81" s="113"/>
      <c r="AU81" s="113"/>
      <c r="AV81" s="113"/>
    </row>
    <row r="82" spans="2:48" s="28" customFormat="1" ht="12" customHeight="1">
      <c r="B82" s="149">
        <f>DATE(D54+1,7,20)</f>
        <v>43666</v>
      </c>
      <c r="C82" s="141">
        <v>20</v>
      </c>
      <c r="D82" s="123"/>
      <c r="E82" s="123"/>
      <c r="F82" s="123"/>
      <c r="G82" s="123"/>
      <c r="H82" s="123"/>
      <c r="I82" s="26"/>
      <c r="J82" s="139">
        <f>DATE(D54+1,8,20)</f>
        <v>43697</v>
      </c>
      <c r="K82" s="153">
        <v>20</v>
      </c>
      <c r="L82" s="113"/>
      <c r="M82" s="118"/>
      <c r="N82" s="113"/>
      <c r="O82" s="113"/>
      <c r="P82" s="113"/>
      <c r="Q82" s="3"/>
      <c r="R82" s="139">
        <f>DATE(D54+1,9,20)</f>
        <v>43728</v>
      </c>
      <c r="S82" s="153">
        <v>20</v>
      </c>
      <c r="T82" s="113"/>
      <c r="U82" s="113"/>
      <c r="V82" s="113"/>
      <c r="W82" s="113"/>
      <c r="X82" s="113"/>
      <c r="Y82" s="3"/>
      <c r="Z82" s="149">
        <f>DATE(D54+1,10,20)</f>
        <v>43758</v>
      </c>
      <c r="AA82" s="123">
        <v>20</v>
      </c>
      <c r="AB82" s="132" t="s">
        <v>67</v>
      </c>
      <c r="AC82" s="123"/>
      <c r="AD82" s="123"/>
      <c r="AE82" s="123"/>
      <c r="AF82" s="123"/>
      <c r="AG82" s="3"/>
      <c r="AH82" s="139">
        <f>DATE(D54+1,11,20)</f>
        <v>43789</v>
      </c>
      <c r="AI82" s="146">
        <v>20</v>
      </c>
      <c r="AJ82" s="113"/>
      <c r="AK82" s="113"/>
      <c r="AL82" s="126"/>
      <c r="AM82" s="113"/>
      <c r="AN82" s="113"/>
      <c r="AO82" s="3"/>
      <c r="AP82" s="139">
        <f>DATE(D54+1,12,20)</f>
        <v>43819</v>
      </c>
      <c r="AQ82" s="153">
        <v>20</v>
      </c>
      <c r="AR82" s="113"/>
      <c r="AS82" s="113"/>
      <c r="AT82" s="113"/>
      <c r="AU82" s="113"/>
      <c r="AV82" s="113"/>
    </row>
    <row r="83" spans="2:48" s="28" customFormat="1" ht="12" customHeight="1">
      <c r="B83" s="149">
        <f>DATE(D54+1,7,21)</f>
        <v>43667</v>
      </c>
      <c r="C83" s="141">
        <v>21</v>
      </c>
      <c r="D83" s="123"/>
      <c r="E83" s="123"/>
      <c r="F83" s="123"/>
      <c r="G83" s="123"/>
      <c r="H83" s="123"/>
      <c r="I83" s="26"/>
      <c r="J83" s="139">
        <f>DATE(D54+1,8,21)</f>
        <v>43698</v>
      </c>
      <c r="K83" s="153">
        <v>21</v>
      </c>
      <c r="L83" s="113"/>
      <c r="M83" s="128"/>
      <c r="N83" s="114"/>
      <c r="O83" s="113"/>
      <c r="P83" s="113"/>
      <c r="Q83" s="3"/>
      <c r="R83" s="149">
        <f>DATE(D54+1,9,21)</f>
        <v>43729</v>
      </c>
      <c r="S83" s="141">
        <v>21</v>
      </c>
      <c r="T83" s="123"/>
      <c r="U83" s="123"/>
      <c r="V83" s="123"/>
      <c r="W83" s="123"/>
      <c r="X83" s="123"/>
      <c r="Y83" s="3"/>
      <c r="Z83" s="139">
        <f>DATE(D54+1,10,21)</f>
        <v>43759</v>
      </c>
      <c r="AA83" s="146">
        <v>21</v>
      </c>
      <c r="AB83" s="132" t="s">
        <v>67</v>
      </c>
      <c r="AC83" s="113"/>
      <c r="AD83" s="113"/>
      <c r="AE83" s="113"/>
      <c r="AF83" s="113"/>
      <c r="AG83" s="3"/>
      <c r="AH83" s="139">
        <f>DATE(D54+1,11,21)</f>
        <v>43790</v>
      </c>
      <c r="AI83" s="146">
        <v>21</v>
      </c>
      <c r="AJ83" s="113"/>
      <c r="AK83" s="113"/>
      <c r="AL83" s="113"/>
      <c r="AM83" s="113"/>
      <c r="AN83" s="113"/>
      <c r="AO83" s="3"/>
      <c r="AP83" s="193">
        <f>DATE(D54+1,12,21)</f>
        <v>43820</v>
      </c>
      <c r="AQ83" s="141">
        <v>21</v>
      </c>
      <c r="AR83" s="123"/>
      <c r="AS83" s="131" t="s">
        <v>66</v>
      </c>
      <c r="AT83" s="123"/>
      <c r="AU83" s="123"/>
      <c r="AV83" s="123"/>
    </row>
    <row r="84" spans="2:48" s="28" customFormat="1" ht="12" customHeight="1">
      <c r="B84" s="139">
        <f>DATE(D54+1,7,22)</f>
        <v>43668</v>
      </c>
      <c r="C84" s="153">
        <v>22</v>
      </c>
      <c r="D84" s="113"/>
      <c r="E84" s="113"/>
      <c r="F84" s="113"/>
      <c r="G84" s="113"/>
      <c r="H84" s="113"/>
      <c r="I84" s="26"/>
      <c r="J84" s="139">
        <f>DATE(D54+1,8,22)</f>
        <v>43699</v>
      </c>
      <c r="K84" s="153">
        <v>22</v>
      </c>
      <c r="L84" s="113"/>
      <c r="M84" s="126"/>
      <c r="N84" s="113"/>
      <c r="O84" s="113"/>
      <c r="P84" s="113"/>
      <c r="Q84" s="3"/>
      <c r="R84" s="149">
        <f>DATE(D54+1,9,22)</f>
        <v>43730</v>
      </c>
      <c r="S84" s="141">
        <v>22</v>
      </c>
      <c r="T84" s="123"/>
      <c r="U84" s="123"/>
      <c r="V84" s="123"/>
      <c r="W84" s="123"/>
      <c r="X84" s="123"/>
      <c r="Y84" s="3"/>
      <c r="Z84" s="139">
        <f>DATE(D54+1,10,22)</f>
        <v>43760</v>
      </c>
      <c r="AA84" s="146">
        <v>22</v>
      </c>
      <c r="AB84" s="132" t="s">
        <v>67</v>
      </c>
      <c r="AC84" s="113"/>
      <c r="AD84" s="113"/>
      <c r="AE84" s="113"/>
      <c r="AF84" s="113"/>
      <c r="AG84" s="3"/>
      <c r="AH84" s="139">
        <f>DATE(D54+1,11,22)</f>
        <v>43791</v>
      </c>
      <c r="AI84" s="146">
        <v>22</v>
      </c>
      <c r="AJ84" s="113"/>
      <c r="AK84" s="113"/>
      <c r="AL84" s="113"/>
      <c r="AM84" s="113"/>
      <c r="AN84" s="113"/>
      <c r="AO84" s="3"/>
      <c r="AP84" s="193">
        <f>DATE(D54+1,12,22)</f>
        <v>43821</v>
      </c>
      <c r="AQ84" s="141">
        <v>22</v>
      </c>
      <c r="AR84" s="137"/>
      <c r="AS84" s="131" t="s">
        <v>66</v>
      </c>
      <c r="AT84" s="137"/>
      <c r="AU84" s="123"/>
      <c r="AV84" s="123"/>
    </row>
    <row r="85" spans="2:48" s="28" customFormat="1" ht="12" customHeight="1">
      <c r="B85" s="139">
        <f>DATE(D54+1,7,23)</f>
        <v>43669</v>
      </c>
      <c r="C85" s="153">
        <v>23</v>
      </c>
      <c r="D85" s="113"/>
      <c r="E85" s="113"/>
      <c r="F85" s="113"/>
      <c r="G85" s="113"/>
      <c r="H85" s="113"/>
      <c r="I85" s="26"/>
      <c r="J85" s="139">
        <f>DATE(D54+1,8,23)</f>
        <v>43700</v>
      </c>
      <c r="K85" s="153">
        <v>23</v>
      </c>
      <c r="L85" s="113"/>
      <c r="M85" s="113"/>
      <c r="N85" s="113"/>
      <c r="O85" s="113"/>
      <c r="P85" s="113"/>
      <c r="Q85" s="3"/>
      <c r="R85" s="139">
        <f>DATE(D54+1,9,23)</f>
        <v>43731</v>
      </c>
      <c r="S85" s="153">
        <v>23</v>
      </c>
      <c r="T85" s="113"/>
      <c r="U85" s="113"/>
      <c r="V85" s="113"/>
      <c r="W85" s="113"/>
      <c r="X85" s="113"/>
      <c r="Y85" s="3"/>
      <c r="Z85" s="139">
        <f>DATE(D54+1,10,23)</f>
        <v>43761</v>
      </c>
      <c r="AA85" s="146">
        <v>23</v>
      </c>
      <c r="AB85" s="132" t="s">
        <v>67</v>
      </c>
      <c r="AC85" s="113"/>
      <c r="AD85" s="113"/>
      <c r="AE85" s="113"/>
      <c r="AF85" s="113"/>
      <c r="AG85" s="3"/>
      <c r="AH85" s="193">
        <f>DATE(D54+1,11,23)</f>
        <v>43792</v>
      </c>
      <c r="AI85" s="123">
        <v>23</v>
      </c>
      <c r="AJ85" s="123"/>
      <c r="AK85" s="123"/>
      <c r="AL85" s="123"/>
      <c r="AM85" s="123"/>
      <c r="AN85" s="123"/>
      <c r="AO85" s="3"/>
      <c r="AP85" s="139">
        <f>DATE(D54+1,12,23)</f>
        <v>43822</v>
      </c>
      <c r="AQ85" s="153">
        <v>23</v>
      </c>
      <c r="AR85" s="121" t="s">
        <v>60</v>
      </c>
      <c r="AS85" s="131" t="s">
        <v>66</v>
      </c>
      <c r="AT85" s="119" t="s">
        <v>13</v>
      </c>
      <c r="AU85" s="113"/>
      <c r="AV85" s="113"/>
    </row>
    <row r="86" spans="2:48" s="28" customFormat="1" ht="12" customHeight="1">
      <c r="B86" s="139">
        <f>DATE(D54+1,7,24)</f>
        <v>43670</v>
      </c>
      <c r="C86" s="153">
        <v>24</v>
      </c>
      <c r="D86" s="113"/>
      <c r="E86" s="113"/>
      <c r="F86" s="113"/>
      <c r="G86" s="113"/>
      <c r="H86" s="113"/>
      <c r="I86" s="26"/>
      <c r="J86" s="149">
        <f>DATE(D54+1,8,24)</f>
        <v>43701</v>
      </c>
      <c r="K86" s="141">
        <v>24</v>
      </c>
      <c r="L86" s="123"/>
      <c r="M86" s="123"/>
      <c r="N86" s="123"/>
      <c r="O86" s="123"/>
      <c r="P86" s="123"/>
      <c r="Q86" s="3"/>
      <c r="R86" s="139">
        <f>DATE(D54+1,9,24)</f>
        <v>43732</v>
      </c>
      <c r="S86" s="153">
        <v>24</v>
      </c>
      <c r="T86" s="113"/>
      <c r="U86" s="113"/>
      <c r="V86" s="113"/>
      <c r="W86" s="113"/>
      <c r="X86" s="113"/>
      <c r="Y86" s="3"/>
      <c r="Z86" s="139">
        <f>DATE(D54+1,10,24)</f>
        <v>43762</v>
      </c>
      <c r="AA86" s="146">
        <v>24</v>
      </c>
      <c r="AB86" s="132" t="s">
        <v>67</v>
      </c>
      <c r="AC86" s="113"/>
      <c r="AD86" s="113"/>
      <c r="AE86" s="113"/>
      <c r="AF86" s="113"/>
      <c r="AG86" s="3"/>
      <c r="AH86" s="193">
        <f>DATE(D54+1,11,24)</f>
        <v>43793</v>
      </c>
      <c r="AI86" s="123">
        <v>24</v>
      </c>
      <c r="AJ86" s="123"/>
      <c r="AK86" s="123"/>
      <c r="AL86" s="123"/>
      <c r="AM86" s="123"/>
      <c r="AN86" s="123"/>
      <c r="AO86" s="3"/>
      <c r="AP86" s="139">
        <f>DATE(D54+1,12,24)</f>
        <v>43823</v>
      </c>
      <c r="AQ86" s="153">
        <v>24</v>
      </c>
      <c r="AR86" s="133" t="s">
        <v>60</v>
      </c>
      <c r="AS86" s="131" t="s">
        <v>66</v>
      </c>
      <c r="AT86" s="120" t="s">
        <v>13</v>
      </c>
      <c r="AU86" s="113"/>
      <c r="AV86" s="113"/>
    </row>
    <row r="87" spans="2:48" s="28" customFormat="1" ht="12" customHeight="1">
      <c r="B87" s="139">
        <f>DATE(D54+1,7,25)</f>
        <v>43671</v>
      </c>
      <c r="C87" s="153">
        <v>25</v>
      </c>
      <c r="D87" s="113"/>
      <c r="E87" s="113"/>
      <c r="F87" s="113"/>
      <c r="G87" s="113"/>
      <c r="H87" s="113"/>
      <c r="I87" s="26"/>
      <c r="J87" s="149">
        <f>DATE(D54+1,8,25)</f>
        <v>43702</v>
      </c>
      <c r="K87" s="141">
        <v>25</v>
      </c>
      <c r="L87" s="123"/>
      <c r="M87" s="123"/>
      <c r="N87" s="123"/>
      <c r="O87" s="123"/>
      <c r="P87" s="123"/>
      <c r="Q87" s="3"/>
      <c r="R87" s="139">
        <f>DATE(D54+1,9,25)</f>
        <v>43733</v>
      </c>
      <c r="S87" s="153">
        <v>25</v>
      </c>
      <c r="T87" s="113"/>
      <c r="U87" s="113"/>
      <c r="V87" s="113"/>
      <c r="W87" s="113"/>
      <c r="X87" s="113"/>
      <c r="Y87" s="3"/>
      <c r="Z87" s="139">
        <f>DATE(D54+1,10,25)</f>
        <v>43763</v>
      </c>
      <c r="AA87" s="146">
        <v>25</v>
      </c>
      <c r="AB87" s="132" t="s">
        <v>67</v>
      </c>
      <c r="AC87" s="113"/>
      <c r="AD87" s="113"/>
      <c r="AE87" s="113"/>
      <c r="AF87" s="113"/>
      <c r="AG87" s="3"/>
      <c r="AH87" s="139">
        <f>DATE(D54+1,11,25)</f>
        <v>43794</v>
      </c>
      <c r="AI87" s="158">
        <v>25</v>
      </c>
      <c r="AJ87" s="113"/>
      <c r="AK87" s="113"/>
      <c r="AL87" s="113"/>
      <c r="AM87" s="113"/>
      <c r="AN87" s="113"/>
      <c r="AO87" s="3"/>
      <c r="AP87" s="139">
        <f>DATE(D54+1,12,25)</f>
        <v>43824</v>
      </c>
      <c r="AQ87" s="153">
        <v>25</v>
      </c>
      <c r="AR87" s="126"/>
      <c r="AS87" s="132" t="s">
        <v>67</v>
      </c>
      <c r="AT87" s="126"/>
      <c r="AU87" s="146"/>
      <c r="AV87" s="146"/>
    </row>
    <row r="88" spans="2:48" s="28" customFormat="1" ht="12" customHeight="1">
      <c r="B88" s="139">
        <f>DATE(D54+1,7,26)</f>
        <v>43672</v>
      </c>
      <c r="C88" s="153">
        <v>26</v>
      </c>
      <c r="D88" s="113"/>
      <c r="E88" s="113"/>
      <c r="F88" s="113"/>
      <c r="G88" s="113"/>
      <c r="H88" s="113"/>
      <c r="I88" s="26"/>
      <c r="J88" s="139">
        <f>DATE(D54+1,8,26)</f>
        <v>43703</v>
      </c>
      <c r="K88" s="156">
        <v>26</v>
      </c>
      <c r="L88" s="113"/>
      <c r="M88" s="113"/>
      <c r="N88" s="113"/>
      <c r="O88" s="113"/>
      <c r="P88" s="113"/>
      <c r="Q88" s="3"/>
      <c r="R88" s="139">
        <f>DATE(D54+1,9,26)</f>
        <v>43734</v>
      </c>
      <c r="S88" s="156">
        <v>26</v>
      </c>
      <c r="T88" s="113"/>
      <c r="U88" s="113"/>
      <c r="V88" s="113"/>
      <c r="W88" s="113"/>
      <c r="X88" s="113"/>
      <c r="Y88" s="3"/>
      <c r="Z88" s="193">
        <f>DATE(D54+1,10,26)</f>
        <v>43764</v>
      </c>
      <c r="AA88" s="142">
        <v>26</v>
      </c>
      <c r="AB88" s="131" t="s">
        <v>66</v>
      </c>
      <c r="AC88" s="123"/>
      <c r="AD88" s="123"/>
      <c r="AE88" s="123"/>
      <c r="AF88" s="123"/>
      <c r="AG88" s="3"/>
      <c r="AH88" s="139">
        <f>DATE(D54+1,11,26)</f>
        <v>43795</v>
      </c>
      <c r="AI88" s="158">
        <v>26</v>
      </c>
      <c r="AJ88" s="113"/>
      <c r="AK88" s="113"/>
      <c r="AL88" s="113"/>
      <c r="AM88" s="113"/>
      <c r="AN88" s="113"/>
      <c r="AO88" s="3"/>
      <c r="AP88" s="139">
        <f>DATE(D54+1,12,26)</f>
        <v>43825</v>
      </c>
      <c r="AQ88" s="159">
        <v>26</v>
      </c>
      <c r="AR88" s="121" t="s">
        <v>60</v>
      </c>
      <c r="AS88" s="132" t="s">
        <v>67</v>
      </c>
      <c r="AT88" s="117" t="s">
        <v>37</v>
      </c>
      <c r="AU88" s="113"/>
      <c r="AV88" s="113"/>
    </row>
    <row r="89" spans="2:48" s="28" customFormat="1" ht="12" customHeight="1">
      <c r="B89" s="149">
        <f>DATE(D54+1,7,27)</f>
        <v>43673</v>
      </c>
      <c r="C89" s="141">
        <v>27</v>
      </c>
      <c r="D89" s="123"/>
      <c r="E89" s="123"/>
      <c r="F89" s="123"/>
      <c r="G89" s="123"/>
      <c r="H89" s="123"/>
      <c r="I89" s="26"/>
      <c r="J89" s="139">
        <f>DATE(D54+1,8,27)</f>
        <v>43704</v>
      </c>
      <c r="K89" s="156">
        <v>27</v>
      </c>
      <c r="L89" s="113"/>
      <c r="M89" s="113"/>
      <c r="N89" s="113"/>
      <c r="O89" s="113"/>
      <c r="P89" s="113"/>
      <c r="Q89" s="3"/>
      <c r="R89" s="139">
        <f>DATE(D54+1,9,27)</f>
        <v>43735</v>
      </c>
      <c r="S89" s="153">
        <v>27</v>
      </c>
      <c r="T89" s="113"/>
      <c r="U89" s="113"/>
      <c r="V89" s="113"/>
      <c r="W89" s="113"/>
      <c r="X89" s="113"/>
      <c r="Y89" s="3"/>
      <c r="Z89" s="193">
        <f>DATE(D54+1,10,27)</f>
        <v>43765</v>
      </c>
      <c r="AA89" s="142">
        <v>27</v>
      </c>
      <c r="AB89" s="131" t="s">
        <v>66</v>
      </c>
      <c r="AC89" s="137"/>
      <c r="AD89" s="123"/>
      <c r="AE89" s="123"/>
      <c r="AF89" s="123"/>
      <c r="AG89" s="3"/>
      <c r="AH89" s="139">
        <f>DATE(D54+1,11,27)</f>
        <v>43796</v>
      </c>
      <c r="AI89" s="146">
        <v>27</v>
      </c>
      <c r="AJ89" s="113"/>
      <c r="AK89" s="113"/>
      <c r="AL89" s="113"/>
      <c r="AM89" s="113"/>
      <c r="AN89" s="113"/>
      <c r="AO89" s="3"/>
      <c r="AP89" s="139">
        <f>DATE(D54+1,12,27)</f>
        <v>43826</v>
      </c>
      <c r="AQ89" s="153">
        <v>27</v>
      </c>
      <c r="AR89" s="133" t="s">
        <v>60</v>
      </c>
      <c r="AS89" s="132" t="s">
        <v>67</v>
      </c>
      <c r="AT89" s="125" t="s">
        <v>37</v>
      </c>
      <c r="AU89" s="113"/>
      <c r="AV89" s="113"/>
    </row>
    <row r="90" spans="2:48" s="28" customFormat="1" ht="12" customHeight="1">
      <c r="B90" s="149">
        <f>DATE(D54+1,7,28)</f>
        <v>43674</v>
      </c>
      <c r="C90" s="141">
        <v>28</v>
      </c>
      <c r="D90" s="123"/>
      <c r="E90" s="123"/>
      <c r="F90" s="123"/>
      <c r="G90" s="123"/>
      <c r="H90" s="123"/>
      <c r="I90" s="26"/>
      <c r="J90" s="139">
        <f>DATE(D54+1,8,28)</f>
        <v>43705</v>
      </c>
      <c r="K90" s="153">
        <v>28</v>
      </c>
      <c r="L90" s="113"/>
      <c r="M90" s="113"/>
      <c r="N90" s="113"/>
      <c r="O90" s="113"/>
      <c r="P90" s="113"/>
      <c r="Q90" s="3"/>
      <c r="R90" s="149">
        <f>DATE(D54+1,9,28)</f>
        <v>43736</v>
      </c>
      <c r="S90" s="141">
        <v>28</v>
      </c>
      <c r="T90" s="123"/>
      <c r="U90" s="123"/>
      <c r="V90" s="123"/>
      <c r="W90" s="123"/>
      <c r="X90" s="123"/>
      <c r="Y90" s="3"/>
      <c r="Z90" s="139">
        <f>DATE(D54+1,10,28)</f>
        <v>43766</v>
      </c>
      <c r="AA90" s="146">
        <v>28</v>
      </c>
      <c r="AB90" s="131" t="s">
        <v>66</v>
      </c>
      <c r="AC90" s="119" t="s">
        <v>13</v>
      </c>
      <c r="AD90" s="113"/>
      <c r="AE90" s="113"/>
      <c r="AF90" s="113"/>
      <c r="AG90" s="3"/>
      <c r="AH90" s="139">
        <f>DATE(D54+1,11,28)</f>
        <v>43797</v>
      </c>
      <c r="AI90" s="146">
        <v>28</v>
      </c>
      <c r="AJ90" s="113"/>
      <c r="AK90" s="113"/>
      <c r="AL90" s="113"/>
      <c r="AM90" s="113"/>
      <c r="AN90" s="113"/>
      <c r="AO90" s="3"/>
      <c r="AP90" s="149">
        <f>DATE(D54+1,12,28)</f>
        <v>43827</v>
      </c>
      <c r="AQ90" s="141">
        <v>28</v>
      </c>
      <c r="AR90" s="143"/>
      <c r="AS90" s="132" t="s">
        <v>67</v>
      </c>
      <c r="AT90" s="143"/>
      <c r="AU90" s="123"/>
      <c r="AV90" s="123"/>
    </row>
    <row r="91" spans="2:48" s="28" customFormat="1" ht="12" customHeight="1">
      <c r="B91" s="139">
        <f>DATE(D54+1,7,29)</f>
        <v>43675</v>
      </c>
      <c r="C91" s="156">
        <v>29</v>
      </c>
      <c r="D91" s="113"/>
      <c r="E91" s="113"/>
      <c r="F91" s="113"/>
      <c r="G91" s="113"/>
      <c r="H91" s="113"/>
      <c r="I91" s="26"/>
      <c r="J91" s="139">
        <f>DATE(D54+1,8,29)</f>
        <v>43706</v>
      </c>
      <c r="K91" s="153">
        <v>29</v>
      </c>
      <c r="L91" s="113"/>
      <c r="M91" s="113"/>
      <c r="N91" s="113"/>
      <c r="O91" s="113"/>
      <c r="P91" s="113"/>
      <c r="Q91" s="3"/>
      <c r="R91" s="149">
        <f>DATE(D54+1,9,29)</f>
        <v>43737</v>
      </c>
      <c r="S91" s="141">
        <v>29</v>
      </c>
      <c r="T91" s="123"/>
      <c r="U91" s="123"/>
      <c r="V91" s="123"/>
      <c r="W91" s="123"/>
      <c r="X91" s="123"/>
      <c r="Y91" s="3"/>
      <c r="Z91" s="139">
        <f>DATE(D54+1,10,29)</f>
        <v>43767</v>
      </c>
      <c r="AA91" s="146">
        <v>29</v>
      </c>
      <c r="AB91" s="131" t="s">
        <v>66</v>
      </c>
      <c r="AC91" s="119" t="s">
        <v>13</v>
      </c>
      <c r="AD91" s="113"/>
      <c r="AE91" s="113"/>
      <c r="AF91" s="113"/>
      <c r="AG91" s="3"/>
      <c r="AH91" s="139">
        <f>DATE(D54+1,11,29)</f>
        <v>43798</v>
      </c>
      <c r="AI91" s="146">
        <v>29</v>
      </c>
      <c r="AJ91" s="113"/>
      <c r="AK91" s="113"/>
      <c r="AL91" s="113"/>
      <c r="AM91" s="113"/>
      <c r="AN91" s="113"/>
      <c r="AO91" s="3"/>
      <c r="AP91" s="149">
        <f>DATE(D54+1,12,29)</f>
        <v>43828</v>
      </c>
      <c r="AQ91" s="141">
        <v>29</v>
      </c>
      <c r="AR91" s="137"/>
      <c r="AS91" s="132" t="s">
        <v>67</v>
      </c>
      <c r="AT91" s="137"/>
      <c r="AU91" s="123"/>
      <c r="AV91" s="123"/>
    </row>
    <row r="92" spans="2:48" s="28" customFormat="1" ht="12" customHeight="1">
      <c r="B92" s="139">
        <f>DATE(D54+1,7,30)</f>
        <v>43676</v>
      </c>
      <c r="C92" s="156">
        <v>30</v>
      </c>
      <c r="D92" s="113"/>
      <c r="E92" s="113"/>
      <c r="F92" s="113"/>
      <c r="G92" s="113"/>
      <c r="H92" s="113"/>
      <c r="I92" s="26"/>
      <c r="J92" s="139">
        <f>DATE(D54+1,8,30)</f>
        <v>43707</v>
      </c>
      <c r="K92" s="153">
        <v>30</v>
      </c>
      <c r="L92" s="113"/>
      <c r="M92" s="113"/>
      <c r="N92" s="113"/>
      <c r="O92" s="113"/>
      <c r="P92" s="113"/>
      <c r="Q92" s="3"/>
      <c r="R92" s="139">
        <f>DATE(D54+1,9,30)</f>
        <v>43738</v>
      </c>
      <c r="S92" s="153">
        <v>30</v>
      </c>
      <c r="T92" s="153"/>
      <c r="U92" s="153"/>
      <c r="V92" s="153"/>
      <c r="W92" s="153"/>
      <c r="X92" s="153"/>
      <c r="Y92" s="3"/>
      <c r="Z92" s="139">
        <f>DATE(D54+1,10,30)</f>
        <v>43768</v>
      </c>
      <c r="AA92" s="146">
        <v>30</v>
      </c>
      <c r="AB92" s="131" t="s">
        <v>66</v>
      </c>
      <c r="AC92" s="119" t="s">
        <v>13</v>
      </c>
      <c r="AD92" s="113"/>
      <c r="AE92" s="113"/>
      <c r="AF92" s="113"/>
      <c r="AG92" s="3"/>
      <c r="AH92" s="149">
        <f>DATE(D54+1,11,30)</f>
        <v>43799</v>
      </c>
      <c r="AI92" s="137">
        <v>30</v>
      </c>
      <c r="AJ92" s="123"/>
      <c r="AK92" s="123"/>
      <c r="AL92" s="123"/>
      <c r="AM92" s="123"/>
      <c r="AN92" s="123"/>
      <c r="AO92" s="3"/>
      <c r="AP92" s="139">
        <f>DATE(D54+1,12,30)</f>
        <v>43829</v>
      </c>
      <c r="AQ92" s="153">
        <v>30</v>
      </c>
      <c r="AR92" s="121" t="s">
        <v>60</v>
      </c>
      <c r="AS92" s="132" t="s">
        <v>67</v>
      </c>
      <c r="AT92" s="117" t="s">
        <v>37</v>
      </c>
      <c r="AU92" s="113"/>
      <c r="AV92" s="113"/>
    </row>
    <row r="93" spans="2:48" s="28" customFormat="1" ht="12" customHeight="1">
      <c r="B93" s="139">
        <f>DATE(D54+1,7,31)</f>
        <v>43677</v>
      </c>
      <c r="C93" s="156">
        <v>31</v>
      </c>
      <c r="D93" s="111"/>
      <c r="E93" s="111"/>
      <c r="F93" s="111"/>
      <c r="G93" s="111"/>
      <c r="H93" s="111"/>
      <c r="I93" s="26"/>
      <c r="J93" s="149">
        <f>DATE(D54+1,8,31)</f>
        <v>43708</v>
      </c>
      <c r="K93" s="141">
        <v>31</v>
      </c>
      <c r="L93" s="123"/>
      <c r="M93" s="123"/>
      <c r="N93" s="123"/>
      <c r="O93" s="123"/>
      <c r="P93" s="123"/>
      <c r="Q93" s="3"/>
      <c r="R93" s="145"/>
      <c r="S93" s="3"/>
      <c r="T93" s="3"/>
      <c r="U93" s="3"/>
      <c r="V93" s="3"/>
      <c r="W93" s="3"/>
      <c r="X93" s="3"/>
      <c r="Y93" s="3"/>
      <c r="Z93" s="139">
        <f>DATE(D54+1,10,31)</f>
        <v>43769</v>
      </c>
      <c r="AA93" s="146">
        <v>31</v>
      </c>
      <c r="AB93" s="127" t="s">
        <v>66</v>
      </c>
      <c r="AC93" s="120" t="s">
        <v>13</v>
      </c>
      <c r="AD93" s="111"/>
      <c r="AE93" s="111"/>
      <c r="AF93" s="111"/>
      <c r="AG93" s="3"/>
      <c r="AH93" s="145"/>
      <c r="AI93" s="3"/>
      <c r="AJ93" s="3"/>
      <c r="AK93" s="3"/>
      <c r="AL93" s="3"/>
      <c r="AM93" s="3"/>
      <c r="AN93" s="3"/>
      <c r="AO93" s="3"/>
      <c r="AP93" s="139">
        <f>DATE(D54+1,12,31)</f>
        <v>43830</v>
      </c>
      <c r="AQ93" s="153">
        <v>31</v>
      </c>
      <c r="AR93" s="133" t="s">
        <v>60</v>
      </c>
      <c r="AS93" s="129" t="s">
        <v>67</v>
      </c>
      <c r="AT93" s="125" t="s">
        <v>37</v>
      </c>
      <c r="AU93" s="113"/>
      <c r="AV93" s="113"/>
    </row>
    <row r="94" spans="2:48">
      <c r="D94" s="6"/>
      <c r="E94" s="60"/>
      <c r="F94" s="57" t="s">
        <v>36</v>
      </c>
      <c r="H94" s="57" t="s">
        <v>32</v>
      </c>
      <c r="L94" s="6"/>
      <c r="N94" s="57" t="s">
        <v>36</v>
      </c>
      <c r="P94" s="57" t="s">
        <v>32</v>
      </c>
      <c r="Q94" s="3"/>
      <c r="T94" s="6"/>
      <c r="V94" s="57" t="s">
        <v>36</v>
      </c>
      <c r="X94" s="57" t="s">
        <v>32</v>
      </c>
      <c r="Y94" s="3"/>
      <c r="AA94" s="63"/>
      <c r="AD94" s="57" t="s">
        <v>36</v>
      </c>
      <c r="AF94" s="57" t="s">
        <v>32</v>
      </c>
      <c r="AL94" s="57" t="s">
        <v>36</v>
      </c>
      <c r="AN94" s="57" t="s">
        <v>32</v>
      </c>
      <c r="AO94" s="3"/>
      <c r="AT94" s="57" t="s">
        <v>36</v>
      </c>
      <c r="AV94" s="57" t="s">
        <v>32</v>
      </c>
    </row>
    <row r="95" spans="2:48" ht="15.75" thickBot="1">
      <c r="D95" s="44" t="s">
        <v>34</v>
      </c>
      <c r="E95" s="60"/>
      <c r="F95" s="108" t="s">
        <v>61</v>
      </c>
      <c r="H95" s="108" t="s">
        <v>62</v>
      </c>
      <c r="L95" s="44" t="s">
        <v>34</v>
      </c>
      <c r="M95" s="60"/>
      <c r="N95" s="108" t="s">
        <v>61</v>
      </c>
      <c r="P95" s="108" t="s">
        <v>62</v>
      </c>
      <c r="T95" s="44" t="s">
        <v>34</v>
      </c>
      <c r="U95" s="60"/>
      <c r="V95" s="108" t="s">
        <v>61</v>
      </c>
      <c r="X95" s="108" t="s">
        <v>62</v>
      </c>
      <c r="AA95" s="63"/>
      <c r="AB95" s="44" t="s">
        <v>34</v>
      </c>
      <c r="AC95" s="60"/>
      <c r="AD95" s="108" t="s">
        <v>61</v>
      </c>
      <c r="AF95" s="108" t="s">
        <v>62</v>
      </c>
      <c r="AJ95" s="44" t="s">
        <v>34</v>
      </c>
      <c r="AK95" s="60"/>
      <c r="AL95" s="108" t="s">
        <v>61</v>
      </c>
      <c r="AN95" s="108" t="s">
        <v>62</v>
      </c>
      <c r="AR95" s="44" t="s">
        <v>34</v>
      </c>
      <c r="AS95" s="60"/>
      <c r="AT95" s="108" t="s">
        <v>61</v>
      </c>
      <c r="AV95" s="108" t="s">
        <v>62</v>
      </c>
    </row>
    <row r="96" spans="2:48" ht="16.5" thickTop="1" thickBot="1">
      <c r="B96" s="21" t="s">
        <v>47</v>
      </c>
      <c r="C96" s="49"/>
      <c r="D96" s="55">
        <f>SUM((COUNTIF(D63:H93,$F$2)/2),(COUNTIF(D63:H93,$B$2)))</f>
        <v>0</v>
      </c>
      <c r="E96" s="49"/>
      <c r="F96" s="55">
        <f>AT55-D96</f>
        <v>25.5</v>
      </c>
      <c r="H96" s="55">
        <f>F96+ROUNDDOWN(F96/5,0)-1</f>
        <v>29.5</v>
      </c>
      <c r="I96" s="5"/>
      <c r="J96" s="21" t="s">
        <v>47</v>
      </c>
      <c r="K96" s="49"/>
      <c r="L96" s="55">
        <f>SUM((COUNTIF(L63:P93,$F$2)/2),(COUNTIF(L63:P93,$B$2)))</f>
        <v>9</v>
      </c>
      <c r="M96" s="49"/>
      <c r="N96" s="55">
        <f>F96-L96</f>
        <v>16.5</v>
      </c>
      <c r="P96" s="55">
        <f>N96+ROUNDDOWN(N96/5,0)-1</f>
        <v>18.5</v>
      </c>
      <c r="Q96" s="5"/>
      <c r="R96" s="21" t="s">
        <v>47</v>
      </c>
      <c r="S96" s="49"/>
      <c r="T96" s="55">
        <f>SUM((COUNTIF(T63:X93,$F$2)/2),(COUNTIF(T63:X93,$B$2)))</f>
        <v>0</v>
      </c>
      <c r="U96" s="49"/>
      <c r="V96" s="55">
        <f>N96-T96</f>
        <v>16.5</v>
      </c>
      <c r="X96" s="55">
        <f>V96+ROUNDDOWN(V96/5,0)-1</f>
        <v>18.5</v>
      </c>
      <c r="Y96" s="5"/>
      <c r="Z96" s="21" t="s">
        <v>47</v>
      </c>
      <c r="AA96" s="49"/>
      <c r="AB96" s="55">
        <f>SUM((COUNTIF(AB63:AF93,$F$2)/2),(COUNTIF(AB63:AF93,$B$2)))</f>
        <v>0</v>
      </c>
      <c r="AC96" s="49"/>
      <c r="AD96" s="55">
        <f>V96-AB96</f>
        <v>16.5</v>
      </c>
      <c r="AF96" s="55">
        <f>AD96+ROUNDDOWN(AD96/5,0)-1</f>
        <v>18.5</v>
      </c>
      <c r="AG96" s="5"/>
      <c r="AH96" s="21" t="s">
        <v>47</v>
      </c>
      <c r="AI96" s="49"/>
      <c r="AJ96" s="55">
        <f>SUM((COUNTIF(AJ63:AN93,$F$2)/2),(COUNTIF(AJ63:AN93,$B$2)))</f>
        <v>0</v>
      </c>
      <c r="AK96" s="49"/>
      <c r="AL96" s="55">
        <f>AD96-AJ96</f>
        <v>16.5</v>
      </c>
      <c r="AN96" s="55">
        <f>AL96+ROUNDDOWN(AL96/5,0)-1</f>
        <v>18.5</v>
      </c>
      <c r="AO96" s="5"/>
      <c r="AP96" s="21" t="s">
        <v>47</v>
      </c>
      <c r="AQ96" s="49"/>
      <c r="AR96" s="55">
        <f>SUM((COUNTIF(AR63:AV93,$F$2)/2),(COUNTIF(AR63:AV93,$B$2)))</f>
        <v>4</v>
      </c>
      <c r="AS96" s="49"/>
      <c r="AT96" s="55">
        <f>AL96-AR96</f>
        <v>12.5</v>
      </c>
      <c r="AV96" s="55">
        <f>AT96+ROUNDDOWN(AT96/5,0)-1</f>
        <v>13.5</v>
      </c>
    </row>
    <row r="97" spans="2:46" ht="16.5" thickTop="1" thickBot="1">
      <c r="B97" s="9"/>
      <c r="C97" s="10"/>
      <c r="D97" s="44" t="s">
        <v>34</v>
      </c>
      <c r="E97" s="10"/>
      <c r="F97" s="44" t="s">
        <v>36</v>
      </c>
      <c r="G97" s="10"/>
      <c r="H97" s="10"/>
      <c r="I97" s="10"/>
      <c r="J97" s="9"/>
      <c r="K97" s="10"/>
      <c r="L97" s="44" t="s">
        <v>34</v>
      </c>
      <c r="M97" s="10"/>
      <c r="N97" s="44" t="s">
        <v>36</v>
      </c>
      <c r="Q97" s="5"/>
      <c r="R97" s="9"/>
      <c r="S97" s="10"/>
      <c r="T97" s="44" t="s">
        <v>34</v>
      </c>
      <c r="U97" s="10"/>
      <c r="V97" s="44" t="s">
        <v>36</v>
      </c>
      <c r="Y97" s="5"/>
      <c r="Z97" s="9"/>
      <c r="AA97" s="10"/>
      <c r="AB97" s="44" t="s">
        <v>34</v>
      </c>
      <c r="AC97" s="10"/>
      <c r="AD97" s="44" t="s">
        <v>36</v>
      </c>
      <c r="AG97" s="5"/>
      <c r="AH97" s="9"/>
      <c r="AI97" s="10"/>
      <c r="AJ97" s="44" t="s">
        <v>34</v>
      </c>
      <c r="AK97" s="10"/>
      <c r="AL97" s="44" t="s">
        <v>36</v>
      </c>
      <c r="AO97" s="5"/>
      <c r="AP97" s="9"/>
      <c r="AQ97" s="10"/>
      <c r="AR97" s="44" t="s">
        <v>34</v>
      </c>
      <c r="AS97" s="10"/>
      <c r="AT97" s="44" t="s">
        <v>36</v>
      </c>
    </row>
    <row r="98" spans="2:46" ht="16.5" thickTop="1" thickBot="1">
      <c r="B98" s="48" t="s">
        <v>13</v>
      </c>
      <c r="C98" s="51"/>
      <c r="D98" s="54">
        <f>COUNTIF(D63:H93,B98)</f>
        <v>1</v>
      </c>
      <c r="E98" s="53"/>
      <c r="F98" s="54">
        <f>1+AT57-D98</f>
        <v>1.5</v>
      </c>
      <c r="G98" s="53"/>
      <c r="H98" s="53"/>
      <c r="I98" s="53"/>
      <c r="J98" s="48" t="s">
        <v>13</v>
      </c>
      <c r="K98" s="51"/>
      <c r="L98" s="54">
        <f>COUNTIF(L63:P93,J98)</f>
        <v>0</v>
      </c>
      <c r="M98" s="51"/>
      <c r="N98" s="54">
        <f>1+F98-L98</f>
        <v>2.5</v>
      </c>
      <c r="Q98" s="29"/>
      <c r="R98" s="48" t="s">
        <v>13</v>
      </c>
      <c r="S98" s="51"/>
      <c r="T98" s="54">
        <f>COUNTIF(T63:X91,R98)</f>
        <v>0</v>
      </c>
      <c r="U98" s="51"/>
      <c r="V98" s="54">
        <f>1+N98-T98</f>
        <v>3.5</v>
      </c>
      <c r="Y98" s="29"/>
      <c r="Z98" s="48" t="s">
        <v>13</v>
      </c>
      <c r="AA98" s="51"/>
      <c r="AB98" s="54">
        <f>COUNTIF(AB63:AF93,Z98)</f>
        <v>4</v>
      </c>
      <c r="AC98" s="51"/>
      <c r="AD98" s="54">
        <f>1+V98-AB98</f>
        <v>0.5</v>
      </c>
      <c r="AG98" s="29"/>
      <c r="AH98" s="48" t="s">
        <v>13</v>
      </c>
      <c r="AI98" s="51"/>
      <c r="AJ98" s="54">
        <f>COUNTIF(AJ63:AN93,AH98)</f>
        <v>0</v>
      </c>
      <c r="AK98" s="51"/>
      <c r="AL98" s="54">
        <f>1+AD98-AJ98</f>
        <v>1.5</v>
      </c>
      <c r="AO98" s="29"/>
      <c r="AP98" s="48" t="s">
        <v>13</v>
      </c>
      <c r="AQ98" s="51"/>
      <c r="AR98" s="54">
        <f>COUNTIF(AR85:AV91,AP98)</f>
        <v>2</v>
      </c>
      <c r="AS98" s="51"/>
      <c r="AT98" s="54">
        <f>1+AL98-AR98</f>
        <v>0.5</v>
      </c>
    </row>
    <row r="99" spans="2:46" ht="15.75" thickTop="1"/>
  </sheetData>
  <mergeCells count="46">
    <mergeCell ref="C14:E14"/>
    <mergeCell ref="X5:AA6"/>
    <mergeCell ref="C4:E4"/>
    <mergeCell ref="AJ5:AK6"/>
    <mergeCell ref="AJ3:AK4"/>
    <mergeCell ref="C6:E6"/>
    <mergeCell ref="L5:O6"/>
    <mergeCell ref="P5:S6"/>
    <mergeCell ref="T5:W6"/>
    <mergeCell ref="J5:K6"/>
    <mergeCell ref="L4:O4"/>
    <mergeCell ref="P4:S4"/>
    <mergeCell ref="T4:W4"/>
    <mergeCell ref="P3:AA3"/>
    <mergeCell ref="X4:AA4"/>
    <mergeCell ref="P8:S8"/>
    <mergeCell ref="T8:W8"/>
    <mergeCell ref="J9:K10"/>
    <mergeCell ref="L9:O10"/>
    <mergeCell ref="P9:S10"/>
    <mergeCell ref="T9:W10"/>
    <mergeCell ref="L8:O8"/>
    <mergeCell ref="AB4:AE4"/>
    <mergeCell ref="AB5:AE6"/>
    <mergeCell ref="AB3:AI3"/>
    <mergeCell ref="AF4:AI4"/>
    <mergeCell ref="AF5:AI6"/>
    <mergeCell ref="C8:E8"/>
    <mergeCell ref="C2:E2"/>
    <mergeCell ref="C10:E10"/>
    <mergeCell ref="C12:E12"/>
    <mergeCell ref="G2:I2"/>
    <mergeCell ref="G8:H9"/>
    <mergeCell ref="B61:H61"/>
    <mergeCell ref="B16:AV17"/>
    <mergeCell ref="B20:H20"/>
    <mergeCell ref="J20:P20"/>
    <mergeCell ref="R20:X20"/>
    <mergeCell ref="Z20:AF20"/>
    <mergeCell ref="AH20:AN20"/>
    <mergeCell ref="AP20:AV20"/>
    <mergeCell ref="AP61:AV61"/>
    <mergeCell ref="J61:P61"/>
    <mergeCell ref="R61:X61"/>
    <mergeCell ref="Z61:AF61"/>
    <mergeCell ref="AH61:AN61"/>
  </mergeCells>
  <dataValidations count="3">
    <dataValidation type="list" showInputMessage="1" showErrorMessage="1" sqref="D22:E22">
      <formula1>Liste_Choix</formula1>
    </dataValidation>
    <dataValidation type="list" allowBlank="1" showInputMessage="1" showErrorMessage="1" sqref="AJ34:AN38 D23:E25 D42:H46 D49:H52 L22:P22 L32:P36 N74:P78 T25:X29 T32:X36 T39:X43 L25:P29 T22:X22 N37:N45 T46:X50 AR69:AR77 AB22:AF26 AJ64:AJ65 AR38:AV42 D70:H74 D76:H81 D84:H88 D63:H67 D91:H93 M65:M80 AS22:AS28 L81:P85 L63:P63 L88:P92 T64:X68 T71:X75 T78:X82 T85:X89 AB69:AF73 AB76:AF80 AB81:AB93 AB63:AF66 AJ66:AN70 AJ73:AN77 AJ80:AN84 AJ63:AN63 AJ87:AN91 AR64:AV68 AR78:AV82 AC43:AF47 AB29:AF33 AJ22:AN24 T92:X92 AJ41:AN45 AR45:AV49 D28:E32 O39:P43 AB34:AB49 M39:M43 AJ52:AN52 AJ48:AK50 AM48:AN50 AL46:AL51 AR24:AR28 AT24:AV28 L74:L78 L67:L71 AR31:AV35 N67:P71 AC83:AF87 F22:H39 AC90:AF93 AS71:AV75 AJ27:AN31 T23:T24 AB50:AF51 AR85:AR93 AT85:AV93 D35:E39 AC36:AF40 L37:L49 M46:P49 AS83:AS93">
      <formula1>Liste_Choix</formula1>
    </dataValidation>
    <dataValidation type="list" allowBlank="1" showInputMessage="1" showErrorMessage="1" sqref="AM8">
      <formula1>"CPm,1/C"</formula1>
    </dataValidation>
  </dataValidations>
  <pageMargins left="0.7" right="0.7" top="0.75" bottom="0.75" header="0.3" footer="0.3"/>
  <pageSetup paperSize="9" scale="39" orientation="portrait" r:id="rId1"/>
  <colBreaks count="1" manualBreakCount="1">
    <brk id="49" max="1048575" man="1"/>
  </colBreaks>
  <drawing r:id="rId2"/>
  <legacyDrawing r:id="rId3"/>
  <controls>
    <mc:AlternateContent xmlns:mc="http://schemas.openxmlformats.org/markup-compatibility/2006">
      <mc:Choice Requires="x14">
        <control shapeId="1035" r:id="rId4" name="Nouvelle_année">
          <controlPr defaultSize="0" autoLine="0" r:id="rId5">
            <anchor moveWithCells="1">
              <from>
                <xdr:col>40</xdr:col>
                <xdr:colOff>76200</xdr:colOff>
                <xdr:row>4</xdr:row>
                <xdr:rowOff>104775</xdr:rowOff>
              </from>
              <to>
                <xdr:col>43</xdr:col>
                <xdr:colOff>342900</xdr:colOff>
                <xdr:row>7</xdr:row>
                <xdr:rowOff>47625</xdr:rowOff>
              </to>
            </anchor>
          </controlPr>
        </control>
      </mc:Choice>
      <mc:Fallback>
        <control shapeId="1035" r:id="rId4" name="Nouvelle_année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PJD99"/>
  <sheetViews>
    <sheetView showGridLines="0" tabSelected="1" topLeftCell="A11" zoomScale="85" zoomScaleNormal="85" workbookViewId="0">
      <selection activeCell="J22" sqref="J22"/>
    </sheetView>
  </sheetViews>
  <sheetFormatPr baseColWidth="10" defaultColWidth="10.85546875" defaultRowHeight="15"/>
  <cols>
    <col min="1" max="3" width="6.42578125" style="6" customWidth="1"/>
    <col min="4" max="4" width="6.42578125" style="60" customWidth="1"/>
    <col min="5" max="10" width="6.42578125" style="6" customWidth="1"/>
    <col min="11" max="11" width="6.42578125" style="61" customWidth="1"/>
    <col min="12" max="12" width="6.42578125" style="60" customWidth="1"/>
    <col min="13" max="19" width="6.42578125" style="6" customWidth="1"/>
    <col min="20" max="20" width="6.42578125" style="60" customWidth="1"/>
    <col min="21" max="26" width="6.42578125" style="6" customWidth="1"/>
    <col min="27" max="27" width="6.42578125" style="62" customWidth="1"/>
    <col min="28" max="34" width="6.42578125" style="6" customWidth="1"/>
    <col min="35" max="35" width="6.42578125" style="63" customWidth="1"/>
    <col min="36" max="48" width="6.42578125" style="6" customWidth="1"/>
    <col min="49" max="63" width="2.85546875" style="6" customWidth="1"/>
    <col min="64" max="64" width="2.7109375" style="6" customWidth="1"/>
    <col min="65" max="65" width="8.42578125" style="6" customWidth="1"/>
    <col min="66" max="66" width="3.140625" style="6" customWidth="1"/>
    <col min="67" max="16384" width="10.85546875" style="6"/>
  </cols>
  <sheetData>
    <row r="1" spans="1:63 11067:11080" ht="15.75" thickBot="1"/>
    <row r="2" spans="1:63 11067:11080" ht="16.5" thickTop="1" thickBot="1">
      <c r="B2" s="21" t="s">
        <v>37</v>
      </c>
      <c r="C2" s="202" t="s">
        <v>43</v>
      </c>
      <c r="D2" s="203"/>
      <c r="E2" s="203"/>
      <c r="F2" s="102" t="s">
        <v>39</v>
      </c>
      <c r="G2" s="203" t="s">
        <v>41</v>
      </c>
      <c r="H2" s="203"/>
      <c r="I2" s="203"/>
    </row>
    <row r="3" spans="1:63 11067:11080" ht="15" customHeight="1" thickTop="1" thickBot="1">
      <c r="P3" s="345" t="s">
        <v>58</v>
      </c>
      <c r="Q3" s="346"/>
      <c r="R3" s="346"/>
      <c r="S3" s="346"/>
      <c r="T3" s="346"/>
      <c r="U3" s="346"/>
      <c r="V3" s="346"/>
      <c r="W3" s="346"/>
      <c r="X3" s="346"/>
      <c r="Y3" s="346"/>
      <c r="Z3" s="346"/>
      <c r="AA3" s="347"/>
      <c r="AB3" s="280" t="s">
        <v>55</v>
      </c>
      <c r="AC3" s="281"/>
      <c r="AD3" s="281"/>
      <c r="AE3" s="281"/>
      <c r="AF3" s="281"/>
      <c r="AG3" s="281"/>
      <c r="AH3" s="281"/>
      <c r="AI3" s="282"/>
      <c r="AJ3" s="323" t="s">
        <v>59</v>
      </c>
      <c r="AK3" s="324"/>
      <c r="PIQ3" s="195"/>
      <c r="PJD3" s="195"/>
    </row>
    <row r="4" spans="1:63 11067:11080" ht="15" customHeight="1" thickTop="1" thickBot="1">
      <c r="B4" s="130" t="s">
        <v>70</v>
      </c>
      <c r="C4" s="202" t="s">
        <v>63</v>
      </c>
      <c r="D4" s="203"/>
      <c r="E4" s="203"/>
      <c r="J4" s="61"/>
      <c r="L4" s="204" t="s">
        <v>57</v>
      </c>
      <c r="M4" s="205"/>
      <c r="N4" s="205"/>
      <c r="O4" s="205"/>
      <c r="P4" s="339" t="s">
        <v>56</v>
      </c>
      <c r="Q4" s="340"/>
      <c r="R4" s="340"/>
      <c r="S4" s="341"/>
      <c r="T4" s="342" t="s">
        <v>49</v>
      </c>
      <c r="U4" s="343"/>
      <c r="V4" s="343"/>
      <c r="W4" s="344"/>
      <c r="X4" s="348" t="s">
        <v>64</v>
      </c>
      <c r="Y4" s="349"/>
      <c r="Z4" s="349"/>
      <c r="AA4" s="350"/>
      <c r="AB4" s="280" t="s">
        <v>54</v>
      </c>
      <c r="AC4" s="281"/>
      <c r="AD4" s="281"/>
      <c r="AE4" s="282"/>
      <c r="AF4" s="280" t="s">
        <v>50</v>
      </c>
      <c r="AG4" s="281"/>
      <c r="AH4" s="281"/>
      <c r="AI4" s="282"/>
      <c r="AJ4" s="325"/>
      <c r="AK4" s="326"/>
      <c r="AV4" s="60" t="s">
        <v>37</v>
      </c>
    </row>
    <row r="5" spans="1:63 11067:11080" ht="15" customHeight="1" thickTop="1" thickBot="1">
      <c r="C5" s="64"/>
      <c r="D5" s="65"/>
      <c r="E5" s="64"/>
      <c r="J5" s="209" t="s">
        <v>47</v>
      </c>
      <c r="K5" s="210"/>
      <c r="L5" s="295">
        <f>D55-SUM(F55,L55,T55,AB55)</f>
        <v>12.5</v>
      </c>
      <c r="M5" s="296"/>
      <c r="N5" s="296"/>
      <c r="O5" s="296"/>
      <c r="P5" s="327" t="e">
        <f xml:space="preserve"> SUM(AJ55,AR55,D96,L96,T96,AB96,AJ96,AR96,#REF!,#REF!,#REF!,#REF!,#REF!)</f>
        <v>#REF!</v>
      </c>
      <c r="Q5" s="328"/>
      <c r="R5" s="328"/>
      <c r="S5" s="329"/>
      <c r="T5" s="333" t="e">
        <f xml:space="preserve"> 25-P5</f>
        <v>#REF!</v>
      </c>
      <c r="U5" s="334"/>
      <c r="V5" s="334"/>
      <c r="W5" s="335"/>
      <c r="X5" s="313">
        <f xml:space="preserve"> 1-COUNTIF(B22:AV52,B4)+COUNTIF(B63:AV93,B4)</f>
        <v>1</v>
      </c>
      <c r="Y5" s="314"/>
      <c r="Z5" s="314"/>
      <c r="AA5" s="315"/>
      <c r="AB5" s="283" t="e">
        <f>P5+ROUNDDOWN(P5/5,0)</f>
        <v>#REF!</v>
      </c>
      <c r="AC5" s="284"/>
      <c r="AD5" s="284"/>
      <c r="AE5" s="285"/>
      <c r="AF5" s="289" t="e">
        <f>31-AB5</f>
        <v>#REF!</v>
      </c>
      <c r="AG5" s="290"/>
      <c r="AH5" s="290"/>
      <c r="AI5" s="291"/>
      <c r="AJ5" s="319" t="e">
        <f xml:space="preserve"> ROUNDDOWN(P5/5,0)</f>
        <v>#REF!</v>
      </c>
      <c r="AK5" s="320"/>
      <c r="AV5" s="60" t="s">
        <v>39</v>
      </c>
    </row>
    <row r="6" spans="1:63 11067:11080" ht="15" customHeight="1" thickTop="1" thickBot="1">
      <c r="B6" s="22" t="s">
        <v>13</v>
      </c>
      <c r="C6" s="202" t="s">
        <v>24</v>
      </c>
      <c r="D6" s="203"/>
      <c r="E6" s="203"/>
      <c r="F6" s="101" t="s">
        <v>40</v>
      </c>
      <c r="G6" s="6" t="s">
        <v>42</v>
      </c>
      <c r="J6" s="211"/>
      <c r="K6" s="212"/>
      <c r="L6" s="298"/>
      <c r="M6" s="299"/>
      <c r="N6" s="299"/>
      <c r="O6" s="299"/>
      <c r="P6" s="330"/>
      <c r="Q6" s="331"/>
      <c r="R6" s="331"/>
      <c r="S6" s="332"/>
      <c r="T6" s="336"/>
      <c r="U6" s="337"/>
      <c r="V6" s="337"/>
      <c r="W6" s="338"/>
      <c r="X6" s="316"/>
      <c r="Y6" s="317"/>
      <c r="Z6" s="317"/>
      <c r="AA6" s="318"/>
      <c r="AB6" s="286"/>
      <c r="AC6" s="287"/>
      <c r="AD6" s="287"/>
      <c r="AE6" s="288"/>
      <c r="AF6" s="292"/>
      <c r="AG6" s="293"/>
      <c r="AH6" s="293"/>
      <c r="AI6" s="294"/>
      <c r="AJ6" s="321"/>
      <c r="AK6" s="322"/>
      <c r="AV6" s="60" t="s">
        <v>13</v>
      </c>
    </row>
    <row r="7" spans="1:63 11067:11080" ht="15" customHeight="1" thickTop="1" thickBot="1">
      <c r="C7" s="64"/>
      <c r="D7" s="65"/>
      <c r="E7" s="64"/>
      <c r="J7" s="61"/>
      <c r="L7" s="105"/>
      <c r="M7" s="61"/>
      <c r="N7" s="61"/>
      <c r="O7" s="61"/>
      <c r="P7" s="61"/>
      <c r="Q7" s="61"/>
      <c r="R7" s="61"/>
      <c r="S7" s="61"/>
      <c r="T7" s="105"/>
      <c r="U7" s="61"/>
      <c r="V7" s="61"/>
      <c r="W7" s="61"/>
      <c r="X7" s="61"/>
      <c r="Y7" s="61"/>
      <c r="Z7" s="61"/>
      <c r="AA7" s="105"/>
      <c r="AB7" s="60"/>
      <c r="AC7" s="60"/>
      <c r="AE7" s="60"/>
      <c r="AF7" s="60"/>
      <c r="AV7" s="60" t="s">
        <v>40</v>
      </c>
    </row>
    <row r="8" spans="1:63 11067:11080" ht="15" customHeight="1" thickTop="1" thickBot="1">
      <c r="B8" s="23" t="s">
        <v>38</v>
      </c>
      <c r="C8" s="202" t="s">
        <v>44</v>
      </c>
      <c r="D8" s="203"/>
      <c r="E8" s="203"/>
      <c r="F8" s="103" t="s">
        <v>10</v>
      </c>
      <c r="G8" s="277" t="s">
        <v>51</v>
      </c>
      <c r="H8" s="278"/>
      <c r="J8" s="61"/>
      <c r="L8" s="204" t="s">
        <v>65</v>
      </c>
      <c r="M8" s="205"/>
      <c r="N8" s="205"/>
      <c r="O8" s="205"/>
      <c r="P8" s="241" t="s">
        <v>0</v>
      </c>
      <c r="Q8" s="242"/>
      <c r="R8" s="242"/>
      <c r="S8" s="243"/>
      <c r="T8" s="244" t="s">
        <v>53</v>
      </c>
      <c r="U8" s="245"/>
      <c r="V8" s="245"/>
      <c r="W8" s="246"/>
      <c r="AA8" s="61"/>
      <c r="AB8" s="61"/>
      <c r="AC8" s="61"/>
      <c r="AD8" s="61"/>
      <c r="AE8" s="61"/>
      <c r="AF8" s="61"/>
      <c r="AG8" s="61"/>
      <c r="AH8" s="61"/>
      <c r="AI8" s="61"/>
      <c r="AJ8" s="61"/>
      <c r="AK8" s="61"/>
      <c r="AL8" s="61"/>
      <c r="AS8" s="61"/>
      <c r="AT8" s="61"/>
      <c r="AV8" s="60" t="s">
        <v>38</v>
      </c>
    </row>
    <row r="9" spans="1:63 11067:11080" ht="15" customHeight="1" thickTop="1" thickBot="1">
      <c r="C9" s="64"/>
      <c r="D9" s="65"/>
      <c r="E9" s="64"/>
      <c r="F9" s="104" t="s">
        <v>7</v>
      </c>
      <c r="G9" s="279"/>
      <c r="H9" s="278"/>
      <c r="J9" s="247" t="s">
        <v>13</v>
      </c>
      <c r="K9" s="248"/>
      <c r="L9" s="295">
        <f>D57</f>
        <v>0.5</v>
      </c>
      <c r="M9" s="296"/>
      <c r="N9" s="296"/>
      <c r="O9" s="297"/>
      <c r="P9" s="301">
        <f xml:space="preserve"> SUM(F57,L57,T57,AB57,AJ57,AR57,D98,L98,T98,AB98,AJ98,AR98)</f>
        <v>0</v>
      </c>
      <c r="Q9" s="302"/>
      <c r="R9" s="302"/>
      <c r="S9" s="303"/>
      <c r="T9" s="307">
        <f xml:space="preserve"> 11+D57-P9</f>
        <v>11.5</v>
      </c>
      <c r="U9" s="308"/>
      <c r="V9" s="308"/>
      <c r="W9" s="309"/>
      <c r="AA9" s="61"/>
      <c r="AB9" s="61"/>
      <c r="AC9" s="61"/>
      <c r="AD9" s="61"/>
      <c r="AE9" s="61"/>
      <c r="AF9" s="61"/>
      <c r="AG9" s="61"/>
      <c r="AH9" s="61"/>
      <c r="AI9" s="61"/>
      <c r="AJ9" s="61"/>
      <c r="AK9" s="61"/>
      <c r="AL9" s="61"/>
      <c r="AS9" s="61"/>
      <c r="AT9" s="61"/>
      <c r="AV9" s="60" t="s">
        <v>66</v>
      </c>
    </row>
    <row r="10" spans="1:63 11067:11080" ht="15" customHeight="1" thickTop="1" thickBot="1">
      <c r="B10" s="24" t="s">
        <v>14</v>
      </c>
      <c r="C10" s="202" t="s">
        <v>25</v>
      </c>
      <c r="D10" s="203"/>
      <c r="E10" s="203"/>
      <c r="J10" s="249"/>
      <c r="K10" s="250"/>
      <c r="L10" s="298"/>
      <c r="M10" s="299"/>
      <c r="N10" s="299"/>
      <c r="O10" s="300"/>
      <c r="P10" s="304"/>
      <c r="Q10" s="305"/>
      <c r="R10" s="305"/>
      <c r="S10" s="306"/>
      <c r="T10" s="310"/>
      <c r="U10" s="311"/>
      <c r="V10" s="311"/>
      <c r="W10" s="312"/>
      <c r="AA10" s="116"/>
      <c r="AB10" s="61"/>
      <c r="AC10" s="61"/>
      <c r="AD10" s="61"/>
      <c r="AE10" s="61"/>
      <c r="AF10" s="61"/>
      <c r="AG10" s="61"/>
      <c r="AH10" s="61"/>
      <c r="AI10" s="61"/>
      <c r="AJ10" s="61"/>
      <c r="AK10" s="61"/>
      <c r="AL10" s="61"/>
      <c r="AM10" s="61"/>
      <c r="AN10" s="61"/>
      <c r="AS10" s="61"/>
      <c r="AT10" s="61"/>
      <c r="AV10" s="6" t="s">
        <v>67</v>
      </c>
    </row>
    <row r="11" spans="1:63 11067:11080" ht="15" customHeight="1" thickTop="1" thickBot="1">
      <c r="B11" s="25"/>
      <c r="C11" s="59"/>
      <c r="D11" s="65"/>
      <c r="E11" s="64"/>
      <c r="T11" s="6"/>
      <c r="AA11" s="61"/>
      <c r="AB11" s="61"/>
      <c r="AC11" s="61"/>
      <c r="AD11" s="61"/>
      <c r="AE11" s="61"/>
      <c r="AF11" s="61"/>
      <c r="AG11" s="61"/>
      <c r="AH11" s="61"/>
      <c r="AI11" s="61"/>
      <c r="AJ11" s="61"/>
      <c r="AK11" s="61"/>
      <c r="AL11" s="61"/>
      <c r="AM11" s="61"/>
      <c r="AN11" s="61"/>
      <c r="AS11" s="61"/>
      <c r="AT11" s="61"/>
      <c r="AV11" s="60" t="s">
        <v>60</v>
      </c>
    </row>
    <row r="12" spans="1:63 11067:11080" ht="15" customHeight="1" thickTop="1" thickBot="1">
      <c r="B12" s="4" t="s">
        <v>66</v>
      </c>
      <c r="C12" s="202" t="s">
        <v>68</v>
      </c>
      <c r="D12" s="203"/>
      <c r="E12" s="203"/>
      <c r="K12" s="6"/>
      <c r="L12" s="6"/>
      <c r="T12" s="6"/>
      <c r="AA12" s="6"/>
      <c r="AI12" s="6"/>
      <c r="AV12" s="60" t="s">
        <v>70</v>
      </c>
    </row>
    <row r="13" spans="1:63 11067:11080" ht="15" customHeight="1" thickTop="1" thickBot="1">
      <c r="K13" s="6"/>
      <c r="L13" s="6"/>
      <c r="T13" s="6"/>
      <c r="AA13" s="6"/>
      <c r="AI13" s="6"/>
    </row>
    <row r="14" spans="1:63 11067:11080" ht="14.25" customHeight="1" thickTop="1" thickBot="1">
      <c r="B14" s="109" t="s">
        <v>67</v>
      </c>
      <c r="C14" s="203" t="s">
        <v>69</v>
      </c>
      <c r="D14" s="203"/>
      <c r="E14" s="203"/>
      <c r="K14" s="6"/>
      <c r="L14" s="6"/>
      <c r="T14" s="6"/>
      <c r="AA14" s="6"/>
      <c r="AI14" s="6"/>
    </row>
    <row r="15" spans="1:63 11067:11080" ht="14.25" customHeight="1" thickTop="1" thickBot="1">
      <c r="A15" s="60"/>
      <c r="B15" s="60"/>
      <c r="C15" s="60"/>
      <c r="T15" s="66"/>
      <c r="U15" s="66"/>
      <c r="V15" s="66"/>
      <c r="W15" s="66"/>
      <c r="X15" s="66"/>
      <c r="Y15" s="66"/>
      <c r="Z15" s="66"/>
    </row>
    <row r="16" spans="1:63 11067:11080" ht="68.25" thickTop="1">
      <c r="B16" s="267" t="s">
        <v>71</v>
      </c>
      <c r="C16" s="268"/>
      <c r="D16" s="268"/>
      <c r="E16" s="268"/>
      <c r="F16" s="268"/>
      <c r="G16" s="268"/>
      <c r="H16" s="268"/>
      <c r="I16" s="268"/>
      <c r="J16" s="268"/>
      <c r="K16" s="268"/>
      <c r="L16" s="268"/>
      <c r="M16" s="268"/>
      <c r="N16" s="268"/>
      <c r="O16" s="268"/>
      <c r="P16" s="268"/>
      <c r="Q16" s="268"/>
      <c r="R16" s="268"/>
      <c r="S16" s="268"/>
      <c r="T16" s="268"/>
      <c r="U16" s="268"/>
      <c r="V16" s="268"/>
      <c r="W16" s="268"/>
      <c r="X16" s="268"/>
      <c r="Y16" s="268"/>
      <c r="Z16" s="268"/>
      <c r="AA16" s="268"/>
      <c r="AB16" s="268"/>
      <c r="AC16" s="268"/>
      <c r="AD16" s="268"/>
      <c r="AE16" s="268"/>
      <c r="AF16" s="268"/>
      <c r="AG16" s="268"/>
      <c r="AH16" s="268"/>
      <c r="AI16" s="268"/>
      <c r="AJ16" s="268"/>
      <c r="AK16" s="268"/>
      <c r="AL16" s="268"/>
      <c r="AM16" s="268"/>
      <c r="AN16" s="268"/>
      <c r="AO16" s="268"/>
      <c r="AP16" s="268"/>
      <c r="AQ16" s="268"/>
      <c r="AR16" s="268"/>
      <c r="AS16" s="268"/>
      <c r="AT16" s="268"/>
      <c r="AU16" s="268"/>
      <c r="AV16" s="269"/>
      <c r="AW16" s="1"/>
      <c r="AX16" s="1"/>
      <c r="AY16" s="1"/>
      <c r="AZ16" s="1"/>
      <c r="BA16" s="1"/>
      <c r="BB16" s="1"/>
      <c r="BC16" s="1"/>
      <c r="BD16" s="1"/>
      <c r="BE16" s="1"/>
      <c r="BF16" s="1"/>
      <c r="BG16" s="1"/>
      <c r="BH16" s="1"/>
      <c r="BI16" s="1"/>
      <c r="BJ16" s="1"/>
      <c r="BK16" s="1"/>
    </row>
    <row r="17" spans="2:73" ht="12.75" customHeight="1" thickBot="1">
      <c r="B17" s="270"/>
      <c r="C17" s="271"/>
      <c r="D17" s="271"/>
      <c r="E17" s="271"/>
      <c r="F17" s="271"/>
      <c r="G17" s="271"/>
      <c r="H17" s="271"/>
      <c r="I17" s="271"/>
      <c r="J17" s="271"/>
      <c r="K17" s="271"/>
      <c r="L17" s="271"/>
      <c r="M17" s="271"/>
      <c r="N17" s="271"/>
      <c r="O17" s="271"/>
      <c r="P17" s="271"/>
      <c r="Q17" s="271"/>
      <c r="R17" s="271"/>
      <c r="S17" s="271"/>
      <c r="T17" s="271"/>
      <c r="U17" s="271"/>
      <c r="V17" s="271"/>
      <c r="W17" s="271"/>
      <c r="X17" s="271"/>
      <c r="Y17" s="271"/>
      <c r="Z17" s="271"/>
      <c r="AA17" s="271"/>
      <c r="AB17" s="271"/>
      <c r="AC17" s="271"/>
      <c r="AD17" s="271"/>
      <c r="AE17" s="271"/>
      <c r="AF17" s="271"/>
      <c r="AG17" s="271"/>
      <c r="AH17" s="271"/>
      <c r="AI17" s="271"/>
      <c r="AJ17" s="271"/>
      <c r="AK17" s="271"/>
      <c r="AL17" s="271"/>
      <c r="AM17" s="271"/>
      <c r="AN17" s="271"/>
      <c r="AO17" s="271"/>
      <c r="AP17" s="271"/>
      <c r="AQ17" s="271"/>
      <c r="AR17" s="271"/>
      <c r="AS17" s="271"/>
      <c r="AT17" s="271"/>
      <c r="AU17" s="271"/>
      <c r="AV17" s="272"/>
      <c r="AY17" s="60"/>
      <c r="BE17" s="60"/>
      <c r="BF17" s="60"/>
      <c r="BK17" s="60"/>
      <c r="BP17" s="7"/>
      <c r="BQ17" s="7"/>
      <c r="BR17" s="7"/>
      <c r="BS17" s="7"/>
      <c r="BT17" s="7"/>
      <c r="BU17" s="7"/>
    </row>
    <row r="18" spans="2:73" ht="12.75" customHeight="1" thickTop="1">
      <c r="B18" s="45"/>
      <c r="C18" s="2"/>
      <c r="D18" s="2"/>
      <c r="E18" s="2"/>
      <c r="F18" s="2"/>
      <c r="G18" s="2"/>
      <c r="H18" s="2"/>
      <c r="I18" s="2"/>
      <c r="J18" s="2"/>
      <c r="K18" s="31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42"/>
      <c r="AB18" s="2"/>
      <c r="AC18" s="2"/>
      <c r="AD18" s="2"/>
      <c r="AE18" s="2"/>
      <c r="AF18" s="2"/>
      <c r="AG18" s="2"/>
      <c r="AH18" s="2"/>
      <c r="AI18" s="42"/>
      <c r="AJ18" s="2"/>
      <c r="AK18" s="2"/>
      <c r="AL18" s="2"/>
      <c r="AM18" s="2"/>
      <c r="AN18" s="2"/>
      <c r="AO18" s="2"/>
      <c r="AP18" s="2"/>
      <c r="AQ18" s="2"/>
      <c r="AR18" s="2"/>
      <c r="AS18" s="2"/>
      <c r="AT18" s="2"/>
      <c r="AU18" s="2"/>
      <c r="AV18" s="2"/>
      <c r="AY18" s="60"/>
      <c r="BE18" s="60"/>
      <c r="BF18" s="60"/>
      <c r="BK18" s="60"/>
      <c r="BP18" s="7"/>
      <c r="BQ18" s="7"/>
      <c r="BR18" s="7"/>
      <c r="BS18" s="7"/>
      <c r="BT18" s="7"/>
      <c r="BU18" s="7"/>
    </row>
    <row r="19" spans="2:73" s="7" customFormat="1" ht="5.25" customHeight="1">
      <c r="K19" s="67"/>
      <c r="U19" s="3"/>
      <c r="V19" s="3"/>
      <c r="W19" s="3"/>
      <c r="AA19" s="8"/>
      <c r="AI19" s="8"/>
    </row>
    <row r="20" spans="2:73" s="3" customFormat="1" ht="30.75" customHeight="1">
      <c r="B20" s="275" t="s">
        <v>1</v>
      </c>
      <c r="C20" s="276"/>
      <c r="D20" s="276"/>
      <c r="E20" s="276"/>
      <c r="F20" s="276"/>
      <c r="G20" s="276"/>
      <c r="H20" s="276"/>
      <c r="I20" s="20"/>
      <c r="J20" s="265" t="s">
        <v>2</v>
      </c>
      <c r="K20" s="266"/>
      <c r="L20" s="266"/>
      <c r="M20" s="266"/>
      <c r="N20" s="266"/>
      <c r="O20" s="266"/>
      <c r="P20" s="266"/>
      <c r="Q20" s="20"/>
      <c r="R20" s="265" t="s">
        <v>3</v>
      </c>
      <c r="S20" s="266"/>
      <c r="T20" s="266"/>
      <c r="U20" s="266"/>
      <c r="V20" s="266"/>
      <c r="W20" s="266"/>
      <c r="X20" s="266"/>
      <c r="Y20" s="20"/>
      <c r="Z20" s="265" t="s">
        <v>4</v>
      </c>
      <c r="AA20" s="266"/>
      <c r="AB20" s="266"/>
      <c r="AC20" s="266"/>
      <c r="AD20" s="266"/>
      <c r="AE20" s="266"/>
      <c r="AF20" s="266"/>
      <c r="AG20" s="20"/>
      <c r="AH20" s="265" t="s">
        <v>5</v>
      </c>
      <c r="AI20" s="266"/>
      <c r="AJ20" s="266"/>
      <c r="AK20" s="266"/>
      <c r="AL20" s="266"/>
      <c r="AM20" s="266"/>
      <c r="AN20" s="266"/>
      <c r="AO20" s="20"/>
      <c r="AP20" s="265" t="s">
        <v>6</v>
      </c>
      <c r="AQ20" s="266"/>
      <c r="AR20" s="266"/>
      <c r="AS20" s="266"/>
      <c r="AT20" s="266"/>
      <c r="AU20" s="266"/>
      <c r="AV20" s="266"/>
    </row>
    <row r="21" spans="2:73" s="194" customFormat="1" ht="12" customHeight="1">
      <c r="B21" s="145"/>
      <c r="C21" s="34"/>
      <c r="D21" s="34"/>
      <c r="E21" s="34"/>
      <c r="F21" s="34"/>
      <c r="G21" s="34"/>
      <c r="H21" s="34"/>
      <c r="I21" s="34"/>
      <c r="J21" s="34"/>
      <c r="K21" s="34"/>
      <c r="L21" s="34"/>
      <c r="M21" s="34"/>
      <c r="N21" s="34"/>
      <c r="O21" s="34"/>
      <c r="P21" s="34"/>
      <c r="Q21" s="34"/>
      <c r="R21" s="34"/>
      <c r="S21" s="34"/>
      <c r="T21" s="34"/>
      <c r="U21" s="34"/>
      <c r="V21" s="34"/>
      <c r="W21" s="34"/>
      <c r="X21" s="34"/>
      <c r="Y21" s="34"/>
      <c r="Z21" s="34"/>
      <c r="AA21" s="34"/>
      <c r="AB21" s="34"/>
      <c r="AC21" s="34"/>
      <c r="AD21" s="34"/>
      <c r="AE21" s="34"/>
      <c r="AF21" s="34"/>
      <c r="AG21" s="34"/>
      <c r="AH21" s="34"/>
      <c r="AI21" s="34"/>
      <c r="AJ21" s="34"/>
      <c r="AK21" s="34"/>
      <c r="AL21" s="34"/>
      <c r="AM21" s="34"/>
      <c r="AN21" s="34"/>
      <c r="AO21" s="34"/>
      <c r="AP21" s="34"/>
      <c r="AQ21" s="34"/>
      <c r="AR21" s="34"/>
      <c r="AS21" s="34"/>
      <c r="AT21" s="34"/>
      <c r="AU21" s="34"/>
      <c r="AV21" s="34"/>
    </row>
    <row r="22" spans="2:73" s="194" customFormat="1" ht="12" customHeight="1">
      <c r="B22" s="149">
        <f>DATE(D54+1,1,1)</f>
        <v>43831</v>
      </c>
      <c r="C22" s="146">
        <v>1</v>
      </c>
      <c r="D22" s="147"/>
      <c r="E22" s="146"/>
      <c r="F22" s="146"/>
      <c r="G22" s="146"/>
      <c r="H22" s="146"/>
      <c r="I22" s="34"/>
      <c r="J22" s="149">
        <f>DATE(D54+1,2,1)</f>
        <v>43862</v>
      </c>
      <c r="K22" s="155">
        <v>1</v>
      </c>
      <c r="L22" s="170"/>
      <c r="M22" s="169"/>
      <c r="N22" s="169"/>
      <c r="O22" s="169"/>
      <c r="P22" s="169"/>
      <c r="Q22" s="34"/>
      <c r="R22" s="149">
        <f>DATE(D54+1,3,1)</f>
        <v>43891</v>
      </c>
      <c r="S22" s="155">
        <v>1</v>
      </c>
      <c r="T22" s="172"/>
      <c r="U22" s="169"/>
      <c r="V22" s="169"/>
      <c r="W22" s="169"/>
      <c r="X22" s="169"/>
      <c r="Y22" s="34"/>
      <c r="Z22" s="149">
        <f>DATE(D54+1,4,1)</f>
        <v>43922</v>
      </c>
      <c r="AA22" s="146">
        <v>1</v>
      </c>
      <c r="AB22" s="113"/>
      <c r="AC22" s="113"/>
      <c r="AD22" s="113"/>
      <c r="AE22" s="113"/>
      <c r="AF22" s="113"/>
      <c r="AG22" s="34"/>
      <c r="AH22" s="139">
        <f>DATE(D54+1,5,1)</f>
        <v>43952</v>
      </c>
      <c r="AI22" s="146">
        <v>1</v>
      </c>
      <c r="AJ22" s="146"/>
      <c r="AK22" s="146"/>
      <c r="AL22" s="146"/>
      <c r="AM22" s="146"/>
      <c r="AN22" s="146"/>
      <c r="AO22" s="34"/>
      <c r="AP22" s="139">
        <f>DATE(D54+1,6,1)</f>
        <v>43983</v>
      </c>
      <c r="AQ22" s="168">
        <v>1</v>
      </c>
      <c r="AR22" s="168"/>
      <c r="AS22" s="114"/>
      <c r="AT22" s="166"/>
      <c r="AU22" s="166"/>
      <c r="AV22" s="166"/>
    </row>
    <row r="23" spans="2:73" s="194" customFormat="1" ht="12" customHeight="1">
      <c r="B23" s="149">
        <f>DATE(D54+1,1,2)</f>
        <v>43832</v>
      </c>
      <c r="C23" s="146">
        <v>2</v>
      </c>
      <c r="D23" s="160"/>
      <c r="E23" s="113"/>
      <c r="F23" s="113"/>
      <c r="G23" s="113"/>
      <c r="H23" s="113"/>
      <c r="I23" s="34"/>
      <c r="J23" s="149">
        <f>DATE(D54+1,2,2)</f>
        <v>43863</v>
      </c>
      <c r="K23" s="123">
        <v>2</v>
      </c>
      <c r="L23" s="123"/>
      <c r="M23" s="123"/>
      <c r="N23" s="123"/>
      <c r="O23" s="123"/>
      <c r="P23" s="123"/>
      <c r="Q23" s="34"/>
      <c r="R23" s="149">
        <f>DATE(D54+1,3,2)</f>
        <v>43892</v>
      </c>
      <c r="S23" s="168">
        <v>2</v>
      </c>
      <c r="T23" s="174"/>
      <c r="U23" s="166"/>
      <c r="V23" s="166"/>
      <c r="W23" s="166"/>
      <c r="X23" s="166"/>
      <c r="Y23" s="34"/>
      <c r="Z23" s="149">
        <f>DATE(D54+1,4,2)</f>
        <v>43923</v>
      </c>
      <c r="AA23" s="146">
        <v>2</v>
      </c>
      <c r="AB23" s="113"/>
      <c r="AC23" s="113"/>
      <c r="AD23" s="113"/>
      <c r="AE23" s="113"/>
      <c r="AF23" s="113"/>
      <c r="AG23" s="34"/>
      <c r="AH23" s="140">
        <f>DATE(D54+1,5,2)</f>
        <v>43953</v>
      </c>
      <c r="AI23" s="155">
        <v>2</v>
      </c>
      <c r="AJ23" s="170"/>
      <c r="AK23" s="169"/>
      <c r="AL23" s="169"/>
      <c r="AM23" s="169"/>
      <c r="AN23" s="169"/>
      <c r="AO23" s="34"/>
      <c r="AP23" s="151">
        <f>DATE(D54+1,6,2)</f>
        <v>43984</v>
      </c>
      <c r="AQ23" s="168">
        <v>2</v>
      </c>
      <c r="AR23" s="168"/>
      <c r="AS23" s="112"/>
      <c r="AT23" s="166"/>
      <c r="AU23" s="166"/>
      <c r="AV23" s="166"/>
    </row>
    <row r="24" spans="2:73" s="194" customFormat="1" ht="12" customHeight="1">
      <c r="B24" s="149">
        <f>DATE(D54+1,1,3)</f>
        <v>43833</v>
      </c>
      <c r="C24" s="146">
        <v>3</v>
      </c>
      <c r="D24" s="162"/>
      <c r="E24" s="112"/>
      <c r="F24" s="113"/>
      <c r="G24" s="113"/>
      <c r="H24" s="113"/>
      <c r="I24" s="34"/>
      <c r="J24" s="149">
        <f>DATE(D54+1,2,3)</f>
        <v>43864</v>
      </c>
      <c r="K24" s="168">
        <v>3</v>
      </c>
      <c r="L24" s="168"/>
      <c r="M24" s="166"/>
      <c r="N24" s="166"/>
      <c r="O24" s="166"/>
      <c r="P24" s="166"/>
      <c r="Q24" s="34"/>
      <c r="R24" s="149">
        <f>DATE(D54+1,3,3)</f>
        <v>43893</v>
      </c>
      <c r="S24" s="168">
        <v>3</v>
      </c>
      <c r="T24" s="175"/>
      <c r="U24" s="166"/>
      <c r="V24" s="166"/>
      <c r="W24" s="166"/>
      <c r="X24" s="166"/>
      <c r="Y24" s="34"/>
      <c r="Z24" s="149">
        <f>DATE(D54+1,4,3)</f>
        <v>43924</v>
      </c>
      <c r="AA24" s="146">
        <v>3</v>
      </c>
      <c r="AB24" s="113"/>
      <c r="AC24" s="113"/>
      <c r="AD24" s="113"/>
      <c r="AE24" s="113"/>
      <c r="AF24" s="113"/>
      <c r="AG24" s="34"/>
      <c r="AH24" s="140">
        <f>DATE(D54+1,5,3)</f>
        <v>43954</v>
      </c>
      <c r="AI24" s="155">
        <v>3</v>
      </c>
      <c r="AJ24" s="170"/>
      <c r="AK24" s="169"/>
      <c r="AL24" s="169"/>
      <c r="AM24" s="169"/>
      <c r="AN24" s="169"/>
      <c r="AO24" s="34"/>
      <c r="AP24" s="151">
        <f>DATE(D54+1,6,3)</f>
        <v>43985</v>
      </c>
      <c r="AQ24" s="146">
        <v>3</v>
      </c>
      <c r="AR24" s="113"/>
      <c r="AS24" s="126"/>
      <c r="AT24" s="113"/>
      <c r="AU24" s="113"/>
      <c r="AV24" s="113"/>
    </row>
    <row r="25" spans="2:73" s="194" customFormat="1" ht="12" customHeight="1">
      <c r="B25" s="149">
        <f>DATE(D55+1,1,4)</f>
        <v>4753</v>
      </c>
      <c r="C25" s="155">
        <v>4</v>
      </c>
      <c r="D25" s="165"/>
      <c r="E25" s="163"/>
      <c r="F25" s="164"/>
      <c r="G25" s="164"/>
      <c r="H25" s="164"/>
      <c r="I25" s="34"/>
      <c r="J25" s="149">
        <f>DATE(D54+1,2,4)</f>
        <v>43865</v>
      </c>
      <c r="K25" s="146">
        <v>4</v>
      </c>
      <c r="L25" s="113"/>
      <c r="M25" s="113"/>
      <c r="N25" s="113"/>
      <c r="O25" s="113"/>
      <c r="P25" s="113"/>
      <c r="Q25" s="34"/>
      <c r="R25" s="149">
        <f>DATE(D54+1,3,4)</f>
        <v>43894</v>
      </c>
      <c r="S25" s="146">
        <v>4</v>
      </c>
      <c r="T25" s="126"/>
      <c r="U25" s="113"/>
      <c r="V25" s="113"/>
      <c r="W25" s="113"/>
      <c r="X25" s="113"/>
      <c r="Y25" s="34"/>
      <c r="Z25" s="149">
        <f>DATE(D54+1,4,4)</f>
        <v>43925</v>
      </c>
      <c r="AA25" s="155">
        <v>4</v>
      </c>
      <c r="AB25" s="170"/>
      <c r="AC25" s="169"/>
      <c r="AD25" s="169"/>
      <c r="AE25" s="169"/>
      <c r="AF25" s="169"/>
      <c r="AG25" s="34"/>
      <c r="AH25" s="151">
        <f>DATE(D54+1,5,4)</f>
        <v>43955</v>
      </c>
      <c r="AI25" s="168">
        <v>4</v>
      </c>
      <c r="AJ25" s="168"/>
      <c r="AK25" s="166"/>
      <c r="AL25" s="166"/>
      <c r="AM25" s="166"/>
      <c r="AN25" s="166"/>
      <c r="AO25" s="34"/>
      <c r="AP25" s="151">
        <f>DATE(D54+1,6,4)</f>
        <v>43986</v>
      </c>
      <c r="AQ25" s="146">
        <v>4</v>
      </c>
      <c r="AR25" s="113"/>
      <c r="AS25" s="113"/>
      <c r="AT25" s="113"/>
      <c r="AU25" s="113"/>
      <c r="AV25" s="113"/>
    </row>
    <row r="26" spans="2:73" s="194" customFormat="1" ht="12" customHeight="1">
      <c r="B26" s="149">
        <f>DATE(D54+1,1,5)</f>
        <v>43835</v>
      </c>
      <c r="C26" s="123">
        <v>5</v>
      </c>
      <c r="D26" s="123"/>
      <c r="E26" s="123"/>
      <c r="F26" s="143"/>
      <c r="G26" s="138"/>
      <c r="H26" s="143"/>
      <c r="I26" s="34"/>
      <c r="J26" s="149">
        <f>DATE(D54+1,2,5)</f>
        <v>43866</v>
      </c>
      <c r="K26" s="146">
        <v>5</v>
      </c>
      <c r="L26" s="113"/>
      <c r="M26" s="113"/>
      <c r="N26" s="113"/>
      <c r="O26" s="113"/>
      <c r="P26" s="128"/>
      <c r="Q26" s="34"/>
      <c r="R26" s="149">
        <f>DATE(D54+1,3,5)</f>
        <v>43895</v>
      </c>
      <c r="S26" s="146">
        <v>5</v>
      </c>
      <c r="T26" s="113"/>
      <c r="U26" s="113"/>
      <c r="V26" s="112"/>
      <c r="W26" s="113"/>
      <c r="X26" s="113"/>
      <c r="Y26" s="34"/>
      <c r="Z26" s="149">
        <f>DATE(D54+1,4,5)</f>
        <v>43926</v>
      </c>
      <c r="AA26" s="155">
        <v>5</v>
      </c>
      <c r="AB26" s="170"/>
      <c r="AC26" s="169"/>
      <c r="AD26" s="169"/>
      <c r="AE26" s="169"/>
      <c r="AF26" s="169"/>
      <c r="AG26" s="34"/>
      <c r="AH26" s="151">
        <f>DATE(D54+1,5,5)</f>
        <v>43956</v>
      </c>
      <c r="AI26" s="168">
        <v>5</v>
      </c>
      <c r="AJ26" s="168"/>
      <c r="AK26" s="166"/>
      <c r="AL26" s="166"/>
      <c r="AM26" s="166"/>
      <c r="AN26" s="166"/>
      <c r="AO26" s="34"/>
      <c r="AP26" s="151">
        <f>DATE(D54+1,6,5)</f>
        <v>43987</v>
      </c>
      <c r="AQ26" s="146">
        <v>5</v>
      </c>
      <c r="AR26" s="113"/>
      <c r="AS26" s="113"/>
      <c r="AT26" s="113"/>
      <c r="AU26" s="113"/>
      <c r="AV26" s="113"/>
    </row>
    <row r="27" spans="2:73" s="194" customFormat="1" ht="12" customHeight="1">
      <c r="B27" s="149">
        <f>DATE(D54+1,1,6)</f>
        <v>43836</v>
      </c>
      <c r="C27" s="168">
        <v>6</v>
      </c>
      <c r="D27" s="168"/>
      <c r="E27" s="166"/>
      <c r="F27" s="166"/>
      <c r="G27" s="167"/>
      <c r="H27" s="166"/>
      <c r="I27" s="34"/>
      <c r="J27" s="149">
        <f>DATE(D54+1,2,6)</f>
        <v>43867</v>
      </c>
      <c r="K27" s="146">
        <v>6</v>
      </c>
      <c r="L27" s="113"/>
      <c r="M27" s="112"/>
      <c r="N27" s="113"/>
      <c r="O27" s="134"/>
      <c r="P27" s="126"/>
      <c r="Q27" s="34"/>
      <c r="R27" s="149">
        <f>DATE(D54+1,3,6)</f>
        <v>43896</v>
      </c>
      <c r="S27" s="146">
        <v>6</v>
      </c>
      <c r="T27" s="113"/>
      <c r="U27" s="113"/>
      <c r="V27" s="126"/>
      <c r="W27" s="113"/>
      <c r="X27" s="113"/>
      <c r="Y27" s="34"/>
      <c r="Z27" s="149">
        <f>DATE(D54+1,4,6)</f>
        <v>43927</v>
      </c>
      <c r="AA27" s="168">
        <v>6</v>
      </c>
      <c r="AB27" s="168"/>
      <c r="AC27" s="166"/>
      <c r="AD27" s="166"/>
      <c r="AE27" s="166"/>
      <c r="AF27" s="166"/>
      <c r="AG27" s="34"/>
      <c r="AH27" s="151">
        <f>DATE(D54+1,5,6)</f>
        <v>43957</v>
      </c>
      <c r="AI27" s="146">
        <v>6</v>
      </c>
      <c r="AJ27" s="113"/>
      <c r="AK27" s="113"/>
      <c r="AL27" s="113"/>
      <c r="AM27" s="113"/>
      <c r="AN27" s="113"/>
      <c r="AO27" s="34"/>
      <c r="AP27" s="140">
        <f>DATE(D54+1,6,6)</f>
        <v>43988</v>
      </c>
      <c r="AQ27" s="155">
        <v>6</v>
      </c>
      <c r="AR27" s="170"/>
      <c r="AS27" s="169"/>
      <c r="AT27" s="169"/>
      <c r="AU27" s="169"/>
      <c r="AV27" s="169"/>
    </row>
    <row r="28" spans="2:73" s="194" customFormat="1" ht="12" customHeight="1">
      <c r="B28" s="149">
        <f>DATE(D54+1,1,7)</f>
        <v>43837</v>
      </c>
      <c r="C28" s="146">
        <v>7</v>
      </c>
      <c r="D28" s="113"/>
      <c r="E28" s="113"/>
      <c r="F28" s="113"/>
      <c r="G28" s="113"/>
      <c r="H28" s="113"/>
      <c r="I28" s="34"/>
      <c r="J28" s="149">
        <f>DATE(D54+1,2,7)</f>
        <v>43868</v>
      </c>
      <c r="K28" s="146">
        <v>7</v>
      </c>
      <c r="L28" s="113"/>
      <c r="M28" s="126"/>
      <c r="N28" s="113"/>
      <c r="O28" s="126"/>
      <c r="P28" s="113"/>
      <c r="Q28" s="34"/>
      <c r="R28" s="149">
        <f>DATE(D54+1,3,7)</f>
        <v>43897</v>
      </c>
      <c r="S28" s="155">
        <v>7</v>
      </c>
      <c r="T28" s="170"/>
      <c r="U28" s="169"/>
      <c r="V28" s="169"/>
      <c r="W28" s="169"/>
      <c r="X28" s="169"/>
      <c r="Y28" s="34"/>
      <c r="Z28" s="149">
        <f>DATE(D54+1,4,7)</f>
        <v>43928</v>
      </c>
      <c r="AA28" s="168">
        <v>7</v>
      </c>
      <c r="AB28" s="168"/>
      <c r="AC28" s="166"/>
      <c r="AD28" s="166"/>
      <c r="AE28" s="166"/>
      <c r="AF28" s="166"/>
      <c r="AG28" s="34"/>
      <c r="AH28" s="151">
        <f>DATE(D54+1,5,7)</f>
        <v>43958</v>
      </c>
      <c r="AI28" s="146">
        <v>7</v>
      </c>
      <c r="AJ28" s="113"/>
      <c r="AK28" s="113"/>
      <c r="AL28" s="113"/>
      <c r="AM28" s="113"/>
      <c r="AN28" s="113"/>
      <c r="AO28" s="34"/>
      <c r="AP28" s="140">
        <f>DATE(D54+1,6,7)</f>
        <v>43989</v>
      </c>
      <c r="AQ28" s="155">
        <v>7</v>
      </c>
      <c r="AR28" s="179"/>
      <c r="AS28" s="179"/>
      <c r="AT28" s="169"/>
      <c r="AU28" s="169"/>
      <c r="AV28" s="169"/>
    </row>
    <row r="29" spans="2:73" s="194" customFormat="1" ht="12" customHeight="1">
      <c r="B29" s="149">
        <f>DATE(D54+1,1,8)</f>
        <v>43838</v>
      </c>
      <c r="C29" s="146">
        <v>8</v>
      </c>
      <c r="D29" s="148"/>
      <c r="E29" s="128"/>
      <c r="F29" s="114"/>
      <c r="G29" s="113"/>
      <c r="H29" s="113"/>
      <c r="I29" s="34"/>
      <c r="J29" s="149">
        <f>DATE(D54+1,2,8)</f>
        <v>43869</v>
      </c>
      <c r="K29" s="155">
        <v>8</v>
      </c>
      <c r="L29" s="170"/>
      <c r="M29" s="169"/>
      <c r="N29" s="169"/>
      <c r="O29" s="169"/>
      <c r="P29" s="169"/>
      <c r="Q29" s="34"/>
      <c r="R29" s="149">
        <f>DATE(D54+1,3,8)</f>
        <v>43898</v>
      </c>
      <c r="S29" s="155">
        <v>8</v>
      </c>
      <c r="T29" s="170"/>
      <c r="U29" s="169"/>
      <c r="V29" s="169"/>
      <c r="W29" s="169"/>
      <c r="X29" s="169"/>
      <c r="Y29" s="34"/>
      <c r="Z29" s="149">
        <f>DATE(D54+1,4,8)</f>
        <v>43929</v>
      </c>
      <c r="AA29" s="146">
        <v>8</v>
      </c>
      <c r="AB29" s="113"/>
      <c r="AC29" s="113"/>
      <c r="AD29" s="113"/>
      <c r="AE29" s="113"/>
      <c r="AF29" s="113"/>
      <c r="AG29" s="34"/>
      <c r="AH29" s="151">
        <f>DATE(D54+1,5,8)</f>
        <v>43959</v>
      </c>
      <c r="AI29" s="146">
        <v>8</v>
      </c>
      <c r="AJ29" s="146"/>
      <c r="AK29" s="146"/>
      <c r="AL29" s="146"/>
      <c r="AM29" s="146"/>
      <c r="AN29" s="146"/>
      <c r="AO29" s="34"/>
      <c r="AP29" s="151">
        <f>DATE(D54+1,6,8)</f>
        <v>43990</v>
      </c>
      <c r="AQ29" s="168">
        <v>8</v>
      </c>
      <c r="AR29" s="183"/>
      <c r="AS29" s="178"/>
      <c r="AT29" s="166"/>
      <c r="AU29" s="166"/>
      <c r="AV29" s="166"/>
    </row>
    <row r="30" spans="2:73" s="194" customFormat="1" ht="12" customHeight="1">
      <c r="B30" s="149">
        <f>DATE(D54+1,1,9)</f>
        <v>43839</v>
      </c>
      <c r="C30" s="146">
        <v>9</v>
      </c>
      <c r="D30" s="113"/>
      <c r="E30" s="126"/>
      <c r="F30" s="113"/>
      <c r="G30" s="112"/>
      <c r="H30" s="113"/>
      <c r="I30" s="34"/>
      <c r="J30" s="149">
        <f>DATE(D54+1,2,9)</f>
        <v>43870</v>
      </c>
      <c r="K30" s="123">
        <v>9</v>
      </c>
      <c r="L30" s="123"/>
      <c r="M30" s="123"/>
      <c r="N30" s="123"/>
      <c r="O30" s="123"/>
      <c r="P30" s="123"/>
      <c r="Q30" s="34"/>
      <c r="R30" s="149">
        <f>DATE(D54+1,3,9)</f>
        <v>43899</v>
      </c>
      <c r="S30" s="168">
        <v>9</v>
      </c>
      <c r="T30" s="168"/>
      <c r="U30" s="166"/>
      <c r="V30" s="166"/>
      <c r="W30" s="166"/>
      <c r="X30" s="166"/>
      <c r="Y30" s="34"/>
      <c r="Z30" s="149">
        <f>DATE(D54+1,4,9)</f>
        <v>43930</v>
      </c>
      <c r="AA30" s="146">
        <v>9</v>
      </c>
      <c r="AB30" s="113"/>
      <c r="AC30" s="113"/>
      <c r="AD30" s="113"/>
      <c r="AE30" s="113"/>
      <c r="AF30" s="113"/>
      <c r="AG30" s="34"/>
      <c r="AH30" s="140">
        <f>DATE(D54+1,5,9)</f>
        <v>43960</v>
      </c>
      <c r="AI30" s="155">
        <v>9</v>
      </c>
      <c r="AJ30" s="170"/>
      <c r="AK30" s="169"/>
      <c r="AL30" s="169"/>
      <c r="AM30" s="169"/>
      <c r="AN30" s="169"/>
      <c r="AO30" s="34"/>
      <c r="AP30" s="151">
        <f>DATE(D54+1,6,9)</f>
        <v>43991</v>
      </c>
      <c r="AQ30" s="168">
        <v>9</v>
      </c>
      <c r="AR30" s="168"/>
      <c r="AS30" s="167"/>
      <c r="AT30" s="167"/>
      <c r="AU30" s="166"/>
      <c r="AV30" s="166"/>
    </row>
    <row r="31" spans="2:73" s="194" customFormat="1" ht="12" customHeight="1">
      <c r="B31" s="149">
        <f>DATE(D54+1,1,10)</f>
        <v>43840</v>
      </c>
      <c r="C31" s="146">
        <v>10</v>
      </c>
      <c r="D31" s="113"/>
      <c r="E31" s="118"/>
      <c r="F31" s="113"/>
      <c r="G31" s="126"/>
      <c r="H31" s="113"/>
      <c r="I31" s="34"/>
      <c r="J31" s="149">
        <f>DATE(D54+1,2,10)</f>
        <v>43871</v>
      </c>
      <c r="K31" s="168">
        <v>10</v>
      </c>
      <c r="L31" s="168"/>
      <c r="M31" s="166"/>
      <c r="N31" s="166"/>
      <c r="O31" s="166"/>
      <c r="P31" s="166"/>
      <c r="Q31" s="34"/>
      <c r="R31" s="149">
        <f>DATE(D54+1,3,10)</f>
        <v>43900</v>
      </c>
      <c r="S31" s="168">
        <v>10</v>
      </c>
      <c r="T31" s="168"/>
      <c r="U31" s="166"/>
      <c r="V31" s="166"/>
      <c r="W31" s="166"/>
      <c r="X31" s="166"/>
      <c r="Y31" s="34"/>
      <c r="Z31" s="149">
        <f>DATE(D54+1,4,10)</f>
        <v>43931</v>
      </c>
      <c r="AA31" s="146">
        <v>10</v>
      </c>
      <c r="AB31" s="113"/>
      <c r="AC31" s="113"/>
      <c r="AD31" s="113"/>
      <c r="AE31" s="113"/>
      <c r="AF31" s="113"/>
      <c r="AG31" s="34"/>
      <c r="AH31" s="140">
        <f>DATE(D54+1,5,10)</f>
        <v>43961</v>
      </c>
      <c r="AI31" s="155">
        <v>10</v>
      </c>
      <c r="AJ31" s="170"/>
      <c r="AK31" s="169"/>
      <c r="AL31" s="169"/>
      <c r="AM31" s="169"/>
      <c r="AN31" s="169"/>
      <c r="AO31" s="34"/>
      <c r="AP31" s="151">
        <f>DATE(D54+1,6,10)</f>
        <v>43992</v>
      </c>
      <c r="AQ31" s="146">
        <v>10</v>
      </c>
      <c r="AR31" s="113"/>
      <c r="AS31" s="134"/>
      <c r="AT31" s="128"/>
      <c r="AU31" s="113"/>
      <c r="AV31" s="113"/>
    </row>
    <row r="32" spans="2:73" s="194" customFormat="1" ht="12" customHeight="1">
      <c r="B32" s="149">
        <f>DATE(D54+1,1,11)</f>
        <v>43841</v>
      </c>
      <c r="C32" s="155">
        <v>11</v>
      </c>
      <c r="D32" s="170"/>
      <c r="E32" s="169"/>
      <c r="F32" s="169"/>
      <c r="G32" s="169"/>
      <c r="H32" s="169"/>
      <c r="I32" s="34"/>
      <c r="J32" s="149">
        <f>DATE(D54+1,2,11)</f>
        <v>43872</v>
      </c>
      <c r="K32" s="146">
        <v>11</v>
      </c>
      <c r="L32" s="113"/>
      <c r="M32" s="113"/>
      <c r="N32" s="113"/>
      <c r="O32" s="113"/>
      <c r="P32" s="113"/>
      <c r="Q32" s="34"/>
      <c r="R32" s="149">
        <f>DATE(D54+1,3,11)</f>
        <v>43901</v>
      </c>
      <c r="S32" s="146">
        <v>11</v>
      </c>
      <c r="T32" s="113"/>
      <c r="U32" s="113"/>
      <c r="V32" s="113"/>
      <c r="W32" s="113"/>
      <c r="X32" s="113"/>
      <c r="Y32" s="34"/>
      <c r="Z32" s="149">
        <f>DATE(D54+1,4,11)</f>
        <v>43932</v>
      </c>
      <c r="AA32" s="155">
        <v>11</v>
      </c>
      <c r="AB32" s="170"/>
      <c r="AC32" s="169"/>
      <c r="AD32" s="169"/>
      <c r="AE32" s="169"/>
      <c r="AF32" s="169"/>
      <c r="AG32" s="34"/>
      <c r="AH32" s="151">
        <f>DATE(D54+1,5,11)</f>
        <v>43962</v>
      </c>
      <c r="AI32" s="168">
        <v>11</v>
      </c>
      <c r="AJ32" s="168"/>
      <c r="AK32" s="166"/>
      <c r="AL32" s="166"/>
      <c r="AM32" s="166"/>
      <c r="AN32" s="166"/>
      <c r="AO32" s="34"/>
      <c r="AP32" s="151">
        <f>DATE(D54+1,6,11)</f>
        <v>43993</v>
      </c>
      <c r="AQ32" s="146">
        <v>11</v>
      </c>
      <c r="AR32" s="113"/>
      <c r="AS32" s="126"/>
      <c r="AT32" s="126"/>
      <c r="AU32" s="113"/>
      <c r="AV32" s="113"/>
    </row>
    <row r="33" spans="2:48" s="194" customFormat="1" ht="12" customHeight="1">
      <c r="B33" s="149">
        <f>DATE(D54+1,1,12)</f>
        <v>43842</v>
      </c>
      <c r="C33" s="123">
        <v>12</v>
      </c>
      <c r="D33" s="123"/>
      <c r="E33" s="123"/>
      <c r="F33" s="123"/>
      <c r="G33" s="123"/>
      <c r="H33" s="123"/>
      <c r="I33" s="34"/>
      <c r="J33" s="149">
        <f>DATE(D54+1,2,12)</f>
        <v>43873</v>
      </c>
      <c r="K33" s="146">
        <v>12</v>
      </c>
      <c r="L33" s="113"/>
      <c r="M33" s="113"/>
      <c r="N33" s="113"/>
      <c r="O33" s="113"/>
      <c r="P33" s="113"/>
      <c r="Q33" s="34"/>
      <c r="R33" s="149">
        <f>DATE(D54+1,3,12)</f>
        <v>43902</v>
      </c>
      <c r="S33" s="146">
        <v>12</v>
      </c>
      <c r="T33" s="113"/>
      <c r="U33" s="113"/>
      <c r="V33" s="113"/>
      <c r="W33" s="113"/>
      <c r="X33" s="113"/>
      <c r="Y33" s="34"/>
      <c r="Z33" s="149">
        <f>DATE(D54+1,4,12)</f>
        <v>43933</v>
      </c>
      <c r="AA33" s="155">
        <v>12</v>
      </c>
      <c r="AB33" s="170"/>
      <c r="AC33" s="169"/>
      <c r="AD33" s="169"/>
      <c r="AE33" s="169"/>
      <c r="AF33" s="169"/>
      <c r="AG33" s="34"/>
      <c r="AH33" s="151">
        <f>DATE(D54+1,5,12)</f>
        <v>43963</v>
      </c>
      <c r="AI33" s="168">
        <v>12</v>
      </c>
      <c r="AJ33" s="168"/>
      <c r="AK33" s="166"/>
      <c r="AL33" s="166"/>
      <c r="AM33" s="166"/>
      <c r="AN33" s="166"/>
      <c r="AO33" s="34"/>
      <c r="AP33" s="151">
        <f>DATE(D54+1,6,12)</f>
        <v>43994</v>
      </c>
      <c r="AQ33" s="146">
        <v>12</v>
      </c>
      <c r="AR33" s="113"/>
      <c r="AS33" s="113"/>
      <c r="AT33" s="113"/>
      <c r="AU33" s="113"/>
      <c r="AV33" s="113"/>
    </row>
    <row r="34" spans="2:48" s="194" customFormat="1" ht="12" customHeight="1">
      <c r="B34" s="149">
        <f>DATE(D54+1,1,13)</f>
        <v>43843</v>
      </c>
      <c r="C34" s="168">
        <v>13</v>
      </c>
      <c r="D34" s="168"/>
      <c r="E34" s="166"/>
      <c r="F34" s="166"/>
      <c r="G34" s="166"/>
      <c r="H34" s="166"/>
      <c r="I34" s="34"/>
      <c r="J34" s="149">
        <f>DATE(D54+1,2,13)</f>
        <v>43874</v>
      </c>
      <c r="K34" s="146">
        <v>13</v>
      </c>
      <c r="L34" s="113"/>
      <c r="M34" s="113"/>
      <c r="N34" s="113"/>
      <c r="O34" s="113"/>
      <c r="P34" s="112"/>
      <c r="Q34" s="34"/>
      <c r="R34" s="149">
        <f>DATE(D54+1,3,13)</f>
        <v>43903</v>
      </c>
      <c r="S34" s="146">
        <v>13</v>
      </c>
      <c r="T34" s="113"/>
      <c r="U34" s="113"/>
      <c r="V34" s="113"/>
      <c r="W34" s="113"/>
      <c r="X34" s="113"/>
      <c r="Y34" s="34"/>
      <c r="Z34" s="149">
        <f>DATE(D54+1,4,13)</f>
        <v>43934</v>
      </c>
      <c r="AA34" s="168">
        <v>13</v>
      </c>
      <c r="AB34" s="148"/>
      <c r="AC34" s="166"/>
      <c r="AD34" s="166"/>
      <c r="AE34" s="166"/>
      <c r="AF34" s="166"/>
      <c r="AG34" s="34"/>
      <c r="AH34" s="151">
        <f>DATE(D54+1,5,13)</f>
        <v>43964</v>
      </c>
      <c r="AI34" s="146">
        <v>13</v>
      </c>
      <c r="AJ34" s="113"/>
      <c r="AK34" s="113"/>
      <c r="AL34" s="113"/>
      <c r="AM34" s="113"/>
      <c r="AN34" s="113"/>
      <c r="AO34" s="34"/>
      <c r="AP34" s="140">
        <f>DATE(D54+1,6,13)</f>
        <v>43995</v>
      </c>
      <c r="AQ34" s="155">
        <v>13</v>
      </c>
      <c r="AR34" s="170"/>
      <c r="AS34" s="169"/>
      <c r="AT34" s="169"/>
      <c r="AU34" s="169"/>
      <c r="AV34" s="169"/>
    </row>
    <row r="35" spans="2:48" s="194" customFormat="1" ht="12" customHeight="1">
      <c r="B35" s="149">
        <f>DATE(D54+1,1,14)</f>
        <v>43844</v>
      </c>
      <c r="C35" s="146">
        <v>14</v>
      </c>
      <c r="D35" s="113"/>
      <c r="E35" s="113"/>
      <c r="F35" s="113"/>
      <c r="G35" s="113"/>
      <c r="H35" s="113"/>
      <c r="I35" s="34"/>
      <c r="J35" s="149">
        <f>DATE(D54+1,2,14)</f>
        <v>43875</v>
      </c>
      <c r="K35" s="146">
        <v>14</v>
      </c>
      <c r="L35" s="113"/>
      <c r="M35" s="113"/>
      <c r="N35" s="113"/>
      <c r="O35" s="113"/>
      <c r="P35" s="126"/>
      <c r="Q35" s="34"/>
      <c r="R35" s="149">
        <f>DATE(D54+1,3,14)</f>
        <v>43904</v>
      </c>
      <c r="S35" s="155">
        <v>14</v>
      </c>
      <c r="T35" s="164"/>
      <c r="U35" s="169"/>
      <c r="V35" s="169"/>
      <c r="W35" s="169"/>
      <c r="X35" s="169"/>
      <c r="Y35" s="34"/>
      <c r="Z35" s="149">
        <f>DATE(D54+1,4,14)</f>
        <v>43935</v>
      </c>
      <c r="AA35" s="168">
        <v>14</v>
      </c>
      <c r="AB35" s="148"/>
      <c r="AC35" s="167"/>
      <c r="AD35" s="166"/>
      <c r="AE35" s="166"/>
      <c r="AF35" s="166"/>
      <c r="AG35" s="34"/>
      <c r="AH35" s="151">
        <f>DATE(D54+1,5,14)</f>
        <v>43965</v>
      </c>
      <c r="AI35" s="146">
        <v>14</v>
      </c>
      <c r="AJ35" s="113"/>
      <c r="AK35" s="113"/>
      <c r="AL35" s="113"/>
      <c r="AM35" s="113"/>
      <c r="AN35" s="113"/>
      <c r="AO35" s="34"/>
      <c r="AP35" s="140">
        <f>DATE(D54+1,6,14)</f>
        <v>43996</v>
      </c>
      <c r="AQ35" s="155">
        <v>14</v>
      </c>
      <c r="AR35" s="170"/>
      <c r="AS35" s="169"/>
      <c r="AT35" s="169"/>
      <c r="AU35" s="169"/>
      <c r="AV35" s="169"/>
    </row>
    <row r="36" spans="2:48" s="194" customFormat="1" ht="12" customHeight="1">
      <c r="B36" s="149">
        <f>DATE(D54+1,1,15)</f>
        <v>43845</v>
      </c>
      <c r="C36" s="146">
        <v>15</v>
      </c>
      <c r="D36" s="113"/>
      <c r="E36" s="113"/>
      <c r="F36" s="113"/>
      <c r="G36" s="113"/>
      <c r="H36" s="113"/>
      <c r="I36" s="34"/>
      <c r="J36" s="149">
        <f>DATE(D54+1,2,15)</f>
        <v>43876</v>
      </c>
      <c r="K36" s="155">
        <v>15</v>
      </c>
      <c r="L36" s="170"/>
      <c r="M36" s="169"/>
      <c r="N36" s="169"/>
      <c r="O36" s="169"/>
      <c r="P36" s="169"/>
      <c r="Q36" s="34"/>
      <c r="R36" s="149">
        <f>DATE(D54+1,3,15)</f>
        <v>43905</v>
      </c>
      <c r="S36" s="155">
        <v>15</v>
      </c>
      <c r="T36" s="165"/>
      <c r="U36" s="169"/>
      <c r="V36" s="169"/>
      <c r="W36" s="169"/>
      <c r="X36" s="169"/>
      <c r="Y36" s="34"/>
      <c r="Z36" s="149">
        <f>DATE(D54+1,4,15)</f>
        <v>43936</v>
      </c>
      <c r="AA36" s="146">
        <v>15</v>
      </c>
      <c r="AB36" s="148"/>
      <c r="AC36" s="114"/>
      <c r="AD36" s="113"/>
      <c r="AE36" s="113"/>
      <c r="AF36" s="113"/>
      <c r="AG36" s="34"/>
      <c r="AH36" s="151">
        <f>DATE(D54+1,5,15)</f>
        <v>43966</v>
      </c>
      <c r="AI36" s="146">
        <v>15</v>
      </c>
      <c r="AJ36" s="113"/>
      <c r="AK36" s="113"/>
      <c r="AL36" s="113"/>
      <c r="AM36" s="113"/>
      <c r="AN36" s="113"/>
      <c r="AO36" s="34"/>
      <c r="AP36" s="151">
        <f>DATE(D54+1,6,15)</f>
        <v>43997</v>
      </c>
      <c r="AQ36" s="168">
        <v>15</v>
      </c>
      <c r="AR36" s="168"/>
      <c r="AS36" s="166"/>
      <c r="AT36" s="166"/>
      <c r="AU36" s="166"/>
      <c r="AV36" s="166"/>
    </row>
    <row r="37" spans="2:48" s="194" customFormat="1" ht="12" customHeight="1">
      <c r="B37" s="149">
        <f>DATE(D54+1,1,16)</f>
        <v>43846</v>
      </c>
      <c r="C37" s="146">
        <v>16</v>
      </c>
      <c r="D37" s="113"/>
      <c r="E37" s="113"/>
      <c r="F37" s="114"/>
      <c r="G37" s="113"/>
      <c r="H37" s="113"/>
      <c r="I37" s="34"/>
      <c r="J37" s="149">
        <f>DATE(D54+1,2,16)</f>
        <v>43877</v>
      </c>
      <c r="K37" s="123" t="s">
        <v>26</v>
      </c>
      <c r="L37" s="171"/>
      <c r="M37" s="123"/>
      <c r="N37" s="171"/>
      <c r="O37" s="123"/>
      <c r="P37" s="123"/>
      <c r="Q37" s="34"/>
      <c r="R37" s="149">
        <f>DATE(D54+1,3,16)</f>
        <v>43906</v>
      </c>
      <c r="S37" s="168">
        <v>16</v>
      </c>
      <c r="T37" s="168"/>
      <c r="U37" s="166"/>
      <c r="V37" s="166"/>
      <c r="W37" s="166"/>
      <c r="X37" s="166"/>
      <c r="Y37" s="34"/>
      <c r="Z37" s="149">
        <f>DATE(D54+1,4,16)</f>
        <v>43937</v>
      </c>
      <c r="AA37" s="146">
        <v>16</v>
      </c>
      <c r="AB37" s="148"/>
      <c r="AC37" s="114"/>
      <c r="AD37" s="113"/>
      <c r="AE37" s="113"/>
      <c r="AF37" s="113"/>
      <c r="AG37" s="34"/>
      <c r="AH37" s="140">
        <f>DATE(D54+1,5,16)</f>
        <v>43967</v>
      </c>
      <c r="AI37" s="155">
        <v>16</v>
      </c>
      <c r="AJ37" s="170"/>
      <c r="AK37" s="169"/>
      <c r="AL37" s="169"/>
      <c r="AM37" s="169"/>
      <c r="AN37" s="169"/>
      <c r="AO37" s="34"/>
      <c r="AP37" s="151">
        <f>DATE(D54+1,6,16)</f>
        <v>43998</v>
      </c>
      <c r="AQ37" s="168">
        <v>16</v>
      </c>
      <c r="AR37" s="168"/>
      <c r="AS37" s="166"/>
      <c r="AT37" s="166"/>
      <c r="AU37" s="166"/>
      <c r="AV37" s="166"/>
    </row>
    <row r="38" spans="2:48" s="194" customFormat="1" ht="12" customHeight="1">
      <c r="B38" s="149">
        <f>DATE(D54+1,1,17)</f>
        <v>43847</v>
      </c>
      <c r="C38" s="146">
        <v>17</v>
      </c>
      <c r="D38" s="113"/>
      <c r="E38" s="113"/>
      <c r="F38" s="113"/>
      <c r="G38" s="113"/>
      <c r="H38" s="113"/>
      <c r="I38" s="34"/>
      <c r="J38" s="149">
        <f>DATE(D54+1,2,17)</f>
        <v>43878</v>
      </c>
      <c r="K38" s="168" t="s">
        <v>27</v>
      </c>
      <c r="L38" s="148"/>
      <c r="M38" s="167"/>
      <c r="N38" s="114"/>
      <c r="O38" s="166"/>
      <c r="P38" s="166"/>
      <c r="Q38" s="34"/>
      <c r="R38" s="149">
        <f>DATE(D54+1,3,17)</f>
        <v>43907</v>
      </c>
      <c r="S38" s="168">
        <v>17</v>
      </c>
      <c r="T38" s="168"/>
      <c r="U38" s="166"/>
      <c r="V38" s="166"/>
      <c r="W38" s="166"/>
      <c r="X38" s="166"/>
      <c r="Y38" s="34"/>
      <c r="Z38" s="149">
        <f>DATE(D54+1,4,17)</f>
        <v>43938</v>
      </c>
      <c r="AA38" s="146">
        <v>17</v>
      </c>
      <c r="AB38" s="148"/>
      <c r="AC38" s="114"/>
      <c r="AD38" s="113"/>
      <c r="AE38" s="113"/>
      <c r="AF38" s="113"/>
      <c r="AG38" s="34"/>
      <c r="AH38" s="140">
        <f>DATE(D54+1,5,17)</f>
        <v>43968</v>
      </c>
      <c r="AI38" s="155">
        <v>17</v>
      </c>
      <c r="AJ38" s="170"/>
      <c r="AK38" s="169"/>
      <c r="AL38" s="169"/>
      <c r="AM38" s="169"/>
      <c r="AN38" s="169"/>
      <c r="AO38" s="34"/>
      <c r="AP38" s="151">
        <f>DATE(D54+1,6,17)</f>
        <v>43999</v>
      </c>
      <c r="AQ38" s="146">
        <v>17</v>
      </c>
      <c r="AR38" s="113"/>
      <c r="AS38" s="113"/>
      <c r="AT38" s="113"/>
      <c r="AU38" s="113"/>
      <c r="AV38" s="113"/>
    </row>
    <row r="39" spans="2:48" s="194" customFormat="1" ht="12" customHeight="1">
      <c r="B39" s="149">
        <f>DATE(D54+1,1,18)</f>
        <v>43848</v>
      </c>
      <c r="C39" s="155">
        <v>18</v>
      </c>
      <c r="D39" s="170"/>
      <c r="E39" s="169"/>
      <c r="F39" s="169"/>
      <c r="G39" s="169"/>
      <c r="H39" s="169"/>
      <c r="I39" s="34"/>
      <c r="J39" s="149">
        <f>DATE(D54+1,2,18)</f>
        <v>43879</v>
      </c>
      <c r="K39" s="146">
        <v>18</v>
      </c>
      <c r="L39" s="148"/>
      <c r="M39" s="118"/>
      <c r="N39" s="114"/>
      <c r="O39" s="113"/>
      <c r="P39" s="113"/>
      <c r="Q39" s="34"/>
      <c r="R39" s="149">
        <f>DATE(D54+1,3,18)</f>
        <v>43908</v>
      </c>
      <c r="S39" s="146">
        <v>18</v>
      </c>
      <c r="T39" s="113"/>
      <c r="U39" s="113"/>
      <c r="V39" s="113"/>
      <c r="W39" s="113"/>
      <c r="X39" s="113"/>
      <c r="Y39" s="34"/>
      <c r="Z39" s="149">
        <f>DATE(D54+1,4,18)</f>
        <v>43939</v>
      </c>
      <c r="AA39" s="155">
        <v>18</v>
      </c>
      <c r="AB39" s="171"/>
      <c r="AC39" s="171"/>
      <c r="AD39" s="169"/>
      <c r="AE39" s="164"/>
      <c r="AF39" s="169"/>
      <c r="AG39" s="34"/>
      <c r="AH39" s="151">
        <f>DATE(D54+1,5,18)</f>
        <v>43969</v>
      </c>
      <c r="AI39" s="168">
        <v>18</v>
      </c>
      <c r="AJ39" s="168"/>
      <c r="AK39" s="166"/>
      <c r="AL39" s="166"/>
      <c r="AM39" s="166"/>
      <c r="AN39" s="166"/>
      <c r="AO39" s="34"/>
      <c r="AP39" s="151">
        <f>DATE(D54+1,6,18)</f>
        <v>44000</v>
      </c>
      <c r="AQ39" s="146">
        <v>18</v>
      </c>
      <c r="AR39" s="113"/>
      <c r="AS39" s="113"/>
      <c r="AT39" s="113"/>
      <c r="AU39" s="113"/>
      <c r="AV39" s="113"/>
    </row>
    <row r="40" spans="2:48" s="194" customFormat="1" ht="12" customHeight="1">
      <c r="B40" s="149">
        <f>DATE(D54+1,1,19)</f>
        <v>43849</v>
      </c>
      <c r="C40" s="123">
        <v>19</v>
      </c>
      <c r="D40" s="123"/>
      <c r="E40" s="123"/>
      <c r="F40" s="123"/>
      <c r="G40" s="123"/>
      <c r="H40" s="123"/>
      <c r="I40" s="34"/>
      <c r="J40" s="149">
        <f>DATE(D54+1,2,19)</f>
        <v>43880</v>
      </c>
      <c r="K40" s="146">
        <v>19</v>
      </c>
      <c r="L40" s="148"/>
      <c r="M40" s="114"/>
      <c r="N40" s="114"/>
      <c r="O40" s="113"/>
      <c r="P40" s="113"/>
      <c r="Q40" s="34"/>
      <c r="R40" s="149">
        <f>DATE(D54+1,3,19)</f>
        <v>43909</v>
      </c>
      <c r="S40" s="146">
        <v>19</v>
      </c>
      <c r="T40" s="113"/>
      <c r="U40" s="113"/>
      <c r="V40" s="113"/>
      <c r="W40" s="113"/>
      <c r="X40" s="113"/>
      <c r="Y40" s="34"/>
      <c r="Z40" s="149">
        <f>DATE(D54+1,4,19)</f>
        <v>43940</v>
      </c>
      <c r="AA40" s="155">
        <v>19</v>
      </c>
      <c r="AB40" s="171"/>
      <c r="AC40" s="179"/>
      <c r="AD40" s="169"/>
      <c r="AE40" s="169"/>
      <c r="AF40" s="169"/>
      <c r="AG40" s="34"/>
      <c r="AH40" s="151">
        <f>DATE(D54+1,5,19)</f>
        <v>43970</v>
      </c>
      <c r="AI40" s="168">
        <v>19</v>
      </c>
      <c r="AJ40" s="168"/>
      <c r="AK40" s="166"/>
      <c r="AL40" s="166"/>
      <c r="AM40" s="166"/>
      <c r="AN40" s="166"/>
      <c r="AO40" s="34"/>
      <c r="AP40" s="151">
        <f>DATE(D54+1,6,19)</f>
        <v>44001</v>
      </c>
      <c r="AQ40" s="146">
        <v>19</v>
      </c>
      <c r="AR40" s="113"/>
      <c r="AS40" s="113"/>
      <c r="AT40" s="113"/>
      <c r="AU40" s="113"/>
      <c r="AV40" s="113"/>
    </row>
    <row r="41" spans="2:48" s="194" customFormat="1" ht="12" customHeight="1">
      <c r="B41" s="149">
        <f>DATE(D54+1,1,20)</f>
        <v>43850</v>
      </c>
      <c r="C41" s="168">
        <v>20</v>
      </c>
      <c r="D41" s="168"/>
      <c r="E41" s="166"/>
      <c r="F41" s="166"/>
      <c r="G41" s="166"/>
      <c r="H41" s="166"/>
      <c r="I41" s="34"/>
      <c r="J41" s="149">
        <f>DATE(D54+1,2,20)</f>
        <v>43881</v>
      </c>
      <c r="K41" s="146">
        <v>20</v>
      </c>
      <c r="L41" s="148"/>
      <c r="M41" s="114"/>
      <c r="N41" s="114"/>
      <c r="O41" s="113"/>
      <c r="P41" s="113"/>
      <c r="Q41" s="34"/>
      <c r="R41" s="149">
        <f>DATE(D54+1,3,20)</f>
        <v>43910</v>
      </c>
      <c r="S41" s="146">
        <v>20</v>
      </c>
      <c r="T41" s="113"/>
      <c r="U41" s="113"/>
      <c r="V41" s="113"/>
      <c r="W41" s="113"/>
      <c r="X41" s="113"/>
      <c r="Y41" s="34"/>
      <c r="Z41" s="149">
        <f>DATE(D54+1,4,20)</f>
        <v>43941</v>
      </c>
      <c r="AA41" s="168">
        <v>20</v>
      </c>
      <c r="AB41" s="148"/>
      <c r="AC41" s="178"/>
      <c r="AD41" s="166"/>
      <c r="AE41" s="166"/>
      <c r="AF41" s="166"/>
      <c r="AG41" s="34"/>
      <c r="AH41" s="151">
        <f>DATE(D54+1,5,20)</f>
        <v>43971</v>
      </c>
      <c r="AI41" s="146">
        <v>20</v>
      </c>
      <c r="AJ41" s="113"/>
      <c r="AK41" s="113"/>
      <c r="AL41" s="113"/>
      <c r="AM41" s="113"/>
      <c r="AN41" s="113"/>
      <c r="AO41" s="34"/>
      <c r="AP41" s="140">
        <f>DATE(D54+1,6,20)</f>
        <v>44002</v>
      </c>
      <c r="AQ41" s="155">
        <v>20</v>
      </c>
      <c r="AR41" s="170"/>
      <c r="AS41" s="169"/>
      <c r="AT41" s="169"/>
      <c r="AU41" s="169"/>
      <c r="AV41" s="169"/>
    </row>
    <row r="42" spans="2:48" s="194" customFormat="1" ht="12" customHeight="1">
      <c r="B42" s="149">
        <f>DATE(D54+1,1,21)</f>
        <v>43851</v>
      </c>
      <c r="C42" s="146">
        <v>21</v>
      </c>
      <c r="D42" s="113"/>
      <c r="E42" s="113"/>
      <c r="F42" s="113"/>
      <c r="G42" s="113"/>
      <c r="H42" s="113"/>
      <c r="I42" s="34"/>
      <c r="J42" s="149">
        <f>DATE(D54+1,2,21)</f>
        <v>43882</v>
      </c>
      <c r="K42" s="146">
        <v>21</v>
      </c>
      <c r="L42" s="148"/>
      <c r="M42" s="114"/>
      <c r="N42" s="114"/>
      <c r="O42" s="113"/>
      <c r="P42" s="112"/>
      <c r="Q42" s="34"/>
      <c r="R42" s="149">
        <f>DATE(D54+1,3,21)</f>
        <v>43911</v>
      </c>
      <c r="S42" s="155">
        <v>21</v>
      </c>
      <c r="T42" s="170"/>
      <c r="U42" s="169"/>
      <c r="V42" s="169"/>
      <c r="W42" s="169"/>
      <c r="X42" s="169"/>
      <c r="Y42" s="34"/>
      <c r="Z42" s="149">
        <f>DATE(D54+1,4,21)</f>
        <v>43942</v>
      </c>
      <c r="AA42" s="168">
        <v>21</v>
      </c>
      <c r="AB42" s="148"/>
      <c r="AC42" s="166"/>
      <c r="AD42" s="166"/>
      <c r="AE42" s="166"/>
      <c r="AF42" s="166"/>
      <c r="AG42" s="34"/>
      <c r="AH42" s="151">
        <f>DATE(D54+1,5,21)</f>
        <v>43972</v>
      </c>
      <c r="AI42" s="146">
        <v>21</v>
      </c>
      <c r="AJ42" s="113"/>
      <c r="AK42" s="113"/>
      <c r="AL42" s="113"/>
      <c r="AM42" s="113"/>
      <c r="AN42" s="113"/>
      <c r="AO42" s="34"/>
      <c r="AP42" s="140">
        <f>DATE(D54+1,6,21)</f>
        <v>44003</v>
      </c>
      <c r="AQ42" s="155">
        <v>21</v>
      </c>
      <c r="AR42" s="170"/>
      <c r="AS42" s="169"/>
      <c r="AT42" s="169"/>
      <c r="AU42" s="169"/>
      <c r="AV42" s="169"/>
    </row>
    <row r="43" spans="2:48" s="194" customFormat="1" ht="12" customHeight="1">
      <c r="B43" s="149">
        <f>DATE(D54+1,1,22)</f>
        <v>43852</v>
      </c>
      <c r="C43" s="146">
        <v>22</v>
      </c>
      <c r="D43" s="113"/>
      <c r="E43" s="113"/>
      <c r="F43" s="113"/>
      <c r="G43" s="113"/>
      <c r="H43" s="113"/>
      <c r="I43" s="34"/>
      <c r="J43" s="149">
        <f>DATE(D54+1,2,22)</f>
        <v>43883</v>
      </c>
      <c r="K43" s="155">
        <v>22</v>
      </c>
      <c r="L43" s="171"/>
      <c r="M43" s="164"/>
      <c r="N43" s="171"/>
      <c r="O43" s="169"/>
      <c r="P43" s="163"/>
      <c r="Q43" s="34"/>
      <c r="R43" s="149">
        <f>DATE(D54+1,3,22)</f>
        <v>43912</v>
      </c>
      <c r="S43" s="155">
        <v>22</v>
      </c>
      <c r="T43" s="170"/>
      <c r="U43" s="169"/>
      <c r="V43" s="169"/>
      <c r="W43" s="169"/>
      <c r="X43" s="177"/>
      <c r="Y43" s="34"/>
      <c r="Z43" s="149">
        <f>DATE(D54+1,4,22)</f>
        <v>43943</v>
      </c>
      <c r="AA43" s="146">
        <v>22</v>
      </c>
      <c r="AB43" s="174"/>
      <c r="AC43" s="146"/>
      <c r="AD43" s="146"/>
      <c r="AE43" s="146"/>
      <c r="AF43" s="146"/>
      <c r="AG43" s="34"/>
      <c r="AH43" s="151">
        <f>DATE(D54+1,5,22)</f>
        <v>43973</v>
      </c>
      <c r="AI43" s="146">
        <v>22</v>
      </c>
      <c r="AJ43" s="113"/>
      <c r="AK43" s="113"/>
      <c r="AL43" s="113"/>
      <c r="AM43" s="113"/>
      <c r="AN43" s="113"/>
      <c r="AO43" s="34"/>
      <c r="AP43" s="151">
        <f>DATE(D54+1,6,22)</f>
        <v>44004</v>
      </c>
      <c r="AQ43" s="168">
        <v>22</v>
      </c>
      <c r="AR43" s="168"/>
      <c r="AS43" s="166"/>
      <c r="AT43" s="166"/>
      <c r="AU43" s="166"/>
      <c r="AV43" s="166"/>
    </row>
    <row r="44" spans="2:48" s="194" customFormat="1" ht="12" customHeight="1">
      <c r="B44" s="149">
        <f>DATE(D54+1,1,23)</f>
        <v>43853</v>
      </c>
      <c r="C44" s="146">
        <v>23</v>
      </c>
      <c r="D44" s="113"/>
      <c r="E44" s="113"/>
      <c r="F44" s="113"/>
      <c r="G44" s="113"/>
      <c r="H44" s="113"/>
      <c r="I44" s="34"/>
      <c r="J44" s="149">
        <f>DATE(D54+1,2,23)</f>
        <v>43884</v>
      </c>
      <c r="K44" s="123" t="s">
        <v>28</v>
      </c>
      <c r="L44" s="172"/>
      <c r="M44" s="143"/>
      <c r="N44" s="171"/>
      <c r="O44" s="123"/>
      <c r="P44" s="123"/>
      <c r="Q44" s="34"/>
      <c r="R44" s="149">
        <f>DATE(D54+1,3,23)</f>
        <v>43913</v>
      </c>
      <c r="S44" s="168">
        <v>23</v>
      </c>
      <c r="T44" s="168"/>
      <c r="U44" s="166"/>
      <c r="V44" s="166"/>
      <c r="W44" s="166"/>
      <c r="X44" s="178"/>
      <c r="Y44" s="34"/>
      <c r="Z44" s="149">
        <f>DATE(D54+1,4,23)</f>
        <v>43944</v>
      </c>
      <c r="AA44" s="146">
        <v>23</v>
      </c>
      <c r="AB44" s="174"/>
      <c r="AC44" s="113"/>
      <c r="AD44" s="113"/>
      <c r="AE44" s="113"/>
      <c r="AF44" s="113"/>
      <c r="AG44" s="34"/>
      <c r="AH44" s="140">
        <f>DATE(D54+1,5,23)</f>
        <v>43974</v>
      </c>
      <c r="AI44" s="155">
        <v>23</v>
      </c>
      <c r="AJ44" s="170"/>
      <c r="AK44" s="169"/>
      <c r="AL44" s="169"/>
      <c r="AM44" s="169"/>
      <c r="AN44" s="169"/>
      <c r="AO44" s="34"/>
      <c r="AP44" s="151">
        <f>DATE(D54+1,6,23)</f>
        <v>44005</v>
      </c>
      <c r="AQ44" s="168">
        <v>23</v>
      </c>
      <c r="AR44" s="168"/>
      <c r="AS44" s="166"/>
      <c r="AT44" s="166"/>
      <c r="AU44" s="166"/>
      <c r="AV44" s="166"/>
    </row>
    <row r="45" spans="2:48" s="194" customFormat="1" ht="12" customHeight="1">
      <c r="B45" s="149">
        <f>DATE(D54+1,1,24)</f>
        <v>43854</v>
      </c>
      <c r="C45" s="146">
        <v>24</v>
      </c>
      <c r="D45" s="113"/>
      <c r="E45" s="113"/>
      <c r="F45" s="113"/>
      <c r="G45" s="113"/>
      <c r="H45" s="113"/>
      <c r="I45" s="34"/>
      <c r="J45" s="149">
        <f>DATE(D54+1,2,24)</f>
        <v>43885</v>
      </c>
      <c r="K45" s="168" t="s">
        <v>29</v>
      </c>
      <c r="L45" s="174"/>
      <c r="M45" s="166"/>
      <c r="N45" s="112"/>
      <c r="O45" s="166"/>
      <c r="P45" s="166"/>
      <c r="Q45" s="34"/>
      <c r="R45" s="149">
        <f>DATE(D54+1,3,24)</f>
        <v>43914</v>
      </c>
      <c r="S45" s="168">
        <v>24</v>
      </c>
      <c r="T45" s="168"/>
      <c r="U45" s="166"/>
      <c r="V45" s="166"/>
      <c r="W45" s="166"/>
      <c r="X45" s="166"/>
      <c r="Y45" s="34"/>
      <c r="Z45" s="149">
        <f>DATE(D54+1,4,24)</f>
        <v>43945</v>
      </c>
      <c r="AA45" s="146">
        <v>24</v>
      </c>
      <c r="AB45" s="174"/>
      <c r="AC45" s="113"/>
      <c r="AD45" s="113"/>
      <c r="AE45" s="113"/>
      <c r="AF45" s="113"/>
      <c r="AG45" s="34"/>
      <c r="AH45" s="140">
        <f>DATE(D54+1,5,24)</f>
        <v>43975</v>
      </c>
      <c r="AI45" s="155">
        <v>24</v>
      </c>
      <c r="AJ45" s="170"/>
      <c r="AK45" s="169"/>
      <c r="AL45" s="169"/>
      <c r="AM45" s="169"/>
      <c r="AN45" s="169"/>
      <c r="AO45" s="34"/>
      <c r="AP45" s="151">
        <f>DATE(D54+1,6,24)</f>
        <v>44006</v>
      </c>
      <c r="AQ45" s="146">
        <v>24</v>
      </c>
      <c r="AR45" s="113"/>
      <c r="AS45" s="113"/>
      <c r="AT45" s="113"/>
      <c r="AU45" s="113"/>
      <c r="AV45" s="113"/>
    </row>
    <row r="46" spans="2:48" s="194" customFormat="1" ht="12" customHeight="1">
      <c r="B46" s="149">
        <f>DATE(D54+1,1,25)</f>
        <v>43855</v>
      </c>
      <c r="C46" s="155">
        <v>25</v>
      </c>
      <c r="D46" s="170"/>
      <c r="E46" s="169"/>
      <c r="F46" s="169"/>
      <c r="G46" s="169"/>
      <c r="H46" s="169"/>
      <c r="I46" s="34"/>
      <c r="J46" s="149">
        <f>DATE(D54+1,2,25)</f>
        <v>43886</v>
      </c>
      <c r="K46" s="146">
        <v>25</v>
      </c>
      <c r="L46" s="174"/>
      <c r="M46" s="113"/>
      <c r="N46" s="126"/>
      <c r="O46" s="113"/>
      <c r="P46" s="113"/>
      <c r="Q46" s="34"/>
      <c r="R46" s="149">
        <f>DATE(D54+1,3,25)</f>
        <v>43915</v>
      </c>
      <c r="S46" s="146">
        <v>25</v>
      </c>
      <c r="T46" s="113"/>
      <c r="U46" s="113"/>
      <c r="V46" s="113"/>
      <c r="W46" s="113"/>
      <c r="X46" s="113"/>
      <c r="Y46" s="34"/>
      <c r="Z46" s="149">
        <f>DATE(D54+1,4,25)</f>
        <v>43946</v>
      </c>
      <c r="AA46" s="155">
        <v>25</v>
      </c>
      <c r="AB46" s="172"/>
      <c r="AC46" s="169"/>
      <c r="AD46" s="169"/>
      <c r="AE46" s="169"/>
      <c r="AF46" s="169"/>
      <c r="AG46" s="34"/>
      <c r="AH46" s="151">
        <f>DATE(D54+1,5,25)</f>
        <v>43976</v>
      </c>
      <c r="AI46" s="168">
        <v>25</v>
      </c>
      <c r="AJ46" s="168"/>
      <c r="AK46" s="166"/>
      <c r="AL46" s="114"/>
      <c r="AM46" s="166"/>
      <c r="AN46" s="166"/>
      <c r="AO46" s="34"/>
      <c r="AP46" s="151">
        <f>DATE(D54+1,6,25)</f>
        <v>44007</v>
      </c>
      <c r="AQ46" s="146">
        <v>25</v>
      </c>
      <c r="AR46" s="113"/>
      <c r="AS46" s="113"/>
      <c r="AT46" s="113"/>
      <c r="AU46" s="113"/>
      <c r="AV46" s="113"/>
    </row>
    <row r="47" spans="2:48" s="194" customFormat="1" ht="12" customHeight="1">
      <c r="B47" s="149">
        <f>DATE(D54+1,1,26)</f>
        <v>43856</v>
      </c>
      <c r="C47" s="123">
        <v>26</v>
      </c>
      <c r="D47" s="123"/>
      <c r="E47" s="123"/>
      <c r="F47" s="123"/>
      <c r="G47" s="123"/>
      <c r="H47" s="123"/>
      <c r="I47" s="34"/>
      <c r="J47" s="149">
        <f>DATE(D54+1,2,26)</f>
        <v>43887</v>
      </c>
      <c r="K47" s="146">
        <v>26</v>
      </c>
      <c r="L47" s="174"/>
      <c r="M47" s="113"/>
      <c r="N47" s="113"/>
      <c r="O47" s="113"/>
      <c r="P47" s="113"/>
      <c r="Q47" s="34"/>
      <c r="R47" s="149">
        <f>DATE(D54+1,3,26)</f>
        <v>43916</v>
      </c>
      <c r="S47" s="146">
        <v>26</v>
      </c>
      <c r="T47" s="113"/>
      <c r="U47" s="113"/>
      <c r="V47" s="113"/>
      <c r="W47" s="113"/>
      <c r="X47" s="113"/>
      <c r="Y47" s="34"/>
      <c r="Z47" s="149">
        <f>DATE(D54+1,4,26)</f>
        <v>43947</v>
      </c>
      <c r="AA47" s="155">
        <v>26</v>
      </c>
      <c r="AB47" s="172"/>
      <c r="AC47" s="169"/>
      <c r="AD47" s="169"/>
      <c r="AE47" s="169"/>
      <c r="AF47" s="169"/>
      <c r="AG47" s="34"/>
      <c r="AH47" s="151">
        <f>DATE(D54+1,5,26)</f>
        <v>43977</v>
      </c>
      <c r="AI47" s="168">
        <v>26</v>
      </c>
      <c r="AJ47" s="168"/>
      <c r="AK47" s="166"/>
      <c r="AL47" s="114"/>
      <c r="AM47" s="166"/>
      <c r="AN47" s="166"/>
      <c r="AO47" s="34"/>
      <c r="AP47" s="151">
        <f>DATE(D54+1,6,26)</f>
        <v>44008</v>
      </c>
      <c r="AQ47" s="146">
        <v>26</v>
      </c>
      <c r="AR47" s="113"/>
      <c r="AS47" s="113"/>
      <c r="AT47" s="113"/>
      <c r="AU47" s="113"/>
      <c r="AV47" s="113"/>
    </row>
    <row r="48" spans="2:48" s="194" customFormat="1" ht="12" customHeight="1">
      <c r="B48" s="149">
        <f>DATE(D54+1,1,27)</f>
        <v>43857</v>
      </c>
      <c r="C48" s="168">
        <v>27</v>
      </c>
      <c r="D48" s="168"/>
      <c r="E48" s="166"/>
      <c r="F48" s="166"/>
      <c r="G48" s="166"/>
      <c r="H48" s="166"/>
      <c r="I48" s="34"/>
      <c r="J48" s="149">
        <f>DATE(D54+1,2,27)</f>
        <v>43888</v>
      </c>
      <c r="K48" s="146">
        <v>27</v>
      </c>
      <c r="L48" s="175"/>
      <c r="M48" s="113"/>
      <c r="N48" s="113"/>
      <c r="O48" s="113"/>
      <c r="P48" s="113"/>
      <c r="Q48" s="34"/>
      <c r="R48" s="149">
        <f>DATE(D54+1,3,27)</f>
        <v>43917</v>
      </c>
      <c r="S48" s="146">
        <v>27</v>
      </c>
      <c r="T48" s="113"/>
      <c r="U48" s="113"/>
      <c r="V48" s="113"/>
      <c r="W48" s="113"/>
      <c r="X48" s="113"/>
      <c r="Y48" s="34"/>
      <c r="Z48" s="149">
        <f>DATE(D54+1,4,27)</f>
        <v>43948</v>
      </c>
      <c r="AA48" s="168">
        <v>27</v>
      </c>
      <c r="AB48" s="174"/>
      <c r="AC48" s="166"/>
      <c r="AD48" s="166"/>
      <c r="AE48" s="166"/>
      <c r="AF48" s="166"/>
      <c r="AG48" s="34"/>
      <c r="AH48" s="151">
        <f>DATE(D54+1,5,27)</f>
        <v>43978</v>
      </c>
      <c r="AI48" s="158">
        <v>27</v>
      </c>
      <c r="AJ48" s="113"/>
      <c r="AK48" s="113"/>
      <c r="AL48" s="114"/>
      <c r="AM48" s="113"/>
      <c r="AN48" s="113"/>
      <c r="AO48" s="34"/>
      <c r="AP48" s="140">
        <f>DATE(D54+1,6,27)</f>
        <v>44009</v>
      </c>
      <c r="AQ48" s="184">
        <v>27</v>
      </c>
      <c r="AR48" s="170"/>
      <c r="AS48" s="169"/>
      <c r="AT48" s="169"/>
      <c r="AU48" s="169"/>
      <c r="AV48" s="169"/>
    </row>
    <row r="49" spans="2:67" s="194" customFormat="1" ht="12" customHeight="1">
      <c r="B49" s="149">
        <f>DATE(D54+1,1,28)</f>
        <v>43858</v>
      </c>
      <c r="C49" s="146">
        <v>28</v>
      </c>
      <c r="D49" s="113"/>
      <c r="E49" s="113"/>
      <c r="F49" s="113"/>
      <c r="G49" s="113"/>
      <c r="H49" s="113"/>
      <c r="I49" s="34"/>
      <c r="J49" s="149">
        <f>DATE(D54+1,2,28)</f>
        <v>43889</v>
      </c>
      <c r="K49" s="146">
        <v>28</v>
      </c>
      <c r="L49" s="150"/>
      <c r="M49" s="146"/>
      <c r="N49" s="146"/>
      <c r="O49" s="146"/>
      <c r="P49" s="146"/>
      <c r="Q49" s="34"/>
      <c r="R49" s="149">
        <f>DATE(D54+1,3,28)</f>
        <v>43918</v>
      </c>
      <c r="S49" s="155">
        <v>28</v>
      </c>
      <c r="T49" s="170"/>
      <c r="U49" s="169"/>
      <c r="V49" s="169"/>
      <c r="W49" s="169"/>
      <c r="X49" s="169"/>
      <c r="Y49" s="34"/>
      <c r="Z49" s="149">
        <f>DATE(D54+1,4,28)</f>
        <v>43949</v>
      </c>
      <c r="AA49" s="168">
        <v>28</v>
      </c>
      <c r="AB49" s="175"/>
      <c r="AC49" s="166"/>
      <c r="AD49" s="166"/>
      <c r="AE49" s="166"/>
      <c r="AF49" s="166"/>
      <c r="AG49" s="34"/>
      <c r="AH49" s="151">
        <f>DATE(D54+1,5,28)</f>
        <v>43979</v>
      </c>
      <c r="AI49" s="158">
        <v>28</v>
      </c>
      <c r="AJ49" s="113"/>
      <c r="AK49" s="113"/>
      <c r="AL49" s="114"/>
      <c r="AM49" s="113"/>
      <c r="AN49" s="113"/>
      <c r="AO49" s="34"/>
      <c r="AP49" s="140">
        <f>DATE(D54+1,6,28)</f>
        <v>44010</v>
      </c>
      <c r="AQ49" s="155">
        <v>28</v>
      </c>
      <c r="AR49" s="170"/>
      <c r="AS49" s="169"/>
      <c r="AT49" s="169"/>
      <c r="AU49" s="169"/>
      <c r="AV49" s="169"/>
    </row>
    <row r="50" spans="2:67" s="194" customFormat="1" ht="12" customHeight="1">
      <c r="B50" s="149">
        <f>DATE(D54+1,1,29)</f>
        <v>43859</v>
      </c>
      <c r="C50" s="146">
        <v>29</v>
      </c>
      <c r="D50" s="113"/>
      <c r="E50" s="113"/>
      <c r="F50" s="113"/>
      <c r="G50" s="113"/>
      <c r="H50" s="113"/>
      <c r="I50" s="34"/>
      <c r="J50" s="149">
        <f>DATE(D54+1,2,29)</f>
        <v>43890</v>
      </c>
      <c r="K50" s="155">
        <v>29</v>
      </c>
      <c r="L50" s="176"/>
      <c r="M50" s="144"/>
      <c r="N50" s="144"/>
      <c r="O50" s="144"/>
      <c r="P50" s="144"/>
      <c r="Q50" s="34"/>
      <c r="R50" s="149">
        <f>DATE(D54+1,3,29)</f>
        <v>43919</v>
      </c>
      <c r="S50" s="155">
        <v>29</v>
      </c>
      <c r="T50" s="170"/>
      <c r="U50" s="169"/>
      <c r="V50" s="169"/>
      <c r="W50" s="169"/>
      <c r="X50" s="169"/>
      <c r="Y50" s="34"/>
      <c r="Z50" s="149">
        <f>DATE(D54+1,4,29)</f>
        <v>43950</v>
      </c>
      <c r="AA50" s="146">
        <v>29</v>
      </c>
      <c r="AB50" s="126"/>
      <c r="AC50" s="113"/>
      <c r="AD50" s="113"/>
      <c r="AE50" s="113"/>
      <c r="AF50" s="113"/>
      <c r="AG50" s="34"/>
      <c r="AH50" s="151">
        <f>DATE(D54+1,5,29)</f>
        <v>43980</v>
      </c>
      <c r="AI50" s="146">
        <v>29</v>
      </c>
      <c r="AJ50" s="113"/>
      <c r="AK50" s="113"/>
      <c r="AL50" s="114"/>
      <c r="AM50" s="113"/>
      <c r="AN50" s="113"/>
      <c r="AO50" s="34"/>
      <c r="AP50" s="151">
        <f>DATE(D54+1,6,29)</f>
        <v>44011</v>
      </c>
      <c r="AQ50" s="168">
        <v>29</v>
      </c>
      <c r="AR50" s="168"/>
      <c r="AS50" s="166"/>
      <c r="AT50" s="166"/>
      <c r="AU50" s="166"/>
      <c r="AV50" s="166"/>
    </row>
    <row r="51" spans="2:67" s="194" customFormat="1" ht="12" customHeight="1">
      <c r="B51" s="149">
        <f>DATE(D54+1,1,30)</f>
        <v>43860</v>
      </c>
      <c r="C51" s="146">
        <v>30</v>
      </c>
      <c r="D51" s="113"/>
      <c r="E51" s="113"/>
      <c r="F51" s="113"/>
      <c r="G51" s="113"/>
      <c r="H51" s="113"/>
      <c r="I51" s="34"/>
      <c r="J51" s="352"/>
      <c r="K51" s="34"/>
      <c r="L51" s="34"/>
      <c r="M51" s="34"/>
      <c r="N51" s="34"/>
      <c r="O51" s="34"/>
      <c r="P51" s="34"/>
      <c r="Q51" s="34"/>
      <c r="R51" s="149">
        <f>DATE(D54+1,3,30)</f>
        <v>43920</v>
      </c>
      <c r="S51" s="168">
        <v>30</v>
      </c>
      <c r="T51" s="168"/>
      <c r="U51" s="166"/>
      <c r="V51" s="166"/>
      <c r="W51" s="166"/>
      <c r="X51" s="166"/>
      <c r="Y51" s="34"/>
      <c r="Z51" s="149">
        <f>DATE(D54+1,4,30)</f>
        <v>43951</v>
      </c>
      <c r="AA51" s="146">
        <v>30</v>
      </c>
      <c r="AB51" s="152"/>
      <c r="AC51" s="112"/>
      <c r="AD51" s="112"/>
      <c r="AE51" s="112"/>
      <c r="AF51" s="112"/>
      <c r="AG51" s="34"/>
      <c r="AH51" s="140">
        <f>DATE(D54+1,5,30)</f>
        <v>43981</v>
      </c>
      <c r="AI51" s="155">
        <v>30</v>
      </c>
      <c r="AJ51" s="181"/>
      <c r="AK51" s="180"/>
      <c r="AL51" s="171"/>
      <c r="AM51" s="144"/>
      <c r="AN51" s="144"/>
      <c r="AO51" s="34"/>
      <c r="AP51" s="151">
        <f>DATE(D54+1,6,30)</f>
        <v>44012</v>
      </c>
      <c r="AQ51" s="185">
        <v>30</v>
      </c>
      <c r="AR51" s="168"/>
      <c r="AS51" s="166"/>
      <c r="AT51" s="166"/>
      <c r="AU51" s="166"/>
      <c r="AV51" s="166"/>
    </row>
    <row r="52" spans="2:67" s="194" customFormat="1" ht="12" customHeight="1">
      <c r="B52" s="149">
        <f>DATE(D54+1,1,31)</f>
        <v>43861</v>
      </c>
      <c r="C52" s="146">
        <v>31</v>
      </c>
      <c r="D52" s="111"/>
      <c r="E52" s="111"/>
      <c r="F52" s="111"/>
      <c r="G52" s="111"/>
      <c r="H52" s="111"/>
      <c r="I52" s="34"/>
      <c r="J52" s="351"/>
      <c r="K52" s="34"/>
      <c r="L52" s="34"/>
      <c r="M52" s="34"/>
      <c r="N52" s="34"/>
      <c r="O52" s="34"/>
      <c r="P52" s="34"/>
      <c r="Q52" s="34"/>
      <c r="R52" s="149">
        <f>DATE(D54+1,3,31)</f>
        <v>43921</v>
      </c>
      <c r="S52" s="168">
        <v>31</v>
      </c>
      <c r="T52" s="168"/>
      <c r="U52" s="166"/>
      <c r="V52" s="166"/>
      <c r="W52" s="166"/>
      <c r="X52" s="166"/>
      <c r="Y52" s="34"/>
      <c r="Z52" s="149"/>
      <c r="AA52" s="34"/>
      <c r="AB52" s="34"/>
      <c r="AC52" s="34"/>
      <c r="AD52" s="34"/>
      <c r="AE52" s="34"/>
      <c r="AF52" s="34"/>
      <c r="AG52" s="34"/>
      <c r="AH52" s="140">
        <f>DATE(D54+1,5,31)</f>
        <v>43982</v>
      </c>
      <c r="AI52" s="155">
        <v>31</v>
      </c>
      <c r="AJ52" s="179"/>
      <c r="AK52" s="179"/>
      <c r="AL52" s="164"/>
      <c r="AM52" s="182"/>
      <c r="AN52" s="182"/>
      <c r="AO52" s="34"/>
      <c r="AP52" s="145"/>
      <c r="AQ52" s="34"/>
      <c r="AR52" s="34"/>
      <c r="AS52" s="34"/>
      <c r="AT52" s="34"/>
      <c r="AU52" s="34"/>
      <c r="AV52" s="34"/>
      <c r="AW52" s="34"/>
      <c r="AX52" s="34"/>
      <c r="AY52" s="34"/>
    </row>
    <row r="53" spans="2:67" ht="12" customHeight="1">
      <c r="B53" s="36"/>
      <c r="C53" s="37"/>
      <c r="D53" s="37"/>
      <c r="E53" s="37"/>
      <c r="F53" s="37"/>
      <c r="G53" s="37"/>
      <c r="H53" s="37"/>
      <c r="I53" s="35"/>
      <c r="J53" s="38"/>
      <c r="K53" s="39"/>
      <c r="L53" s="39"/>
      <c r="M53" s="39"/>
      <c r="N53" s="39"/>
      <c r="O53" s="39"/>
      <c r="P53" s="39"/>
      <c r="Q53" s="34"/>
      <c r="R53" s="35"/>
      <c r="S53" s="35"/>
      <c r="T53" s="35"/>
      <c r="U53" s="35"/>
      <c r="V53" s="35"/>
      <c r="W53" s="35"/>
      <c r="X53" s="35"/>
      <c r="Y53" s="35"/>
      <c r="Z53" s="34"/>
      <c r="AA53" s="34"/>
      <c r="AB53" s="34"/>
      <c r="AC53" s="34"/>
      <c r="AD53" s="34"/>
      <c r="AE53" s="34"/>
      <c r="AF53" s="34"/>
      <c r="AG53" s="34"/>
      <c r="AH53" s="36"/>
      <c r="AI53" s="37"/>
      <c r="AJ53" s="37"/>
      <c r="AK53" s="37"/>
      <c r="AL53" s="37"/>
      <c r="AM53" s="37"/>
      <c r="AN53" s="37"/>
      <c r="AO53" s="34"/>
      <c r="AP53" s="40"/>
      <c r="AQ53" s="41"/>
      <c r="AR53" s="41"/>
      <c r="AS53" s="41"/>
      <c r="AT53" s="41"/>
      <c r="AU53" s="41"/>
      <c r="AV53" s="41"/>
    </row>
    <row r="54" spans="2:67" ht="12" customHeight="1" thickBot="1">
      <c r="B54" s="9"/>
      <c r="C54" s="10"/>
      <c r="D54" s="46" t="s">
        <v>72</v>
      </c>
      <c r="F54" s="44" t="s">
        <v>34</v>
      </c>
      <c r="G54" s="15"/>
      <c r="H54" s="57" t="s">
        <v>32</v>
      </c>
      <c r="J54" s="14"/>
      <c r="K54" s="33"/>
      <c r="L54" s="44" t="s">
        <v>34</v>
      </c>
      <c r="M54" s="15"/>
      <c r="N54" s="57" t="s">
        <v>32</v>
      </c>
      <c r="Q54" s="5"/>
      <c r="R54" s="5"/>
      <c r="S54" s="5"/>
      <c r="T54" s="44" t="s">
        <v>34</v>
      </c>
      <c r="U54" s="15"/>
      <c r="V54" s="57" t="s">
        <v>32</v>
      </c>
      <c r="Y54" s="5"/>
      <c r="Z54" s="14"/>
      <c r="AA54" s="39"/>
      <c r="AB54" s="44" t="s">
        <v>34</v>
      </c>
      <c r="AC54" s="15"/>
      <c r="AD54" s="57" t="s">
        <v>32</v>
      </c>
      <c r="AG54" s="5"/>
      <c r="AH54" s="9"/>
      <c r="AI54" s="37"/>
      <c r="AJ54" s="44" t="s">
        <v>34</v>
      </c>
      <c r="AK54" s="15"/>
      <c r="AL54" s="57" t="s">
        <v>32</v>
      </c>
      <c r="AM54" s="10"/>
      <c r="AN54" s="11"/>
      <c r="AO54" s="5"/>
      <c r="AP54" s="17"/>
      <c r="AQ54" s="18"/>
      <c r="AR54" s="44" t="s">
        <v>34</v>
      </c>
      <c r="AT54" s="57" t="s">
        <v>32</v>
      </c>
      <c r="AU54" s="18"/>
      <c r="AV54" s="57" t="s">
        <v>32</v>
      </c>
    </row>
    <row r="55" spans="2:67" s="49" customFormat="1" ht="16.5" customHeight="1" thickTop="1" thickBot="1">
      <c r="B55" s="21" t="s">
        <v>47</v>
      </c>
      <c r="D55" s="52">
        <v>12.5</v>
      </c>
      <c r="F55" s="55">
        <f>SUM((COUNTIF(D22:H52,$F$2)/2),COUNTIF(D22:H52,$B$2))</f>
        <v>0</v>
      </c>
      <c r="H55" s="106">
        <f>D55-F55</f>
        <v>12.5</v>
      </c>
      <c r="J55" s="21" t="s">
        <v>47</v>
      </c>
      <c r="L55" s="55">
        <f>SUM((COUNTIF(L22:P52,$F$2)/2),COUNTIF(L22:P52,$B$2))</f>
        <v>0</v>
      </c>
      <c r="N55" s="106">
        <f>H55-L55</f>
        <v>12.5</v>
      </c>
      <c r="R55" s="21" t="s">
        <v>47</v>
      </c>
      <c r="T55" s="55">
        <f>SUM((COUNTIF(T22:X52,$F$2)/2),COUNTIF(T22:X52,$B$2))</f>
        <v>0</v>
      </c>
      <c r="V55" s="106">
        <f>N55-T55</f>
        <v>12.5</v>
      </c>
      <c r="Z55" s="21" t="s">
        <v>47</v>
      </c>
      <c r="AB55" s="55">
        <f>SUM((COUNTIF(AB22:AF52,$F$2)/2),COUNTIF(AB22:AF52,$B$2))</f>
        <v>0</v>
      </c>
      <c r="AD55" s="106">
        <f>V55-AB55</f>
        <v>12.5</v>
      </c>
      <c r="AH55" s="21" t="s">
        <v>47</v>
      </c>
      <c r="AJ55" s="55">
        <f>SUM((COUNTIF(AJ22:AN52,$F$2)/2),COUNTIF(AJ22:AN52,$B$2))</f>
        <v>0</v>
      </c>
      <c r="AL55" s="106">
        <f>AD55-AJ55</f>
        <v>12.5</v>
      </c>
      <c r="AM55" s="56"/>
      <c r="AN55" s="56"/>
      <c r="AP55" s="21" t="s">
        <v>47</v>
      </c>
      <c r="AR55" s="55">
        <f>SUM((COUNTIF(AR22:AV52,$F$2)/2),COUNTIF(AR22:AV52,$B$2))</f>
        <v>0</v>
      </c>
      <c r="AT55" s="55">
        <f>26-AR55</f>
        <v>26</v>
      </c>
      <c r="AU55" s="56"/>
      <c r="AV55" s="55">
        <f>AT55+ROUNDDOWN(AT55/5,0)-1</f>
        <v>30</v>
      </c>
    </row>
    <row r="56" spans="2:67" ht="16.5" customHeight="1" thickTop="1" thickBot="1">
      <c r="B56" s="9"/>
      <c r="C56" s="10"/>
      <c r="D56" s="107" t="s">
        <v>72</v>
      </c>
      <c r="E56" s="10"/>
      <c r="F56" s="44" t="s">
        <v>34</v>
      </c>
      <c r="G56" s="10"/>
      <c r="H56" s="44" t="s">
        <v>36</v>
      </c>
      <c r="I56" s="5"/>
      <c r="J56" s="9"/>
      <c r="K56" s="10"/>
      <c r="L56" s="44" t="s">
        <v>34</v>
      </c>
      <c r="M56" s="10"/>
      <c r="N56" s="44" t="s">
        <v>36</v>
      </c>
      <c r="O56" s="10"/>
      <c r="Q56" s="5"/>
      <c r="R56" s="9"/>
      <c r="S56" s="10"/>
      <c r="T56" s="44" t="s">
        <v>34</v>
      </c>
      <c r="U56" s="10"/>
      <c r="V56" s="44" t="s">
        <v>36</v>
      </c>
      <c r="Y56" s="5"/>
      <c r="Z56" s="9"/>
      <c r="AA56" s="10"/>
      <c r="AB56" s="44" t="s">
        <v>34</v>
      </c>
      <c r="AC56" s="10"/>
      <c r="AD56" s="44" t="s">
        <v>36</v>
      </c>
      <c r="AE56" s="10"/>
      <c r="AG56" s="5"/>
      <c r="AH56" s="9"/>
      <c r="AI56" s="10"/>
      <c r="AJ56" s="44" t="s">
        <v>34</v>
      </c>
      <c r="AK56" s="10"/>
      <c r="AL56" s="44" t="s">
        <v>36</v>
      </c>
      <c r="AO56" s="5"/>
      <c r="AP56" s="9"/>
      <c r="AQ56" s="10"/>
      <c r="AR56" s="44" t="s">
        <v>34</v>
      </c>
      <c r="AS56" s="10"/>
      <c r="AT56" s="44" t="s">
        <v>36</v>
      </c>
      <c r="AU56" s="10"/>
      <c r="AV56" s="10"/>
    </row>
    <row r="57" spans="2:67" s="50" customFormat="1" ht="16.5" customHeight="1" thickTop="1" thickBot="1">
      <c r="B57" s="48" t="s">
        <v>13</v>
      </c>
      <c r="C57" s="51"/>
      <c r="D57" s="54">
        <v>0.5</v>
      </c>
      <c r="E57" s="53"/>
      <c r="F57" s="54">
        <f>COUNTIF(D22:H52,$B$6)+COUNTIF(D22:H52,$F$6)/2</f>
        <v>0</v>
      </c>
      <c r="G57" s="51"/>
      <c r="H57" s="54">
        <f>D57-F57</f>
        <v>0.5</v>
      </c>
      <c r="J57" s="48" t="s">
        <v>13</v>
      </c>
      <c r="K57" s="51"/>
      <c r="L57" s="54">
        <f>COUNTIF(L22:P52,$B$6)+COUNTIF(L22:P52,$F$6)/2</f>
        <v>0</v>
      </c>
      <c r="M57" s="51"/>
      <c r="N57" s="54">
        <f>1+H57-L57</f>
        <v>1.5</v>
      </c>
      <c r="O57" s="51"/>
      <c r="R57" s="48" t="s">
        <v>13</v>
      </c>
      <c r="S57" s="51"/>
      <c r="T57" s="54">
        <f>COUNTIF(T22:X52,$B$6)+COUNTIF(T22:X52,$F$6)/2</f>
        <v>0</v>
      </c>
      <c r="U57" s="51"/>
      <c r="V57" s="54">
        <f>1+N57-T57</f>
        <v>2.5</v>
      </c>
      <c r="Z57" s="48" t="s">
        <v>13</v>
      </c>
      <c r="AA57" s="51"/>
      <c r="AB57" s="54">
        <f>COUNTIF(AB22:AF52,$B$6)+COUNTIF(AB22:AF52,$F$6)/2</f>
        <v>0</v>
      </c>
      <c r="AC57" s="51"/>
      <c r="AD57" s="54">
        <f>1+V57-AB57</f>
        <v>3.5</v>
      </c>
      <c r="AE57" s="51"/>
      <c r="AH57" s="48" t="s">
        <v>13</v>
      </c>
      <c r="AI57" s="51"/>
      <c r="AJ57" s="54">
        <f>COUNTIF(AJ22:AN52,$B$6)+COUNTIF(AJ22:AN52,$F$6)/2</f>
        <v>0</v>
      </c>
      <c r="AK57" s="51"/>
      <c r="AL57" s="54">
        <f>1+AD57-AJ57</f>
        <v>4.5</v>
      </c>
      <c r="AP57" s="48" t="s">
        <v>13</v>
      </c>
      <c r="AQ57" s="51"/>
      <c r="AR57" s="54">
        <f>COUNTIF(AR22:AV52,$B$6)+COUNTIF(AR22:AV52,$F$6)/2</f>
        <v>0</v>
      </c>
      <c r="AS57" s="51"/>
      <c r="AT57" s="54">
        <f>1+AL57-AR57</f>
        <v>5.5</v>
      </c>
      <c r="AU57" s="51"/>
      <c r="AV57" s="51"/>
    </row>
    <row r="58" spans="2:67" ht="12" customHeight="1" thickTop="1">
      <c r="B58" s="9"/>
      <c r="C58" s="10"/>
      <c r="D58" s="10"/>
      <c r="E58" s="10"/>
      <c r="F58" s="10"/>
      <c r="G58" s="10"/>
      <c r="H58" s="11"/>
      <c r="I58" s="5"/>
      <c r="J58" s="14"/>
      <c r="K58" s="33"/>
      <c r="L58" s="15"/>
      <c r="M58" s="15"/>
      <c r="N58" s="15"/>
      <c r="O58" s="15"/>
      <c r="P58" s="16"/>
      <c r="Q58" s="5"/>
      <c r="R58" s="9"/>
      <c r="S58" s="12"/>
      <c r="T58" s="12"/>
      <c r="U58" s="12"/>
      <c r="V58" s="12"/>
      <c r="W58" s="12"/>
      <c r="X58" s="13"/>
      <c r="Y58" s="5"/>
      <c r="Z58" s="14"/>
      <c r="AA58" s="39"/>
      <c r="AB58" s="15"/>
      <c r="AC58" s="15"/>
      <c r="AD58" s="15"/>
      <c r="AE58" s="15"/>
      <c r="AF58" s="16"/>
      <c r="AG58" s="5"/>
      <c r="AH58" s="9"/>
      <c r="AI58" s="37"/>
      <c r="AJ58" s="10"/>
      <c r="AK58" s="10"/>
      <c r="AL58" s="10"/>
      <c r="AM58" s="10"/>
      <c r="AN58" s="11"/>
      <c r="AO58" s="5"/>
      <c r="AP58" s="17"/>
      <c r="AQ58" s="18"/>
      <c r="AR58" s="18"/>
      <c r="AS58" s="18"/>
      <c r="AT58" s="18"/>
      <c r="AU58" s="18"/>
      <c r="AV58" s="19"/>
    </row>
    <row r="59" spans="2:67" ht="12" customHeight="1">
      <c r="BO59" s="60"/>
    </row>
    <row r="60" spans="2:67" ht="12" customHeight="1">
      <c r="BO60" s="60"/>
    </row>
    <row r="61" spans="2:67" ht="30.75" customHeight="1">
      <c r="B61" s="273" t="s">
        <v>18</v>
      </c>
      <c r="C61" s="274"/>
      <c r="D61" s="274"/>
      <c r="E61" s="274"/>
      <c r="F61" s="274"/>
      <c r="G61" s="274"/>
      <c r="H61" s="274"/>
      <c r="I61" s="68"/>
      <c r="J61" s="265" t="s">
        <v>19</v>
      </c>
      <c r="K61" s="266"/>
      <c r="L61" s="266"/>
      <c r="M61" s="266"/>
      <c r="N61" s="266"/>
      <c r="O61" s="266"/>
      <c r="P61" s="266"/>
      <c r="Q61" s="20"/>
      <c r="R61" s="265" t="s">
        <v>20</v>
      </c>
      <c r="S61" s="266"/>
      <c r="T61" s="266"/>
      <c r="U61" s="266"/>
      <c r="V61" s="266"/>
      <c r="W61" s="266"/>
      <c r="X61" s="266"/>
      <c r="Y61" s="20"/>
      <c r="Z61" s="265" t="s">
        <v>21</v>
      </c>
      <c r="AA61" s="266"/>
      <c r="AB61" s="266"/>
      <c r="AC61" s="266"/>
      <c r="AD61" s="266"/>
      <c r="AE61" s="266"/>
      <c r="AF61" s="266"/>
      <c r="AG61" s="20"/>
      <c r="AH61" s="265" t="s">
        <v>22</v>
      </c>
      <c r="AI61" s="266"/>
      <c r="AJ61" s="266"/>
      <c r="AK61" s="266"/>
      <c r="AL61" s="266"/>
      <c r="AM61" s="266"/>
      <c r="AN61" s="266"/>
      <c r="AO61" s="20"/>
      <c r="AP61" s="265" t="s">
        <v>23</v>
      </c>
      <c r="AQ61" s="266"/>
      <c r="AR61" s="266"/>
      <c r="AS61" s="266"/>
      <c r="AT61" s="266"/>
      <c r="AU61" s="266"/>
      <c r="AV61" s="266"/>
    </row>
    <row r="62" spans="2:67" s="194" customFormat="1" ht="12" customHeight="1">
      <c r="B62" s="30"/>
      <c r="C62" s="3"/>
      <c r="D62" s="3"/>
      <c r="E62" s="3"/>
      <c r="F62" s="3"/>
      <c r="G62" s="3"/>
      <c r="H62" s="3"/>
      <c r="I62" s="26"/>
      <c r="J62" s="3"/>
      <c r="K62" s="32"/>
      <c r="L62" s="3"/>
      <c r="M62" s="3"/>
      <c r="N62" s="3"/>
      <c r="O62" s="3"/>
      <c r="P62" s="3"/>
      <c r="Q62" s="3"/>
      <c r="R62" s="3"/>
      <c r="S62" s="3"/>
      <c r="T62" s="3"/>
      <c r="U62" s="3"/>
      <c r="V62" s="3"/>
      <c r="W62" s="3"/>
      <c r="X62" s="3"/>
      <c r="Y62" s="3"/>
      <c r="Z62" s="3"/>
      <c r="AA62" s="34"/>
      <c r="AB62" s="3"/>
      <c r="AC62" s="3"/>
      <c r="AD62" s="3"/>
      <c r="AE62" s="3"/>
      <c r="AF62" s="3"/>
      <c r="AG62" s="3"/>
      <c r="AH62" s="3"/>
      <c r="AI62" s="34"/>
      <c r="AJ62" s="3"/>
      <c r="AK62" s="3"/>
      <c r="AL62" s="3"/>
      <c r="AM62" s="3"/>
      <c r="AN62" s="3"/>
      <c r="AO62" s="3"/>
      <c r="AP62" s="3"/>
      <c r="AQ62" s="3"/>
      <c r="AR62" s="3"/>
      <c r="AS62" s="3"/>
      <c r="AT62" s="3"/>
      <c r="AU62" s="3"/>
      <c r="AV62" s="3"/>
      <c r="AW62" s="3"/>
      <c r="AX62" s="3"/>
      <c r="AY62" s="3"/>
    </row>
    <row r="63" spans="2:67" s="194" customFormat="1" ht="12" customHeight="1">
      <c r="B63" s="149">
        <f>DATE(D54+1,7,1)</f>
        <v>44013</v>
      </c>
      <c r="C63" s="153">
        <v>1</v>
      </c>
      <c r="D63" s="113"/>
      <c r="E63" s="113"/>
      <c r="F63" s="113"/>
      <c r="G63" s="113"/>
      <c r="H63" s="113"/>
      <c r="I63" s="26"/>
      <c r="J63" s="149">
        <f>DATE(D54+1,8,1)</f>
        <v>44044</v>
      </c>
      <c r="K63" s="154">
        <v>1</v>
      </c>
      <c r="L63" s="170"/>
      <c r="M63" s="169"/>
      <c r="N63" s="169"/>
      <c r="O63" s="169"/>
      <c r="P63" s="169"/>
      <c r="Q63" s="3"/>
      <c r="R63" s="149">
        <f>DATE(D54+1,9,1)</f>
        <v>44075</v>
      </c>
      <c r="S63" s="186">
        <v>1</v>
      </c>
      <c r="T63" s="168"/>
      <c r="U63" s="166"/>
      <c r="V63" s="166"/>
      <c r="W63" s="166"/>
      <c r="X63" s="166"/>
      <c r="Y63" s="3"/>
      <c r="Z63" s="149">
        <f>DATE(D54+1,10,1)</f>
        <v>44105</v>
      </c>
      <c r="AA63" s="146">
        <v>1</v>
      </c>
      <c r="AB63" s="113"/>
      <c r="AC63" s="113"/>
      <c r="AD63" s="113"/>
      <c r="AE63" s="113"/>
      <c r="AF63" s="113"/>
      <c r="AG63" s="3"/>
      <c r="AH63" s="149">
        <f>DATE(D54+1,11,1)</f>
        <v>44136</v>
      </c>
      <c r="AI63" s="154">
        <v>1</v>
      </c>
      <c r="AJ63" s="171"/>
      <c r="AK63" s="144"/>
      <c r="AL63" s="144"/>
      <c r="AM63" s="144"/>
      <c r="AN63" s="144"/>
      <c r="AO63" s="3"/>
      <c r="AP63" s="139">
        <f>DATE(D54+1,12,1)</f>
        <v>44166</v>
      </c>
      <c r="AQ63" s="186">
        <v>1</v>
      </c>
      <c r="AR63" s="168"/>
      <c r="AS63" s="166"/>
      <c r="AT63" s="166"/>
      <c r="AU63" s="166"/>
      <c r="AV63" s="166"/>
    </row>
    <row r="64" spans="2:67" s="194" customFormat="1" ht="12" customHeight="1">
      <c r="B64" s="149">
        <f>DATE(D54+1,7,2)</f>
        <v>44014</v>
      </c>
      <c r="C64" s="153">
        <v>2</v>
      </c>
      <c r="D64" s="113"/>
      <c r="E64" s="113"/>
      <c r="F64" s="113"/>
      <c r="G64" s="113"/>
      <c r="H64" s="113"/>
      <c r="I64" s="26"/>
      <c r="J64" s="149">
        <f>DATE(D54+1,8,2)</f>
        <v>44045</v>
      </c>
      <c r="K64" s="154">
        <v>2</v>
      </c>
      <c r="L64" s="188"/>
      <c r="M64" s="187"/>
      <c r="N64" s="187"/>
      <c r="O64" s="187"/>
      <c r="P64" s="187"/>
      <c r="Q64" s="3"/>
      <c r="R64" s="149">
        <f>DATE(D54+1,9,2)</f>
        <v>44076</v>
      </c>
      <c r="S64" s="153">
        <v>2</v>
      </c>
      <c r="T64" s="113"/>
      <c r="U64" s="113"/>
      <c r="V64" s="113"/>
      <c r="W64" s="113"/>
      <c r="X64" s="113"/>
      <c r="Y64" s="3"/>
      <c r="Z64" s="149">
        <f>DATE(D54+1,10,2)</f>
        <v>44106</v>
      </c>
      <c r="AA64" s="146">
        <v>2</v>
      </c>
      <c r="AB64" s="113"/>
      <c r="AC64" s="113"/>
      <c r="AD64" s="113"/>
      <c r="AE64" s="113"/>
      <c r="AF64" s="113"/>
      <c r="AG64" s="3"/>
      <c r="AH64" s="139">
        <f>DATE(D54+1,11,2)</f>
        <v>44137</v>
      </c>
      <c r="AI64" s="168">
        <v>2</v>
      </c>
      <c r="AJ64" s="148"/>
      <c r="AK64" s="166"/>
      <c r="AL64" s="166"/>
      <c r="AM64" s="166"/>
      <c r="AN64" s="166"/>
      <c r="AO64" s="3"/>
      <c r="AP64" s="139">
        <f>DATE(D54+1,12,2)</f>
        <v>44167</v>
      </c>
      <c r="AQ64" s="153">
        <v>2</v>
      </c>
      <c r="AR64" s="113"/>
      <c r="AS64" s="113"/>
      <c r="AT64" s="113"/>
      <c r="AU64" s="113"/>
      <c r="AV64" s="113"/>
    </row>
    <row r="65" spans="2:48" s="194" customFormat="1" ht="12" customHeight="1">
      <c r="B65" s="149">
        <f>DATE(D54+1,7,3)</f>
        <v>44015</v>
      </c>
      <c r="C65" s="153">
        <v>3</v>
      </c>
      <c r="D65" s="113"/>
      <c r="E65" s="113"/>
      <c r="F65" s="113"/>
      <c r="G65" s="113"/>
      <c r="H65" s="113"/>
      <c r="I65" s="26"/>
      <c r="J65" s="149">
        <f>DATE(D54+1,8,3)</f>
        <v>44046</v>
      </c>
      <c r="K65" s="186">
        <v>3</v>
      </c>
      <c r="L65" s="168"/>
      <c r="M65" s="114"/>
      <c r="N65" s="166"/>
      <c r="O65" s="166"/>
      <c r="P65" s="166"/>
      <c r="Q65" s="3"/>
      <c r="R65" s="149">
        <f>DATE(D54+1,9,3)</f>
        <v>44077</v>
      </c>
      <c r="S65" s="153">
        <v>3</v>
      </c>
      <c r="T65" s="113"/>
      <c r="U65" s="113"/>
      <c r="V65" s="113"/>
      <c r="W65" s="113"/>
      <c r="X65" s="113"/>
      <c r="Y65" s="3"/>
      <c r="Z65" s="149">
        <f>DATE(D54+1,10,3)</f>
        <v>44107</v>
      </c>
      <c r="AA65" s="155">
        <v>3</v>
      </c>
      <c r="AB65" s="170"/>
      <c r="AC65" s="169"/>
      <c r="AD65" s="169"/>
      <c r="AE65" s="169"/>
      <c r="AF65" s="169"/>
      <c r="AG65" s="3"/>
      <c r="AH65" s="139">
        <f>DATE(D54+1,11,3)</f>
        <v>44138</v>
      </c>
      <c r="AI65" s="168">
        <v>3</v>
      </c>
      <c r="AJ65" s="152"/>
      <c r="AK65" s="166"/>
      <c r="AL65" s="166"/>
      <c r="AM65" s="166"/>
      <c r="AN65" s="166"/>
      <c r="AO65" s="3"/>
      <c r="AP65" s="139">
        <f>DATE(D54+1,12,3)</f>
        <v>44168</v>
      </c>
      <c r="AQ65" s="153">
        <v>3</v>
      </c>
      <c r="AR65" s="113"/>
      <c r="AS65" s="113"/>
      <c r="AT65" s="113"/>
      <c r="AU65" s="113"/>
      <c r="AV65" s="113"/>
    </row>
    <row r="66" spans="2:48" s="194" customFormat="1" ht="12" customHeight="1">
      <c r="B66" s="149">
        <f>DATE(D54+1,7,4)</f>
        <v>44016</v>
      </c>
      <c r="C66" s="154">
        <v>4</v>
      </c>
      <c r="D66" s="170"/>
      <c r="E66" s="169"/>
      <c r="F66" s="169"/>
      <c r="G66" s="169"/>
      <c r="H66" s="169"/>
      <c r="I66" s="26"/>
      <c r="J66" s="149">
        <f>DATE(D54+1,8,4)</f>
        <v>44047</v>
      </c>
      <c r="K66" s="186">
        <v>4</v>
      </c>
      <c r="L66" s="168"/>
      <c r="M66" s="114"/>
      <c r="N66" s="167"/>
      <c r="O66" s="166"/>
      <c r="P66" s="166"/>
      <c r="Q66" s="3"/>
      <c r="R66" s="149">
        <f>DATE(D54+1,9,4)</f>
        <v>44078</v>
      </c>
      <c r="S66" s="153">
        <v>4</v>
      </c>
      <c r="T66" s="113"/>
      <c r="U66" s="113"/>
      <c r="V66" s="113"/>
      <c r="W66" s="113"/>
      <c r="X66" s="113"/>
      <c r="Y66" s="3"/>
      <c r="Z66" s="149">
        <f>DATE(D54+1,10,4)</f>
        <v>44108</v>
      </c>
      <c r="AA66" s="155">
        <v>4</v>
      </c>
      <c r="AB66" s="170"/>
      <c r="AC66" s="169"/>
      <c r="AD66" s="169"/>
      <c r="AE66" s="169"/>
      <c r="AF66" s="169"/>
      <c r="AG66" s="3"/>
      <c r="AH66" s="139">
        <f>DATE(D54+1,11,4)</f>
        <v>44139</v>
      </c>
      <c r="AI66" s="146">
        <v>4</v>
      </c>
      <c r="AJ66" s="126"/>
      <c r="AK66" s="113"/>
      <c r="AL66" s="113"/>
      <c r="AM66" s="113"/>
      <c r="AN66" s="113"/>
      <c r="AO66" s="3"/>
      <c r="AP66" s="139">
        <f>DATE(D54+1,12,4)</f>
        <v>44169</v>
      </c>
      <c r="AQ66" s="153">
        <v>4</v>
      </c>
      <c r="AR66" s="113"/>
      <c r="AS66" s="113"/>
      <c r="AT66" s="113"/>
      <c r="AU66" s="113"/>
      <c r="AV66" s="113"/>
    </row>
    <row r="67" spans="2:48" s="194" customFormat="1" ht="12" customHeight="1">
      <c r="B67" s="149">
        <f>DATE(D54+1,7,5)</f>
        <v>44017</v>
      </c>
      <c r="C67" s="154">
        <v>5</v>
      </c>
      <c r="D67" s="170"/>
      <c r="E67" s="169"/>
      <c r="F67" s="169"/>
      <c r="G67" s="169"/>
      <c r="H67" s="169"/>
      <c r="I67" s="26"/>
      <c r="J67" s="149">
        <f>DATE(D54+1,8,5)</f>
        <v>44048</v>
      </c>
      <c r="K67" s="153">
        <v>5</v>
      </c>
      <c r="L67" s="113"/>
      <c r="M67" s="114"/>
      <c r="N67" s="114"/>
      <c r="O67" s="113"/>
      <c r="P67" s="113"/>
      <c r="Q67" s="3"/>
      <c r="R67" s="149">
        <f>DATE(D54+1,9,5)</f>
        <v>44079</v>
      </c>
      <c r="S67" s="154">
        <v>5</v>
      </c>
      <c r="T67" s="170"/>
      <c r="U67" s="169"/>
      <c r="V67" s="169"/>
      <c r="W67" s="169"/>
      <c r="X67" s="169"/>
      <c r="Y67" s="3"/>
      <c r="Z67" s="149">
        <f>DATE(D54+1,10,5)</f>
        <v>44109</v>
      </c>
      <c r="AA67" s="168">
        <v>5</v>
      </c>
      <c r="AB67" s="168"/>
      <c r="AC67" s="166"/>
      <c r="AD67" s="166"/>
      <c r="AE67" s="166"/>
      <c r="AF67" s="166"/>
      <c r="AG67" s="3"/>
      <c r="AH67" s="139">
        <f>DATE(D54+1,11,5)</f>
        <v>44140</v>
      </c>
      <c r="AI67" s="146">
        <v>5</v>
      </c>
      <c r="AJ67" s="113"/>
      <c r="AK67" s="113"/>
      <c r="AL67" s="113"/>
      <c r="AM67" s="113"/>
      <c r="AN67" s="113"/>
      <c r="AO67" s="3"/>
      <c r="AP67" s="149">
        <f>DATE(D54+1,12,5)</f>
        <v>44170</v>
      </c>
      <c r="AQ67" s="154">
        <v>5</v>
      </c>
      <c r="AR67" s="170"/>
      <c r="AS67" s="169"/>
      <c r="AT67" s="169"/>
      <c r="AU67" s="169"/>
      <c r="AV67" s="169"/>
    </row>
    <row r="68" spans="2:48" s="194" customFormat="1" ht="12" customHeight="1">
      <c r="B68" s="149">
        <f>DATE(D54+1,7,6)</f>
        <v>44018</v>
      </c>
      <c r="C68" s="186">
        <v>6</v>
      </c>
      <c r="D68" s="168"/>
      <c r="E68" s="166"/>
      <c r="F68" s="166"/>
      <c r="G68" s="166"/>
      <c r="H68" s="166"/>
      <c r="I68" s="26"/>
      <c r="J68" s="149">
        <f>DATE(D54+1,8,6)</f>
        <v>44049</v>
      </c>
      <c r="K68" s="153">
        <v>6</v>
      </c>
      <c r="L68" s="113"/>
      <c r="M68" s="114"/>
      <c r="N68" s="114"/>
      <c r="O68" s="113"/>
      <c r="P68" s="113"/>
      <c r="Q68" s="3"/>
      <c r="R68" s="149">
        <f>DATE(D54+1,9,6)</f>
        <v>44080</v>
      </c>
      <c r="S68" s="154">
        <v>6</v>
      </c>
      <c r="T68" s="170"/>
      <c r="U68" s="169"/>
      <c r="V68" s="169"/>
      <c r="W68" s="169"/>
      <c r="X68" s="169"/>
      <c r="Y68" s="3"/>
      <c r="Z68" s="149">
        <f>DATE(D54+1,10,6)</f>
        <v>44110</v>
      </c>
      <c r="AA68" s="168">
        <v>6</v>
      </c>
      <c r="AB68" s="168"/>
      <c r="AC68" s="166"/>
      <c r="AD68" s="166"/>
      <c r="AE68" s="166"/>
      <c r="AF68" s="166"/>
      <c r="AG68" s="3"/>
      <c r="AH68" s="139">
        <f>DATE(D54+1,11,6)</f>
        <v>44141</v>
      </c>
      <c r="AI68" s="146">
        <v>6</v>
      </c>
      <c r="AJ68" s="113"/>
      <c r="AK68" s="113"/>
      <c r="AL68" s="113"/>
      <c r="AM68" s="113"/>
      <c r="AN68" s="113"/>
      <c r="AO68" s="3"/>
      <c r="AP68" s="149">
        <f>DATE(D54+1,12,6)</f>
        <v>44171</v>
      </c>
      <c r="AQ68" s="154">
        <v>6</v>
      </c>
      <c r="AR68" s="170"/>
      <c r="AS68" s="169"/>
      <c r="AT68" s="169"/>
      <c r="AU68" s="169"/>
      <c r="AV68" s="169"/>
    </row>
    <row r="69" spans="2:48" s="194" customFormat="1" ht="12" customHeight="1">
      <c r="B69" s="149">
        <f>DATE(D54+1,7,7)</f>
        <v>44019</v>
      </c>
      <c r="C69" s="186">
        <v>7</v>
      </c>
      <c r="D69" s="168"/>
      <c r="E69" s="166"/>
      <c r="F69" s="166"/>
      <c r="G69" s="166"/>
      <c r="H69" s="166"/>
      <c r="I69" s="26"/>
      <c r="J69" s="149">
        <f>DATE(D54+1,8,7)</f>
        <v>44050</v>
      </c>
      <c r="K69" s="153">
        <v>7</v>
      </c>
      <c r="L69" s="113"/>
      <c r="M69" s="114"/>
      <c r="N69" s="114"/>
      <c r="O69" s="113"/>
      <c r="P69" s="113"/>
      <c r="Q69" s="3"/>
      <c r="R69" s="149">
        <f>DATE(D54+1,9,7)</f>
        <v>44081</v>
      </c>
      <c r="S69" s="186">
        <v>7</v>
      </c>
      <c r="T69" s="168"/>
      <c r="U69" s="166"/>
      <c r="V69" s="166"/>
      <c r="W69" s="166"/>
      <c r="X69" s="166"/>
      <c r="Y69" s="3"/>
      <c r="Z69" s="149">
        <f>DATE(D54+1,10,7)</f>
        <v>44111</v>
      </c>
      <c r="AA69" s="146">
        <v>7</v>
      </c>
      <c r="AB69" s="113"/>
      <c r="AC69" s="113"/>
      <c r="AD69" s="113"/>
      <c r="AE69" s="113"/>
      <c r="AF69" s="113"/>
      <c r="AG69" s="3"/>
      <c r="AH69" s="149">
        <f>DATE(D54+1,11,7)</f>
        <v>44142</v>
      </c>
      <c r="AI69" s="155">
        <v>7</v>
      </c>
      <c r="AJ69" s="170"/>
      <c r="AK69" s="169"/>
      <c r="AL69" s="169"/>
      <c r="AM69" s="169"/>
      <c r="AN69" s="169"/>
      <c r="AO69" s="3"/>
      <c r="AP69" s="139">
        <f>DATE(D54+1,12,7)</f>
        <v>44172</v>
      </c>
      <c r="AQ69" s="186">
        <v>7</v>
      </c>
      <c r="AR69" s="148"/>
      <c r="AS69" s="166"/>
      <c r="AT69" s="166"/>
      <c r="AU69" s="166"/>
      <c r="AV69" s="166"/>
    </row>
    <row r="70" spans="2:48" s="194" customFormat="1" ht="12" customHeight="1">
      <c r="B70" s="149">
        <f>DATE(D54+1,7,8)</f>
        <v>44020</v>
      </c>
      <c r="C70" s="153">
        <v>8</v>
      </c>
      <c r="D70" s="113"/>
      <c r="E70" s="113"/>
      <c r="F70" s="113"/>
      <c r="G70" s="113"/>
      <c r="H70" s="113"/>
      <c r="I70" s="26"/>
      <c r="J70" s="149">
        <f>DATE(D54+1,8,8)</f>
        <v>44051</v>
      </c>
      <c r="K70" s="154">
        <v>8</v>
      </c>
      <c r="L70" s="170"/>
      <c r="M70" s="171"/>
      <c r="N70" s="171"/>
      <c r="O70" s="169"/>
      <c r="P70" s="169"/>
      <c r="Q70" s="3"/>
      <c r="R70" s="149">
        <f>DATE(D54+1,9,8)</f>
        <v>44082</v>
      </c>
      <c r="S70" s="186">
        <v>8</v>
      </c>
      <c r="T70" s="168"/>
      <c r="U70" s="166"/>
      <c r="V70" s="166"/>
      <c r="W70" s="166"/>
      <c r="X70" s="166"/>
      <c r="Y70" s="3"/>
      <c r="Z70" s="149">
        <f>DATE(D54+1,10,8)</f>
        <v>44112</v>
      </c>
      <c r="AA70" s="146">
        <v>8</v>
      </c>
      <c r="AB70" s="113"/>
      <c r="AC70" s="113"/>
      <c r="AD70" s="113"/>
      <c r="AE70" s="113"/>
      <c r="AF70" s="113"/>
      <c r="AG70" s="3"/>
      <c r="AH70" s="149">
        <f>DATE(D54+1,11,8)</f>
        <v>44143</v>
      </c>
      <c r="AI70" s="155">
        <v>8</v>
      </c>
      <c r="AJ70" s="170"/>
      <c r="AK70" s="169"/>
      <c r="AL70" s="169"/>
      <c r="AM70" s="169"/>
      <c r="AN70" s="169"/>
      <c r="AO70" s="3"/>
      <c r="AP70" s="139">
        <f>DATE(D54+1,12,8)</f>
        <v>44173</v>
      </c>
      <c r="AQ70" s="186">
        <v>8</v>
      </c>
      <c r="AR70" s="148"/>
      <c r="AS70" s="166"/>
      <c r="AT70" s="166"/>
      <c r="AU70" s="166"/>
      <c r="AV70" s="166"/>
    </row>
    <row r="71" spans="2:48" s="194" customFormat="1" ht="12" customHeight="1">
      <c r="B71" s="149">
        <f>DATE(D54+1,7,9)</f>
        <v>44021</v>
      </c>
      <c r="C71" s="153">
        <v>9</v>
      </c>
      <c r="D71" s="162"/>
      <c r="E71" s="113"/>
      <c r="F71" s="113"/>
      <c r="G71" s="113"/>
      <c r="H71" s="113"/>
      <c r="I71" s="26"/>
      <c r="J71" s="149">
        <f>DATE(D54+1,8,9)</f>
        <v>44052</v>
      </c>
      <c r="K71" s="154">
        <v>9</v>
      </c>
      <c r="L71" s="170"/>
      <c r="M71" s="171"/>
      <c r="N71" s="164"/>
      <c r="O71" s="169"/>
      <c r="P71" s="169"/>
      <c r="Q71" s="3"/>
      <c r="R71" s="149">
        <f>DATE(D54+1,9,9)</f>
        <v>44083</v>
      </c>
      <c r="S71" s="153">
        <v>9</v>
      </c>
      <c r="T71" s="113"/>
      <c r="U71" s="113"/>
      <c r="V71" s="113"/>
      <c r="W71" s="113"/>
      <c r="X71" s="113"/>
      <c r="Y71" s="3"/>
      <c r="Z71" s="149">
        <f>DATE(D54+1,10,9)</f>
        <v>44113</v>
      </c>
      <c r="AA71" s="146">
        <v>9</v>
      </c>
      <c r="AB71" s="113"/>
      <c r="AC71" s="128"/>
      <c r="AD71" s="113"/>
      <c r="AE71" s="113"/>
      <c r="AF71" s="113"/>
      <c r="AG71" s="3"/>
      <c r="AH71" s="139">
        <f>DATE(D54+1,11,9)</f>
        <v>44144</v>
      </c>
      <c r="AI71" s="168">
        <v>9</v>
      </c>
      <c r="AJ71" s="168"/>
      <c r="AK71" s="166"/>
      <c r="AL71" s="166"/>
      <c r="AM71" s="166"/>
      <c r="AN71" s="166"/>
      <c r="AO71" s="3"/>
      <c r="AP71" s="139">
        <f>DATE(D54+1,12,9)</f>
        <v>44174</v>
      </c>
      <c r="AQ71" s="153">
        <v>9</v>
      </c>
      <c r="AR71" s="148"/>
      <c r="AS71" s="113"/>
      <c r="AT71" s="113"/>
      <c r="AU71" s="113"/>
      <c r="AV71" s="113"/>
    </row>
    <row r="72" spans="2:48" s="194" customFormat="1" ht="12" customHeight="1">
      <c r="B72" s="149">
        <f>DATE(D54+1,7,10)</f>
        <v>44022</v>
      </c>
      <c r="C72" s="153">
        <v>10</v>
      </c>
      <c r="D72" s="126"/>
      <c r="E72" s="113"/>
      <c r="F72" s="113"/>
      <c r="G72" s="113"/>
      <c r="H72" s="113"/>
      <c r="I72" s="26"/>
      <c r="J72" s="149">
        <f>DATE(D54+1,8,10)</f>
        <v>44053</v>
      </c>
      <c r="K72" s="186">
        <v>10</v>
      </c>
      <c r="L72" s="168"/>
      <c r="M72" s="114"/>
      <c r="N72" s="178"/>
      <c r="O72" s="166"/>
      <c r="P72" s="166"/>
      <c r="Q72" s="3"/>
      <c r="R72" s="149">
        <f>DATE(D54+1,9,10)</f>
        <v>44084</v>
      </c>
      <c r="S72" s="153">
        <v>10</v>
      </c>
      <c r="T72" s="113"/>
      <c r="U72" s="113"/>
      <c r="V72" s="113"/>
      <c r="W72" s="113"/>
      <c r="X72" s="113"/>
      <c r="Y72" s="3"/>
      <c r="Z72" s="149">
        <f>DATE(D54+1,10,10)</f>
        <v>44114</v>
      </c>
      <c r="AA72" s="155">
        <v>10</v>
      </c>
      <c r="AB72" s="170"/>
      <c r="AC72" s="163"/>
      <c r="AD72" s="169"/>
      <c r="AE72" s="169"/>
      <c r="AF72" s="169"/>
      <c r="AG72" s="3"/>
      <c r="AH72" s="139">
        <f>DATE(D54+1,11,10)</f>
        <v>44145</v>
      </c>
      <c r="AI72" s="168">
        <v>10</v>
      </c>
      <c r="AJ72" s="168"/>
      <c r="AK72" s="166"/>
      <c r="AL72" s="166"/>
      <c r="AM72" s="166"/>
      <c r="AN72" s="166"/>
      <c r="AO72" s="3"/>
      <c r="AP72" s="139">
        <f>DATE(D54+1,12,10)</f>
        <v>44175</v>
      </c>
      <c r="AQ72" s="153">
        <v>10</v>
      </c>
      <c r="AR72" s="148"/>
      <c r="AS72" s="113"/>
      <c r="AT72" s="113"/>
      <c r="AU72" s="113"/>
      <c r="AV72" s="113"/>
    </row>
    <row r="73" spans="2:48" s="194" customFormat="1" ht="12" customHeight="1">
      <c r="B73" s="149">
        <f>DATE(D54+1,7,11)</f>
        <v>44023</v>
      </c>
      <c r="C73" s="154">
        <v>11</v>
      </c>
      <c r="D73" s="170"/>
      <c r="E73" s="169"/>
      <c r="F73" s="169"/>
      <c r="G73" s="169"/>
      <c r="H73" s="169"/>
      <c r="I73" s="26"/>
      <c r="J73" s="149">
        <f>DATE(D54+1,8,11)</f>
        <v>44054</v>
      </c>
      <c r="K73" s="186">
        <v>11</v>
      </c>
      <c r="L73" s="185"/>
      <c r="M73" s="114"/>
      <c r="N73" s="167"/>
      <c r="O73" s="178"/>
      <c r="P73" s="178"/>
      <c r="Q73" s="3"/>
      <c r="R73" s="149">
        <f>DATE(D54+1,9,11)</f>
        <v>44085</v>
      </c>
      <c r="S73" s="157">
        <v>11</v>
      </c>
      <c r="T73" s="113"/>
      <c r="U73" s="113"/>
      <c r="V73" s="113"/>
      <c r="W73" s="113"/>
      <c r="X73" s="113"/>
      <c r="Y73" s="3"/>
      <c r="Z73" s="149">
        <f>DATE(D54+1,10,11)</f>
        <v>44115</v>
      </c>
      <c r="AA73" s="155">
        <v>11</v>
      </c>
      <c r="AB73" s="170"/>
      <c r="AC73" s="169"/>
      <c r="AD73" s="169"/>
      <c r="AE73" s="169"/>
      <c r="AF73" s="169"/>
      <c r="AG73" s="3"/>
      <c r="AH73" s="139">
        <f>DATE(D54+1,11,11)</f>
        <v>44146</v>
      </c>
      <c r="AI73" s="153">
        <v>11</v>
      </c>
      <c r="AJ73" s="146"/>
      <c r="AK73" s="146"/>
      <c r="AL73" s="146"/>
      <c r="AM73" s="146"/>
      <c r="AN73" s="146"/>
      <c r="AO73" s="3"/>
      <c r="AP73" s="139">
        <f>DATE(D54+1,12,11)</f>
        <v>44176</v>
      </c>
      <c r="AQ73" s="153">
        <v>11</v>
      </c>
      <c r="AR73" s="148"/>
      <c r="AS73" s="113"/>
      <c r="AT73" s="113"/>
      <c r="AU73" s="113"/>
      <c r="AV73" s="113"/>
    </row>
    <row r="74" spans="2:48" s="194" customFormat="1" ht="12" customHeight="1">
      <c r="B74" s="149">
        <f>DATE(D54+1,7,12)</f>
        <v>44024</v>
      </c>
      <c r="C74" s="154">
        <v>12</v>
      </c>
      <c r="D74" s="170"/>
      <c r="E74" s="169"/>
      <c r="F74" s="169"/>
      <c r="G74" s="169"/>
      <c r="H74" s="169"/>
      <c r="I74" s="26"/>
      <c r="J74" s="149">
        <f>DATE(D54+1,8,12)</f>
        <v>44055</v>
      </c>
      <c r="K74" s="153">
        <v>12</v>
      </c>
      <c r="L74" s="160"/>
      <c r="M74" s="114"/>
      <c r="N74" s="114"/>
      <c r="O74" s="113"/>
      <c r="P74" s="113"/>
      <c r="Q74" s="3"/>
      <c r="R74" s="149">
        <f>DATE(D54+1,9,12)</f>
        <v>44086</v>
      </c>
      <c r="S74" s="154">
        <v>12</v>
      </c>
      <c r="T74" s="170"/>
      <c r="U74" s="169"/>
      <c r="V74" s="169"/>
      <c r="W74" s="169"/>
      <c r="X74" s="169"/>
      <c r="Y74" s="3"/>
      <c r="Z74" s="149">
        <f>DATE(D54+1,10,12)</f>
        <v>44116</v>
      </c>
      <c r="AA74" s="168">
        <v>12</v>
      </c>
      <c r="AB74" s="168"/>
      <c r="AC74" s="166"/>
      <c r="AD74" s="166"/>
      <c r="AE74" s="166"/>
      <c r="AF74" s="166"/>
      <c r="AG74" s="3"/>
      <c r="AH74" s="139">
        <f>DATE(D54+1,11,12)</f>
        <v>44147</v>
      </c>
      <c r="AI74" s="146">
        <v>12</v>
      </c>
      <c r="AJ74" s="113"/>
      <c r="AK74" s="113"/>
      <c r="AL74" s="113"/>
      <c r="AM74" s="113"/>
      <c r="AN74" s="113"/>
      <c r="AO74" s="3"/>
      <c r="AP74" s="149">
        <f>DATE(D54+1,12,12)</f>
        <v>44177</v>
      </c>
      <c r="AQ74" s="154">
        <v>12</v>
      </c>
      <c r="AR74" s="171"/>
      <c r="AS74" s="169"/>
      <c r="AT74" s="169"/>
      <c r="AU74" s="169"/>
      <c r="AV74" s="169"/>
    </row>
    <row r="75" spans="2:48" s="194" customFormat="1" ht="12" customHeight="1">
      <c r="B75" s="149">
        <f>DATE(D54+1,7,13)</f>
        <v>44025</v>
      </c>
      <c r="C75" s="186">
        <v>13</v>
      </c>
      <c r="D75" s="168"/>
      <c r="E75" s="166"/>
      <c r="F75" s="166"/>
      <c r="G75" s="166"/>
      <c r="H75" s="166"/>
      <c r="I75" s="26"/>
      <c r="J75" s="149">
        <f>DATE(D54+1,8,13)</f>
        <v>44056</v>
      </c>
      <c r="K75" s="153">
        <v>13</v>
      </c>
      <c r="L75" s="160"/>
      <c r="M75" s="114"/>
      <c r="N75" s="114"/>
      <c r="O75" s="113"/>
      <c r="P75" s="128"/>
      <c r="Q75" s="3"/>
      <c r="R75" s="149">
        <f>DATE(D54+1,9,13)</f>
        <v>44087</v>
      </c>
      <c r="S75" s="154">
        <v>13</v>
      </c>
      <c r="T75" s="170"/>
      <c r="U75" s="169"/>
      <c r="V75" s="169"/>
      <c r="W75" s="169"/>
      <c r="X75" s="169"/>
      <c r="Y75" s="3"/>
      <c r="Z75" s="149">
        <f>DATE(D54+1,10,13)</f>
        <v>44117</v>
      </c>
      <c r="AA75" s="168">
        <v>13</v>
      </c>
      <c r="AB75" s="168"/>
      <c r="AC75" s="166"/>
      <c r="AD75" s="166"/>
      <c r="AE75" s="166"/>
      <c r="AF75" s="166"/>
      <c r="AG75" s="3"/>
      <c r="AH75" s="139">
        <f>DATE(D54+1,11,13)</f>
        <v>44148</v>
      </c>
      <c r="AI75" s="146">
        <v>13</v>
      </c>
      <c r="AJ75" s="113"/>
      <c r="AK75" s="113"/>
      <c r="AL75" s="113"/>
      <c r="AM75" s="113"/>
      <c r="AN75" s="113"/>
      <c r="AO75" s="3"/>
      <c r="AP75" s="149">
        <f>DATE(D54+1,12,13)</f>
        <v>44178</v>
      </c>
      <c r="AQ75" s="154">
        <v>13</v>
      </c>
      <c r="AR75" s="171"/>
      <c r="AS75" s="169"/>
      <c r="AT75" s="169"/>
      <c r="AU75" s="169"/>
      <c r="AV75" s="169"/>
    </row>
    <row r="76" spans="2:48" s="194" customFormat="1" ht="12" customHeight="1">
      <c r="B76" s="149">
        <f>DATE(D54+1,7,14)</f>
        <v>44026</v>
      </c>
      <c r="C76" s="153">
        <v>14</v>
      </c>
      <c r="D76" s="146"/>
      <c r="E76" s="146"/>
      <c r="F76" s="146"/>
      <c r="G76" s="146"/>
      <c r="H76" s="146"/>
      <c r="I76" s="26"/>
      <c r="J76" s="149">
        <f>DATE(D54+1,8,14)</f>
        <v>44057</v>
      </c>
      <c r="K76" s="153">
        <v>14</v>
      </c>
      <c r="L76" s="162"/>
      <c r="M76" s="114"/>
      <c r="N76" s="112"/>
      <c r="O76" s="113"/>
      <c r="P76" s="126"/>
      <c r="Q76" s="3"/>
      <c r="R76" s="149">
        <f>DATE(D54+1,9,14)</f>
        <v>44088</v>
      </c>
      <c r="S76" s="186">
        <v>14</v>
      </c>
      <c r="T76" s="168"/>
      <c r="U76" s="166"/>
      <c r="V76" s="166"/>
      <c r="W76" s="166"/>
      <c r="X76" s="166"/>
      <c r="Y76" s="3"/>
      <c r="Z76" s="149">
        <f>DATE(D54+1,10,14)</f>
        <v>44118</v>
      </c>
      <c r="AA76" s="146">
        <v>14</v>
      </c>
      <c r="AB76" s="113"/>
      <c r="AC76" s="113"/>
      <c r="AD76" s="113"/>
      <c r="AE76" s="113"/>
      <c r="AF76" s="113"/>
      <c r="AG76" s="3"/>
      <c r="AH76" s="149">
        <f>DATE(D54+1,11,14)</f>
        <v>44149</v>
      </c>
      <c r="AI76" s="155">
        <v>14</v>
      </c>
      <c r="AJ76" s="170"/>
      <c r="AK76" s="169"/>
      <c r="AL76" s="169"/>
      <c r="AM76" s="169"/>
      <c r="AN76" s="169"/>
      <c r="AO76" s="3"/>
      <c r="AP76" s="139">
        <f>DATE(D54+1,12,14)</f>
        <v>44179</v>
      </c>
      <c r="AQ76" s="186">
        <v>14</v>
      </c>
      <c r="AR76" s="148"/>
      <c r="AS76" s="166"/>
      <c r="AT76" s="166"/>
      <c r="AU76" s="166"/>
      <c r="AV76" s="166"/>
    </row>
    <row r="77" spans="2:48" s="194" customFormat="1" ht="12" customHeight="1">
      <c r="B77" s="149">
        <f>DATE(D54+1,7,15)</f>
        <v>44027</v>
      </c>
      <c r="C77" s="153">
        <v>15</v>
      </c>
      <c r="D77" s="113"/>
      <c r="E77" s="113"/>
      <c r="F77" s="113"/>
      <c r="G77" s="113"/>
      <c r="H77" s="113"/>
      <c r="I77" s="26"/>
      <c r="J77" s="149">
        <f>DATE(D54+1,8,15)</f>
        <v>44058</v>
      </c>
      <c r="K77" s="154">
        <v>15</v>
      </c>
      <c r="L77" s="165"/>
      <c r="M77" s="171"/>
      <c r="N77" s="163"/>
      <c r="O77" s="144"/>
      <c r="P77" s="144"/>
      <c r="Q77" s="3"/>
      <c r="R77" s="149">
        <f>DATE(D54+1,9,15)</f>
        <v>44089</v>
      </c>
      <c r="S77" s="186">
        <v>15</v>
      </c>
      <c r="T77" s="168"/>
      <c r="U77" s="166"/>
      <c r="V77" s="166"/>
      <c r="W77" s="166"/>
      <c r="X77" s="166"/>
      <c r="Y77" s="3"/>
      <c r="Z77" s="149">
        <f>DATE(D54+1,10,15)</f>
        <v>44119</v>
      </c>
      <c r="AA77" s="146">
        <v>15</v>
      </c>
      <c r="AB77" s="113"/>
      <c r="AC77" s="113"/>
      <c r="AD77" s="113"/>
      <c r="AE77" s="113"/>
      <c r="AF77" s="113"/>
      <c r="AG77" s="3"/>
      <c r="AH77" s="149">
        <f>DATE(D54+1,11,15)</f>
        <v>44150</v>
      </c>
      <c r="AI77" s="155">
        <v>15</v>
      </c>
      <c r="AJ77" s="170"/>
      <c r="AK77" s="169"/>
      <c r="AL77" s="169"/>
      <c r="AM77" s="169"/>
      <c r="AN77" s="169"/>
      <c r="AO77" s="3"/>
      <c r="AP77" s="139">
        <f>DATE(D54+1,12,15)</f>
        <v>44180</v>
      </c>
      <c r="AQ77" s="186">
        <v>15</v>
      </c>
      <c r="AR77" s="152"/>
      <c r="AS77" s="166"/>
      <c r="AT77" s="166"/>
      <c r="AU77" s="166"/>
      <c r="AV77" s="166"/>
    </row>
    <row r="78" spans="2:48" s="194" customFormat="1" ht="12" customHeight="1">
      <c r="B78" s="149">
        <f>DATE(D54+1,7,16)</f>
        <v>44028</v>
      </c>
      <c r="C78" s="153">
        <v>16</v>
      </c>
      <c r="D78" s="113"/>
      <c r="E78" s="113"/>
      <c r="F78" s="113"/>
      <c r="G78" s="113"/>
      <c r="H78" s="113"/>
      <c r="I78" s="26"/>
      <c r="J78" s="149">
        <f>DATE(D54+1,8,16)</f>
        <v>44059</v>
      </c>
      <c r="K78" s="154">
        <v>16</v>
      </c>
      <c r="L78" s="179"/>
      <c r="M78" s="171"/>
      <c r="N78" s="164"/>
      <c r="O78" s="169"/>
      <c r="P78" s="169"/>
      <c r="Q78" s="3"/>
      <c r="R78" s="149">
        <f>DATE(D54+1,9,16)</f>
        <v>44090</v>
      </c>
      <c r="S78" s="153">
        <v>16</v>
      </c>
      <c r="T78" s="113"/>
      <c r="U78" s="113"/>
      <c r="V78" s="113"/>
      <c r="W78" s="113"/>
      <c r="X78" s="113"/>
      <c r="Y78" s="3"/>
      <c r="Z78" s="149">
        <f>DATE(D54+1,10,16)</f>
        <v>44120</v>
      </c>
      <c r="AA78" s="146">
        <v>16</v>
      </c>
      <c r="AB78" s="113"/>
      <c r="AC78" s="113"/>
      <c r="AD78" s="113"/>
      <c r="AE78" s="113"/>
      <c r="AF78" s="113"/>
      <c r="AG78" s="3"/>
      <c r="AH78" s="139">
        <f>DATE(D54+1,11,16)</f>
        <v>44151</v>
      </c>
      <c r="AI78" s="168">
        <v>16</v>
      </c>
      <c r="AJ78" s="168"/>
      <c r="AK78" s="166"/>
      <c r="AL78" s="166"/>
      <c r="AM78" s="166"/>
      <c r="AN78" s="166"/>
      <c r="AO78" s="3"/>
      <c r="AP78" s="139">
        <f>DATE(D54+1,12,16)</f>
        <v>44181</v>
      </c>
      <c r="AQ78" s="153">
        <v>16</v>
      </c>
      <c r="AR78" s="126"/>
      <c r="AS78" s="113"/>
      <c r="AT78" s="113"/>
      <c r="AU78" s="113"/>
      <c r="AV78" s="113"/>
    </row>
    <row r="79" spans="2:48" s="194" customFormat="1" ht="12" customHeight="1">
      <c r="B79" s="149">
        <f>DATE(D54+1,7,17)</f>
        <v>44029</v>
      </c>
      <c r="C79" s="153">
        <v>17</v>
      </c>
      <c r="D79" s="113"/>
      <c r="E79" s="113"/>
      <c r="F79" s="113"/>
      <c r="G79" s="113"/>
      <c r="H79" s="113"/>
      <c r="I79" s="26"/>
      <c r="J79" s="149">
        <f>DATE(D54+1,8,17)</f>
        <v>44060</v>
      </c>
      <c r="K79" s="186">
        <v>17</v>
      </c>
      <c r="L79" s="183"/>
      <c r="M79" s="114"/>
      <c r="N79" s="178"/>
      <c r="O79" s="166"/>
      <c r="P79" s="166"/>
      <c r="Q79" s="3"/>
      <c r="R79" s="149">
        <f>DATE(D54+1,9,17)</f>
        <v>44091</v>
      </c>
      <c r="S79" s="153">
        <v>17</v>
      </c>
      <c r="T79" s="113"/>
      <c r="U79" s="113"/>
      <c r="V79" s="113"/>
      <c r="W79" s="113"/>
      <c r="X79" s="113"/>
      <c r="Y79" s="3"/>
      <c r="Z79" s="149">
        <f>DATE(D54+1,10,17)</f>
        <v>44121</v>
      </c>
      <c r="AA79" s="155">
        <v>17</v>
      </c>
      <c r="AB79" s="170"/>
      <c r="AC79" s="169"/>
      <c r="AD79" s="169"/>
      <c r="AE79" s="169"/>
      <c r="AF79" s="169"/>
      <c r="AG79" s="3"/>
      <c r="AH79" s="139">
        <f>DATE(D54+1,11,17)</f>
        <v>44152</v>
      </c>
      <c r="AI79" s="168">
        <v>17</v>
      </c>
      <c r="AJ79" s="168"/>
      <c r="AK79" s="166"/>
      <c r="AL79" s="166"/>
      <c r="AM79" s="166"/>
      <c r="AN79" s="166"/>
      <c r="AO79" s="3"/>
      <c r="AP79" s="139">
        <f>DATE(D54+1,12,17)</f>
        <v>44182</v>
      </c>
      <c r="AQ79" s="153">
        <v>17</v>
      </c>
      <c r="AR79" s="113"/>
      <c r="AS79" s="113"/>
      <c r="AT79" s="113"/>
      <c r="AU79" s="113"/>
      <c r="AV79" s="113"/>
    </row>
    <row r="80" spans="2:48" s="194" customFormat="1" ht="12" customHeight="1">
      <c r="B80" s="149">
        <f>DATE(D54+1,7,18)</f>
        <v>44030</v>
      </c>
      <c r="C80" s="154">
        <v>18</v>
      </c>
      <c r="D80" s="170"/>
      <c r="E80" s="169"/>
      <c r="F80" s="169"/>
      <c r="G80" s="169"/>
      <c r="H80" s="169"/>
      <c r="I80" s="26"/>
      <c r="J80" s="149">
        <f>DATE(D54+1,8,18)</f>
        <v>44061</v>
      </c>
      <c r="K80" s="186">
        <v>18</v>
      </c>
      <c r="L80" s="168"/>
      <c r="M80" s="112"/>
      <c r="N80" s="166"/>
      <c r="O80" s="166"/>
      <c r="P80" s="166"/>
      <c r="Q80" s="3"/>
      <c r="R80" s="149">
        <f>DATE(D54+1,9,18)</f>
        <v>44092</v>
      </c>
      <c r="S80" s="153">
        <v>18</v>
      </c>
      <c r="T80" s="113"/>
      <c r="U80" s="113"/>
      <c r="V80" s="113"/>
      <c r="W80" s="113"/>
      <c r="X80" s="113"/>
      <c r="Y80" s="3"/>
      <c r="Z80" s="149">
        <f>DATE(D54+1,10,18)</f>
        <v>44122</v>
      </c>
      <c r="AA80" s="155">
        <v>18</v>
      </c>
      <c r="AB80" s="170"/>
      <c r="AC80" s="169"/>
      <c r="AD80" s="169"/>
      <c r="AE80" s="169"/>
      <c r="AF80" s="169"/>
      <c r="AG80" s="3"/>
      <c r="AH80" s="139">
        <f>DATE(D54+1,11,18)</f>
        <v>44153</v>
      </c>
      <c r="AI80" s="146">
        <v>18</v>
      </c>
      <c r="AJ80" s="113"/>
      <c r="AK80" s="113"/>
      <c r="AL80" s="113"/>
      <c r="AM80" s="113"/>
      <c r="AN80" s="113"/>
      <c r="AO80" s="3"/>
      <c r="AP80" s="139">
        <f>DATE(D54+1,12,18)</f>
        <v>44183</v>
      </c>
      <c r="AQ80" s="153">
        <v>18</v>
      </c>
      <c r="AR80" s="113"/>
      <c r="AS80" s="113"/>
      <c r="AT80" s="113"/>
      <c r="AU80" s="113"/>
      <c r="AV80" s="113"/>
    </row>
    <row r="81" spans="2:48" s="194" customFormat="1" ht="12" customHeight="1">
      <c r="B81" s="149">
        <f>DATE(D54+1,7,19)</f>
        <v>44031</v>
      </c>
      <c r="C81" s="154">
        <v>19</v>
      </c>
      <c r="D81" s="170"/>
      <c r="E81" s="169"/>
      <c r="F81" s="169"/>
      <c r="G81" s="169"/>
      <c r="H81" s="169"/>
      <c r="I81" s="26"/>
      <c r="J81" s="149">
        <f>DATE(D54+1,8,19)</f>
        <v>44062</v>
      </c>
      <c r="K81" s="153">
        <v>19</v>
      </c>
      <c r="L81" s="113"/>
      <c r="M81" s="126"/>
      <c r="N81" s="113"/>
      <c r="O81" s="113"/>
      <c r="P81" s="113"/>
      <c r="Q81" s="3"/>
      <c r="R81" s="149">
        <f>DATE(D54+1,9,19)</f>
        <v>44093</v>
      </c>
      <c r="S81" s="154">
        <v>19</v>
      </c>
      <c r="T81" s="170"/>
      <c r="U81" s="169"/>
      <c r="V81" s="169"/>
      <c r="W81" s="169"/>
      <c r="X81" s="169"/>
      <c r="Y81" s="3"/>
      <c r="Z81" s="149">
        <f>DATE(D54+1,10,19)</f>
        <v>44123</v>
      </c>
      <c r="AA81" s="168">
        <v>19</v>
      </c>
      <c r="AB81" s="174"/>
      <c r="AC81" s="166"/>
      <c r="AD81" s="166"/>
      <c r="AE81" s="166"/>
      <c r="AF81" s="166"/>
      <c r="AG81" s="3"/>
      <c r="AH81" s="139">
        <f>DATE(D54+1,11,19)</f>
        <v>44154</v>
      </c>
      <c r="AI81" s="146">
        <v>19</v>
      </c>
      <c r="AJ81" s="113"/>
      <c r="AK81" s="113"/>
      <c r="AL81" s="112"/>
      <c r="AM81" s="113"/>
      <c r="AN81" s="113"/>
      <c r="AO81" s="3"/>
      <c r="AP81" s="149">
        <f>DATE(D54+1,12,19)</f>
        <v>44184</v>
      </c>
      <c r="AQ81" s="154">
        <v>19</v>
      </c>
      <c r="AR81" s="170"/>
      <c r="AS81" s="169"/>
      <c r="AT81" s="169"/>
      <c r="AU81" s="169"/>
      <c r="AV81" s="169"/>
    </row>
    <row r="82" spans="2:48" s="194" customFormat="1" ht="12" customHeight="1">
      <c r="B82" s="149">
        <f>DATE(D54+1,7,20)</f>
        <v>44032</v>
      </c>
      <c r="C82" s="186">
        <v>20</v>
      </c>
      <c r="D82" s="168"/>
      <c r="E82" s="166"/>
      <c r="F82" s="166"/>
      <c r="G82" s="166"/>
      <c r="H82" s="166"/>
      <c r="I82" s="26"/>
      <c r="J82" s="149">
        <f>DATE(D54+1,8,20)</f>
        <v>44063</v>
      </c>
      <c r="K82" s="153">
        <v>20</v>
      </c>
      <c r="L82" s="113"/>
      <c r="M82" s="118"/>
      <c r="N82" s="113"/>
      <c r="O82" s="113"/>
      <c r="P82" s="113"/>
      <c r="Q82" s="3"/>
      <c r="R82" s="149">
        <f>DATE(D54+1,9,20)</f>
        <v>44094</v>
      </c>
      <c r="S82" s="154">
        <v>20</v>
      </c>
      <c r="T82" s="170"/>
      <c r="U82" s="169"/>
      <c r="V82" s="169"/>
      <c r="W82" s="169"/>
      <c r="X82" s="169"/>
      <c r="Y82" s="3"/>
      <c r="Z82" s="149">
        <f>DATE(D54+1,10,20)</f>
        <v>44124</v>
      </c>
      <c r="AA82" s="168">
        <v>20</v>
      </c>
      <c r="AB82" s="174"/>
      <c r="AC82" s="166"/>
      <c r="AD82" s="166"/>
      <c r="AE82" s="166"/>
      <c r="AF82" s="166"/>
      <c r="AG82" s="3"/>
      <c r="AH82" s="139">
        <f>DATE(D54+1,11,20)</f>
        <v>44155</v>
      </c>
      <c r="AI82" s="146">
        <v>20</v>
      </c>
      <c r="AJ82" s="113"/>
      <c r="AK82" s="113"/>
      <c r="AL82" s="126"/>
      <c r="AM82" s="113"/>
      <c r="AN82" s="113"/>
      <c r="AO82" s="3"/>
      <c r="AP82" s="149">
        <f>DATE(D54+1,12,20)</f>
        <v>44185</v>
      </c>
      <c r="AQ82" s="154">
        <v>20</v>
      </c>
      <c r="AR82" s="170"/>
      <c r="AS82" s="169"/>
      <c r="AT82" s="169"/>
      <c r="AU82" s="169"/>
      <c r="AV82" s="169"/>
    </row>
    <row r="83" spans="2:48" s="194" customFormat="1" ht="12" customHeight="1">
      <c r="B83" s="149">
        <f>DATE(D54+1,7,21)</f>
        <v>44033</v>
      </c>
      <c r="C83" s="186">
        <v>21</v>
      </c>
      <c r="D83" s="168"/>
      <c r="E83" s="166"/>
      <c r="F83" s="166"/>
      <c r="G83" s="166"/>
      <c r="H83" s="166"/>
      <c r="I83" s="26"/>
      <c r="J83" s="149">
        <f>DATE(D54+1,8,21)</f>
        <v>44064</v>
      </c>
      <c r="K83" s="153">
        <v>21</v>
      </c>
      <c r="L83" s="113"/>
      <c r="M83" s="128"/>
      <c r="N83" s="114"/>
      <c r="O83" s="113"/>
      <c r="P83" s="113"/>
      <c r="Q83" s="3"/>
      <c r="R83" s="149">
        <f>DATE(D54+1,9,21)</f>
        <v>44095</v>
      </c>
      <c r="S83" s="186">
        <v>21</v>
      </c>
      <c r="T83" s="168"/>
      <c r="U83" s="166"/>
      <c r="V83" s="166"/>
      <c r="W83" s="166"/>
      <c r="X83" s="166"/>
      <c r="Y83" s="3"/>
      <c r="Z83" s="149">
        <f>DATE(D54+1,10,21)</f>
        <v>44125</v>
      </c>
      <c r="AA83" s="146">
        <v>21</v>
      </c>
      <c r="AB83" s="174"/>
      <c r="AC83" s="113"/>
      <c r="AD83" s="113"/>
      <c r="AE83" s="113"/>
      <c r="AF83" s="113"/>
      <c r="AG83" s="3"/>
      <c r="AH83" s="149">
        <f>DATE(D54+1,11,21)</f>
        <v>44156</v>
      </c>
      <c r="AI83" s="155">
        <v>21</v>
      </c>
      <c r="AJ83" s="170"/>
      <c r="AK83" s="169"/>
      <c r="AL83" s="169"/>
      <c r="AM83" s="169"/>
      <c r="AN83" s="169"/>
      <c r="AO83" s="3"/>
      <c r="AP83" s="139">
        <f>DATE(D54+1,12,21)</f>
        <v>44186</v>
      </c>
      <c r="AQ83" s="186">
        <v>21</v>
      </c>
      <c r="AR83" s="168"/>
      <c r="AS83" s="114"/>
      <c r="AT83" s="166"/>
      <c r="AU83" s="166"/>
      <c r="AV83" s="166"/>
    </row>
    <row r="84" spans="2:48" s="194" customFormat="1" ht="12" customHeight="1">
      <c r="B84" s="149">
        <f>DATE(D54+1,7,22)</f>
        <v>44034</v>
      </c>
      <c r="C84" s="153">
        <v>22</v>
      </c>
      <c r="D84" s="113"/>
      <c r="E84" s="113"/>
      <c r="F84" s="113"/>
      <c r="G84" s="113"/>
      <c r="H84" s="113"/>
      <c r="I84" s="26"/>
      <c r="J84" s="149">
        <f>DATE(D54+1,8,22)</f>
        <v>44065</v>
      </c>
      <c r="K84" s="154">
        <v>22</v>
      </c>
      <c r="L84" s="170"/>
      <c r="M84" s="163"/>
      <c r="N84" s="169"/>
      <c r="O84" s="169"/>
      <c r="P84" s="169"/>
      <c r="Q84" s="3"/>
      <c r="R84" s="149">
        <f>DATE(D54+1,9,22)</f>
        <v>44096</v>
      </c>
      <c r="S84" s="186">
        <v>22</v>
      </c>
      <c r="T84" s="168"/>
      <c r="U84" s="166"/>
      <c r="V84" s="166"/>
      <c r="W84" s="166"/>
      <c r="X84" s="166"/>
      <c r="Y84" s="3"/>
      <c r="Z84" s="149">
        <f>DATE(D54+1,10,22)</f>
        <v>44126</v>
      </c>
      <c r="AA84" s="146">
        <v>22</v>
      </c>
      <c r="AB84" s="174"/>
      <c r="AC84" s="113"/>
      <c r="AD84" s="113"/>
      <c r="AE84" s="113"/>
      <c r="AF84" s="113"/>
      <c r="AG84" s="3"/>
      <c r="AH84" s="149">
        <f>DATE(D54+1,11,22)</f>
        <v>44157</v>
      </c>
      <c r="AI84" s="155">
        <v>22</v>
      </c>
      <c r="AJ84" s="170"/>
      <c r="AK84" s="169"/>
      <c r="AL84" s="169"/>
      <c r="AM84" s="169"/>
      <c r="AN84" s="169"/>
      <c r="AO84" s="3"/>
      <c r="AP84" s="139">
        <f>DATE(D54+1,12,22)</f>
        <v>44187</v>
      </c>
      <c r="AQ84" s="186">
        <v>22</v>
      </c>
      <c r="AR84" s="185"/>
      <c r="AS84" s="114"/>
      <c r="AT84" s="167"/>
      <c r="AU84" s="166"/>
      <c r="AV84" s="166"/>
    </row>
    <row r="85" spans="2:48" s="194" customFormat="1" ht="12" customHeight="1">
      <c r="B85" s="149">
        <f>DATE(D54+1,7,23)</f>
        <v>44035</v>
      </c>
      <c r="C85" s="153">
        <v>23</v>
      </c>
      <c r="D85" s="113"/>
      <c r="E85" s="113"/>
      <c r="F85" s="113"/>
      <c r="G85" s="113"/>
      <c r="H85" s="113"/>
      <c r="I85" s="26"/>
      <c r="J85" s="149">
        <f>DATE(D54+1,8,23)</f>
        <v>44066</v>
      </c>
      <c r="K85" s="154">
        <v>23</v>
      </c>
      <c r="L85" s="170"/>
      <c r="M85" s="169"/>
      <c r="N85" s="169"/>
      <c r="O85" s="169"/>
      <c r="P85" s="169"/>
      <c r="Q85" s="3"/>
      <c r="R85" s="149">
        <f>DATE(D54+1,9,23)</f>
        <v>44097</v>
      </c>
      <c r="S85" s="153">
        <v>23</v>
      </c>
      <c r="T85" s="113"/>
      <c r="U85" s="113"/>
      <c r="V85" s="113"/>
      <c r="W85" s="113"/>
      <c r="X85" s="113"/>
      <c r="Y85" s="3"/>
      <c r="Z85" s="149">
        <f>DATE(D54+1,10,23)</f>
        <v>44127</v>
      </c>
      <c r="AA85" s="146">
        <v>23</v>
      </c>
      <c r="AB85" s="174"/>
      <c r="AC85" s="113"/>
      <c r="AD85" s="113"/>
      <c r="AE85" s="113"/>
      <c r="AF85" s="113"/>
      <c r="AG85" s="3"/>
      <c r="AH85" s="139">
        <f>DATE(D54+1,11,23)</f>
        <v>44158</v>
      </c>
      <c r="AI85" s="168">
        <v>23</v>
      </c>
      <c r="AJ85" s="168"/>
      <c r="AK85" s="166"/>
      <c r="AL85" s="166"/>
      <c r="AM85" s="166"/>
      <c r="AN85" s="166"/>
      <c r="AO85" s="3"/>
      <c r="AP85" s="139">
        <f>DATE(D54+1,12,23)</f>
        <v>44188</v>
      </c>
      <c r="AQ85" s="153">
        <v>23</v>
      </c>
      <c r="AR85" s="160"/>
      <c r="AS85" s="114"/>
      <c r="AT85" s="118"/>
      <c r="AU85" s="113"/>
      <c r="AV85" s="113"/>
    </row>
    <row r="86" spans="2:48" s="194" customFormat="1" ht="12" customHeight="1">
      <c r="B86" s="149">
        <f>DATE(D54+1,7,24)</f>
        <v>44036</v>
      </c>
      <c r="C86" s="153">
        <v>24</v>
      </c>
      <c r="D86" s="113"/>
      <c r="E86" s="113"/>
      <c r="F86" s="113"/>
      <c r="G86" s="113"/>
      <c r="H86" s="113"/>
      <c r="I86" s="26"/>
      <c r="J86" s="149">
        <f>DATE(D54+1,8,24)</f>
        <v>44067</v>
      </c>
      <c r="K86" s="186">
        <v>24</v>
      </c>
      <c r="L86" s="168"/>
      <c r="M86" s="166"/>
      <c r="N86" s="166"/>
      <c r="O86" s="166"/>
      <c r="P86" s="166"/>
      <c r="Q86" s="3"/>
      <c r="R86" s="149">
        <f>DATE(D54+1,9,24)</f>
        <v>44098</v>
      </c>
      <c r="S86" s="153">
        <v>24</v>
      </c>
      <c r="T86" s="113"/>
      <c r="U86" s="113"/>
      <c r="V86" s="113"/>
      <c r="W86" s="113"/>
      <c r="X86" s="113"/>
      <c r="Y86" s="3"/>
      <c r="Z86" s="149">
        <f>DATE(D54+1,10,24)</f>
        <v>44128</v>
      </c>
      <c r="AA86" s="155">
        <v>24</v>
      </c>
      <c r="AB86" s="172"/>
      <c r="AC86" s="169"/>
      <c r="AD86" s="169"/>
      <c r="AE86" s="169"/>
      <c r="AF86" s="169"/>
      <c r="AG86" s="3"/>
      <c r="AH86" s="139">
        <f>DATE(D54+1,11,24)</f>
        <v>44159</v>
      </c>
      <c r="AI86" s="168">
        <v>24</v>
      </c>
      <c r="AJ86" s="168"/>
      <c r="AK86" s="166"/>
      <c r="AL86" s="166"/>
      <c r="AM86" s="166"/>
      <c r="AN86" s="166"/>
      <c r="AO86" s="3"/>
      <c r="AP86" s="139">
        <f>DATE(D54+1,12,24)</f>
        <v>44189</v>
      </c>
      <c r="AQ86" s="153">
        <v>24</v>
      </c>
      <c r="AR86" s="162"/>
      <c r="AS86" s="114"/>
      <c r="AT86" s="161"/>
      <c r="AU86" s="113"/>
      <c r="AV86" s="113"/>
    </row>
    <row r="87" spans="2:48" s="194" customFormat="1" ht="12" customHeight="1">
      <c r="B87" s="149">
        <f>DATE(D54+1,7,25)</f>
        <v>44037</v>
      </c>
      <c r="C87" s="154">
        <v>25</v>
      </c>
      <c r="D87" s="170"/>
      <c r="E87" s="169"/>
      <c r="F87" s="169"/>
      <c r="G87" s="169"/>
      <c r="H87" s="169"/>
      <c r="I87" s="26"/>
      <c r="J87" s="149">
        <f>DATE(D54+1,8,25)</f>
        <v>44068</v>
      </c>
      <c r="K87" s="186">
        <v>25</v>
      </c>
      <c r="L87" s="168"/>
      <c r="M87" s="166"/>
      <c r="N87" s="166"/>
      <c r="O87" s="166"/>
      <c r="P87" s="166"/>
      <c r="Q87" s="3"/>
      <c r="R87" s="149">
        <f>DATE(D54+1,9,25)</f>
        <v>44099</v>
      </c>
      <c r="S87" s="153">
        <v>25</v>
      </c>
      <c r="T87" s="113"/>
      <c r="U87" s="113"/>
      <c r="V87" s="113"/>
      <c r="W87" s="113"/>
      <c r="X87" s="113"/>
      <c r="Y87" s="3"/>
      <c r="Z87" s="149">
        <f>DATE(D54+1,10,25)</f>
        <v>44129</v>
      </c>
      <c r="AA87" s="155">
        <v>25</v>
      </c>
      <c r="AB87" s="172"/>
      <c r="AC87" s="169"/>
      <c r="AD87" s="169"/>
      <c r="AE87" s="169"/>
      <c r="AF87" s="169"/>
      <c r="AG87" s="3"/>
      <c r="AH87" s="139">
        <f>DATE(D54+1,11,25)</f>
        <v>44160</v>
      </c>
      <c r="AI87" s="158">
        <v>25</v>
      </c>
      <c r="AJ87" s="113"/>
      <c r="AK87" s="113"/>
      <c r="AL87" s="113"/>
      <c r="AM87" s="113"/>
      <c r="AN87" s="113"/>
      <c r="AO87" s="3"/>
      <c r="AP87" s="139">
        <f>DATE(D54+1,12,25)</f>
        <v>44190</v>
      </c>
      <c r="AQ87" s="153">
        <v>25</v>
      </c>
      <c r="AR87" s="126"/>
      <c r="AS87" s="173"/>
      <c r="AT87" s="126"/>
      <c r="AU87" s="146"/>
      <c r="AV87" s="146"/>
    </row>
    <row r="88" spans="2:48" s="194" customFormat="1" ht="12" customHeight="1">
      <c r="B88" s="149">
        <f>DATE(D54+1,7,26)</f>
        <v>44038</v>
      </c>
      <c r="C88" s="154">
        <v>26</v>
      </c>
      <c r="D88" s="170"/>
      <c r="E88" s="169"/>
      <c r="F88" s="169"/>
      <c r="G88" s="169"/>
      <c r="H88" s="169"/>
      <c r="I88" s="26"/>
      <c r="J88" s="149">
        <f>DATE(D54+1,8,26)</f>
        <v>44069</v>
      </c>
      <c r="K88" s="156">
        <v>26</v>
      </c>
      <c r="L88" s="113"/>
      <c r="M88" s="113"/>
      <c r="N88" s="113"/>
      <c r="O88" s="113"/>
      <c r="P88" s="113"/>
      <c r="Q88" s="3"/>
      <c r="R88" s="149">
        <f>DATE(D54+1,9,26)</f>
        <v>44100</v>
      </c>
      <c r="S88" s="189">
        <v>26</v>
      </c>
      <c r="T88" s="170"/>
      <c r="U88" s="169"/>
      <c r="V88" s="169"/>
      <c r="W88" s="169"/>
      <c r="X88" s="169"/>
      <c r="Y88" s="3"/>
      <c r="Z88" s="149">
        <f>DATE(D54+1,10,26)</f>
        <v>44130</v>
      </c>
      <c r="AA88" s="190">
        <v>26</v>
      </c>
      <c r="AB88" s="148"/>
      <c r="AC88" s="166"/>
      <c r="AD88" s="166"/>
      <c r="AE88" s="166"/>
      <c r="AF88" s="166"/>
      <c r="AG88" s="3"/>
      <c r="AH88" s="139">
        <f>DATE(D54+1,11,26)</f>
        <v>44161</v>
      </c>
      <c r="AI88" s="158">
        <v>26</v>
      </c>
      <c r="AJ88" s="113"/>
      <c r="AK88" s="113"/>
      <c r="AL88" s="113"/>
      <c r="AM88" s="113"/>
      <c r="AN88" s="113"/>
      <c r="AO88" s="3"/>
      <c r="AP88" s="149">
        <f>DATE(D54+1,12,26)</f>
        <v>44191</v>
      </c>
      <c r="AQ88" s="192">
        <v>26</v>
      </c>
      <c r="AR88" s="191"/>
      <c r="AS88" s="172"/>
      <c r="AT88" s="171"/>
      <c r="AU88" s="169"/>
      <c r="AV88" s="169"/>
    </row>
    <row r="89" spans="2:48" s="194" customFormat="1" ht="12" customHeight="1">
      <c r="B89" s="149">
        <f>DATE(D54+1,7,27)</f>
        <v>44039</v>
      </c>
      <c r="C89" s="186">
        <v>27</v>
      </c>
      <c r="D89" s="168"/>
      <c r="E89" s="166"/>
      <c r="F89" s="166"/>
      <c r="G89" s="166"/>
      <c r="H89" s="166"/>
      <c r="I89" s="26"/>
      <c r="J89" s="149">
        <f>DATE(D54+1,8,27)</f>
        <v>44070</v>
      </c>
      <c r="K89" s="156">
        <v>27</v>
      </c>
      <c r="L89" s="113"/>
      <c r="M89" s="113"/>
      <c r="N89" s="113"/>
      <c r="O89" s="113"/>
      <c r="P89" s="113"/>
      <c r="Q89" s="3"/>
      <c r="R89" s="149">
        <f>DATE(D54+1,9,27)</f>
        <v>44101</v>
      </c>
      <c r="S89" s="154">
        <v>27</v>
      </c>
      <c r="T89" s="170"/>
      <c r="U89" s="169"/>
      <c r="V89" s="169"/>
      <c r="W89" s="169"/>
      <c r="X89" s="169"/>
      <c r="Y89" s="3"/>
      <c r="Z89" s="149">
        <f>DATE(D54+1,10,27)</f>
        <v>44131</v>
      </c>
      <c r="AA89" s="190">
        <v>27</v>
      </c>
      <c r="AB89" s="148"/>
      <c r="AC89" s="167"/>
      <c r="AD89" s="166"/>
      <c r="AE89" s="166"/>
      <c r="AF89" s="166"/>
      <c r="AG89" s="3"/>
      <c r="AH89" s="139">
        <f>DATE(D54+1,11,27)</f>
        <v>44162</v>
      </c>
      <c r="AI89" s="146">
        <v>27</v>
      </c>
      <c r="AJ89" s="113"/>
      <c r="AK89" s="113"/>
      <c r="AL89" s="113"/>
      <c r="AM89" s="113"/>
      <c r="AN89" s="113"/>
      <c r="AO89" s="3"/>
      <c r="AP89" s="149">
        <f>DATE(D54+1,12,27)</f>
        <v>44192</v>
      </c>
      <c r="AQ89" s="154">
        <v>27</v>
      </c>
      <c r="AR89" s="179"/>
      <c r="AS89" s="172"/>
      <c r="AT89" s="164"/>
      <c r="AU89" s="169"/>
      <c r="AV89" s="169"/>
    </row>
    <row r="90" spans="2:48" s="194" customFormat="1" ht="12" customHeight="1">
      <c r="B90" s="149">
        <f>DATE(D54+1,7,28)</f>
        <v>44040</v>
      </c>
      <c r="C90" s="186">
        <v>28</v>
      </c>
      <c r="D90" s="168"/>
      <c r="E90" s="166"/>
      <c r="F90" s="166"/>
      <c r="G90" s="166"/>
      <c r="H90" s="166"/>
      <c r="I90" s="26"/>
      <c r="J90" s="149">
        <f>DATE(D54+1,8,28)</f>
        <v>44071</v>
      </c>
      <c r="K90" s="153">
        <v>28</v>
      </c>
      <c r="L90" s="113"/>
      <c r="M90" s="113"/>
      <c r="N90" s="113"/>
      <c r="O90" s="113"/>
      <c r="P90" s="113"/>
      <c r="Q90" s="3"/>
      <c r="R90" s="149">
        <f>DATE(D54+1,9,28)</f>
        <v>44102</v>
      </c>
      <c r="S90" s="186">
        <v>28</v>
      </c>
      <c r="T90" s="168"/>
      <c r="U90" s="166"/>
      <c r="V90" s="166"/>
      <c r="W90" s="166"/>
      <c r="X90" s="166"/>
      <c r="Y90" s="3"/>
      <c r="Z90" s="149">
        <f>DATE(D54+1,10,28)</f>
        <v>44132</v>
      </c>
      <c r="AA90" s="146">
        <v>28</v>
      </c>
      <c r="AB90" s="148"/>
      <c r="AC90" s="118"/>
      <c r="AD90" s="113"/>
      <c r="AE90" s="113"/>
      <c r="AF90" s="113"/>
      <c r="AG90" s="3"/>
      <c r="AH90" s="149">
        <f>DATE(D54+1,11,28)</f>
        <v>44163</v>
      </c>
      <c r="AI90" s="155">
        <v>28</v>
      </c>
      <c r="AJ90" s="170"/>
      <c r="AK90" s="169"/>
      <c r="AL90" s="169"/>
      <c r="AM90" s="169"/>
      <c r="AN90" s="169"/>
      <c r="AO90" s="3"/>
      <c r="AP90" s="139">
        <f>DATE(D54+1,12,28)</f>
        <v>44193</v>
      </c>
      <c r="AQ90" s="186">
        <v>28</v>
      </c>
      <c r="AR90" s="183"/>
      <c r="AS90" s="173"/>
      <c r="AT90" s="178"/>
      <c r="AU90" s="166"/>
      <c r="AV90" s="166"/>
    </row>
    <row r="91" spans="2:48" s="194" customFormat="1" ht="12" customHeight="1">
      <c r="B91" s="149">
        <f>DATE(D54+1,7,29)</f>
        <v>44041</v>
      </c>
      <c r="C91" s="156">
        <v>29</v>
      </c>
      <c r="D91" s="113"/>
      <c r="E91" s="113"/>
      <c r="F91" s="113"/>
      <c r="G91" s="113"/>
      <c r="H91" s="113"/>
      <c r="I91" s="26"/>
      <c r="J91" s="149">
        <f>DATE(D54+1,8,29)</f>
        <v>44072</v>
      </c>
      <c r="K91" s="154">
        <v>29</v>
      </c>
      <c r="L91" s="170"/>
      <c r="M91" s="169"/>
      <c r="N91" s="169"/>
      <c r="O91" s="169"/>
      <c r="P91" s="169"/>
      <c r="Q91" s="3"/>
      <c r="R91" s="149">
        <f>DATE(D54+1,9,29)</f>
        <v>44103</v>
      </c>
      <c r="S91" s="186">
        <v>29</v>
      </c>
      <c r="T91" s="168"/>
      <c r="U91" s="166"/>
      <c r="V91" s="166"/>
      <c r="W91" s="166"/>
      <c r="X91" s="166"/>
      <c r="Y91" s="3"/>
      <c r="Z91" s="149">
        <f>DATE(D54+1,10,29)</f>
        <v>44133</v>
      </c>
      <c r="AA91" s="146">
        <v>29</v>
      </c>
      <c r="AB91" s="148"/>
      <c r="AC91" s="118"/>
      <c r="AD91" s="113"/>
      <c r="AE91" s="113"/>
      <c r="AF91" s="113"/>
      <c r="AG91" s="3"/>
      <c r="AH91" s="149">
        <f>DATE(D54+1,11,29)</f>
        <v>44164</v>
      </c>
      <c r="AI91" s="155">
        <v>29</v>
      </c>
      <c r="AJ91" s="170"/>
      <c r="AK91" s="169"/>
      <c r="AL91" s="169"/>
      <c r="AM91" s="169"/>
      <c r="AN91" s="169"/>
      <c r="AO91" s="3"/>
      <c r="AP91" s="139">
        <f>DATE(D54+1,12,29)</f>
        <v>44194</v>
      </c>
      <c r="AQ91" s="186">
        <v>29</v>
      </c>
      <c r="AR91" s="185"/>
      <c r="AS91" s="173"/>
      <c r="AT91" s="167"/>
      <c r="AU91" s="166"/>
      <c r="AV91" s="166"/>
    </row>
    <row r="92" spans="2:48" s="194" customFormat="1" ht="12" customHeight="1">
      <c r="B92" s="149">
        <f>DATE(D54+1,7,30)</f>
        <v>44042</v>
      </c>
      <c r="C92" s="156">
        <v>30</v>
      </c>
      <c r="D92" s="113"/>
      <c r="E92" s="113"/>
      <c r="F92" s="113"/>
      <c r="G92" s="113"/>
      <c r="H92" s="113"/>
      <c r="I92" s="26"/>
      <c r="J92" s="149">
        <f>DATE(D54+1,8,30)</f>
        <v>44073</v>
      </c>
      <c r="K92" s="154">
        <v>30</v>
      </c>
      <c r="L92" s="170"/>
      <c r="M92" s="169"/>
      <c r="N92" s="169"/>
      <c r="O92" s="169"/>
      <c r="P92" s="169"/>
      <c r="Q92" s="3"/>
      <c r="R92" s="149">
        <f>DATE(D54+1,9,30)</f>
        <v>44104</v>
      </c>
      <c r="S92" s="153">
        <v>30</v>
      </c>
      <c r="T92" s="153"/>
      <c r="U92" s="153"/>
      <c r="V92" s="153"/>
      <c r="W92" s="153"/>
      <c r="X92" s="153"/>
      <c r="Y92" s="3"/>
      <c r="Z92" s="149">
        <f>DATE(D54+1,10,30)</f>
        <v>44134</v>
      </c>
      <c r="AA92" s="146">
        <v>30</v>
      </c>
      <c r="AB92" s="148"/>
      <c r="AC92" s="118"/>
      <c r="AD92" s="113"/>
      <c r="AE92" s="113"/>
      <c r="AF92" s="113"/>
      <c r="AG92" s="3"/>
      <c r="AH92" s="139">
        <f>DATE(D54+1,11,30)</f>
        <v>44165</v>
      </c>
      <c r="AI92" s="185">
        <v>30</v>
      </c>
      <c r="AJ92" s="168"/>
      <c r="AK92" s="166"/>
      <c r="AL92" s="166"/>
      <c r="AM92" s="166"/>
      <c r="AN92" s="166"/>
      <c r="AO92" s="3"/>
      <c r="AP92" s="139">
        <f>DATE(D54+1,12,30)</f>
        <v>44195</v>
      </c>
      <c r="AQ92" s="153">
        <v>30</v>
      </c>
      <c r="AR92" s="160"/>
      <c r="AS92" s="173"/>
      <c r="AT92" s="114"/>
      <c r="AU92" s="113"/>
      <c r="AV92" s="113"/>
    </row>
    <row r="93" spans="2:48" s="194" customFormat="1" ht="12" customHeight="1">
      <c r="B93" s="149">
        <f>DATE(D54+1,7,31)</f>
        <v>44043</v>
      </c>
      <c r="C93" s="156">
        <v>31</v>
      </c>
      <c r="D93" s="111"/>
      <c r="E93" s="111"/>
      <c r="F93" s="111"/>
      <c r="G93" s="111"/>
      <c r="H93" s="111"/>
      <c r="I93" s="26"/>
      <c r="J93" s="149">
        <f>DATE(D54+1,8,31)</f>
        <v>44074</v>
      </c>
      <c r="K93" s="186">
        <v>31</v>
      </c>
      <c r="L93" s="168"/>
      <c r="M93" s="166"/>
      <c r="N93" s="166"/>
      <c r="O93" s="166"/>
      <c r="P93" s="166"/>
      <c r="Q93" s="3"/>
      <c r="R93" s="149"/>
      <c r="S93" s="3"/>
      <c r="T93" s="3"/>
      <c r="U93" s="3"/>
      <c r="V93" s="3"/>
      <c r="W93" s="3"/>
      <c r="X93" s="3"/>
      <c r="Y93" s="3"/>
      <c r="Z93" s="149">
        <f>DATE(D54+1,10,31)</f>
        <v>44135</v>
      </c>
      <c r="AA93" s="155">
        <v>31</v>
      </c>
      <c r="AB93" s="164"/>
      <c r="AC93" s="179"/>
      <c r="AD93" s="182"/>
      <c r="AE93" s="182"/>
      <c r="AF93" s="182"/>
      <c r="AG93" s="3"/>
      <c r="AH93" s="145"/>
      <c r="AI93" s="3"/>
      <c r="AJ93" s="3"/>
      <c r="AK93" s="3"/>
      <c r="AL93" s="3"/>
      <c r="AM93" s="3"/>
      <c r="AN93" s="3"/>
      <c r="AO93" s="3"/>
      <c r="AP93" s="139">
        <f>DATE(D54+1,12,31)</f>
        <v>44196</v>
      </c>
      <c r="AQ93" s="153">
        <v>31</v>
      </c>
      <c r="AR93" s="162"/>
      <c r="AS93" s="128"/>
      <c r="AT93" s="112"/>
      <c r="AU93" s="113"/>
      <c r="AV93" s="113"/>
    </row>
    <row r="94" spans="2:48">
      <c r="D94" s="6"/>
      <c r="E94" s="60"/>
      <c r="F94" s="57" t="s">
        <v>36</v>
      </c>
      <c r="H94" s="57" t="s">
        <v>32</v>
      </c>
      <c r="L94" s="6"/>
      <c r="N94" s="57" t="s">
        <v>36</v>
      </c>
      <c r="P94" s="57" t="s">
        <v>32</v>
      </c>
      <c r="Q94" s="3"/>
      <c r="T94" s="6"/>
      <c r="V94" s="57" t="s">
        <v>36</v>
      </c>
      <c r="X94" s="57" t="s">
        <v>32</v>
      </c>
      <c r="Y94" s="3"/>
      <c r="AA94" s="63"/>
      <c r="AD94" s="57" t="s">
        <v>36</v>
      </c>
      <c r="AF94" s="57" t="s">
        <v>32</v>
      </c>
      <c r="AL94" s="57" t="s">
        <v>36</v>
      </c>
      <c r="AN94" s="57" t="s">
        <v>32</v>
      </c>
      <c r="AO94" s="3"/>
      <c r="AT94" s="57" t="s">
        <v>36</v>
      </c>
      <c r="AV94" s="57" t="s">
        <v>32</v>
      </c>
    </row>
    <row r="95" spans="2:48" ht="15.75" thickBot="1">
      <c r="D95" s="44" t="s">
        <v>34</v>
      </c>
      <c r="E95" s="60"/>
      <c r="F95" s="108" t="s">
        <v>61</v>
      </c>
      <c r="H95" s="108" t="s">
        <v>62</v>
      </c>
      <c r="L95" s="44" t="s">
        <v>34</v>
      </c>
      <c r="M95" s="60"/>
      <c r="N95" s="108" t="s">
        <v>61</v>
      </c>
      <c r="P95" s="108" t="s">
        <v>62</v>
      </c>
      <c r="T95" s="44" t="s">
        <v>34</v>
      </c>
      <c r="U95" s="60"/>
      <c r="V95" s="108" t="s">
        <v>61</v>
      </c>
      <c r="X95" s="108" t="s">
        <v>62</v>
      </c>
      <c r="AA95" s="63"/>
      <c r="AB95" s="44" t="s">
        <v>34</v>
      </c>
      <c r="AC95" s="60"/>
      <c r="AD95" s="108" t="s">
        <v>61</v>
      </c>
      <c r="AF95" s="108" t="s">
        <v>62</v>
      </c>
      <c r="AJ95" s="44" t="s">
        <v>34</v>
      </c>
      <c r="AK95" s="60"/>
      <c r="AL95" s="108" t="s">
        <v>61</v>
      </c>
      <c r="AN95" s="108" t="s">
        <v>62</v>
      </c>
      <c r="AR95" s="44" t="s">
        <v>34</v>
      </c>
      <c r="AS95" s="60"/>
      <c r="AT95" s="108" t="s">
        <v>61</v>
      </c>
      <c r="AV95" s="108" t="s">
        <v>62</v>
      </c>
    </row>
    <row r="96" spans="2:48" ht="16.5" thickTop="1" thickBot="1">
      <c r="B96" s="21" t="s">
        <v>47</v>
      </c>
      <c r="C96" s="49"/>
      <c r="D96" s="55">
        <f>SUM((COUNTIF(D63:H93,$F$2)/2),(COUNTIF(D63:H93,$B$2)))</f>
        <v>0</v>
      </c>
      <c r="E96" s="49"/>
      <c r="F96" s="55">
        <f>AT55-D96</f>
        <v>26</v>
      </c>
      <c r="H96" s="55">
        <f>F96+ROUNDDOWN(F96/5,0)-1</f>
        <v>30</v>
      </c>
      <c r="I96" s="5"/>
      <c r="J96" s="21" t="s">
        <v>47</v>
      </c>
      <c r="K96" s="49"/>
      <c r="L96" s="55">
        <f>SUM((COUNTIF(L63:P93,$F$2)/2),(COUNTIF(L63:P93,$B$2)))</f>
        <v>0</v>
      </c>
      <c r="M96" s="49"/>
      <c r="N96" s="55">
        <f>F96-L96</f>
        <v>26</v>
      </c>
      <c r="P96" s="55">
        <f>N96+ROUNDDOWN(N96/5,0)-1</f>
        <v>30</v>
      </c>
      <c r="Q96" s="5"/>
      <c r="R96" s="21" t="s">
        <v>47</v>
      </c>
      <c r="S96" s="49"/>
      <c r="T96" s="55">
        <f>SUM((COUNTIF(T63:X93,$F$2)/2),(COUNTIF(T63:X93,$B$2)))</f>
        <v>0</v>
      </c>
      <c r="U96" s="49"/>
      <c r="V96" s="55">
        <f>N96-T96</f>
        <v>26</v>
      </c>
      <c r="X96" s="55">
        <f>V96+ROUNDDOWN(V96/5,0)-1</f>
        <v>30</v>
      </c>
      <c r="Y96" s="5"/>
      <c r="Z96" s="21" t="s">
        <v>47</v>
      </c>
      <c r="AA96" s="49"/>
      <c r="AB96" s="55">
        <f>SUM((COUNTIF(AB63:AF93,$F$2)/2),(COUNTIF(AB63:AF93,$B$2)))</f>
        <v>0</v>
      </c>
      <c r="AC96" s="49"/>
      <c r="AD96" s="55">
        <f>V96-AB96</f>
        <v>26</v>
      </c>
      <c r="AF96" s="55">
        <f>AD96+ROUNDDOWN(AD96/5,0)-1</f>
        <v>30</v>
      </c>
      <c r="AG96" s="5"/>
      <c r="AH96" s="21" t="s">
        <v>47</v>
      </c>
      <c r="AI96" s="49"/>
      <c r="AJ96" s="55">
        <f>SUM((COUNTIF(AJ63:AN93,$F$2)/2),(COUNTIF(AJ63:AN93,$B$2)))</f>
        <v>0</v>
      </c>
      <c r="AK96" s="49"/>
      <c r="AL96" s="55">
        <f>AD96-AJ96</f>
        <v>26</v>
      </c>
      <c r="AN96" s="55">
        <f>AL96+ROUNDDOWN(AL96/5,0)-1</f>
        <v>30</v>
      </c>
      <c r="AO96" s="5"/>
      <c r="AP96" s="21" t="s">
        <v>47</v>
      </c>
      <c r="AQ96" s="49"/>
      <c r="AR96" s="55">
        <f>SUM((COUNTIF(AR63:AV93,$F$2)/2),(COUNTIF(AR63:AV93,$B$2)))</f>
        <v>0</v>
      </c>
      <c r="AS96" s="49"/>
      <c r="AT96" s="55">
        <f>AL96-AR96</f>
        <v>26</v>
      </c>
      <c r="AV96" s="55">
        <f>AT96+ROUNDDOWN(AT96/5,0)-1</f>
        <v>30</v>
      </c>
    </row>
    <row r="97" spans="2:46" ht="16.5" thickTop="1" thickBot="1">
      <c r="B97" s="9"/>
      <c r="C97" s="10"/>
      <c r="D97" s="44" t="s">
        <v>34</v>
      </c>
      <c r="E97" s="10"/>
      <c r="F97" s="44" t="s">
        <v>36</v>
      </c>
      <c r="G97" s="10"/>
      <c r="H97" s="10"/>
      <c r="I97" s="10"/>
      <c r="J97" s="9"/>
      <c r="K97" s="10"/>
      <c r="L97" s="44" t="s">
        <v>34</v>
      </c>
      <c r="M97" s="10"/>
      <c r="N97" s="44" t="s">
        <v>36</v>
      </c>
      <c r="Q97" s="5"/>
      <c r="R97" s="9"/>
      <c r="S97" s="10"/>
      <c r="T97" s="44" t="s">
        <v>34</v>
      </c>
      <c r="U97" s="10"/>
      <c r="V97" s="44" t="s">
        <v>36</v>
      </c>
      <c r="Y97" s="5"/>
      <c r="Z97" s="9"/>
      <c r="AA97" s="10"/>
      <c r="AB97" s="44" t="s">
        <v>34</v>
      </c>
      <c r="AC97" s="10"/>
      <c r="AD97" s="44" t="s">
        <v>36</v>
      </c>
      <c r="AG97" s="5"/>
      <c r="AH97" s="9"/>
      <c r="AI97" s="10"/>
      <c r="AJ97" s="44" t="s">
        <v>34</v>
      </c>
      <c r="AK97" s="10"/>
      <c r="AL97" s="44" t="s">
        <v>36</v>
      </c>
      <c r="AO97" s="5"/>
      <c r="AP97" s="9"/>
      <c r="AQ97" s="10"/>
      <c r="AR97" s="44" t="s">
        <v>34</v>
      </c>
      <c r="AS97" s="10"/>
      <c r="AT97" s="44" t="s">
        <v>36</v>
      </c>
    </row>
    <row r="98" spans="2:46" ht="16.5" thickTop="1" thickBot="1">
      <c r="B98" s="48" t="s">
        <v>13</v>
      </c>
      <c r="C98" s="51"/>
      <c r="D98" s="54">
        <f>COUNTIF(D63:H93,B98)</f>
        <v>0</v>
      </c>
      <c r="E98" s="53"/>
      <c r="F98" s="54">
        <f>1+AT57-D98</f>
        <v>6.5</v>
      </c>
      <c r="G98" s="53"/>
      <c r="H98" s="53"/>
      <c r="I98" s="53"/>
      <c r="J98" s="48" t="s">
        <v>13</v>
      </c>
      <c r="K98" s="51"/>
      <c r="L98" s="54">
        <f>COUNTIF(L63:P93,J98)</f>
        <v>0</v>
      </c>
      <c r="M98" s="51"/>
      <c r="N98" s="54">
        <f>1+F98-L98</f>
        <v>7.5</v>
      </c>
      <c r="Q98" s="194"/>
      <c r="R98" s="48" t="s">
        <v>13</v>
      </c>
      <c r="S98" s="51"/>
      <c r="T98" s="54">
        <f>COUNTIF(T63:X91,R98)</f>
        <v>0</v>
      </c>
      <c r="U98" s="51"/>
      <c r="V98" s="54">
        <f>1+N98-T98</f>
        <v>8.5</v>
      </c>
      <c r="Y98" s="194"/>
      <c r="Z98" s="48" t="s">
        <v>13</v>
      </c>
      <c r="AA98" s="51"/>
      <c r="AB98" s="54">
        <f>COUNTIF(AB63:AF93,Z98)</f>
        <v>0</v>
      </c>
      <c r="AC98" s="51"/>
      <c r="AD98" s="54">
        <f>1+V98-AB98</f>
        <v>9.5</v>
      </c>
      <c r="AG98" s="194"/>
      <c r="AH98" s="48" t="s">
        <v>13</v>
      </c>
      <c r="AI98" s="51"/>
      <c r="AJ98" s="54">
        <f>COUNTIF(AJ63:AN93,AH98)</f>
        <v>0</v>
      </c>
      <c r="AK98" s="51"/>
      <c r="AL98" s="54">
        <f>1+AD98-AJ98</f>
        <v>10.5</v>
      </c>
      <c r="AO98" s="194"/>
      <c r="AP98" s="48" t="s">
        <v>13</v>
      </c>
      <c r="AQ98" s="51"/>
      <c r="AR98" s="54">
        <f>COUNTIF(AR85:AV91,AP98)</f>
        <v>0</v>
      </c>
      <c r="AS98" s="51"/>
      <c r="AT98" s="54">
        <f>1+AL98-AR98</f>
        <v>11.5</v>
      </c>
    </row>
    <row r="99" spans="2:46" ht="15.75" thickTop="1"/>
  </sheetData>
  <mergeCells count="46">
    <mergeCell ref="C12:E12"/>
    <mergeCell ref="C14:E14"/>
    <mergeCell ref="B16:AV17"/>
    <mergeCell ref="AP20:AV20"/>
    <mergeCell ref="B61:H61"/>
    <mergeCell ref="J61:P61"/>
    <mergeCell ref="R61:X61"/>
    <mergeCell ref="Z61:AF61"/>
    <mergeCell ref="AH61:AN61"/>
    <mergeCell ref="AP61:AV61"/>
    <mergeCell ref="B20:H20"/>
    <mergeCell ref="J20:P20"/>
    <mergeCell ref="R20:X20"/>
    <mergeCell ref="Z20:AF20"/>
    <mergeCell ref="AH20:AN20"/>
    <mergeCell ref="AB5:AE6"/>
    <mergeCell ref="AF5:AI6"/>
    <mergeCell ref="AJ5:AK6"/>
    <mergeCell ref="C6:E6"/>
    <mergeCell ref="C8:E8"/>
    <mergeCell ref="G8:H9"/>
    <mergeCell ref="L8:O8"/>
    <mergeCell ref="P8:S8"/>
    <mergeCell ref="T8:W8"/>
    <mergeCell ref="J9:K10"/>
    <mergeCell ref="L9:O10"/>
    <mergeCell ref="P9:S10"/>
    <mergeCell ref="T9:W10"/>
    <mergeCell ref="C10:E10"/>
    <mergeCell ref="J5:K6"/>
    <mergeCell ref="L5:O6"/>
    <mergeCell ref="P5:S6"/>
    <mergeCell ref="T5:W6"/>
    <mergeCell ref="X5:AA6"/>
    <mergeCell ref="C2:E2"/>
    <mergeCell ref="G2:I2"/>
    <mergeCell ref="P3:AA3"/>
    <mergeCell ref="AB3:AI3"/>
    <mergeCell ref="AJ3:AK4"/>
    <mergeCell ref="C4:E4"/>
    <mergeCell ref="L4:O4"/>
    <mergeCell ref="P4:S4"/>
    <mergeCell ref="T4:W4"/>
    <mergeCell ref="X4:AA4"/>
    <mergeCell ref="AB4:AE4"/>
    <mergeCell ref="AF4:AI4"/>
  </mergeCells>
  <conditionalFormatting sqref="R22">
    <cfRule type="expression" dxfId="9" priority="11">
      <formula>OR(WEEKDAY(R22)=1,WEEKDAY(R22)=7)</formula>
    </cfRule>
  </conditionalFormatting>
  <conditionalFormatting sqref="R23:R52">
    <cfRule type="expression" dxfId="8" priority="9">
      <formula>OR(WEEKDAY(R23)=1,WEEKDAY(R23)=7)</formula>
    </cfRule>
  </conditionalFormatting>
  <conditionalFormatting sqref="B22:B52">
    <cfRule type="expression" dxfId="7" priority="8">
      <formula>OR(WEEKDAY(B22)=1,WEEKDAY(B22)=7)</formula>
    </cfRule>
  </conditionalFormatting>
  <conditionalFormatting sqref="J22:J50">
    <cfRule type="expression" dxfId="6" priority="7">
      <formula>OR(WEEKDAY(J22)=1,WEEKDAY(J22)=7)</formula>
    </cfRule>
  </conditionalFormatting>
  <conditionalFormatting sqref="Z22:Z52">
    <cfRule type="expression" dxfId="5" priority="6">
      <formula>OR(WEEKDAY(Z22)=1,WEEKDAY(Z22)=7)</formula>
    </cfRule>
  </conditionalFormatting>
  <conditionalFormatting sqref="B63:B93">
    <cfRule type="expression" dxfId="4" priority="5">
      <formula>OR(WEEKDAY(B63)=1,WEEKDAY(B63)=7)</formula>
    </cfRule>
  </conditionalFormatting>
  <conditionalFormatting sqref="J63:J93">
    <cfRule type="expression" dxfId="3" priority="4">
      <formula>OR(WEEKDAY(J63)=1,WEEKDAY(J63)=7)</formula>
    </cfRule>
  </conditionalFormatting>
  <conditionalFormatting sqref="R63:R93">
    <cfRule type="expression" dxfId="2" priority="3">
      <formula>OR(WEEKDAY(R63)=1,WEEKDAY(R63)=7)</formula>
    </cfRule>
  </conditionalFormatting>
  <conditionalFormatting sqref="Z63:Z93">
    <cfRule type="expression" dxfId="1" priority="2">
      <formula>OR(WEEKDAY(Z63)=1,WEEKDAY(Z63)=7)</formula>
    </cfRule>
  </conditionalFormatting>
  <conditionalFormatting sqref="J51:J52">
    <cfRule type="expression" dxfId="0" priority="1">
      <formula>OR(WEEKDAY(J51)=1,WEEKDAY(J51)=7)</formula>
    </cfRule>
  </conditionalFormatting>
  <dataValidations count="3">
    <dataValidation type="list" allowBlank="1" showInputMessage="1" showErrorMessage="1" sqref="AM8">
      <formula1>"CPm,1/C"</formula1>
    </dataValidation>
    <dataValidation type="list" allowBlank="1" showInputMessage="1" showErrorMessage="1" sqref="AJ34:AN38 D23:E25 D42:H46 D49:H52 L22:P22 L32:P36 N74:P78 T25:X29 T32:X36 T39:X43 L25:P29 T22:X22 N37:N45 T46:X50 AR69:AR77 AB22:AF26 AJ64:AJ65 AR38:AV42 D70:H74 D76:H81 D84:H88 D63:H67 D91:H93 M65:M80 AS22:AS28 L81:P85 L63:P63 L88:P92 T64:X68 T71:X75 T78:X82 T85:X89 AB69:AF73 AB76:AF80 AB81:AB93 AB63:AF66 AJ66:AN70 AJ73:AN77 AJ80:AN84 AJ63:AN63 AJ87:AN91 AR64:AV68 AR78:AV82 AC43:AF47 AB29:AF33 AJ22:AN24 T92:X92 AJ41:AN45 AR45:AV49 D28:E32 O39:P43 AB34:AB49 M39:M43 AJ52:AN52 AJ48:AK50 AM48:AN50 AL46:AL51 AR24:AR28 AT24:AV28 L74:L78 L67:L71 AR31:AV35 N67:P71 AC83:AF87 F22:H39 AC90:AF93 AS71:AV75 AJ27:AN31 T23:T24 AB50:AF51 AR85:AR93 AT85:AV93 D35:E39 AC36:AF40 L37:L50 M46:P50 AS83:AS93">
      <formula1>Liste_Choix</formula1>
    </dataValidation>
    <dataValidation type="list" showInputMessage="1" showErrorMessage="1" sqref="D22:E22">
      <formula1>Liste_Choix</formula1>
    </dataValidation>
  </dataValidations>
  <pageMargins left="0.7" right="0.7" top="0.75" bottom="0.75" header="0.3" footer="0.3"/>
  <pageSetup paperSize="9" scale="39" orientation="portrait" r:id="rId1"/>
  <colBreaks count="1" manualBreakCount="1">
    <brk id="49" max="1048575" man="1"/>
  </colBreaks>
  <drawing r:id="rId2"/>
  <legacyDrawing r:id="rId3"/>
  <controls>
    <mc:AlternateContent xmlns:mc="http://schemas.openxmlformats.org/markup-compatibility/2006">
      <mc:Choice Requires="x14">
        <control shapeId="5122" r:id="rId4" name="validation_garde_Lana">
          <controlPr defaultSize="0" autoLine="0" r:id="rId5">
            <anchor moveWithCells="1">
              <from>
                <xdr:col>8</xdr:col>
                <xdr:colOff>209550</xdr:colOff>
                <xdr:row>11</xdr:row>
                <xdr:rowOff>114300</xdr:rowOff>
              </from>
              <to>
                <xdr:col>12</xdr:col>
                <xdr:colOff>47625</xdr:colOff>
                <xdr:row>14</xdr:row>
                <xdr:rowOff>0</xdr:rowOff>
              </to>
            </anchor>
          </controlPr>
        </control>
      </mc:Choice>
      <mc:Fallback>
        <control shapeId="5122" r:id="rId4" name="validation_garde_Lana"/>
      </mc:Fallback>
    </mc:AlternateContent>
    <mc:AlternateContent xmlns:mc="http://schemas.openxmlformats.org/markup-compatibility/2006">
      <mc:Choice Requires="x14">
        <control shapeId="5121" r:id="rId6" name="Nouvelle_année">
          <controlPr defaultSize="0" autoLine="0" r:id="rId7">
            <anchor moveWithCells="1">
              <from>
                <xdr:col>40</xdr:col>
                <xdr:colOff>76200</xdr:colOff>
                <xdr:row>4</xdr:row>
                <xdr:rowOff>104775</xdr:rowOff>
              </from>
              <to>
                <xdr:col>43</xdr:col>
                <xdr:colOff>342900</xdr:colOff>
                <xdr:row>7</xdr:row>
                <xdr:rowOff>47625</xdr:rowOff>
              </to>
            </anchor>
          </controlPr>
        </control>
      </mc:Choice>
      <mc:Fallback>
        <control shapeId="5121" r:id="rId6" name="Nouvelle_année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2018</vt:lpstr>
      <vt:lpstr>2019</vt:lpstr>
      <vt:lpstr>2020</vt:lpstr>
      <vt:lpstr>'2020'!Liste_Choix</vt:lpstr>
      <vt:lpstr>Liste_Choix</vt:lpstr>
      <vt:lpstr>'2018'!Zone_d_impression</vt:lpstr>
      <vt:lpstr>'2019'!Zone_d_impression</vt:lpstr>
      <vt:lpstr>'2020'!Zone_d_impression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2019-10-24T18:44:19Z</dcterms:modified>
</cp:coreProperties>
</file>