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Professionnel\Dynamique Vision\Outils Excel\EXAPRI\"/>
    </mc:Choice>
  </mc:AlternateContent>
  <xr:revisionPtr revIDLastSave="0" documentId="8_{B1B967E8-7F05-4CFA-B52C-7272BAB9A414}" xr6:coauthVersionLast="34" xr6:coauthVersionMax="34" xr10:uidLastSave="{00000000-0000-0000-0000-000000000000}"/>
  <bookViews>
    <workbookView xWindow="0" yWindow="0" windowWidth="28800" windowHeight="13725" xr2:uid="{753773F1-4462-4B22-A231-11E21A8488C6}"/>
  </bookViews>
  <sheets>
    <sheet name="Feuil1" sheetId="1" r:id="rId1"/>
  </sheets>
  <externalReferences>
    <externalReference r:id="rId2"/>
  </externalReferences>
  <definedNames>
    <definedName name="Agents_Commer">[1]Parametres!$T$38:$W$47</definedName>
    <definedName name="Agents_Commerciaux">[1]Parametres!$T$38:$T$47</definedName>
    <definedName name="Categorie_Ventes">[1]Parametres!$B$84:$B$97</definedName>
    <definedName name="Categorie_Ventes_lbl1">[1]Parametres!$B$84</definedName>
    <definedName name="Categorie_Ventes_lbl10">[1]Parametres!$B$93</definedName>
    <definedName name="Categorie_Ventes_lbl11">[1]Parametres!$B$94</definedName>
    <definedName name="Categorie_Ventes_lbl12">[1]Parametres!$B$95</definedName>
    <definedName name="Categorie_Ventes_lbl13">[1]Parametres!$B$96</definedName>
    <definedName name="Categorie_Ventes_lbl14">[1]Parametres!$B$97</definedName>
    <definedName name="Categorie_Ventes_lbl2">[1]Parametres!$B$85</definedName>
    <definedName name="Categorie_Ventes_lbl3">[1]Parametres!$B$86</definedName>
    <definedName name="Categorie_Ventes_lbl4">[1]Parametres!$B$87</definedName>
    <definedName name="Categorie_Ventes_lbl5">[1]Parametres!$B$88</definedName>
    <definedName name="Categorie_Ventes_lbl6">[1]Parametres!$B$89</definedName>
    <definedName name="Categorie_Ventes_lbl7">[1]Parametres!$B$90</definedName>
    <definedName name="Categorie_Ventes_lbl8">[1]Parametres!$B$91</definedName>
    <definedName name="Categorie_Ventes_lbl9">[1]Parametres!$B$92</definedName>
    <definedName name="Designation_Ventes">[1]Parametres!$G$84:$G$97</definedName>
    <definedName name="Frais_Agents_Co">Feuil1!$W$64</definedName>
    <definedName name="Mois_Total_Annuel">[1]Parametres!$N$30</definedName>
    <definedName name="Mois1">[1]Parametres!$B$30</definedName>
    <definedName name="Mois10">[1]Parametres!$K$30</definedName>
    <definedName name="Mois11">[1]Parametres!$L$30</definedName>
    <definedName name="Mois12">[1]Parametres!$M$30</definedName>
    <definedName name="Mois2">[1]Parametres!$C$30</definedName>
    <definedName name="Mois3">[1]Parametres!$D$30</definedName>
    <definedName name="Mois4">[1]Parametres!$E$30</definedName>
    <definedName name="Mois5">[1]Parametres!$F$30</definedName>
    <definedName name="Mois6">[1]Parametres!$G$30</definedName>
    <definedName name="Mois7">[1]Parametres!$H$30</definedName>
    <definedName name="Mois8">[1]Parametres!$I$30</definedName>
    <definedName name="Mois9">[1]Parametres!$J$30</definedName>
    <definedName name="Pourc_categorie011">Feuil1!$J$12</definedName>
    <definedName name="Pourc_categorie012">Feuil1!$J$13</definedName>
    <definedName name="Pourc_categorie013">Feuil1!$J$14</definedName>
    <definedName name="Pourc_categorie014">Feuil1!$J$15</definedName>
    <definedName name="Pourc_categorie015">Feuil1!$J$16</definedName>
    <definedName name="Pourc_categorie016">Feuil1!$J$17</definedName>
    <definedName name="Pourc_categorie111">Feuil1!$J$21</definedName>
    <definedName name="Pourc_categorie112">Feuil1!$J$22</definedName>
    <definedName name="Pourc_categorie113">Feuil1!$J$23</definedName>
    <definedName name="Pourc_categorie114">Feuil1!$J$24</definedName>
    <definedName name="Pourc_categorie115">Feuil1!$J$25</definedName>
    <definedName name="Pourc_categorie116">Feuil1!$J$26</definedName>
    <definedName name="Pourc_categorie211">Feuil1!$J$30</definedName>
    <definedName name="Pourc_categorie212">Feuil1!$J$31</definedName>
    <definedName name="Pourc_categorie213">Feuil1!$J$32</definedName>
    <definedName name="Pourc_categorie214">Feuil1!$J$33</definedName>
    <definedName name="Pourc_categorie215">Feuil1!$J$34</definedName>
    <definedName name="Pourc_categorie216">Feuil1!$J$35</definedName>
    <definedName name="Pourc_categorie311">Feuil1!$J$39</definedName>
    <definedName name="Pourc_categorie312">Feuil1!$J$40</definedName>
    <definedName name="Pourc_categorie313">Feuil1!$J$41</definedName>
    <definedName name="Pourc_categorie314">Feuil1!$J$42</definedName>
    <definedName name="Pourc_categorie315">Feuil1!$J$43</definedName>
    <definedName name="Pourc_categorie316">Feuil1!$J$44</definedName>
    <definedName name="Taux_Com1">Feuil1!$J$60</definedName>
    <definedName name="Taux_Com2">Feuil1!$J$61</definedName>
    <definedName name="Taux_Com3">Feuil1!$J$62</definedName>
    <definedName name="Taux_Com4">Feuil1!$J$63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4" i="1" l="1"/>
  <c r="V63" i="1"/>
  <c r="U63" i="1"/>
  <c r="T63" i="1"/>
  <c r="S63" i="1"/>
  <c r="R63" i="1"/>
  <c r="Q63" i="1"/>
  <c r="P63" i="1"/>
  <c r="O63" i="1"/>
  <c r="N63" i="1"/>
  <c r="M63" i="1"/>
  <c r="L63" i="1"/>
  <c r="K63" i="1"/>
  <c r="G63" i="1"/>
  <c r="V62" i="1"/>
  <c r="U62" i="1"/>
  <c r="T62" i="1"/>
  <c r="S62" i="1"/>
  <c r="R62" i="1"/>
  <c r="Q62" i="1"/>
  <c r="P62" i="1"/>
  <c r="O62" i="1"/>
  <c r="N62" i="1"/>
  <c r="M62" i="1"/>
  <c r="L62" i="1"/>
  <c r="K62" i="1"/>
  <c r="W62" i="1" s="1"/>
  <c r="G62" i="1"/>
  <c r="V61" i="1"/>
  <c r="U61" i="1"/>
  <c r="T61" i="1"/>
  <c r="S61" i="1"/>
  <c r="R61" i="1"/>
  <c r="Q61" i="1"/>
  <c r="P61" i="1"/>
  <c r="O61" i="1"/>
  <c r="N61" i="1"/>
  <c r="M61" i="1"/>
  <c r="L61" i="1"/>
  <c r="K61" i="1"/>
  <c r="W61" i="1" s="1"/>
  <c r="G61" i="1"/>
  <c r="V60" i="1"/>
  <c r="U60" i="1"/>
  <c r="U64" i="1" s="1"/>
  <c r="T60" i="1"/>
  <c r="S60" i="1"/>
  <c r="S64" i="1" s="1"/>
  <c r="R60" i="1"/>
  <c r="Q60" i="1"/>
  <c r="Q64" i="1" s="1"/>
  <c r="P60" i="1"/>
  <c r="P64" i="1" s="1"/>
  <c r="O60" i="1"/>
  <c r="O64" i="1" s="1"/>
  <c r="N60" i="1"/>
  <c r="M60" i="1"/>
  <c r="M64" i="1" s="1"/>
  <c r="L60" i="1"/>
  <c r="L64" i="1" s="1"/>
  <c r="K60" i="1"/>
  <c r="K64" i="1" s="1"/>
  <c r="G60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I55" i="1"/>
  <c r="I54" i="1"/>
  <c r="I53" i="1"/>
  <c r="I52" i="1"/>
  <c r="I51" i="1"/>
  <c r="I40" i="1" s="1"/>
  <c r="I50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Z45" i="1"/>
  <c r="Y45" i="1"/>
  <c r="J45" i="1"/>
  <c r="AK44" i="1"/>
  <c r="AJ44" i="1"/>
  <c r="AG44" i="1"/>
  <c r="AF44" i="1"/>
  <c r="AC44" i="1"/>
  <c r="AB44" i="1"/>
  <c r="Y44" i="1"/>
  <c r="T44" i="1"/>
  <c r="S44" i="1"/>
  <c r="P44" i="1"/>
  <c r="O44" i="1"/>
  <c r="L44" i="1"/>
  <c r="K44" i="1"/>
  <c r="H44" i="1"/>
  <c r="AI44" i="1" s="1"/>
  <c r="G44" i="1"/>
  <c r="AJ43" i="1"/>
  <c r="AI43" i="1"/>
  <c r="AF43" i="1"/>
  <c r="AE43" i="1"/>
  <c r="AB43" i="1"/>
  <c r="AA43" i="1"/>
  <c r="V43" i="1"/>
  <c r="S43" i="1"/>
  <c r="R43" i="1"/>
  <c r="O43" i="1"/>
  <c r="N43" i="1"/>
  <c r="K43" i="1"/>
  <c r="I43" i="1"/>
  <c r="H43" i="1"/>
  <c r="AL43" i="1" s="1"/>
  <c r="G43" i="1"/>
  <c r="AH42" i="1"/>
  <c r="AE42" i="1"/>
  <c r="Z42" i="1"/>
  <c r="Q42" i="1"/>
  <c r="N42" i="1"/>
  <c r="I42" i="1"/>
  <c r="H42" i="1"/>
  <c r="G42" i="1"/>
  <c r="AH41" i="1"/>
  <c r="Q41" i="1"/>
  <c r="I41" i="1"/>
  <c r="H41" i="1"/>
  <c r="G41" i="1"/>
  <c r="AK40" i="1"/>
  <c r="AJ40" i="1"/>
  <c r="AG40" i="1"/>
  <c r="AF40" i="1"/>
  <c r="AC40" i="1"/>
  <c r="AB40" i="1"/>
  <c r="Y40" i="1"/>
  <c r="T40" i="1"/>
  <c r="S40" i="1"/>
  <c r="P40" i="1"/>
  <c r="O40" i="1"/>
  <c r="L40" i="1"/>
  <c r="K40" i="1"/>
  <c r="H40" i="1"/>
  <c r="AI40" i="1" s="1"/>
  <c r="G40" i="1"/>
  <c r="AJ39" i="1"/>
  <c r="AI39" i="1"/>
  <c r="AF39" i="1"/>
  <c r="AE39" i="1"/>
  <c r="AB39" i="1"/>
  <c r="AA39" i="1"/>
  <c r="V39" i="1"/>
  <c r="S39" i="1"/>
  <c r="R39" i="1"/>
  <c r="O39" i="1"/>
  <c r="N39" i="1"/>
  <c r="K39" i="1"/>
  <c r="I39" i="1"/>
  <c r="H39" i="1"/>
  <c r="AL39" i="1" s="1"/>
  <c r="G39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AM38" i="1" s="1"/>
  <c r="Y38" i="1"/>
  <c r="Q38" i="1"/>
  <c r="N38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AM37" i="1" s="1"/>
  <c r="Z37" i="1"/>
  <c r="Y37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AM36" i="1" s="1"/>
  <c r="Y36" i="1"/>
  <c r="J36" i="1"/>
  <c r="AI35" i="1"/>
  <c r="AG35" i="1"/>
  <c r="AB35" i="1"/>
  <c r="V35" i="1"/>
  <c r="P35" i="1"/>
  <c r="M35" i="1"/>
  <c r="L35" i="1"/>
  <c r="H35" i="1"/>
  <c r="G35" i="1"/>
  <c r="AK34" i="1"/>
  <c r="AJ34" i="1"/>
  <c r="AG34" i="1"/>
  <c r="AF34" i="1"/>
  <c r="AC34" i="1"/>
  <c r="AB34" i="1"/>
  <c r="Y34" i="1"/>
  <c r="T34" i="1"/>
  <c r="S34" i="1"/>
  <c r="P34" i="1"/>
  <c r="O34" i="1"/>
  <c r="L34" i="1"/>
  <c r="K34" i="1"/>
  <c r="I34" i="1"/>
  <c r="H34" i="1"/>
  <c r="AI34" i="1" s="1"/>
  <c r="G34" i="1"/>
  <c r="AK33" i="1"/>
  <c r="AJ33" i="1"/>
  <c r="AI33" i="1"/>
  <c r="AG33" i="1"/>
  <c r="AF33" i="1"/>
  <c r="AE33" i="1"/>
  <c r="AC33" i="1"/>
  <c r="AB33" i="1"/>
  <c r="AA33" i="1"/>
  <c r="Y33" i="1"/>
  <c r="V33" i="1"/>
  <c r="T33" i="1"/>
  <c r="S33" i="1"/>
  <c r="R33" i="1"/>
  <c r="P33" i="1"/>
  <c r="O33" i="1"/>
  <c r="N33" i="1"/>
  <c r="L33" i="1"/>
  <c r="K33" i="1"/>
  <c r="I33" i="1"/>
  <c r="H33" i="1"/>
  <c r="AL33" i="1" s="1"/>
  <c r="G33" i="1"/>
  <c r="Z32" i="1"/>
  <c r="I32" i="1"/>
  <c r="H32" i="1"/>
  <c r="G32" i="1"/>
  <c r="AK31" i="1"/>
  <c r="AH31" i="1"/>
  <c r="AG31" i="1"/>
  <c r="AC31" i="1"/>
  <c r="AB31" i="1"/>
  <c r="Z31" i="1"/>
  <c r="U31" i="1"/>
  <c r="T31" i="1"/>
  <c r="Q31" i="1"/>
  <c r="P31" i="1"/>
  <c r="O31" i="1"/>
  <c r="L31" i="1"/>
  <c r="K31" i="1"/>
  <c r="I31" i="1"/>
  <c r="H31" i="1"/>
  <c r="G31" i="1"/>
  <c r="AK30" i="1"/>
  <c r="AJ30" i="1"/>
  <c r="AI30" i="1"/>
  <c r="AG30" i="1"/>
  <c r="AF30" i="1"/>
  <c r="AE30" i="1"/>
  <c r="AC30" i="1"/>
  <c r="AB30" i="1"/>
  <c r="AA30" i="1"/>
  <c r="Y30" i="1"/>
  <c r="V30" i="1"/>
  <c r="T30" i="1"/>
  <c r="S30" i="1"/>
  <c r="R30" i="1"/>
  <c r="P30" i="1"/>
  <c r="O30" i="1"/>
  <c r="N30" i="1"/>
  <c r="L30" i="1"/>
  <c r="K30" i="1"/>
  <c r="I30" i="1"/>
  <c r="H30" i="1"/>
  <c r="AL30" i="1" s="1"/>
  <c r="G30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AM29" i="1" s="1"/>
  <c r="Z29" i="1"/>
  <c r="Y29" i="1"/>
  <c r="Q29" i="1"/>
  <c r="N29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J28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J27" i="1"/>
  <c r="AD26" i="1"/>
  <c r="S26" i="1"/>
  <c r="H26" i="1"/>
  <c r="G26" i="1"/>
  <c r="AK25" i="1"/>
  <c r="AJ25" i="1"/>
  <c r="AI25" i="1"/>
  <c r="AG25" i="1"/>
  <c r="AF25" i="1"/>
  <c r="AE25" i="1"/>
  <c r="AC25" i="1"/>
  <c r="AB25" i="1"/>
  <c r="AA25" i="1"/>
  <c r="Y25" i="1"/>
  <c r="V25" i="1"/>
  <c r="T25" i="1"/>
  <c r="S25" i="1"/>
  <c r="R25" i="1"/>
  <c r="P25" i="1"/>
  <c r="O25" i="1"/>
  <c r="N25" i="1"/>
  <c r="L25" i="1"/>
  <c r="K25" i="1"/>
  <c r="I25" i="1"/>
  <c r="H25" i="1"/>
  <c r="AL25" i="1" s="1"/>
  <c r="G25" i="1"/>
  <c r="AJ24" i="1"/>
  <c r="Z24" i="1"/>
  <c r="N24" i="1"/>
  <c r="I24" i="1"/>
  <c r="H24" i="1"/>
  <c r="G24" i="1"/>
  <c r="AK23" i="1"/>
  <c r="AI23" i="1"/>
  <c r="AE23" i="1"/>
  <c r="AD23" i="1"/>
  <c r="Z23" i="1"/>
  <c r="Y23" i="1"/>
  <c r="T23" i="1"/>
  <c r="R23" i="1"/>
  <c r="O23" i="1"/>
  <c r="N23" i="1"/>
  <c r="K23" i="1"/>
  <c r="I23" i="1"/>
  <c r="H23" i="1"/>
  <c r="AL23" i="1" s="1"/>
  <c r="G23" i="1"/>
  <c r="AL22" i="1"/>
  <c r="AI22" i="1"/>
  <c r="AE22" i="1"/>
  <c r="AD22" i="1"/>
  <c r="AA22" i="1"/>
  <c r="V22" i="1"/>
  <c r="U22" i="1"/>
  <c r="R22" i="1"/>
  <c r="N22" i="1"/>
  <c r="M22" i="1"/>
  <c r="I22" i="1"/>
  <c r="H22" i="1"/>
  <c r="G22" i="1"/>
  <c r="AL21" i="1"/>
  <c r="AD21" i="1"/>
  <c r="U21" i="1"/>
  <c r="M21" i="1"/>
  <c r="I21" i="1"/>
  <c r="H21" i="1"/>
  <c r="G21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Q20" i="1"/>
  <c r="N20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AM18" i="1"/>
  <c r="J18" i="1"/>
  <c r="AI17" i="1"/>
  <c r="AD17" i="1"/>
  <c r="R17" i="1"/>
  <c r="M17" i="1"/>
  <c r="I17" i="1"/>
  <c r="H17" i="1"/>
  <c r="AL17" i="1" s="1"/>
  <c r="G17" i="1"/>
  <c r="AI16" i="1"/>
  <c r="AD16" i="1"/>
  <c r="Y16" i="1"/>
  <c r="R16" i="1"/>
  <c r="M16" i="1"/>
  <c r="I16" i="1"/>
  <c r="H16" i="1"/>
  <c r="AK16" i="1" s="1"/>
  <c r="G16" i="1"/>
  <c r="AH15" i="1"/>
  <c r="AC15" i="1"/>
  <c r="Q15" i="1"/>
  <c r="L15" i="1"/>
  <c r="I15" i="1"/>
  <c r="H15" i="1"/>
  <c r="G15" i="1"/>
  <c r="AK14" i="1"/>
  <c r="AJ14" i="1"/>
  <c r="AI14" i="1"/>
  <c r="AG14" i="1"/>
  <c r="AF14" i="1"/>
  <c r="AE14" i="1"/>
  <c r="AC14" i="1"/>
  <c r="AB14" i="1"/>
  <c r="AA14" i="1"/>
  <c r="Y14" i="1"/>
  <c r="V14" i="1"/>
  <c r="T14" i="1"/>
  <c r="S14" i="1"/>
  <c r="R14" i="1"/>
  <c r="P14" i="1"/>
  <c r="O14" i="1"/>
  <c r="N14" i="1"/>
  <c r="L14" i="1"/>
  <c r="K14" i="1"/>
  <c r="I14" i="1"/>
  <c r="H14" i="1"/>
  <c r="AL14" i="1" s="1"/>
  <c r="G14" i="1"/>
  <c r="I13" i="1"/>
  <c r="H13" i="1"/>
  <c r="AL13" i="1" s="1"/>
  <c r="G13" i="1"/>
  <c r="AK12" i="1"/>
  <c r="AG12" i="1"/>
  <c r="AD12" i="1"/>
  <c r="AC12" i="1"/>
  <c r="Y12" i="1"/>
  <c r="T12" i="1"/>
  <c r="P12" i="1"/>
  <c r="L12" i="1"/>
  <c r="I12" i="1"/>
  <c r="H12" i="1"/>
  <c r="AJ12" i="1" s="1"/>
  <c r="G12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Q11" i="1"/>
  <c r="N11" i="1"/>
  <c r="W9" i="1"/>
  <c r="V9" i="1"/>
  <c r="U9" i="1"/>
  <c r="T9" i="1"/>
  <c r="S9" i="1"/>
  <c r="R9" i="1"/>
  <c r="Q9" i="1"/>
  <c r="P9" i="1"/>
  <c r="O9" i="1"/>
  <c r="N9" i="1"/>
  <c r="M9" i="1"/>
  <c r="L9" i="1"/>
  <c r="K9" i="1"/>
  <c r="W25" i="1" l="1"/>
  <c r="Q13" i="1"/>
  <c r="Z13" i="1"/>
  <c r="AD13" i="1"/>
  <c r="AI13" i="1"/>
  <c r="AI15" i="1"/>
  <c r="AE15" i="1"/>
  <c r="AA15" i="1"/>
  <c r="V15" i="1"/>
  <c r="R15" i="1"/>
  <c r="R53" i="1" s="1"/>
  <c r="N15" i="1"/>
  <c r="N53" i="1" s="1"/>
  <c r="AJ15" i="1"/>
  <c r="AE17" i="1"/>
  <c r="AJ21" i="1"/>
  <c r="AF21" i="1"/>
  <c r="AB21" i="1"/>
  <c r="S21" i="1"/>
  <c r="O21" i="1"/>
  <c r="K21" i="1"/>
  <c r="AI21" i="1"/>
  <c r="AE21" i="1"/>
  <c r="AA21" i="1"/>
  <c r="V21" i="1"/>
  <c r="R21" i="1"/>
  <c r="N21" i="1"/>
  <c r="P21" i="1"/>
  <c r="P50" i="1" s="1"/>
  <c r="Y21" i="1"/>
  <c r="AG21" i="1"/>
  <c r="AK24" i="1"/>
  <c r="AG24" i="1"/>
  <c r="AC24" i="1"/>
  <c r="Y24" i="1"/>
  <c r="T24" i="1"/>
  <c r="P24" i="1"/>
  <c r="L24" i="1"/>
  <c r="AH24" i="1"/>
  <c r="AB24" i="1"/>
  <c r="V24" i="1"/>
  <c r="Q24" i="1"/>
  <c r="Q53" i="1" s="1"/>
  <c r="K24" i="1"/>
  <c r="AL24" i="1"/>
  <c r="AF24" i="1"/>
  <c r="AA24" i="1"/>
  <c r="U24" i="1"/>
  <c r="O24" i="1"/>
  <c r="R24" i="1"/>
  <c r="AD24" i="1"/>
  <c r="AI26" i="1"/>
  <c r="AE26" i="1"/>
  <c r="AA26" i="1"/>
  <c r="V26" i="1"/>
  <c r="R26" i="1"/>
  <c r="R55" i="1" s="1"/>
  <c r="N26" i="1"/>
  <c r="AH26" i="1"/>
  <c r="AC26" i="1"/>
  <c r="Q26" i="1"/>
  <c r="L26" i="1"/>
  <c r="AL26" i="1"/>
  <c r="AG26" i="1"/>
  <c r="AB26" i="1"/>
  <c r="U26" i="1"/>
  <c r="P26" i="1"/>
  <c r="K26" i="1"/>
  <c r="T26" i="1"/>
  <c r="AF26" i="1"/>
  <c r="AM28" i="1"/>
  <c r="AK32" i="1"/>
  <c r="AG32" i="1"/>
  <c r="AC32" i="1"/>
  <c r="Y32" i="1"/>
  <c r="T32" i="1"/>
  <c r="P32" i="1"/>
  <c r="L32" i="1"/>
  <c r="AJ32" i="1"/>
  <c r="AF32" i="1"/>
  <c r="AB32" i="1"/>
  <c r="S32" i="1"/>
  <c r="O32" i="1"/>
  <c r="K32" i="1"/>
  <c r="AE32" i="1"/>
  <c r="V32" i="1"/>
  <c r="N32" i="1"/>
  <c r="N52" i="1" s="1"/>
  <c r="AL32" i="1"/>
  <c r="AD32" i="1"/>
  <c r="U32" i="1"/>
  <c r="M32" i="1"/>
  <c r="AI32" i="1"/>
  <c r="AA32" i="1"/>
  <c r="R32" i="1"/>
  <c r="R52" i="1" s="1"/>
  <c r="AH32" i="1"/>
  <c r="I44" i="1"/>
  <c r="I35" i="1"/>
  <c r="I26" i="1"/>
  <c r="M12" i="1"/>
  <c r="U12" i="1"/>
  <c r="V13" i="1"/>
  <c r="M15" i="1"/>
  <c r="S15" i="1"/>
  <c r="Y15" i="1"/>
  <c r="AJ16" i="1"/>
  <c r="AF16" i="1"/>
  <c r="AB16" i="1"/>
  <c r="S16" i="1"/>
  <c r="S54" i="1" s="1"/>
  <c r="O16" i="1"/>
  <c r="O54" i="1" s="1"/>
  <c r="K16" i="1"/>
  <c r="N16" i="1"/>
  <c r="T16" i="1"/>
  <c r="AE16" i="1"/>
  <c r="N17" i="1"/>
  <c r="S17" i="1"/>
  <c r="AJ17" i="1"/>
  <c r="N12" i="1"/>
  <c r="N50" i="1" s="1"/>
  <c r="R12" i="1"/>
  <c r="R50" i="1" s="1"/>
  <c r="V12" i="1"/>
  <c r="V50" i="1" s="1"/>
  <c r="AA12" i="1"/>
  <c r="AE12" i="1"/>
  <c r="AI12" i="1"/>
  <c r="K13" i="1"/>
  <c r="O13" i="1"/>
  <c r="S13" i="1"/>
  <c r="S51" i="1" s="1"/>
  <c r="AB13" i="1"/>
  <c r="AF13" i="1"/>
  <c r="T52" i="1"/>
  <c r="O15" i="1"/>
  <c r="T15" i="1"/>
  <c r="Z15" i="1"/>
  <c r="AF15" i="1"/>
  <c r="AK15" i="1"/>
  <c r="P16" i="1"/>
  <c r="U16" i="1"/>
  <c r="AA16" i="1"/>
  <c r="AG16" i="1"/>
  <c r="AL16" i="1"/>
  <c r="O17" i="1"/>
  <c r="U17" i="1"/>
  <c r="U55" i="1" s="1"/>
  <c r="AA17" i="1"/>
  <c r="AF17" i="1"/>
  <c r="AM19" i="1"/>
  <c r="AM20" i="1"/>
  <c r="Q21" i="1"/>
  <c r="AH21" i="1"/>
  <c r="AK22" i="1"/>
  <c r="AG22" i="1"/>
  <c r="AC22" i="1"/>
  <c r="Y22" i="1"/>
  <c r="T22" i="1"/>
  <c r="P22" i="1"/>
  <c r="L22" i="1"/>
  <c r="AJ22" i="1"/>
  <c r="AF22" i="1"/>
  <c r="AB22" i="1"/>
  <c r="S22" i="1"/>
  <c r="O22" i="1"/>
  <c r="K22" i="1"/>
  <c r="W22" i="1" s="1"/>
  <c r="Q22" i="1"/>
  <c r="Z22" i="1"/>
  <c r="AH22" i="1"/>
  <c r="S24" i="1"/>
  <c r="AE24" i="1"/>
  <c r="M26" i="1"/>
  <c r="M55" i="1" s="1"/>
  <c r="Y26" i="1"/>
  <c r="AJ26" i="1"/>
  <c r="AM27" i="1"/>
  <c r="AK13" i="1"/>
  <c r="AK64" i="1" s="1"/>
  <c r="AG13" i="1"/>
  <c r="AG64" i="1" s="1"/>
  <c r="M13" i="1"/>
  <c r="M51" i="1" s="1"/>
  <c r="U13" i="1"/>
  <c r="L53" i="1"/>
  <c r="Q12" i="1"/>
  <c r="AH12" i="1"/>
  <c r="AL12" i="1"/>
  <c r="N13" i="1"/>
  <c r="R13" i="1"/>
  <c r="AA13" i="1"/>
  <c r="AE13" i="1"/>
  <c r="AJ13" i="1"/>
  <c r="AJ64" i="1" s="1"/>
  <c r="AD15" i="1"/>
  <c r="Z16" i="1"/>
  <c r="AM16" i="1" s="1"/>
  <c r="AK17" i="1"/>
  <c r="AG17" i="1"/>
  <c r="AC17" i="1"/>
  <c r="Y17" i="1"/>
  <c r="AM17" i="1" s="1"/>
  <c r="T17" i="1"/>
  <c r="P17" i="1"/>
  <c r="P55" i="1" s="1"/>
  <c r="L17" i="1"/>
  <c r="Z17" i="1"/>
  <c r="K12" i="1"/>
  <c r="O12" i="1"/>
  <c r="S12" i="1"/>
  <c r="S50" i="1" s="1"/>
  <c r="AB12" i="1"/>
  <c r="AF12" i="1"/>
  <c r="L13" i="1"/>
  <c r="L51" i="1" s="1"/>
  <c r="P13" i="1"/>
  <c r="P51" i="1" s="1"/>
  <c r="T13" i="1"/>
  <c r="T51" i="1" s="1"/>
  <c r="Y13" i="1"/>
  <c r="AC13" i="1"/>
  <c r="AC64" i="1" s="1"/>
  <c r="AH13" i="1"/>
  <c r="K52" i="1"/>
  <c r="K15" i="1"/>
  <c r="P15" i="1"/>
  <c r="U15" i="1"/>
  <c r="AB15" i="1"/>
  <c r="AG15" i="1"/>
  <c r="AL15" i="1"/>
  <c r="L16" i="1"/>
  <c r="Q16" i="1"/>
  <c r="V16" i="1"/>
  <c r="AC16" i="1"/>
  <c r="AH16" i="1"/>
  <c r="K17" i="1"/>
  <c r="Q17" i="1"/>
  <c r="V17" i="1"/>
  <c r="V55" i="1" s="1"/>
  <c r="AB17" i="1"/>
  <c r="AH17" i="1"/>
  <c r="L21" i="1"/>
  <c r="T21" i="1"/>
  <c r="T50" i="1" s="1"/>
  <c r="AC21" i="1"/>
  <c r="AK21" i="1"/>
  <c r="M24" i="1"/>
  <c r="AI24" i="1"/>
  <c r="O26" i="1"/>
  <c r="Z26" i="1"/>
  <c r="AK26" i="1"/>
  <c r="Q32" i="1"/>
  <c r="AJ41" i="1"/>
  <c r="AF41" i="1"/>
  <c r="AB41" i="1"/>
  <c r="S41" i="1"/>
  <c r="O41" i="1"/>
  <c r="O52" i="1" s="1"/>
  <c r="K41" i="1"/>
  <c r="AI41" i="1"/>
  <c r="AE41" i="1"/>
  <c r="AA41" i="1"/>
  <c r="V41" i="1"/>
  <c r="R41" i="1"/>
  <c r="N41" i="1"/>
  <c r="AL41" i="1"/>
  <c r="AD41" i="1"/>
  <c r="U41" i="1"/>
  <c r="M41" i="1"/>
  <c r="AK41" i="1"/>
  <c r="AC41" i="1"/>
  <c r="T41" i="1"/>
  <c r="L41" i="1"/>
  <c r="Y41" i="1"/>
  <c r="M14" i="1"/>
  <c r="Q14" i="1"/>
  <c r="Q52" i="1" s="1"/>
  <c r="U14" i="1"/>
  <c r="U52" i="1" s="1"/>
  <c r="Z14" i="1"/>
  <c r="AM14" i="1" s="1"/>
  <c r="AD14" i="1"/>
  <c r="AD64" i="1" s="1"/>
  <c r="AH14" i="1"/>
  <c r="L23" i="1"/>
  <c r="L52" i="1" s="1"/>
  <c r="P23" i="1"/>
  <c r="P52" i="1" s="1"/>
  <c r="U23" i="1"/>
  <c r="AA23" i="1"/>
  <c r="AG23" i="1"/>
  <c r="AJ31" i="1"/>
  <c r="AF31" i="1"/>
  <c r="AI31" i="1"/>
  <c r="AE31" i="1"/>
  <c r="AA31" i="1"/>
  <c r="V31" i="1"/>
  <c r="R31" i="1"/>
  <c r="N31" i="1"/>
  <c r="W31" i="1" s="1"/>
  <c r="M31" i="1"/>
  <c r="S31" i="1"/>
  <c r="Y31" i="1"/>
  <c r="AD31" i="1"/>
  <c r="AL31" i="1"/>
  <c r="AL35" i="1"/>
  <c r="AH35" i="1"/>
  <c r="AD35" i="1"/>
  <c r="Z35" i="1"/>
  <c r="U35" i="1"/>
  <c r="Q35" i="1"/>
  <c r="AK35" i="1"/>
  <c r="AF35" i="1"/>
  <c r="AA35" i="1"/>
  <c r="T35" i="1"/>
  <c r="O35" i="1"/>
  <c r="K35" i="1"/>
  <c r="AJ35" i="1"/>
  <c r="AE35" i="1"/>
  <c r="Y35" i="1"/>
  <c r="S35" i="1"/>
  <c r="N35" i="1"/>
  <c r="R35" i="1"/>
  <c r="AC35" i="1"/>
  <c r="Z41" i="1"/>
  <c r="AK42" i="1"/>
  <c r="AG42" i="1"/>
  <c r="AC42" i="1"/>
  <c r="Y42" i="1"/>
  <c r="T42" i="1"/>
  <c r="P42" i="1"/>
  <c r="L42" i="1"/>
  <c r="AJ42" i="1"/>
  <c r="AF42" i="1"/>
  <c r="AB42" i="1"/>
  <c r="S42" i="1"/>
  <c r="O42" i="1"/>
  <c r="K42" i="1"/>
  <c r="AL42" i="1"/>
  <c r="AD42" i="1"/>
  <c r="U42" i="1"/>
  <c r="M42" i="1"/>
  <c r="AI42" i="1"/>
  <c r="AA42" i="1"/>
  <c r="R42" i="1"/>
  <c r="V42" i="1"/>
  <c r="AJ23" i="1"/>
  <c r="AF23" i="1"/>
  <c r="AB23" i="1"/>
  <c r="S23" i="1"/>
  <c r="S52" i="1" s="1"/>
  <c r="M23" i="1"/>
  <c r="Q23" i="1"/>
  <c r="V23" i="1"/>
  <c r="V52" i="1" s="1"/>
  <c r="AC23" i="1"/>
  <c r="AM23" i="1" s="1"/>
  <c r="AH23" i="1"/>
  <c r="P41" i="1"/>
  <c r="AG41" i="1"/>
  <c r="M25" i="1"/>
  <c r="M54" i="1" s="1"/>
  <c r="Q25" i="1"/>
  <c r="U25" i="1"/>
  <c r="Z25" i="1"/>
  <c r="AM25" i="1" s="1"/>
  <c r="AD25" i="1"/>
  <c r="AH25" i="1"/>
  <c r="M30" i="1"/>
  <c r="W30" i="1" s="1"/>
  <c r="Q30" i="1"/>
  <c r="U30" i="1"/>
  <c r="AD30" i="1"/>
  <c r="AH30" i="1"/>
  <c r="M34" i="1"/>
  <c r="W34" i="1" s="1"/>
  <c r="Q34" i="1"/>
  <c r="U34" i="1"/>
  <c r="Z34" i="1"/>
  <c r="AM34" i="1" s="1"/>
  <c r="AD34" i="1"/>
  <c r="AH34" i="1"/>
  <c r="AL34" i="1"/>
  <c r="N64" i="1"/>
  <c r="R64" i="1"/>
  <c r="V64" i="1"/>
  <c r="W63" i="1"/>
  <c r="M33" i="1"/>
  <c r="W33" i="1" s="1"/>
  <c r="Q33" i="1"/>
  <c r="U33" i="1"/>
  <c r="Z33" i="1"/>
  <c r="AD33" i="1"/>
  <c r="AH33" i="1"/>
  <c r="N34" i="1"/>
  <c r="R34" i="1"/>
  <c r="R54" i="1" s="1"/>
  <c r="V34" i="1"/>
  <c r="AA34" i="1"/>
  <c r="AE34" i="1"/>
  <c r="L39" i="1"/>
  <c r="L50" i="1" s="1"/>
  <c r="P39" i="1"/>
  <c r="T39" i="1"/>
  <c r="Y39" i="1"/>
  <c r="AC39" i="1"/>
  <c r="AG39" i="1"/>
  <c r="AK39" i="1"/>
  <c r="M40" i="1"/>
  <c r="W40" i="1" s="1"/>
  <c r="Q40" i="1"/>
  <c r="U40" i="1"/>
  <c r="Z40" i="1"/>
  <c r="AM40" i="1" s="1"/>
  <c r="AD40" i="1"/>
  <c r="AH40" i="1"/>
  <c r="AL40" i="1"/>
  <c r="L43" i="1"/>
  <c r="P43" i="1"/>
  <c r="T43" i="1"/>
  <c r="Y43" i="1"/>
  <c r="AC43" i="1"/>
  <c r="AG43" i="1"/>
  <c r="AK43" i="1"/>
  <c r="M44" i="1"/>
  <c r="W44" i="1" s="1"/>
  <c r="Q44" i="1"/>
  <c r="U44" i="1"/>
  <c r="Z44" i="1"/>
  <c r="AM44" i="1" s="1"/>
  <c r="AD44" i="1"/>
  <c r="AH44" i="1"/>
  <c r="AL44" i="1"/>
  <c r="M39" i="1"/>
  <c r="Q39" i="1"/>
  <c r="U39" i="1"/>
  <c r="AD39" i="1"/>
  <c r="AH39" i="1"/>
  <c r="N40" i="1"/>
  <c r="R40" i="1"/>
  <c r="V40" i="1"/>
  <c r="AA40" i="1"/>
  <c r="AE40" i="1"/>
  <c r="M43" i="1"/>
  <c r="Q43" i="1"/>
  <c r="W43" i="1" s="1"/>
  <c r="U43" i="1"/>
  <c r="Z43" i="1"/>
  <c r="AD43" i="1"/>
  <c r="AH43" i="1"/>
  <c r="N44" i="1"/>
  <c r="R44" i="1"/>
  <c r="V44" i="1"/>
  <c r="AA44" i="1"/>
  <c r="AE44" i="1"/>
  <c r="W60" i="1"/>
  <c r="W36" i="1" l="1"/>
  <c r="Z30" i="1"/>
  <c r="AM30" i="1" s="1"/>
  <c r="P56" i="1"/>
  <c r="AB64" i="1"/>
  <c r="AL64" i="1"/>
  <c r="Y64" i="1"/>
  <c r="Q51" i="1"/>
  <c r="AM31" i="1"/>
  <c r="Q55" i="1"/>
  <c r="V54" i="1"/>
  <c r="V56" i="1" s="1"/>
  <c r="K53" i="1"/>
  <c r="W15" i="1"/>
  <c r="L55" i="1"/>
  <c r="AH64" i="1"/>
  <c r="W14" i="1"/>
  <c r="AM22" i="1"/>
  <c r="O55" i="1"/>
  <c r="U54" i="1"/>
  <c r="O51" i="1"/>
  <c r="AA64" i="1"/>
  <c r="T54" i="1"/>
  <c r="AM15" i="1"/>
  <c r="U50" i="1"/>
  <c r="W24" i="1"/>
  <c r="AM24" i="1"/>
  <c r="W23" i="1"/>
  <c r="V53" i="1"/>
  <c r="AM41" i="1"/>
  <c r="AE64" i="1"/>
  <c r="V51" i="1"/>
  <c r="W42" i="1"/>
  <c r="W64" i="1"/>
  <c r="AM42" i="1"/>
  <c r="W35" i="1"/>
  <c r="M52" i="1"/>
  <c r="W39" i="1"/>
  <c r="K55" i="1"/>
  <c r="W17" i="1"/>
  <c r="Q54" i="1"/>
  <c r="O50" i="1"/>
  <c r="O56" i="1" s="1"/>
  <c r="R51" i="1"/>
  <c r="P54" i="1"/>
  <c r="T53" i="1"/>
  <c r="T56" i="1" s="1"/>
  <c r="K51" i="1"/>
  <c r="W13" i="1"/>
  <c r="W51" i="1" s="1"/>
  <c r="S55" i="1"/>
  <c r="S56" i="1" s="1"/>
  <c r="N54" i="1"/>
  <c r="N56" i="1" s="1"/>
  <c r="S53" i="1"/>
  <c r="M50" i="1"/>
  <c r="W32" i="1"/>
  <c r="W26" i="1"/>
  <c r="P53" i="1"/>
  <c r="AM33" i="1"/>
  <c r="AM43" i="1"/>
  <c r="AM35" i="1"/>
  <c r="W41" i="1"/>
  <c r="L54" i="1"/>
  <c r="L56" i="1" s="1"/>
  <c r="U53" i="1"/>
  <c r="AM13" i="1"/>
  <c r="AF64" i="1"/>
  <c r="K50" i="1"/>
  <c r="W12" i="1"/>
  <c r="T55" i="1"/>
  <c r="N51" i="1"/>
  <c r="Q50" i="1"/>
  <c r="U51" i="1"/>
  <c r="AM26" i="1"/>
  <c r="O53" i="1"/>
  <c r="AI64" i="1"/>
  <c r="R56" i="1"/>
  <c r="N55" i="1"/>
  <c r="K54" i="1"/>
  <c r="W16" i="1"/>
  <c r="W54" i="1" s="1"/>
  <c r="M53" i="1"/>
  <c r="AM32" i="1"/>
  <c r="W21" i="1"/>
  <c r="W27" i="1" l="1"/>
  <c r="Z21" i="1"/>
  <c r="AM21" i="1" s="1"/>
  <c r="Q56" i="1"/>
  <c r="K56" i="1"/>
  <c r="M56" i="1"/>
  <c r="W55" i="1"/>
  <c r="U56" i="1"/>
  <c r="W52" i="1"/>
  <c r="W53" i="1"/>
  <c r="W45" i="1"/>
  <c r="Z39" i="1"/>
  <c r="AM39" i="1" s="1"/>
  <c r="W50" i="1"/>
  <c r="W18" i="1"/>
  <c r="Z12" i="1"/>
  <c r="Z64" i="1" l="1"/>
  <c r="AM12" i="1"/>
  <c r="AM64" i="1" s="1"/>
  <c r="AN64" i="1" s="1"/>
  <c r="W56" i="1"/>
  <c r="J53" i="1" l="1"/>
  <c r="J54" i="1"/>
  <c r="J50" i="1"/>
  <c r="J55" i="1"/>
  <c r="J51" i="1"/>
  <c r="J52" i="1"/>
  <c r="J64" i="1"/>
  <c r="J56" i="1" l="1"/>
</calcChain>
</file>

<file path=xl/sharedStrings.xml><?xml version="1.0" encoding="utf-8"?>
<sst xmlns="http://schemas.openxmlformats.org/spreadsheetml/2006/main" count="26" uniqueCount="26">
  <si>
    <t>Désignation</t>
  </si>
  <si>
    <t>Catégorie de ventes</t>
  </si>
  <si>
    <t>Catégorie d'activité</t>
  </si>
  <si>
    <t>Variables</t>
  </si>
  <si>
    <t>Concrétisation chiffre d'affaires</t>
  </si>
  <si>
    <t>PARENT Jean</t>
  </si>
  <si>
    <t>Cumul</t>
  </si>
  <si>
    <t>Ecarts</t>
  </si>
  <si>
    <t>PICARD Philippe</t>
  </si>
  <si>
    <t>SANS</t>
  </si>
  <si>
    <t>Recapitulatif</t>
  </si>
  <si>
    <t>Désignation des ventes</t>
  </si>
  <si>
    <t>Catégories de ventes</t>
  </si>
  <si>
    <t>Catégorie Activité</t>
  </si>
  <si>
    <t>%</t>
  </si>
  <si>
    <t>SOLS</t>
  </si>
  <si>
    <t>2-Mousse commer.</t>
  </si>
  <si>
    <t>MURS</t>
  </si>
  <si>
    <t>Carrelage</t>
  </si>
  <si>
    <t>Chaudière</t>
  </si>
  <si>
    <t>Chaudière installation</t>
  </si>
  <si>
    <t>Chape liquide</t>
  </si>
  <si>
    <t>Coût commercial</t>
  </si>
  <si>
    <t>Nom des agents</t>
  </si>
  <si>
    <t>Taux de commis.</t>
  </si>
  <si>
    <t>Taux de commissions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</si>
</sst>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"/>
    <numFmt numFmtId="165" formatCode="_(&quot;€&quot;* #,##0.00_);_(&quot;€&quot;* \(#,##0.00\);_(&quot;€&quot;* &quot;-&quot;??_);_(@_)"/>
    <numFmt numFmtId="166" formatCode="#,##0.00_ ;[Red]\-#,##0.00\ "/>
    <numFmt numFmtId="167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3" fillId="2" borderId="2">
      <alignment vertical="center"/>
    </xf>
    <xf numFmtId="10" fontId="3" fillId="2" borderId="2">
      <alignment vertical="center"/>
    </xf>
    <xf numFmtId="167" fontId="1" fillId="6" borderId="1" applyProtection="0">
      <alignment horizontal="left" vertical="center"/>
    </xf>
  </cellStyleXfs>
  <cellXfs count="57">
    <xf numFmtId="0" fontId="0" fillId="0" borderId="0" xfId="0"/>
    <xf numFmtId="0" fontId="4" fillId="3" borderId="0" xfId="0" applyFont="1" applyFill="1" applyAlignment="1"/>
    <xf numFmtId="0" fontId="0" fillId="3" borderId="0" xfId="0" applyFill="1"/>
    <xf numFmtId="0" fontId="0" fillId="3" borderId="0" xfId="0" applyFill="1" applyAlignment="1"/>
    <xf numFmtId="0" fontId="0" fillId="4" borderId="0" xfId="0" applyFill="1"/>
    <xf numFmtId="0" fontId="0" fillId="4" borderId="0" xfId="0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6" borderId="3" xfId="0" applyNumberFormat="1" applyFont="1" applyFill="1" applyBorder="1" applyAlignment="1" applyProtection="1">
      <alignment horizontal="center" vertical="center"/>
      <protection locked="0"/>
    </xf>
    <xf numFmtId="0" fontId="6" fillId="6" borderId="4" xfId="0" applyNumberFormat="1" applyFont="1" applyFill="1" applyBorder="1" applyAlignment="1" applyProtection="1">
      <alignment horizontal="center" vertical="center"/>
      <protection locked="0"/>
    </xf>
    <xf numFmtId="0" fontId="6" fillId="6" borderId="2" xfId="0" applyNumberFormat="1" applyFont="1" applyFill="1" applyBorder="1" applyAlignment="1" applyProtection="1">
      <alignment horizontal="center" vertical="center"/>
      <protection locked="0"/>
    </xf>
    <xf numFmtId="14" fontId="0" fillId="7" borderId="3" xfId="0" applyNumberFormat="1" applyFill="1" applyBorder="1" applyAlignment="1">
      <alignment horizontal="center" vertical="center"/>
    </xf>
    <xf numFmtId="14" fontId="0" fillId="7" borderId="2" xfId="0" applyNumberFormat="1" applyFill="1" applyBorder="1" applyAlignment="1">
      <alignment horizontal="center" vertical="center"/>
    </xf>
    <xf numFmtId="166" fontId="0" fillId="5" borderId="1" xfId="1" applyNumberFormat="1" applyFont="1" applyFill="1" applyBorder="1" applyAlignment="1" applyProtection="1">
      <alignment horizontal="center" vertical="center" wrapText="1"/>
      <protection hidden="1"/>
    </xf>
    <xf numFmtId="167" fontId="0" fillId="8" borderId="1" xfId="0" applyNumberFormat="1" applyFill="1" applyBorder="1"/>
    <xf numFmtId="10" fontId="0" fillId="6" borderId="1" xfId="2" applyNumberFormat="1" applyFont="1" applyFill="1" applyBorder="1" applyProtection="1">
      <protection locked="0"/>
    </xf>
    <xf numFmtId="44" fontId="0" fillId="8" borderId="1" xfId="1" applyFont="1" applyFill="1" applyBorder="1" applyAlignment="1">
      <alignment horizontal="center"/>
    </xf>
    <xf numFmtId="165" fontId="3" fillId="2" borderId="2" xfId="3">
      <alignment vertical="center"/>
    </xf>
    <xf numFmtId="166" fontId="0" fillId="4" borderId="0" xfId="0" applyNumberFormat="1" applyFill="1" applyProtection="1">
      <protection hidden="1"/>
    </xf>
    <xf numFmtId="166" fontId="0" fillId="4" borderId="0" xfId="0" applyNumberFormat="1" applyFill="1"/>
    <xf numFmtId="0" fontId="7" fillId="4" borderId="0" xfId="0" applyFont="1" applyFill="1" applyAlignment="1">
      <alignment horizontal="right" vertical="center" wrapText="1"/>
    </xf>
    <xf numFmtId="43" fontId="7" fillId="4" borderId="0" xfId="0" applyNumberFormat="1" applyFont="1" applyFill="1" applyAlignment="1">
      <alignment horizontal="right" vertical="center" wrapText="1"/>
    </xf>
    <xf numFmtId="10" fontId="3" fillId="2" borderId="1" xfId="4" applyBorder="1">
      <alignment vertical="center"/>
    </xf>
    <xf numFmtId="44" fontId="2" fillId="6" borderId="1" xfId="1" applyFont="1" applyFill="1" applyBorder="1" applyAlignment="1" applyProtection="1">
      <alignment horizontal="center"/>
      <protection locked="0"/>
    </xf>
    <xf numFmtId="165" fontId="0" fillId="4" borderId="0" xfId="0" applyNumberFormat="1" applyFill="1" applyAlignment="1">
      <alignment horizontal="center"/>
    </xf>
    <xf numFmtId="10" fontId="3" fillId="2" borderId="2" xfId="4">
      <alignment vertical="center"/>
    </xf>
    <xf numFmtId="0" fontId="4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44" fontId="2" fillId="8" borderId="1" xfId="1" applyFont="1" applyFill="1" applyBorder="1" applyAlignment="1">
      <alignment horizontal="center"/>
    </xf>
    <xf numFmtId="0" fontId="6" fillId="9" borderId="3" xfId="0" applyNumberFormat="1" applyFont="1" applyFill="1" applyBorder="1" applyAlignment="1">
      <alignment horizontal="center" vertical="center"/>
    </xf>
    <xf numFmtId="0" fontId="6" fillId="9" borderId="4" xfId="0" applyNumberFormat="1" applyFont="1" applyFill="1" applyBorder="1" applyAlignment="1">
      <alignment horizontal="center" vertical="center"/>
    </xf>
    <xf numFmtId="0" fontId="6" fillId="9" borderId="2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167" fontId="1" fillId="6" borderId="1" xfId="5" applyBorder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>
      <alignment vertical="center"/>
    </xf>
    <xf numFmtId="10" fontId="0" fillId="10" borderId="1" xfId="2" applyNumberFormat="1" applyFont="1" applyFill="1" applyBorder="1"/>
    <xf numFmtId="167" fontId="0" fillId="6" borderId="1" xfId="5" applyFont="1" applyBorder="1" applyProtection="1">
      <alignment horizontal="left" vertical="center"/>
      <protection locked="0"/>
    </xf>
    <xf numFmtId="10" fontId="2" fillId="8" borderId="1" xfId="0" applyNumberFormat="1" applyFont="1" applyFill="1" applyBorder="1"/>
    <xf numFmtId="0" fontId="0" fillId="5" borderId="3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10" fontId="0" fillId="6" borderId="1" xfId="2" applyNumberFormat="1" applyFont="1" applyFill="1" applyBorder="1" applyAlignment="1" applyProtection="1">
      <alignment horizontal="center"/>
      <protection locked="0"/>
    </xf>
    <xf numFmtId="0" fontId="0" fillId="11" borderId="5" xfId="0" applyFill="1" applyBorder="1" applyAlignment="1">
      <alignment horizontal="center"/>
    </xf>
    <xf numFmtId="10" fontId="0" fillId="6" borderId="6" xfId="2" applyNumberFormat="1" applyFont="1" applyFill="1" applyBorder="1" applyAlignment="1" applyProtection="1">
      <alignment horizontal="center"/>
      <protection locked="0"/>
    </xf>
    <xf numFmtId="0" fontId="9" fillId="12" borderId="3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44" fontId="0" fillId="10" borderId="1" xfId="1" applyFont="1" applyFill="1" applyBorder="1" applyAlignment="1" applyProtection="1">
      <alignment horizontal="center" vertical="center" wrapText="1"/>
      <protection hidden="1"/>
    </xf>
  </cellXfs>
  <cellStyles count="6">
    <cellStyle name="Monétaire" xfId="1" builtinId="4"/>
    <cellStyle name="Normal" xfId="0" builtinId="0"/>
    <cellStyle name="Pourcentage" xfId="2" builtinId="5"/>
    <cellStyle name="Saisie" xfId="5" xr:uid="{757EF6A2-3A8B-4A16-A520-C88F6609AB7B}"/>
    <cellStyle name="Total bleu" xfId="3" xr:uid="{359BE553-8433-40C8-951F-045C8718371F}"/>
    <cellStyle name="Total Pourcentage" xfId="4" xr:uid="{8B4E5231-61D9-46A4-8E21-F8C9B5B54EFA}"/>
  </cellStyles>
  <dxfs count="2"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Menu commercial'!A1"/><Relationship Id="rId2" Type="http://schemas.openxmlformats.org/officeDocument/2006/relationships/hyperlink" Target="#Performance!A1"/><Relationship Id="rId1" Type="http://schemas.openxmlformats.org/officeDocument/2006/relationships/hyperlink" Target="#'Menu General'!A1"/><Relationship Id="rId4" Type="http://schemas.openxmlformats.org/officeDocument/2006/relationships/hyperlink" Target="#Cat&#233;gorie_Produit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206376</xdr:colOff>
      <xdr:row>11</xdr:row>
      <xdr:rowOff>21244</xdr:rowOff>
    </xdr:from>
    <xdr:to>
      <xdr:col>4</xdr:col>
      <xdr:colOff>188376</xdr:colOff>
      <xdr:row>12</xdr:row>
      <xdr:rowOff>275494</xdr:rowOff>
    </xdr:to>
    <xdr:sp macro="" textlink="">
      <xdr:nvSpPr>
        <xdr:cNvPr id="2" name="Rectangle à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1BC83F-59F2-41F6-BB87-9ADA235665CA}"/>
            </a:ext>
          </a:extLst>
        </xdr:cNvPr>
        <xdr:cNvSpPr/>
      </xdr:nvSpPr>
      <xdr:spPr>
        <a:xfrm>
          <a:off x="520701" y="2621569"/>
          <a:ext cx="2268000" cy="54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 Général</a:t>
          </a:r>
        </a:p>
      </xdr:txBody>
    </xdr:sp>
    <xdr:clientData/>
  </xdr:twoCellAnchor>
  <xdr:twoCellAnchor>
    <xdr:from>
      <xdr:col>1</xdr:col>
      <xdr:colOff>206376</xdr:colOff>
      <xdr:row>15</xdr:row>
      <xdr:rowOff>229332</xdr:rowOff>
    </xdr:from>
    <xdr:to>
      <xdr:col>4</xdr:col>
      <xdr:colOff>188376</xdr:colOff>
      <xdr:row>17</xdr:row>
      <xdr:rowOff>197832</xdr:rowOff>
    </xdr:to>
    <xdr:sp macro="" textlink="">
      <xdr:nvSpPr>
        <xdr:cNvPr id="3" name="Rectangle à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4297A50-59FC-4421-A207-B40263704BB8}"/>
            </a:ext>
          </a:extLst>
        </xdr:cNvPr>
        <xdr:cNvSpPr/>
      </xdr:nvSpPr>
      <xdr:spPr>
        <a:xfrm>
          <a:off x="520701" y="3972657"/>
          <a:ext cx="2268000" cy="54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Performance</a:t>
          </a:r>
        </a:p>
      </xdr:txBody>
    </xdr:sp>
    <xdr:clientData/>
  </xdr:twoCellAnchor>
  <xdr:twoCellAnchor>
    <xdr:from>
      <xdr:col>1</xdr:col>
      <xdr:colOff>206376</xdr:colOff>
      <xdr:row>8</xdr:row>
      <xdr:rowOff>19049</xdr:rowOff>
    </xdr:from>
    <xdr:to>
      <xdr:col>4</xdr:col>
      <xdr:colOff>188376</xdr:colOff>
      <xdr:row>10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B34B950-E030-44A0-8EE6-8CBA755A4A4F}"/>
            </a:ext>
          </a:extLst>
        </xdr:cNvPr>
        <xdr:cNvSpPr/>
      </xdr:nvSpPr>
      <xdr:spPr>
        <a:xfrm>
          <a:off x="520701" y="1638299"/>
          <a:ext cx="2268000" cy="847726"/>
        </a:xfrm>
        <a:prstGeom prst="rect">
          <a:avLst/>
        </a:prstGeom>
        <a:gradFill>
          <a:gsLst>
            <a:gs pos="0">
              <a:srgbClr val="92D050"/>
            </a:gs>
            <a:gs pos="35000">
              <a:schemeClr val="accent3">
                <a:tint val="37000"/>
                <a:satMod val="300000"/>
              </a:schemeClr>
            </a:gs>
            <a:gs pos="100000">
              <a:schemeClr val="accent3">
                <a:tint val="15000"/>
                <a:satMod val="350000"/>
              </a:schemeClr>
            </a:gs>
          </a:gsLst>
        </a:gra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2400" b="1" baseline="0"/>
            <a:t>Agents commerciaux</a:t>
          </a:r>
        </a:p>
      </xdr:txBody>
    </xdr:sp>
    <xdr:clientData/>
  </xdr:twoCellAnchor>
  <xdr:twoCellAnchor>
    <xdr:from>
      <xdr:col>1</xdr:col>
      <xdr:colOff>206376</xdr:colOff>
      <xdr:row>13</xdr:row>
      <xdr:rowOff>125288</xdr:rowOff>
    </xdr:from>
    <xdr:to>
      <xdr:col>4</xdr:col>
      <xdr:colOff>188376</xdr:colOff>
      <xdr:row>15</xdr:row>
      <xdr:rowOff>93788</xdr:rowOff>
    </xdr:to>
    <xdr:sp macro="" textlink="">
      <xdr:nvSpPr>
        <xdr:cNvPr id="5" name="Rectangle à coins arrondis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B544FBC-D386-49D0-8581-AAC71003DC29}"/>
            </a:ext>
          </a:extLst>
        </xdr:cNvPr>
        <xdr:cNvSpPr/>
      </xdr:nvSpPr>
      <xdr:spPr>
        <a:xfrm>
          <a:off x="520701" y="3297113"/>
          <a:ext cx="2268000" cy="54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 Commercial</a:t>
          </a:r>
        </a:p>
      </xdr:txBody>
    </xdr:sp>
    <xdr:clientData/>
  </xdr:twoCellAnchor>
  <xdr:twoCellAnchor>
    <xdr:from>
      <xdr:col>1</xdr:col>
      <xdr:colOff>206376</xdr:colOff>
      <xdr:row>18</xdr:row>
      <xdr:rowOff>47625</xdr:rowOff>
    </xdr:from>
    <xdr:to>
      <xdr:col>4</xdr:col>
      <xdr:colOff>188376</xdr:colOff>
      <xdr:row>20</xdr:row>
      <xdr:rowOff>16125</xdr:rowOff>
    </xdr:to>
    <xdr:sp macro="" textlink="">
      <xdr:nvSpPr>
        <xdr:cNvPr id="6" name="Rectangle à coins arrondis 1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3983063-BD39-46B8-AEF8-7D1FB20564E3}"/>
            </a:ext>
          </a:extLst>
        </xdr:cNvPr>
        <xdr:cNvSpPr/>
      </xdr:nvSpPr>
      <xdr:spPr>
        <a:xfrm>
          <a:off x="520701" y="4648200"/>
          <a:ext cx="2268000" cy="54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Catégories</a:t>
          </a:r>
          <a:r>
            <a:rPr lang="fr-FR" sz="2000" b="1" baseline="0"/>
            <a:t> produit</a:t>
          </a:r>
        </a:p>
      </xdr:txBody>
    </xdr:sp>
    <xdr:clientData/>
  </xdr:twoCellAnchor>
  <xdr:twoCellAnchor>
    <xdr:from>
      <xdr:col>1</xdr:col>
      <xdr:colOff>266700</xdr:colOff>
      <xdr:row>73</xdr:row>
      <xdr:rowOff>180975</xdr:rowOff>
    </xdr:from>
    <xdr:to>
      <xdr:col>4</xdr:col>
      <xdr:colOff>257175</xdr:colOff>
      <xdr:row>76</xdr:row>
      <xdr:rowOff>180975</xdr:rowOff>
    </xdr:to>
    <xdr:sp macro="" textlink="">
      <xdr:nvSpPr>
        <xdr:cNvPr id="7" name="Rectangle à coins arrondis 1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7087105-699B-417B-B483-1ABA18F647C1}"/>
            </a:ext>
          </a:extLst>
        </xdr:cNvPr>
        <xdr:cNvSpPr/>
      </xdr:nvSpPr>
      <xdr:spPr>
        <a:xfrm>
          <a:off x="581025" y="19831050"/>
          <a:ext cx="2276475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Menu Commercial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AUTILU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ution_Produit"/>
      <sheetName val="Menu General"/>
      <sheetName val="Menu Previsions"/>
      <sheetName val="Menu commercial"/>
      <sheetName val="Menu Outils"/>
      <sheetName val="Aide"/>
      <sheetName val="Parametres"/>
      <sheetName val="Calendrier"/>
      <sheetName val="Resultat N-1"/>
      <sheetName val="Heures N-1"/>
      <sheetName val="Financement"/>
      <sheetName val="Simul_Emprunt"/>
      <sheetName val="Credits bails"/>
      <sheetName val="Emprunts"/>
      <sheetName val="Investissements"/>
      <sheetName val="Ventes"/>
      <sheetName val="Achats"/>
      <sheetName val="Ventes MO"/>
      <sheetName val="Frais variables"/>
      <sheetName val="Frais généraux"/>
      <sheetName val="Autres charges personnel"/>
      <sheetName val="Frais Financiers"/>
      <sheetName val="Charges except"/>
      <sheetName val="Performance"/>
      <sheetName val="Frais commerciaux"/>
      <sheetName val="Objectif com"/>
      <sheetName val="Agents commerciaux"/>
      <sheetName val="Objectif Global"/>
      <sheetName val="Objectif croisé"/>
      <sheetName val="Salaires commerciaux"/>
      <sheetName val="Salariés Productif"/>
      <sheetName val="Intérimaires"/>
      <sheetName val="Sous-traitance"/>
      <sheetName val="Salariés autres"/>
      <sheetName val="Heures potentielles"/>
      <sheetName val="Ventil FG"/>
      <sheetName val="Ventil CA"/>
      <sheetName val="Resultat Prev"/>
      <sheetName val="Indicateur Previs"/>
      <sheetName val="Saisie_Doc"/>
      <sheetName val="Data_Client"/>
      <sheetName val="Data_Doc"/>
      <sheetName val="Indicateur Doc"/>
      <sheetName val="Analyse_Doc"/>
      <sheetName val="TC_FG"/>
      <sheetName val="TC_CA"/>
      <sheetName val="TC_Data_Doc"/>
      <sheetName val="Resultat"/>
    </sheetNames>
    <sheetDataSet>
      <sheetData sheetId="0"/>
      <sheetData sheetId="1"/>
      <sheetData sheetId="2"/>
      <sheetData sheetId="3"/>
      <sheetData sheetId="4"/>
      <sheetData sheetId="5"/>
      <sheetData sheetId="6">
        <row r="30">
          <cell r="B30">
            <v>43131</v>
          </cell>
          <cell r="C30">
            <v>43159</v>
          </cell>
          <cell r="D30">
            <v>43190</v>
          </cell>
          <cell r="E30">
            <v>43220</v>
          </cell>
          <cell r="F30">
            <v>43251</v>
          </cell>
          <cell r="G30">
            <v>43281</v>
          </cell>
          <cell r="H30">
            <v>43312</v>
          </cell>
          <cell r="I30">
            <v>43343</v>
          </cell>
          <cell r="J30">
            <v>43373</v>
          </cell>
          <cell r="K30">
            <v>43404</v>
          </cell>
          <cell r="L30">
            <v>43434</v>
          </cell>
          <cell r="M30">
            <v>43465</v>
          </cell>
          <cell r="N30" t="str">
            <v>Total annuel</v>
          </cell>
        </row>
        <row r="38">
          <cell r="T38" t="str">
            <v>PARENT Jean</v>
          </cell>
          <cell r="V38">
            <v>43282</v>
          </cell>
          <cell r="W38">
            <v>43465</v>
          </cell>
        </row>
        <row r="39">
          <cell r="T39" t="str">
            <v>PICARD Philippe</v>
          </cell>
          <cell r="V39">
            <v>43101</v>
          </cell>
        </row>
        <row r="40">
          <cell r="T40" t="str">
            <v>Agent 3</v>
          </cell>
          <cell r="V40">
            <v>43132</v>
          </cell>
        </row>
        <row r="41">
          <cell r="T41" t="str">
            <v>Agent 4</v>
          </cell>
          <cell r="V41">
            <v>43160</v>
          </cell>
        </row>
        <row r="42">
          <cell r="T42" t="str">
            <v>Agent 5</v>
          </cell>
          <cell r="V42">
            <v>43191</v>
          </cell>
        </row>
        <row r="43">
          <cell r="T43" t="str">
            <v>Agent 6</v>
          </cell>
          <cell r="V43">
            <v>43221</v>
          </cell>
        </row>
        <row r="44">
          <cell r="T44" t="str">
            <v>Agent 7</v>
          </cell>
          <cell r="V44">
            <v>43252</v>
          </cell>
        </row>
        <row r="45">
          <cell r="T45" t="str">
            <v>Agent 8</v>
          </cell>
          <cell r="V45">
            <v>43282</v>
          </cell>
        </row>
        <row r="46">
          <cell r="T46" t="str">
            <v>Agent 9</v>
          </cell>
          <cell r="V46">
            <v>43313</v>
          </cell>
        </row>
        <row r="47">
          <cell r="T47" t="str">
            <v>Agent 10</v>
          </cell>
          <cell r="V47">
            <v>43344</v>
          </cell>
        </row>
        <row r="84">
          <cell r="B84" t="str">
            <v>1-Mousse Directe</v>
          </cell>
          <cell r="E84" t="str">
            <v>Mousse</v>
          </cell>
          <cell r="G84" t="str">
            <v>SOLS</v>
          </cell>
        </row>
        <row r="85">
          <cell r="B85" t="str">
            <v>2-Mousse commer.</v>
          </cell>
          <cell r="E85" t="str">
            <v>Mousse</v>
          </cell>
          <cell r="G85" t="str">
            <v>MURS</v>
          </cell>
        </row>
        <row r="86">
          <cell r="B86" t="str">
            <v>3-Chape directe</v>
          </cell>
          <cell r="E86" t="str">
            <v>Chape</v>
          </cell>
          <cell r="G86" t="str">
            <v>Chape</v>
          </cell>
        </row>
        <row r="87">
          <cell r="B87" t="str">
            <v>4-Chape Commer.</v>
          </cell>
          <cell r="E87" t="str">
            <v>Chape</v>
          </cell>
          <cell r="G87" t="str">
            <v>Aspiration centralisée</v>
          </cell>
        </row>
        <row r="88">
          <cell r="B88" t="str">
            <v>5-DUOVAC directe</v>
          </cell>
          <cell r="E88" t="str">
            <v>Duovac</v>
          </cell>
          <cell r="G88" t="str">
            <v>Carrelage</v>
          </cell>
        </row>
        <row r="89">
          <cell r="B89" t="str">
            <v>6-DUOVAC Commer.</v>
          </cell>
          <cell r="E89" t="str">
            <v>Duovac</v>
          </cell>
          <cell r="G89" t="str">
            <v>Etude Maison individuelle</v>
          </cell>
        </row>
        <row r="90">
          <cell r="B90" t="str">
            <v>7-Carrelage Directe</v>
          </cell>
          <cell r="E90" t="str">
            <v>Carrelage</v>
          </cell>
          <cell r="G90" t="str">
            <v>Etude Immeuble</v>
          </cell>
        </row>
        <row r="91">
          <cell r="B91" t="str">
            <v>8-Etude Thermique Directe</v>
          </cell>
          <cell r="E91" t="str">
            <v>Etude</v>
          </cell>
          <cell r="G91" t="str">
            <v>Chaudière</v>
          </cell>
        </row>
        <row r="92">
          <cell r="B92" t="str">
            <v>9-Chaudière Commer.</v>
          </cell>
          <cell r="E92" t="str">
            <v>Chauffage</v>
          </cell>
          <cell r="G92" t="str">
            <v>Chaudière installation</v>
          </cell>
        </row>
        <row r="93">
          <cell r="B93" t="str">
            <v>10-Chaudière Directe</v>
          </cell>
          <cell r="E93" t="str">
            <v>Chauffage</v>
          </cell>
          <cell r="G93" t="str">
            <v>Réparation plomberie</v>
          </cell>
        </row>
        <row r="94">
          <cell r="B94" t="str">
            <v>11-Réparation Plomberie</v>
          </cell>
          <cell r="E94" t="str">
            <v>Plomberie</v>
          </cell>
          <cell r="G94" t="str">
            <v>Désignation vente 11</v>
          </cell>
        </row>
        <row r="95">
          <cell r="B95" t="str">
            <v>12-Carrelage Commer.</v>
          </cell>
          <cell r="E95" t="str">
            <v>Carrelage</v>
          </cell>
          <cell r="G95" t="str">
            <v>Désignation vente 12</v>
          </cell>
        </row>
        <row r="96">
          <cell r="B96" t="str">
            <v>13-Activité 13</v>
          </cell>
          <cell r="E96" t="str">
            <v>Activité 13</v>
          </cell>
          <cell r="G96" t="str">
            <v>Désignation vente 13</v>
          </cell>
        </row>
        <row r="97">
          <cell r="B97" t="str">
            <v>14-Activité 14</v>
          </cell>
          <cell r="E97" t="str">
            <v>Activité 14</v>
          </cell>
          <cell r="G97" t="str">
            <v>Désignation vente 14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2">
          <cell r="J12">
            <v>0.16666666666666669</v>
          </cell>
        </row>
        <row r="13">
          <cell r="J13">
            <v>0.16666666666666669</v>
          </cell>
        </row>
        <row r="14">
          <cell r="J14">
            <v>0.16666666666666669</v>
          </cell>
        </row>
        <row r="15">
          <cell r="J15">
            <v>0.16666666666666669</v>
          </cell>
        </row>
        <row r="16">
          <cell r="J16">
            <v>0.16666666666666669</v>
          </cell>
        </row>
        <row r="17">
          <cell r="J17">
            <v>0.16666666666666669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E2694-EE03-4523-81DE-30288AD50679}">
  <dimension ref="A8:AN81"/>
  <sheetViews>
    <sheetView tabSelected="1" topLeftCell="A4" workbookViewId="0">
      <selection activeCell="J18" sqref="J18"/>
    </sheetView>
  </sheetViews>
  <sheetFormatPr baseColWidth="10" defaultRowHeight="15" customHeight="1" outlineLevelCol="1" x14ac:dyDescent="0.35"/>
  <cols>
    <col min="1" max="1" width="4.7109375" style="1" customWidth="1" outlineLevel="1"/>
    <col min="2" max="5" width="11.42578125" style="2" outlineLevel="1"/>
    <col min="6" max="6" width="6.140625" style="4" customWidth="1"/>
    <col min="7" max="7" width="22.85546875" style="4" customWidth="1"/>
    <col min="8" max="8" width="22" style="4" bestFit="1" customWidth="1"/>
    <col min="9" max="9" width="22" style="4" customWidth="1"/>
    <col min="10" max="10" width="10.42578125" style="4" customWidth="1"/>
    <col min="11" max="22" width="12.85546875" style="5" bestFit="1" customWidth="1"/>
    <col min="23" max="23" width="14.28515625" style="5" bestFit="1" customWidth="1"/>
    <col min="24" max="24" width="11.42578125" style="4"/>
    <col min="25" max="40" width="14.28515625" style="4" customWidth="1"/>
    <col min="41" max="16384" width="11.42578125" style="4"/>
  </cols>
  <sheetData>
    <row r="8" spans="1:40" ht="23.1" customHeight="1" x14ac:dyDescent="0.35">
      <c r="B8" s="1"/>
      <c r="D8" s="3"/>
      <c r="E8" s="3"/>
    </row>
    <row r="9" spans="1:40" s="11" customFormat="1" ht="31.5" customHeight="1" x14ac:dyDescent="0.25">
      <c r="A9" s="6"/>
      <c r="B9" s="7"/>
      <c r="C9" s="7"/>
      <c r="D9" s="7"/>
      <c r="E9" s="7"/>
      <c r="F9" s="4"/>
      <c r="G9" s="8" t="s">
        <v>0</v>
      </c>
      <c r="H9" s="9" t="s">
        <v>1</v>
      </c>
      <c r="I9" s="9" t="s">
        <v>2</v>
      </c>
      <c r="J9" s="8" t="s">
        <v>3</v>
      </c>
      <c r="K9" s="10">
        <f>Mois1</f>
        <v>43131</v>
      </c>
      <c r="L9" s="10">
        <f>Mois2</f>
        <v>43159</v>
      </c>
      <c r="M9" s="10">
        <f>Mois3</f>
        <v>43190</v>
      </c>
      <c r="N9" s="10">
        <f>Mois4</f>
        <v>43220</v>
      </c>
      <c r="O9" s="10">
        <f>Mois5</f>
        <v>43251</v>
      </c>
      <c r="P9" s="10">
        <f>Mois6</f>
        <v>43281</v>
      </c>
      <c r="Q9" s="10">
        <f>Mois7</f>
        <v>43312</v>
      </c>
      <c r="R9" s="10">
        <f>Mois8</f>
        <v>43343</v>
      </c>
      <c r="S9" s="10">
        <f>Mois9</f>
        <v>43373</v>
      </c>
      <c r="T9" s="10">
        <f>Mois10</f>
        <v>43404</v>
      </c>
      <c r="U9" s="10">
        <f>Mois11</f>
        <v>43434</v>
      </c>
      <c r="V9" s="10">
        <f>Mois12</f>
        <v>43465</v>
      </c>
      <c r="W9" s="8" t="str">
        <f>Mois_Total_Annuel</f>
        <v>Total annuel</v>
      </c>
    </row>
    <row r="10" spans="1:40" ht="23.45" customHeight="1" x14ac:dyDescent="0.35">
      <c r="B10" s="1"/>
      <c r="D10" s="3"/>
      <c r="E10" s="3"/>
      <c r="G10" s="12" t="s">
        <v>4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40" ht="23.1" customHeight="1" x14ac:dyDescent="0.35">
      <c r="H11" s="12"/>
      <c r="I11" s="12"/>
      <c r="J11" s="13" t="s">
        <v>5</v>
      </c>
      <c r="K11" s="14"/>
      <c r="L11" s="15"/>
      <c r="N11" s="16">
        <f>IF(ISNA(VLOOKUP(J11,Agents_Commer,3,FALSE)),0,VLOOKUP(J11,Agents_Commer,3,FALSE))</f>
        <v>43282</v>
      </c>
      <c r="O11" s="17"/>
      <c r="Q11" s="16">
        <f>IF(ISNA(VLOOKUP(J11,Agents_Commer,4,FALSE)),0,VLOOKUP(J11,Agents_Commer,4,FALSE))</f>
        <v>43465</v>
      </c>
      <c r="R11" s="17"/>
      <c r="Y11" s="18" t="str">
        <f>Categorie_Ventes_lbl1</f>
        <v>1-Mousse Directe</v>
      </c>
      <c r="Z11" s="18" t="str">
        <f>Categorie_Ventes_lbl2</f>
        <v>2-Mousse commer.</v>
      </c>
      <c r="AA11" s="18" t="str">
        <f>Categorie_Ventes_lbl3</f>
        <v>3-Chape directe</v>
      </c>
      <c r="AB11" s="18" t="str">
        <f>Categorie_Ventes_lbl4</f>
        <v>4-Chape Commer.</v>
      </c>
      <c r="AC11" s="18" t="str">
        <f>Categorie_Ventes_lbl5</f>
        <v>5-DUOVAC directe</v>
      </c>
      <c r="AD11" s="18" t="str">
        <f>Categorie_Ventes_lbl6</f>
        <v>6-DUOVAC Commer.</v>
      </c>
      <c r="AE11" s="18" t="str">
        <f>Categorie_Ventes_lbl7</f>
        <v>7-Carrelage Directe</v>
      </c>
      <c r="AF11" s="18" t="str">
        <f>Categorie_Ventes_lbl8</f>
        <v>8-Etude Thermique Directe</v>
      </c>
      <c r="AG11" s="18" t="str">
        <f>Categorie_Ventes_lbl9</f>
        <v>9-Chaudière Commer.</v>
      </c>
      <c r="AH11" s="18" t="str">
        <f>Categorie_Ventes_lbl10</f>
        <v>10-Chaudière Directe</v>
      </c>
      <c r="AI11" s="18" t="str">
        <f>Categorie_Ventes_lbl11</f>
        <v>11-Réparation Plomberie</v>
      </c>
      <c r="AJ11" s="18" t="str">
        <f>Categorie_Ventes_lbl12</f>
        <v>12-Carrelage Commer.</v>
      </c>
      <c r="AK11" s="18" t="str">
        <f>Categorie_Ventes_lbl13</f>
        <v>13-Activité 13</v>
      </c>
      <c r="AL11" s="18" t="str">
        <f>Categorie_Ventes_lbl14</f>
        <v>14-Activité 14</v>
      </c>
      <c r="AM11" s="18" t="s">
        <v>6</v>
      </c>
      <c r="AN11" s="18" t="s">
        <v>7</v>
      </c>
    </row>
    <row r="12" spans="1:40" ht="23.1" customHeight="1" x14ac:dyDescent="0.35">
      <c r="B12" s="1"/>
      <c r="D12" s="3"/>
      <c r="E12" s="3"/>
      <c r="G12" s="19" t="str">
        <f>+$G$50</f>
        <v>SOLS</v>
      </c>
      <c r="H12" s="19" t="str">
        <f>+$H$50</f>
        <v>2-Mousse commer.</v>
      </c>
      <c r="I12" s="19" t="str">
        <f>+$I$50</f>
        <v>Mousse</v>
      </c>
      <c r="J12" s="20">
        <v>0.16666666666666669</v>
      </c>
      <c r="K12" s="21">
        <f>IF($H12=0,0,+K18*Pourc_categorie011)</f>
        <v>833.33333333333337</v>
      </c>
      <c r="L12" s="21">
        <f>IF($H12=0,0,+L18*Pourc_categorie011)</f>
        <v>833.33333333333337</v>
      </c>
      <c r="M12" s="21">
        <f>IF($H12=0,0,+M18*Pourc_categorie011)</f>
        <v>833.33333333333337</v>
      </c>
      <c r="N12" s="21">
        <f>IF($H12=0,0,+N18*Pourc_categorie011)</f>
        <v>833.33333333333337</v>
      </c>
      <c r="O12" s="21">
        <f>IF($H12=0,0,+O18*Pourc_categorie011)</f>
        <v>833.33333333333337</v>
      </c>
      <c r="P12" s="21">
        <f>IF($H12=0,0,+P18*Pourc_categorie011)</f>
        <v>833.33333333333337</v>
      </c>
      <c r="Q12" s="21">
        <f>IF($H12=0,0,+Q18*Pourc_categorie011)</f>
        <v>833.33333333333337</v>
      </c>
      <c r="R12" s="21">
        <f>IF($H12=0,0,+R18*Pourc_categorie011)</f>
        <v>833.33333333333337</v>
      </c>
      <c r="S12" s="21">
        <f>IF($H12=0,0,+S18*Pourc_categorie011)</f>
        <v>833.33333333333337</v>
      </c>
      <c r="T12" s="21">
        <f>IF($H12=0,0,+T18*Pourc_categorie011)</f>
        <v>833.33333333333337</v>
      </c>
      <c r="U12" s="21">
        <f>IF($H12=0,0,+U18*Pourc_categorie011)</f>
        <v>833.33333333333337</v>
      </c>
      <c r="V12" s="21">
        <f>IF($H12=0,0,+V18*Pourc_categorie011)</f>
        <v>833.33333333333337</v>
      </c>
      <c r="W12" s="22">
        <f t="shared" ref="W12:W17" si="0">SUM(K12:V12)</f>
        <v>10000</v>
      </c>
      <c r="Y12" s="23">
        <f t="shared" ref="Y12:Y17" si="1">IF($H12=Categorie_Ventes_lbl1,$W12*Taux_Com1,0)</f>
        <v>0</v>
      </c>
      <c r="Z12" s="23">
        <f t="shared" ref="Z12:Z17" si="2">IF($H12=Categorie_Ventes_lbl2,$W12*Taux_Com1,0)</f>
        <v>800</v>
      </c>
      <c r="AA12" s="23">
        <f t="shared" ref="AA12:AA17" si="3">IF($H12=Categorie_Ventes_lbl3,$W12*Taux_Com1,0)</f>
        <v>0</v>
      </c>
      <c r="AB12" s="23">
        <f t="shared" ref="AB12:AB17" si="4">IF($H12=Categorie_Ventes_lbl4,$W12*Taux_Com1,0)</f>
        <v>0</v>
      </c>
      <c r="AC12" s="23">
        <f t="shared" ref="AC12:AC17" si="5">IF($H12=Categorie_Ventes_lbl5,$W12*Taux_Com1,0)</f>
        <v>0</v>
      </c>
      <c r="AD12" s="23">
        <f t="shared" ref="AD12:AD17" si="6">IF($H12=Categorie_Ventes_lbl6,$W12*Taux_Com1,0)</f>
        <v>0</v>
      </c>
      <c r="AE12" s="23">
        <f t="shared" ref="AE12:AE17" si="7">IF($H12=Categorie_Ventes_lbl7,$W12*Taux_Com1,0)</f>
        <v>0</v>
      </c>
      <c r="AF12" s="23">
        <f t="shared" ref="AF12:AF17" si="8">IF($H12=Categorie_Ventes_lbl8,$W12*Taux_Com1,0)</f>
        <v>0</v>
      </c>
      <c r="AG12" s="23">
        <f t="shared" ref="AG12:AG17" si="9">IF($H12=Categorie_Ventes_lbl9,$W12*Taux_Com1,0)</f>
        <v>0</v>
      </c>
      <c r="AH12" s="23">
        <f t="shared" ref="AH12:AH17" si="10">IF($H12=Categorie_Ventes_lbl10,$W12*Taux_Com1,0)</f>
        <v>0</v>
      </c>
      <c r="AI12" s="23">
        <f t="shared" ref="AI12:AI17" si="11">IF($H12=Categorie_Ventes_lbl11,$W12*Taux_Com1,0)</f>
        <v>0</v>
      </c>
      <c r="AJ12" s="23">
        <f t="shared" ref="AJ12:AJ17" si="12">IF($H12=Categorie_Ventes_lbl12,$W12*Taux_Com1,0)</f>
        <v>0</v>
      </c>
      <c r="AK12" s="23">
        <f t="shared" ref="AK12:AK17" si="13">IF($H12=Categorie_Ventes_lbl13,$W12*Taux_Com1,0)</f>
        <v>0</v>
      </c>
      <c r="AL12" s="23">
        <f t="shared" ref="AL12:AL17" si="14">IF($H12=Categorie_Ventes_lbl14,$W12*Taux_Com1,0)</f>
        <v>0</v>
      </c>
      <c r="AM12" s="24">
        <f>SUM(Y12:AL12)</f>
        <v>800</v>
      </c>
    </row>
    <row r="13" spans="1:40" ht="23.1" customHeight="1" x14ac:dyDescent="0.35">
      <c r="G13" s="19" t="str">
        <f>+$G$51</f>
        <v>MURS</v>
      </c>
      <c r="H13" s="19">
        <f>+$H$51</f>
        <v>0</v>
      </c>
      <c r="I13" s="19" t="str">
        <f>+$I$51</f>
        <v/>
      </c>
      <c r="J13" s="20">
        <v>0.16666666666666669</v>
      </c>
      <c r="K13" s="21">
        <f>IF($H13=0,0,+K18*Pourc_categorie012)</f>
        <v>0</v>
      </c>
      <c r="L13" s="21">
        <f>IF($H13=0,0,+L18*Pourc_categorie012)</f>
        <v>0</v>
      </c>
      <c r="M13" s="21">
        <f>IF($H13=0,0,+M18*Pourc_categorie012)</f>
        <v>0</v>
      </c>
      <c r="N13" s="21">
        <f>IF($H13=0,0,+N18*Pourc_categorie012)</f>
        <v>0</v>
      </c>
      <c r="O13" s="21">
        <f>IF($H13=0,0,+O18*Pourc_categorie012)</f>
        <v>0</v>
      </c>
      <c r="P13" s="21">
        <f>IF($H13=0,0,+P18*Pourc_categorie012)</f>
        <v>0</v>
      </c>
      <c r="Q13" s="21">
        <f>IF($H13=0,0,+Q18*Pourc_categorie012)</f>
        <v>0</v>
      </c>
      <c r="R13" s="21">
        <f>IF($H13=0,0,+R18*Pourc_categorie012)</f>
        <v>0</v>
      </c>
      <c r="S13" s="21">
        <f>IF($H13=0,0,+S18*Pourc_categorie012)</f>
        <v>0</v>
      </c>
      <c r="T13" s="21">
        <f>IF($H13=0,0,+T18*Pourc_categorie012)</f>
        <v>0</v>
      </c>
      <c r="U13" s="21">
        <f>IF($H13=0,0,+U18*Pourc_categorie012)</f>
        <v>0</v>
      </c>
      <c r="V13" s="21">
        <f>IF($H13=0,0,+V18*Pourc_categorie012)</f>
        <v>0</v>
      </c>
      <c r="W13" s="22">
        <f t="shared" si="0"/>
        <v>0</v>
      </c>
      <c r="Y13" s="23">
        <f t="shared" si="1"/>
        <v>0</v>
      </c>
      <c r="Z13" s="23">
        <f t="shared" si="2"/>
        <v>0</v>
      </c>
      <c r="AA13" s="23">
        <f t="shared" si="3"/>
        <v>0</v>
      </c>
      <c r="AB13" s="23">
        <f t="shared" si="4"/>
        <v>0</v>
      </c>
      <c r="AC13" s="23">
        <f t="shared" si="5"/>
        <v>0</v>
      </c>
      <c r="AD13" s="23">
        <f t="shared" si="6"/>
        <v>0</v>
      </c>
      <c r="AE13" s="23">
        <f t="shared" si="7"/>
        <v>0</v>
      </c>
      <c r="AF13" s="23">
        <f t="shared" si="8"/>
        <v>0</v>
      </c>
      <c r="AG13" s="23">
        <f t="shared" si="9"/>
        <v>0</v>
      </c>
      <c r="AH13" s="23">
        <f t="shared" si="10"/>
        <v>0</v>
      </c>
      <c r="AI13" s="23">
        <f t="shared" si="11"/>
        <v>0</v>
      </c>
      <c r="AJ13" s="23">
        <f t="shared" si="12"/>
        <v>0</v>
      </c>
      <c r="AK13" s="23">
        <f t="shared" si="13"/>
        <v>0</v>
      </c>
      <c r="AL13" s="23">
        <f t="shared" si="14"/>
        <v>0</v>
      </c>
      <c r="AM13" s="24">
        <f t="shared" ref="AM13:AM44" si="15">SUM(Y13:AL13)</f>
        <v>0</v>
      </c>
    </row>
    <row r="14" spans="1:40" ht="23.1" customHeight="1" x14ac:dyDescent="0.35">
      <c r="B14" s="1"/>
      <c r="D14" s="3"/>
      <c r="E14" s="3"/>
      <c r="G14" s="19" t="str">
        <f>+$G$52</f>
        <v>Carrelage</v>
      </c>
      <c r="H14" s="19">
        <f>+$H$52</f>
        <v>0</v>
      </c>
      <c r="I14" s="19" t="str">
        <f>+$I$52</f>
        <v/>
      </c>
      <c r="J14" s="20">
        <v>0.16666666666666669</v>
      </c>
      <c r="K14" s="21">
        <f>IF($H14=0,0,+K18*Pourc_categorie013)</f>
        <v>0</v>
      </c>
      <c r="L14" s="21">
        <f>IF($H14=0,0,+L18*Pourc_categorie013)</f>
        <v>0</v>
      </c>
      <c r="M14" s="21">
        <f>IF($H14=0,0,+M18*Pourc_categorie013)</f>
        <v>0</v>
      </c>
      <c r="N14" s="21">
        <f>IF($H14=0,0,+N18*Pourc_categorie013)</f>
        <v>0</v>
      </c>
      <c r="O14" s="21">
        <f>IF($H14=0,0,+O18*Pourc_categorie013)</f>
        <v>0</v>
      </c>
      <c r="P14" s="21">
        <f>IF($H14=0,0,+P18*Pourc_categorie013)</f>
        <v>0</v>
      </c>
      <c r="Q14" s="21">
        <f>IF($H14=0,0,+Q18*Pourc_categorie013)</f>
        <v>0</v>
      </c>
      <c r="R14" s="21">
        <f>IF($H14=0,0,+R18*Pourc_categorie013)</f>
        <v>0</v>
      </c>
      <c r="S14" s="21">
        <f>IF($H14=0,0,+S18*Pourc_categorie013)</f>
        <v>0</v>
      </c>
      <c r="T14" s="21">
        <f>IF($H14=0,0,+T18*Pourc_categorie013)</f>
        <v>0</v>
      </c>
      <c r="U14" s="21">
        <f>IF($H14=0,0,+U18*Pourc_categorie013)</f>
        <v>0</v>
      </c>
      <c r="V14" s="21">
        <f>IF($H14=0,0,+V18*Pourc_categorie013)</f>
        <v>0</v>
      </c>
      <c r="W14" s="22">
        <f t="shared" si="0"/>
        <v>0</v>
      </c>
      <c r="Y14" s="23">
        <f t="shared" si="1"/>
        <v>0</v>
      </c>
      <c r="Z14" s="23">
        <f t="shared" si="2"/>
        <v>0</v>
      </c>
      <c r="AA14" s="23">
        <f t="shared" si="3"/>
        <v>0</v>
      </c>
      <c r="AB14" s="23">
        <f t="shared" si="4"/>
        <v>0</v>
      </c>
      <c r="AC14" s="23">
        <f t="shared" si="5"/>
        <v>0</v>
      </c>
      <c r="AD14" s="23">
        <f t="shared" si="6"/>
        <v>0</v>
      </c>
      <c r="AE14" s="23">
        <f t="shared" si="7"/>
        <v>0</v>
      </c>
      <c r="AF14" s="23">
        <f t="shared" si="8"/>
        <v>0</v>
      </c>
      <c r="AG14" s="23">
        <f t="shared" si="9"/>
        <v>0</v>
      </c>
      <c r="AH14" s="23">
        <f t="shared" si="10"/>
        <v>0</v>
      </c>
      <c r="AI14" s="23">
        <f t="shared" si="11"/>
        <v>0</v>
      </c>
      <c r="AJ14" s="23">
        <f t="shared" si="12"/>
        <v>0</v>
      </c>
      <c r="AK14" s="23">
        <f t="shared" si="13"/>
        <v>0</v>
      </c>
      <c r="AL14" s="23">
        <f t="shared" si="14"/>
        <v>0</v>
      </c>
      <c r="AM14" s="24">
        <f t="shared" si="15"/>
        <v>0</v>
      </c>
    </row>
    <row r="15" spans="1:40" ht="23.1" customHeight="1" x14ac:dyDescent="0.35">
      <c r="G15" s="19" t="str">
        <f>+$G$53</f>
        <v>Chaudière</v>
      </c>
      <c r="H15" s="19">
        <f>+$H$53</f>
        <v>0</v>
      </c>
      <c r="I15" s="19" t="str">
        <f>+$I$53</f>
        <v/>
      </c>
      <c r="J15" s="20">
        <v>0.16666666666666669</v>
      </c>
      <c r="K15" s="21">
        <f>IF($H15=0,0,+K18*Pourc_categorie014)</f>
        <v>0</v>
      </c>
      <c r="L15" s="21">
        <f>IF($H15=0,0,+L18*Pourc_categorie014)</f>
        <v>0</v>
      </c>
      <c r="M15" s="21">
        <f>IF($H15=0,0,+M18*Pourc_categorie014)</f>
        <v>0</v>
      </c>
      <c r="N15" s="21">
        <f>IF($H15=0,0,+N18*Pourc_categorie014)</f>
        <v>0</v>
      </c>
      <c r="O15" s="21">
        <f>IF($H15=0,0,+O18*Pourc_categorie014)</f>
        <v>0</v>
      </c>
      <c r="P15" s="21">
        <f>IF($H15=0,0,+P18*Pourc_categorie014)</f>
        <v>0</v>
      </c>
      <c r="Q15" s="21">
        <f>IF($H15=0,0,+Q18*Pourc_categorie014)</f>
        <v>0</v>
      </c>
      <c r="R15" s="21">
        <f>IF($H15=0,0,+R18*Pourc_categorie014)</f>
        <v>0</v>
      </c>
      <c r="S15" s="21">
        <f>IF($H15=0,0,+S18*Pourc_categorie014)</f>
        <v>0</v>
      </c>
      <c r="T15" s="21">
        <f>IF($H15=0,0,+T18*Pourc_categorie014)</f>
        <v>0</v>
      </c>
      <c r="U15" s="21">
        <f>IF($H15=0,0,+U18*Pourc_categorie014)</f>
        <v>0</v>
      </c>
      <c r="V15" s="21">
        <f>IF($H15=0,0,+V18*Pourc_categorie014)</f>
        <v>0</v>
      </c>
      <c r="W15" s="22">
        <f t="shared" si="0"/>
        <v>0</v>
      </c>
      <c r="Y15" s="23">
        <f t="shared" si="1"/>
        <v>0</v>
      </c>
      <c r="Z15" s="23">
        <f t="shared" si="2"/>
        <v>0</v>
      </c>
      <c r="AA15" s="23">
        <f t="shared" si="3"/>
        <v>0</v>
      </c>
      <c r="AB15" s="23">
        <f t="shared" si="4"/>
        <v>0</v>
      </c>
      <c r="AC15" s="23">
        <f t="shared" si="5"/>
        <v>0</v>
      </c>
      <c r="AD15" s="23">
        <f t="shared" si="6"/>
        <v>0</v>
      </c>
      <c r="AE15" s="23">
        <f t="shared" si="7"/>
        <v>0</v>
      </c>
      <c r="AF15" s="23">
        <f t="shared" si="8"/>
        <v>0</v>
      </c>
      <c r="AG15" s="23">
        <f t="shared" si="9"/>
        <v>0</v>
      </c>
      <c r="AH15" s="23">
        <f t="shared" si="10"/>
        <v>0</v>
      </c>
      <c r="AI15" s="23">
        <f t="shared" si="11"/>
        <v>0</v>
      </c>
      <c r="AJ15" s="23">
        <f t="shared" si="12"/>
        <v>0</v>
      </c>
      <c r="AK15" s="23">
        <f t="shared" si="13"/>
        <v>0</v>
      </c>
      <c r="AL15" s="23">
        <f t="shared" si="14"/>
        <v>0</v>
      </c>
      <c r="AM15" s="24">
        <f t="shared" si="15"/>
        <v>0</v>
      </c>
    </row>
    <row r="16" spans="1:40" ht="23.1" customHeight="1" x14ac:dyDescent="0.35">
      <c r="G16" s="19" t="str">
        <f>+$G$54</f>
        <v>Chaudière installation</v>
      </c>
      <c r="H16" s="19">
        <f>+$H$54</f>
        <v>0</v>
      </c>
      <c r="I16" s="19" t="str">
        <f>+$I$54</f>
        <v/>
      </c>
      <c r="J16" s="20">
        <v>0.16666666666666669</v>
      </c>
      <c r="K16" s="21">
        <f>IF($H16=0,0,+K18*Pourc_categorie015)</f>
        <v>0</v>
      </c>
      <c r="L16" s="21">
        <f>IF($H16=0,0,+L18*Pourc_categorie015)</f>
        <v>0</v>
      </c>
      <c r="M16" s="21">
        <f>IF($H16=0,0,+M18*Pourc_categorie015)</f>
        <v>0</v>
      </c>
      <c r="N16" s="21">
        <f>IF($H16=0,0,+N18*Pourc_categorie015)</f>
        <v>0</v>
      </c>
      <c r="O16" s="21">
        <f>IF($H16=0,0,+O18*Pourc_categorie015)</f>
        <v>0</v>
      </c>
      <c r="P16" s="21">
        <f>IF($H16=0,0,+P18*Pourc_categorie015)</f>
        <v>0</v>
      </c>
      <c r="Q16" s="21">
        <f>IF($H16=0,0,+Q18*Pourc_categorie015)</f>
        <v>0</v>
      </c>
      <c r="R16" s="21">
        <f>IF($H16=0,0,+R18*Pourc_categorie015)</f>
        <v>0</v>
      </c>
      <c r="S16" s="21">
        <f>IF($H16=0,0,+S18*Pourc_categorie015)</f>
        <v>0</v>
      </c>
      <c r="T16" s="21">
        <f>IF($H16=0,0,+T18*Pourc_categorie015)</f>
        <v>0</v>
      </c>
      <c r="U16" s="21">
        <f>IF($H16=0,0,+U18*Pourc_categorie015)</f>
        <v>0</v>
      </c>
      <c r="V16" s="21">
        <f>IF($H16=0,0,+V18*Pourc_categorie015)</f>
        <v>0</v>
      </c>
      <c r="W16" s="22">
        <f t="shared" si="0"/>
        <v>0</v>
      </c>
      <c r="Y16" s="23">
        <f t="shared" si="1"/>
        <v>0</v>
      </c>
      <c r="Z16" s="23">
        <f t="shared" si="2"/>
        <v>0</v>
      </c>
      <c r="AA16" s="23">
        <f t="shared" si="3"/>
        <v>0</v>
      </c>
      <c r="AB16" s="23">
        <f t="shared" si="4"/>
        <v>0</v>
      </c>
      <c r="AC16" s="23">
        <f t="shared" si="5"/>
        <v>0</v>
      </c>
      <c r="AD16" s="23">
        <f t="shared" si="6"/>
        <v>0</v>
      </c>
      <c r="AE16" s="23">
        <f t="shared" si="7"/>
        <v>0</v>
      </c>
      <c r="AF16" s="23">
        <f t="shared" si="8"/>
        <v>0</v>
      </c>
      <c r="AG16" s="23">
        <f t="shared" si="9"/>
        <v>0</v>
      </c>
      <c r="AH16" s="23">
        <f t="shared" si="10"/>
        <v>0</v>
      </c>
      <c r="AI16" s="23">
        <f t="shared" si="11"/>
        <v>0</v>
      </c>
      <c r="AJ16" s="23">
        <f t="shared" si="12"/>
        <v>0</v>
      </c>
      <c r="AK16" s="23">
        <f t="shared" si="13"/>
        <v>0</v>
      </c>
      <c r="AL16" s="23">
        <f t="shared" si="14"/>
        <v>0</v>
      </c>
      <c r="AM16" s="24">
        <f t="shared" si="15"/>
        <v>0</v>
      </c>
    </row>
    <row r="17" spans="7:39" ht="23.1" customHeight="1" x14ac:dyDescent="0.35">
      <c r="G17" s="19" t="str">
        <f>+$G$55</f>
        <v>Chape liquide</v>
      </c>
      <c r="H17" s="19">
        <f>+$H$55</f>
        <v>0</v>
      </c>
      <c r="I17" s="19" t="str">
        <f>+$I$55</f>
        <v/>
      </c>
      <c r="J17" s="20">
        <v>0.16666666666666669</v>
      </c>
      <c r="K17" s="21">
        <f>IF($H17=0,0,+K18*Pourc_categorie016)</f>
        <v>0</v>
      </c>
      <c r="L17" s="21">
        <f>IF($H17=0,0,+L18*Pourc_categorie016)</f>
        <v>0</v>
      </c>
      <c r="M17" s="21">
        <f>IF($H17=0,0,+M18*Pourc_categorie016)</f>
        <v>0</v>
      </c>
      <c r="N17" s="21">
        <f>IF($H17=0,0,+N18*Pourc_categorie016)</f>
        <v>0</v>
      </c>
      <c r="O17" s="21">
        <f>IF($H17=0,0,+O18*Pourc_categorie016)</f>
        <v>0</v>
      </c>
      <c r="P17" s="21">
        <f>IF($H17=0,0,+P18*Pourc_categorie016)</f>
        <v>0</v>
      </c>
      <c r="Q17" s="21">
        <f>IF($H17=0,0,+Q18*Pourc_categorie016)</f>
        <v>0</v>
      </c>
      <c r="R17" s="21">
        <f>IF($H17=0,0,+R18*Pourc_categorie016)</f>
        <v>0</v>
      </c>
      <c r="S17" s="21">
        <f>IF($H17=0,0,+S18*Pourc_categorie016)</f>
        <v>0</v>
      </c>
      <c r="T17" s="21">
        <f>IF($H17=0,0,+T18*Pourc_categorie016)</f>
        <v>0</v>
      </c>
      <c r="U17" s="21">
        <f>IF($H17=0,0,+U18*Pourc_categorie016)</f>
        <v>0</v>
      </c>
      <c r="V17" s="21">
        <f>IF($H17=0,0,+V18*Pourc_categorie016)</f>
        <v>0</v>
      </c>
      <c r="W17" s="22">
        <f t="shared" si="0"/>
        <v>0</v>
      </c>
      <c r="Y17" s="23">
        <f t="shared" si="1"/>
        <v>0</v>
      </c>
      <c r="Z17" s="23">
        <f t="shared" si="2"/>
        <v>0</v>
      </c>
      <c r="AA17" s="23">
        <f t="shared" si="3"/>
        <v>0</v>
      </c>
      <c r="AB17" s="23">
        <f t="shared" si="4"/>
        <v>0</v>
      </c>
      <c r="AC17" s="23">
        <f t="shared" si="5"/>
        <v>0</v>
      </c>
      <c r="AD17" s="23">
        <f t="shared" si="6"/>
        <v>0</v>
      </c>
      <c r="AE17" s="23">
        <f t="shared" si="7"/>
        <v>0</v>
      </c>
      <c r="AF17" s="23">
        <f t="shared" si="8"/>
        <v>0</v>
      </c>
      <c r="AG17" s="23">
        <f t="shared" si="9"/>
        <v>0</v>
      </c>
      <c r="AH17" s="23">
        <f t="shared" si="10"/>
        <v>0</v>
      </c>
      <c r="AI17" s="23">
        <f t="shared" si="11"/>
        <v>0</v>
      </c>
      <c r="AJ17" s="23">
        <f t="shared" si="12"/>
        <v>0</v>
      </c>
      <c r="AK17" s="23">
        <f t="shared" si="13"/>
        <v>0</v>
      </c>
      <c r="AL17" s="23">
        <f t="shared" si="14"/>
        <v>0</v>
      </c>
      <c r="AM17" s="24">
        <f t="shared" si="15"/>
        <v>0</v>
      </c>
    </row>
    <row r="18" spans="7:39" ht="23.1" customHeight="1" x14ac:dyDescent="0.35">
      <c r="G18" s="25"/>
      <c r="H18" s="25"/>
      <c r="I18" s="26"/>
      <c r="J18" s="27">
        <f>SUMIF(H12:H17,Categorie_Ventes_lbl1,'[1]Agents commerciaux'!J12:J17)+SUMIF(H12:H17,Categorie_Ventes_lbl2,'[1]Agents commerciaux'!J12:J17)+SUMIF(H12:H17,Categorie_Ventes_lbl3,'[1]Agents commerciaux'!J12:J17)+SUMIF(H12:H17,Categorie_Ventes_lbl4,'[1]Agents commerciaux'!J12:J17)+SUMIF(H12:H17,Categorie_Ventes_lbl5,'[1]Agents commerciaux'!J12:J17)+SUMIF(H12:H17,Categorie_Ventes_lbl6,'[1]Agents commerciaux'!J12:J17)+SUMIF(H12:H17,Categorie_Ventes_lbl7,'[1]Agents commerciaux'!J12:J17)+SUMIF(H12:H17,Categorie_Ventes_lbl8,'[1]Agents commerciaux'!J12:J17)+SUMIF(H12:H17,Categorie_Ventes_lbl9,'[1]Agents commerciaux'!J12:J17)+SUMIF(H12:H17,Categorie_Ventes_lbl10,'[1]Agents commerciaux'!J12:J17)+SUMIF(H12:H17,Categorie_Ventes_lbl11,'[1]Agents commerciaux'!J12:J17)+SUMIF(H12:H17,Categorie_Ventes_lbl12,'[1]Agents commerciaux'!J12:J17)+SUMIF(H12:H17,Categorie_Ventes_lbl13,'[1]Agents commerciaux'!J12:J17)+SUMIF(H12:H17,Categorie_Ventes_lbl14,'[1]Agents commerciaux'!J12:J17)</f>
        <v>0.16666666666666669</v>
      </c>
      <c r="K18" s="28">
        <v>5000</v>
      </c>
      <c r="L18" s="28">
        <v>5000</v>
      </c>
      <c r="M18" s="28">
        <v>5000</v>
      </c>
      <c r="N18" s="28">
        <v>5000</v>
      </c>
      <c r="O18" s="28">
        <v>5000</v>
      </c>
      <c r="P18" s="28">
        <v>5000</v>
      </c>
      <c r="Q18" s="28">
        <v>5000</v>
      </c>
      <c r="R18" s="28">
        <v>5000</v>
      </c>
      <c r="S18" s="28">
        <v>5000</v>
      </c>
      <c r="T18" s="28">
        <v>5000</v>
      </c>
      <c r="U18" s="28">
        <v>5000</v>
      </c>
      <c r="V18" s="28">
        <v>5000</v>
      </c>
      <c r="W18" s="22">
        <f>SUM(W12:W17)</f>
        <v>10000</v>
      </c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4">
        <f t="shared" si="15"/>
        <v>0</v>
      </c>
    </row>
    <row r="19" spans="7:39" ht="23.1" customHeight="1" x14ac:dyDescent="0.35">
      <c r="G19" s="25"/>
      <c r="H19" s="5"/>
      <c r="I19" s="5"/>
      <c r="J19" s="5"/>
      <c r="K19" s="29"/>
      <c r="Y19" s="23">
        <f>IF($H19=Categorie_Ventes_lbl1,$W19*Taux_Com1,0)</f>
        <v>0</v>
      </c>
      <c r="Z19" s="23">
        <f>IF($H19=Categorie_Ventes_lbl2,$W19*Taux_Com1,0)</f>
        <v>0</v>
      </c>
      <c r="AA19" s="23">
        <f>IF($H19=Categorie_Ventes_lbl3,$W19*Taux_Com1,0)</f>
        <v>0</v>
      </c>
      <c r="AB19" s="23">
        <f>IF($H19=Categorie_Ventes_lbl4,$W19*Taux_Com1,0)</f>
        <v>0</v>
      </c>
      <c r="AC19" s="23">
        <f>IF($H19=Categorie_Ventes_lbl5,$W19*Taux_Com1,0)</f>
        <v>0</v>
      </c>
      <c r="AD19" s="23">
        <f>IF($H19=Categorie_Ventes_lbl6,$W19*Taux_Com1,0)</f>
        <v>0</v>
      </c>
      <c r="AE19" s="23">
        <f>IF($H19=Categorie_Ventes_lbl7,$W19*Taux_Com1,0)</f>
        <v>0</v>
      </c>
      <c r="AF19" s="23">
        <f>IF($H19=Categorie_Ventes_lbl8,$W19*Taux_Com1,0)</f>
        <v>0</v>
      </c>
      <c r="AG19" s="23">
        <f>IF($H19=Categorie_Ventes_lbl9,$W19*Taux_Com1,0)</f>
        <v>0</v>
      </c>
      <c r="AH19" s="23">
        <f>IF($H19=Categorie_Ventes_lbl10,$W19*Taux_Com1,0)</f>
        <v>0</v>
      </c>
      <c r="AI19" s="23">
        <f>IF($H19=Categorie_Ventes_lbl11,$W19*Taux_Com1,0)</f>
        <v>0</v>
      </c>
      <c r="AJ19" s="23">
        <f>IF($H19=Categorie_Ventes_lbl12,$W19*Taux_Com1,0)</f>
        <v>0</v>
      </c>
      <c r="AK19" s="23">
        <f>IF($H19=Categorie_Ventes_lbl13,$W19*Taux_Com1,0)</f>
        <v>0</v>
      </c>
      <c r="AL19" s="23">
        <f>IF($H19=Categorie_Ventes_lbl14,$W19*Taux_Com1,0)</f>
        <v>0</v>
      </c>
      <c r="AM19" s="24">
        <f t="shared" si="15"/>
        <v>0</v>
      </c>
    </row>
    <row r="20" spans="7:39" ht="23.1" customHeight="1" x14ac:dyDescent="0.35">
      <c r="G20" s="12"/>
      <c r="H20" s="12"/>
      <c r="I20" s="12"/>
      <c r="J20" s="13" t="s">
        <v>8</v>
      </c>
      <c r="K20" s="14"/>
      <c r="L20" s="15"/>
      <c r="N20" s="16">
        <f>IF(ISNA(VLOOKUP(J20,Agents_Commer,3,FALSE)),0,VLOOKUP(J20,Agents_Commer,3,FALSE))</f>
        <v>43101</v>
      </c>
      <c r="O20" s="17"/>
      <c r="Q20" s="16">
        <f>IF(ISNA(VLOOKUP(J20,Agents_Commer,4,FALSE)),0,VLOOKUP(J20,Agents_Commer,4,FALSE))</f>
        <v>0</v>
      </c>
      <c r="R20" s="17"/>
      <c r="Y20" s="23">
        <f>IF($H20=Categorie_Ventes_lbl1,$W20*Taux_Com1,0)</f>
        <v>0</v>
      </c>
      <c r="Z20" s="23">
        <f>IF($H20=Categorie_Ventes_lbl2,$W20*Taux_Com1,0)</f>
        <v>0</v>
      </c>
      <c r="AA20" s="23">
        <f>IF($H20=Categorie_Ventes_lbl3,$W20*Taux_Com1,0)</f>
        <v>0</v>
      </c>
      <c r="AB20" s="23">
        <f>IF($H20=Categorie_Ventes_lbl4,$W20*Taux_Com1,0)</f>
        <v>0</v>
      </c>
      <c r="AC20" s="23">
        <f>IF($H20=Categorie_Ventes_lbl5,$W20*Taux_Com1,0)</f>
        <v>0</v>
      </c>
      <c r="AD20" s="23">
        <f>IF($H20=Categorie_Ventes_lbl6,$W20*Taux_Com1,0)</f>
        <v>0</v>
      </c>
      <c r="AE20" s="23">
        <f>IF($H20=Categorie_Ventes_lbl7,$W20*Taux_Com1,0)</f>
        <v>0</v>
      </c>
      <c r="AF20" s="23">
        <f>IF($H20=Categorie_Ventes_lbl8,$W20*Taux_Com1,0)</f>
        <v>0</v>
      </c>
      <c r="AG20" s="23">
        <f>IF($H20=Categorie_Ventes_lbl9,$W20*Taux_Com1,0)</f>
        <v>0</v>
      </c>
      <c r="AH20" s="23">
        <f>IF($H20=Categorie_Ventes_lbl10,$W20*Taux_Com1,0)</f>
        <v>0</v>
      </c>
      <c r="AI20" s="23">
        <f>IF($H20=Categorie_Ventes_lbl11,$W20*Taux_Com1,0)</f>
        <v>0</v>
      </c>
      <c r="AJ20" s="23">
        <f>IF($H20=Categorie_Ventes_lbl12,$W20*Taux_Com1,0)</f>
        <v>0</v>
      </c>
      <c r="AK20" s="23">
        <f>IF($H20=Categorie_Ventes_lbl13,$W20*Taux_Com1,0)</f>
        <v>0</v>
      </c>
      <c r="AL20" s="23">
        <f>IF($H20=Categorie_Ventes_lbl14,$W20*Taux_Com1,0)</f>
        <v>0</v>
      </c>
      <c r="AM20" s="24">
        <f t="shared" si="15"/>
        <v>0</v>
      </c>
    </row>
    <row r="21" spans="7:39" ht="23.1" customHeight="1" x14ac:dyDescent="0.35">
      <c r="G21" s="19" t="str">
        <f>+$G$50</f>
        <v>SOLS</v>
      </c>
      <c r="H21" s="19" t="str">
        <f>+$H$50</f>
        <v>2-Mousse commer.</v>
      </c>
      <c r="I21" s="19" t="str">
        <f>+$I$50</f>
        <v>Mousse</v>
      </c>
      <c r="J21" s="20">
        <v>0.16666666666666669</v>
      </c>
      <c r="K21" s="21">
        <f>IF($H21=0,0,+K27*Pourc_categorie111)</f>
        <v>166.66666666666669</v>
      </c>
      <c r="L21" s="21">
        <f>IF($H21=0,0,+L27*Pourc_categorie111)</f>
        <v>166.66666666666669</v>
      </c>
      <c r="M21" s="21">
        <f>IF($H21=0,0,+M27*Pourc_categorie111)</f>
        <v>166.66666666666669</v>
      </c>
      <c r="N21" s="21">
        <f>IF($H21=0,0,+N27*Pourc_categorie111)</f>
        <v>166.66666666666669</v>
      </c>
      <c r="O21" s="21">
        <f>IF($H21=0,0,+O27*Pourc_categorie111)</f>
        <v>166.66666666666669</v>
      </c>
      <c r="P21" s="21">
        <f>IF($H21=0,0,+P27*Pourc_categorie111)</f>
        <v>166.66666666666669</v>
      </c>
      <c r="Q21" s="21">
        <f>IF($H21=0,0,+Q27*Pourc_categorie111)</f>
        <v>166.66666666666669</v>
      </c>
      <c r="R21" s="21">
        <f>IF($H21=0,0,+R27*Pourc_categorie111)</f>
        <v>166.66666666666669</v>
      </c>
      <c r="S21" s="21">
        <f>IF($H21=0,0,+S27*Pourc_categorie111)</f>
        <v>166.66666666666669</v>
      </c>
      <c r="T21" s="21">
        <f>IF($H21=0,0,+T27*Pourc_categorie111)</f>
        <v>166.66666666666669</v>
      </c>
      <c r="U21" s="21">
        <f>IF($H21=0,0,+U27*Pourc_categorie111)</f>
        <v>166.66666666666669</v>
      </c>
      <c r="V21" s="21">
        <f>IF($H21=0,0,+V27*Pourc_categorie111)</f>
        <v>166.66666666666669</v>
      </c>
      <c r="W21" s="22">
        <f t="shared" ref="W21:W26" si="16">SUM(K21:V21)</f>
        <v>2000.0000000000007</v>
      </c>
      <c r="Y21" s="23">
        <f t="shared" ref="Y21:Y26" si="17">IF($H21=Categorie_Ventes_lbl1,$W21*Taux_Com2,0)</f>
        <v>0</v>
      </c>
      <c r="Z21" s="23">
        <f t="shared" ref="Z21:Z26" si="18">IF($H21=Categorie_Ventes_lbl2,$W21*Taux_Com2,0)</f>
        <v>120.00000000000004</v>
      </c>
      <c r="AA21" s="23">
        <f t="shared" ref="AA21:AA26" si="19">IF($H21=Categorie_Ventes_lbl3,$W21*Taux_Com2,0)</f>
        <v>0</v>
      </c>
      <c r="AB21" s="23">
        <f t="shared" ref="AB21:AB26" si="20">IF($H21=Categorie_Ventes_lbl4,$W21*Taux_Com2,0)</f>
        <v>0</v>
      </c>
      <c r="AC21" s="23">
        <f t="shared" ref="AC21:AC26" si="21">IF($H21=Categorie_Ventes_lbl5,$W21*Taux_Com2,0)</f>
        <v>0</v>
      </c>
      <c r="AD21" s="23">
        <f t="shared" ref="AD21:AD26" si="22">IF($H21=Categorie_Ventes_lbl6,$W21*Taux_Com2,0)</f>
        <v>0</v>
      </c>
      <c r="AE21" s="23">
        <f t="shared" ref="AE21:AE26" si="23">IF($H21=Categorie_Ventes_lbl7,$W21*Taux_Com2,0)</f>
        <v>0</v>
      </c>
      <c r="AF21" s="23">
        <f t="shared" ref="AF21:AF26" si="24">IF($H21=Categorie_Ventes_lbl8,$W21*Taux_Com2,0)</f>
        <v>0</v>
      </c>
      <c r="AG21" s="23">
        <f t="shared" ref="AG21:AG26" si="25">IF($H21=Categorie_Ventes_lbl9,$W21*Taux_Com2,0)</f>
        <v>0</v>
      </c>
      <c r="AH21" s="23">
        <f t="shared" ref="AH21:AH26" si="26">IF($H21=Categorie_Ventes_lbl10,$W21*Taux_Com2,0)</f>
        <v>0</v>
      </c>
      <c r="AI21" s="23">
        <f t="shared" ref="AI21:AI26" si="27">IF($H21=Categorie_Ventes_lbl11,$W21*Taux_Com2,0)</f>
        <v>0</v>
      </c>
      <c r="AJ21" s="23">
        <f t="shared" ref="AJ21:AJ26" si="28">IF($H21=Categorie_Ventes_lbl12,$W21*Taux_Com2,0)</f>
        <v>0</v>
      </c>
      <c r="AK21" s="23">
        <f t="shared" ref="AK21:AK26" si="29">IF($H21=Categorie_Ventes_lbl13,$W21*Taux_Com2,0)</f>
        <v>0</v>
      </c>
      <c r="AL21" s="23">
        <f t="shared" ref="AL21:AL26" si="30">IF($H21=Categorie_Ventes_lbl14,$W21*Taux_Com2,0)</f>
        <v>0</v>
      </c>
      <c r="AM21" s="24">
        <f t="shared" si="15"/>
        <v>120.00000000000004</v>
      </c>
    </row>
    <row r="22" spans="7:39" ht="23.1" customHeight="1" x14ac:dyDescent="0.35">
      <c r="G22" s="19" t="str">
        <f>+$G$51</f>
        <v>MURS</v>
      </c>
      <c r="H22" s="19">
        <f>+$H$51</f>
        <v>0</v>
      </c>
      <c r="I22" s="19" t="str">
        <f>+$I$51</f>
        <v/>
      </c>
      <c r="J22" s="20">
        <v>0.16666666666666669</v>
      </c>
      <c r="K22" s="21">
        <f>IF($H22=0,0,+K27*Pourc_categorie112)</f>
        <v>0</v>
      </c>
      <c r="L22" s="21">
        <f>IF($H22=0,0,+L27*Pourc_categorie112)</f>
        <v>0</v>
      </c>
      <c r="M22" s="21">
        <f>IF($H22=0,0,+M27*Pourc_categorie112)</f>
        <v>0</v>
      </c>
      <c r="N22" s="21">
        <f>IF($H22=0,0,+N27*Pourc_categorie112)</f>
        <v>0</v>
      </c>
      <c r="O22" s="21">
        <f>IF($H22=0,0,+O27*Pourc_categorie112)</f>
        <v>0</v>
      </c>
      <c r="P22" s="21">
        <f>IF($H22=0,0,+P27*Pourc_categorie112)</f>
        <v>0</v>
      </c>
      <c r="Q22" s="21">
        <f>IF($H22=0,0,+Q27*Pourc_categorie112)</f>
        <v>0</v>
      </c>
      <c r="R22" s="21">
        <f>IF($H22=0,0,+R27*Pourc_categorie112)</f>
        <v>0</v>
      </c>
      <c r="S22" s="21">
        <f>IF($H22=0,0,+S27*Pourc_categorie112)</f>
        <v>0</v>
      </c>
      <c r="T22" s="21">
        <f>IF($H22=0,0,+T27*Pourc_categorie112)</f>
        <v>0</v>
      </c>
      <c r="U22" s="21">
        <f>IF($H22=0,0,+U27*Pourc_categorie112)</f>
        <v>0</v>
      </c>
      <c r="V22" s="21">
        <f>IF($H22=0,0,+V27*Pourc_categorie112)</f>
        <v>0</v>
      </c>
      <c r="W22" s="22">
        <f t="shared" si="16"/>
        <v>0</v>
      </c>
      <c r="Y22" s="23">
        <f t="shared" si="17"/>
        <v>0</v>
      </c>
      <c r="Z22" s="23">
        <f t="shared" si="18"/>
        <v>0</v>
      </c>
      <c r="AA22" s="23">
        <f t="shared" si="19"/>
        <v>0</v>
      </c>
      <c r="AB22" s="23">
        <f t="shared" si="20"/>
        <v>0</v>
      </c>
      <c r="AC22" s="23">
        <f t="shared" si="21"/>
        <v>0</v>
      </c>
      <c r="AD22" s="23">
        <f t="shared" si="22"/>
        <v>0</v>
      </c>
      <c r="AE22" s="23">
        <f t="shared" si="23"/>
        <v>0</v>
      </c>
      <c r="AF22" s="23">
        <f t="shared" si="24"/>
        <v>0</v>
      </c>
      <c r="AG22" s="23">
        <f t="shared" si="25"/>
        <v>0</v>
      </c>
      <c r="AH22" s="23">
        <f t="shared" si="26"/>
        <v>0</v>
      </c>
      <c r="AI22" s="23">
        <f t="shared" si="27"/>
        <v>0</v>
      </c>
      <c r="AJ22" s="23">
        <f t="shared" si="28"/>
        <v>0</v>
      </c>
      <c r="AK22" s="23">
        <f t="shared" si="29"/>
        <v>0</v>
      </c>
      <c r="AL22" s="23">
        <f t="shared" si="30"/>
        <v>0</v>
      </c>
      <c r="AM22" s="24">
        <f t="shared" si="15"/>
        <v>0</v>
      </c>
    </row>
    <row r="23" spans="7:39" ht="23.1" customHeight="1" x14ac:dyDescent="0.35">
      <c r="G23" s="19" t="str">
        <f>+$G$52</f>
        <v>Carrelage</v>
      </c>
      <c r="H23" s="19">
        <f>+$H$52</f>
        <v>0</v>
      </c>
      <c r="I23" s="19" t="str">
        <f>+$I$52</f>
        <v/>
      </c>
      <c r="J23" s="20">
        <v>0.16666666666666669</v>
      </c>
      <c r="K23" s="21">
        <f>IF($H23=0,0,+K27*Pourc_categorie113)</f>
        <v>0</v>
      </c>
      <c r="L23" s="21">
        <f>IF($H23=0,0,+L27*Pourc_categorie113)</f>
        <v>0</v>
      </c>
      <c r="M23" s="21">
        <f>IF($H23=0,0,+M27*Pourc_categorie113)</f>
        <v>0</v>
      </c>
      <c r="N23" s="21">
        <f>IF($H23=0,0,+N27*Pourc_categorie113)</f>
        <v>0</v>
      </c>
      <c r="O23" s="21">
        <f>IF($H23=0,0,+O27*Pourc_categorie113)</f>
        <v>0</v>
      </c>
      <c r="P23" s="21">
        <f>IF($H23=0,0,+P27*Pourc_categorie113)</f>
        <v>0</v>
      </c>
      <c r="Q23" s="21">
        <f>IF($H23=0,0,+Q27*Pourc_categorie113)</f>
        <v>0</v>
      </c>
      <c r="R23" s="21">
        <f>IF($H23=0,0,+R27*Pourc_categorie113)</f>
        <v>0</v>
      </c>
      <c r="S23" s="21">
        <f>IF($H23=0,0,+S27*Pourc_categorie113)</f>
        <v>0</v>
      </c>
      <c r="T23" s="21">
        <f>IF($H23=0,0,+T27*Pourc_categorie113)</f>
        <v>0</v>
      </c>
      <c r="U23" s="21">
        <f>IF($H23=0,0,+U27*Pourc_categorie113)</f>
        <v>0</v>
      </c>
      <c r="V23" s="21">
        <f>IF($H23=0,0,+V27*Pourc_categorie113)</f>
        <v>0</v>
      </c>
      <c r="W23" s="22">
        <f t="shared" si="16"/>
        <v>0</v>
      </c>
      <c r="Y23" s="23">
        <f t="shared" si="17"/>
        <v>0</v>
      </c>
      <c r="Z23" s="23">
        <f t="shared" si="18"/>
        <v>0</v>
      </c>
      <c r="AA23" s="23">
        <f t="shared" si="19"/>
        <v>0</v>
      </c>
      <c r="AB23" s="23">
        <f t="shared" si="20"/>
        <v>0</v>
      </c>
      <c r="AC23" s="23">
        <f t="shared" si="21"/>
        <v>0</v>
      </c>
      <c r="AD23" s="23">
        <f t="shared" si="22"/>
        <v>0</v>
      </c>
      <c r="AE23" s="23">
        <f t="shared" si="23"/>
        <v>0</v>
      </c>
      <c r="AF23" s="23">
        <f t="shared" si="24"/>
        <v>0</v>
      </c>
      <c r="AG23" s="23">
        <f t="shared" si="25"/>
        <v>0</v>
      </c>
      <c r="AH23" s="23">
        <f t="shared" si="26"/>
        <v>0</v>
      </c>
      <c r="AI23" s="23">
        <f t="shared" si="27"/>
        <v>0</v>
      </c>
      <c r="AJ23" s="23">
        <f t="shared" si="28"/>
        <v>0</v>
      </c>
      <c r="AK23" s="23">
        <f t="shared" si="29"/>
        <v>0</v>
      </c>
      <c r="AL23" s="23">
        <f t="shared" si="30"/>
        <v>0</v>
      </c>
      <c r="AM23" s="24">
        <f t="shared" si="15"/>
        <v>0</v>
      </c>
    </row>
    <row r="24" spans="7:39" ht="23.1" customHeight="1" x14ac:dyDescent="0.35">
      <c r="G24" s="19" t="str">
        <f>+$G$53</f>
        <v>Chaudière</v>
      </c>
      <c r="H24" s="19">
        <f>+$H$53</f>
        <v>0</v>
      </c>
      <c r="I24" s="19" t="str">
        <f>+$I$53</f>
        <v/>
      </c>
      <c r="J24" s="20">
        <v>0.16666666666666669</v>
      </c>
      <c r="K24" s="21">
        <f>IF($H24=0,0,+K27*Pourc_categorie114)</f>
        <v>0</v>
      </c>
      <c r="L24" s="21">
        <f>IF($H24=0,0,+L27*Pourc_categorie114)</f>
        <v>0</v>
      </c>
      <c r="M24" s="21">
        <f>IF($H24=0,0,+M27*Pourc_categorie114)</f>
        <v>0</v>
      </c>
      <c r="N24" s="21">
        <f>IF($H24=0,0,+N27*Pourc_categorie114)</f>
        <v>0</v>
      </c>
      <c r="O24" s="21">
        <f>IF($H24=0,0,+O27*Pourc_categorie114)</f>
        <v>0</v>
      </c>
      <c r="P24" s="21">
        <f>IF($H24=0,0,+P27*Pourc_categorie114)</f>
        <v>0</v>
      </c>
      <c r="Q24" s="21">
        <f>IF($H24=0,0,+Q27*Pourc_categorie114)</f>
        <v>0</v>
      </c>
      <c r="R24" s="21">
        <f>IF($H24=0,0,+R27*Pourc_categorie114)</f>
        <v>0</v>
      </c>
      <c r="S24" s="21">
        <f>IF($H24=0,0,+S27*Pourc_categorie114)</f>
        <v>0</v>
      </c>
      <c r="T24" s="21">
        <f>IF($H24=0,0,+T27*Pourc_categorie114)</f>
        <v>0</v>
      </c>
      <c r="U24" s="21">
        <f>IF($H24=0,0,+U27*Pourc_categorie114)</f>
        <v>0</v>
      </c>
      <c r="V24" s="21">
        <f>IF($H24=0,0,+V27*Pourc_categorie114)</f>
        <v>0</v>
      </c>
      <c r="W24" s="22">
        <f t="shared" si="16"/>
        <v>0</v>
      </c>
      <c r="Y24" s="23">
        <f t="shared" si="17"/>
        <v>0</v>
      </c>
      <c r="Z24" s="23">
        <f t="shared" si="18"/>
        <v>0</v>
      </c>
      <c r="AA24" s="23">
        <f t="shared" si="19"/>
        <v>0</v>
      </c>
      <c r="AB24" s="23">
        <f t="shared" si="20"/>
        <v>0</v>
      </c>
      <c r="AC24" s="23">
        <f t="shared" si="21"/>
        <v>0</v>
      </c>
      <c r="AD24" s="23">
        <f t="shared" si="22"/>
        <v>0</v>
      </c>
      <c r="AE24" s="23">
        <f t="shared" si="23"/>
        <v>0</v>
      </c>
      <c r="AF24" s="23">
        <f t="shared" si="24"/>
        <v>0</v>
      </c>
      <c r="AG24" s="23">
        <f t="shared" si="25"/>
        <v>0</v>
      </c>
      <c r="AH24" s="23">
        <f t="shared" si="26"/>
        <v>0</v>
      </c>
      <c r="AI24" s="23">
        <f t="shared" si="27"/>
        <v>0</v>
      </c>
      <c r="AJ24" s="23">
        <f t="shared" si="28"/>
        <v>0</v>
      </c>
      <c r="AK24" s="23">
        <f t="shared" si="29"/>
        <v>0</v>
      </c>
      <c r="AL24" s="23">
        <f t="shared" si="30"/>
        <v>0</v>
      </c>
      <c r="AM24" s="24">
        <f t="shared" si="15"/>
        <v>0</v>
      </c>
    </row>
    <row r="25" spans="7:39" ht="23.1" customHeight="1" x14ac:dyDescent="0.35">
      <c r="G25" s="19" t="str">
        <f>+$G$54</f>
        <v>Chaudière installation</v>
      </c>
      <c r="H25" s="19">
        <f>+$H$54</f>
        <v>0</v>
      </c>
      <c r="I25" s="19" t="str">
        <f>+$I$54</f>
        <v/>
      </c>
      <c r="J25" s="20">
        <v>0.16666666666666669</v>
      </c>
      <c r="K25" s="21">
        <f>IF($H25=0,0,+K27*Pourc_categorie115)</f>
        <v>0</v>
      </c>
      <c r="L25" s="21">
        <f>IF($H25=0,0,+L27*Pourc_categorie115)</f>
        <v>0</v>
      </c>
      <c r="M25" s="21">
        <f>IF($H25=0,0,+M27*Pourc_categorie115)</f>
        <v>0</v>
      </c>
      <c r="N25" s="21">
        <f>IF($H25=0,0,+N27*Pourc_categorie115)</f>
        <v>0</v>
      </c>
      <c r="O25" s="21">
        <f>IF($H25=0,0,+O27*Pourc_categorie115)</f>
        <v>0</v>
      </c>
      <c r="P25" s="21">
        <f>IF($H25=0,0,+P27*Pourc_categorie115)</f>
        <v>0</v>
      </c>
      <c r="Q25" s="21">
        <f>IF($H25=0,0,+Q27*Pourc_categorie115)</f>
        <v>0</v>
      </c>
      <c r="R25" s="21">
        <f>IF($H25=0,0,+R27*Pourc_categorie115)</f>
        <v>0</v>
      </c>
      <c r="S25" s="21">
        <f>IF($H25=0,0,+S27*Pourc_categorie115)</f>
        <v>0</v>
      </c>
      <c r="T25" s="21">
        <f>IF($H25=0,0,+T27*Pourc_categorie115)</f>
        <v>0</v>
      </c>
      <c r="U25" s="21">
        <f>IF($H25=0,0,+U27*Pourc_categorie115)</f>
        <v>0</v>
      </c>
      <c r="V25" s="21">
        <f>IF($H25=0,0,+V27*Pourc_categorie115)</f>
        <v>0</v>
      </c>
      <c r="W25" s="22">
        <f t="shared" si="16"/>
        <v>0</v>
      </c>
      <c r="Y25" s="23">
        <f t="shared" si="17"/>
        <v>0</v>
      </c>
      <c r="Z25" s="23">
        <f t="shared" si="18"/>
        <v>0</v>
      </c>
      <c r="AA25" s="23">
        <f t="shared" si="19"/>
        <v>0</v>
      </c>
      <c r="AB25" s="23">
        <f t="shared" si="20"/>
        <v>0</v>
      </c>
      <c r="AC25" s="23">
        <f t="shared" si="21"/>
        <v>0</v>
      </c>
      <c r="AD25" s="23">
        <f t="shared" si="22"/>
        <v>0</v>
      </c>
      <c r="AE25" s="23">
        <f t="shared" si="23"/>
        <v>0</v>
      </c>
      <c r="AF25" s="23">
        <f t="shared" si="24"/>
        <v>0</v>
      </c>
      <c r="AG25" s="23">
        <f t="shared" si="25"/>
        <v>0</v>
      </c>
      <c r="AH25" s="23">
        <f t="shared" si="26"/>
        <v>0</v>
      </c>
      <c r="AI25" s="23">
        <f t="shared" si="27"/>
        <v>0</v>
      </c>
      <c r="AJ25" s="23">
        <f t="shared" si="28"/>
        <v>0</v>
      </c>
      <c r="AK25" s="23">
        <f t="shared" si="29"/>
        <v>0</v>
      </c>
      <c r="AL25" s="23">
        <f t="shared" si="30"/>
        <v>0</v>
      </c>
      <c r="AM25" s="24">
        <f t="shared" si="15"/>
        <v>0</v>
      </c>
    </row>
    <row r="26" spans="7:39" ht="23.1" customHeight="1" x14ac:dyDescent="0.35">
      <c r="G26" s="19" t="str">
        <f>+$G$55</f>
        <v>Chape liquide</v>
      </c>
      <c r="H26" s="19">
        <f>+$H$55</f>
        <v>0</v>
      </c>
      <c r="I26" s="19" t="str">
        <f>+$I$55</f>
        <v/>
      </c>
      <c r="J26" s="20">
        <v>0.16666666666666669</v>
      </c>
      <c r="K26" s="21">
        <f>IF($H26=0,0,+K27*Pourc_categorie116)</f>
        <v>0</v>
      </c>
      <c r="L26" s="21">
        <f>IF($H26=0,0,+L27*Pourc_categorie116)</f>
        <v>0</v>
      </c>
      <c r="M26" s="21">
        <f>IF($H26=0,0,+M27*Pourc_categorie116)</f>
        <v>0</v>
      </c>
      <c r="N26" s="21">
        <f>IF($H26=0,0,+N27*Pourc_categorie116)</f>
        <v>0</v>
      </c>
      <c r="O26" s="21">
        <f>IF($H26=0,0,+O27*Pourc_categorie116)</f>
        <v>0</v>
      </c>
      <c r="P26" s="21">
        <f>IF($H26=0,0,+P27*Pourc_categorie116)</f>
        <v>0</v>
      </c>
      <c r="Q26" s="21">
        <f>IF($H26=0,0,+Q27*Pourc_categorie116)</f>
        <v>0</v>
      </c>
      <c r="R26" s="21">
        <f>IF($H26=0,0,+R27*Pourc_categorie116)</f>
        <v>0</v>
      </c>
      <c r="S26" s="21">
        <f>IF($H26=0,0,+S27*Pourc_categorie116)</f>
        <v>0</v>
      </c>
      <c r="T26" s="21">
        <f>IF($H26=0,0,+T27*Pourc_categorie116)</f>
        <v>0</v>
      </c>
      <c r="U26" s="21">
        <f>IF($H26=0,0,+U27*Pourc_categorie116)</f>
        <v>0</v>
      </c>
      <c r="V26" s="21">
        <f>IF($H26=0,0,+V27*Pourc_categorie116)</f>
        <v>0</v>
      </c>
      <c r="W26" s="22">
        <f t="shared" si="16"/>
        <v>0</v>
      </c>
      <c r="Y26" s="23">
        <f t="shared" si="17"/>
        <v>0</v>
      </c>
      <c r="Z26" s="23">
        <f t="shared" si="18"/>
        <v>0</v>
      </c>
      <c r="AA26" s="23">
        <f t="shared" si="19"/>
        <v>0</v>
      </c>
      <c r="AB26" s="23">
        <f t="shared" si="20"/>
        <v>0</v>
      </c>
      <c r="AC26" s="23">
        <f t="shared" si="21"/>
        <v>0</v>
      </c>
      <c r="AD26" s="23">
        <f t="shared" si="22"/>
        <v>0</v>
      </c>
      <c r="AE26" s="23">
        <f t="shared" si="23"/>
        <v>0</v>
      </c>
      <c r="AF26" s="23">
        <f t="shared" si="24"/>
        <v>0</v>
      </c>
      <c r="AG26" s="23">
        <f t="shared" si="25"/>
        <v>0</v>
      </c>
      <c r="AH26" s="23">
        <f t="shared" si="26"/>
        <v>0</v>
      </c>
      <c r="AI26" s="23">
        <f t="shared" si="27"/>
        <v>0</v>
      </c>
      <c r="AJ26" s="23">
        <f t="shared" si="28"/>
        <v>0</v>
      </c>
      <c r="AK26" s="23">
        <f t="shared" si="29"/>
        <v>0</v>
      </c>
      <c r="AL26" s="23">
        <f t="shared" si="30"/>
        <v>0</v>
      </c>
      <c r="AM26" s="24">
        <f t="shared" si="15"/>
        <v>0</v>
      </c>
    </row>
    <row r="27" spans="7:39" ht="23.1" customHeight="1" x14ac:dyDescent="0.35">
      <c r="G27" s="25"/>
      <c r="H27" s="25"/>
      <c r="I27" s="25"/>
      <c r="J27" s="30">
        <f>SUM(J21:J26)</f>
        <v>1.0000000000000002</v>
      </c>
      <c r="K27" s="28">
        <v>1000</v>
      </c>
      <c r="L27" s="28">
        <v>1000</v>
      </c>
      <c r="M27" s="28">
        <v>1000</v>
      </c>
      <c r="N27" s="28">
        <v>1000</v>
      </c>
      <c r="O27" s="28">
        <v>1000</v>
      </c>
      <c r="P27" s="28">
        <v>1000</v>
      </c>
      <c r="Q27" s="28">
        <v>1000</v>
      </c>
      <c r="R27" s="28">
        <v>1000</v>
      </c>
      <c r="S27" s="28">
        <v>1000</v>
      </c>
      <c r="T27" s="28">
        <v>1000</v>
      </c>
      <c r="U27" s="28">
        <v>1000</v>
      </c>
      <c r="V27" s="28">
        <v>1000</v>
      </c>
      <c r="W27" s="22">
        <f>SUM(W21:W26)</f>
        <v>2000.0000000000007</v>
      </c>
      <c r="Y27" s="23">
        <f>IF($H27=Categorie_Ventes_lbl1,$W27*Taux_Com1,0)</f>
        <v>0</v>
      </c>
      <c r="Z27" s="23">
        <f>IF($H27=Categorie_Ventes_lbl2,$W27*Taux_Com1,0)</f>
        <v>0</v>
      </c>
      <c r="AA27" s="23">
        <f>IF($H27=Categorie_Ventes_lbl3,$W27*Taux_Com1,0)</f>
        <v>0</v>
      </c>
      <c r="AB27" s="23">
        <f>IF($H27=Categorie_Ventes_lbl4,$W27*Taux_Com1,0)</f>
        <v>0</v>
      </c>
      <c r="AC27" s="23">
        <f>IF($H27=Categorie_Ventes_lbl5,$W27*Taux_Com1,0)</f>
        <v>0</v>
      </c>
      <c r="AD27" s="23">
        <f>IF($H27=Categorie_Ventes_lbl6,$W27*Taux_Com1,0)</f>
        <v>0</v>
      </c>
      <c r="AE27" s="23">
        <f>IF($H27=Categorie_Ventes_lbl7,$W27*Taux_Com1,0)</f>
        <v>0</v>
      </c>
      <c r="AF27" s="23">
        <f>IF($H27=Categorie_Ventes_lbl8,$W27*Taux_Com1,0)</f>
        <v>0</v>
      </c>
      <c r="AG27" s="23">
        <f>IF($H27=Categorie_Ventes_lbl9,$W27*Taux_Com1,0)</f>
        <v>0</v>
      </c>
      <c r="AH27" s="23">
        <f>IF($H27=Categorie_Ventes_lbl10,$W27*Taux_Com1,0)</f>
        <v>0</v>
      </c>
      <c r="AI27" s="23">
        <f>IF($H27=Categorie_Ventes_lbl11,$W27*Taux_Com1,0)</f>
        <v>0</v>
      </c>
      <c r="AJ27" s="23">
        <f>IF($H27=Categorie_Ventes_lbl12,$W27*Taux_Com1,0)</f>
        <v>0</v>
      </c>
      <c r="AK27" s="23">
        <f>IF($H27=Categorie_Ventes_lbl13,$W27*Taux_Com1,0)</f>
        <v>0</v>
      </c>
      <c r="AL27" s="23">
        <f>IF($H27=Categorie_Ventes_lbl14,$W27*Taux_Com1,0)</f>
        <v>0</v>
      </c>
      <c r="AM27" s="24">
        <f t="shared" si="15"/>
        <v>0</v>
      </c>
    </row>
    <row r="28" spans="7:39" ht="23.1" customHeight="1" x14ac:dyDescent="0.35">
      <c r="J28" s="5">
        <f>SUMIF(H21:H26,"Mousse",J21:J26)</f>
        <v>0</v>
      </c>
      <c r="Y28" s="23">
        <f>IF($H28=Categorie_Ventes_lbl1,$W28*Taux_Com1,0)</f>
        <v>0</v>
      </c>
      <c r="Z28" s="23">
        <f>IF($H28=Categorie_Ventes_lbl2,$W28*Taux_Com1,0)</f>
        <v>0</v>
      </c>
      <c r="AA28" s="23">
        <f>IF($H28=Categorie_Ventes_lbl3,$W28*Taux_Com1,0)</f>
        <v>0</v>
      </c>
      <c r="AB28" s="23">
        <f>IF($H28=Categorie_Ventes_lbl4,$W28*Taux_Com1,0)</f>
        <v>0</v>
      </c>
      <c r="AC28" s="23">
        <f>IF($H28=Categorie_Ventes_lbl5,$W28*Taux_Com1,0)</f>
        <v>0</v>
      </c>
      <c r="AD28" s="23">
        <f>IF($H28=Categorie_Ventes_lbl6,$W28*Taux_Com1,0)</f>
        <v>0</v>
      </c>
      <c r="AE28" s="23">
        <f>IF($H28=Categorie_Ventes_lbl7,$W28*Taux_Com1,0)</f>
        <v>0</v>
      </c>
      <c r="AF28" s="23">
        <f>IF($H28=Categorie_Ventes_lbl8,$W28*Taux_Com1,0)</f>
        <v>0</v>
      </c>
      <c r="AG28" s="23">
        <f>IF($H28=Categorie_Ventes_lbl9,$W28*Taux_Com1,0)</f>
        <v>0</v>
      </c>
      <c r="AH28" s="23">
        <f>IF($H28=Categorie_Ventes_lbl10,$W28*Taux_Com1,0)</f>
        <v>0</v>
      </c>
      <c r="AI28" s="23">
        <f>IF($H28=Categorie_Ventes_lbl11,$W28*Taux_Com1,0)</f>
        <v>0</v>
      </c>
      <c r="AJ28" s="23">
        <f>IF($H28=Categorie_Ventes_lbl12,$W28*Taux_Com1,0)</f>
        <v>0</v>
      </c>
      <c r="AK28" s="23">
        <f>IF($H28=Categorie_Ventes_lbl13,$W28*Taux_Com1,0)</f>
        <v>0</v>
      </c>
      <c r="AL28" s="23">
        <f>IF($H28=Categorie_Ventes_lbl14,$W28*Taux_Com1,0)</f>
        <v>0</v>
      </c>
      <c r="AM28" s="24">
        <f t="shared" si="15"/>
        <v>0</v>
      </c>
    </row>
    <row r="29" spans="7:39" ht="23.1" customHeight="1" x14ac:dyDescent="0.35">
      <c r="G29" s="12"/>
      <c r="H29" s="12"/>
      <c r="I29" s="12"/>
      <c r="J29" s="13" t="s">
        <v>9</v>
      </c>
      <c r="K29" s="14"/>
      <c r="L29" s="15"/>
      <c r="M29" s="11"/>
      <c r="N29" s="16">
        <f>IF(ISNA(VLOOKUP(J29,Agents_Commer,3,FALSE)),0,VLOOKUP(J29,Agents_Commer,3,FALSE))</f>
        <v>0</v>
      </c>
      <c r="O29" s="17"/>
      <c r="Q29" s="16">
        <f>IF(ISNA(VLOOKUP(J29,Agents_Commer,4,FALSE)),0,VLOOKUP(J29,Agents_Commer,4,FALSE))</f>
        <v>0</v>
      </c>
      <c r="R29" s="17"/>
      <c r="S29" s="11"/>
      <c r="T29" s="11"/>
      <c r="U29" s="11"/>
      <c r="V29" s="11"/>
      <c r="W29" s="11"/>
      <c r="Y29" s="23">
        <f>IF($H29=Categorie_Ventes_lbl1,$W29*Taux_Com1,0)</f>
        <v>0</v>
      </c>
      <c r="Z29" s="23">
        <f>IF($H29=Categorie_Ventes_lbl2,$W29*Taux_Com1,0)</f>
        <v>0</v>
      </c>
      <c r="AA29" s="23">
        <f>IF($H29=Categorie_Ventes_lbl3,$W29*Taux_Com1,0)</f>
        <v>0</v>
      </c>
      <c r="AB29" s="23">
        <f>IF($H29=Categorie_Ventes_lbl4,$W29*Taux_Com1,0)</f>
        <v>0</v>
      </c>
      <c r="AC29" s="23">
        <f>IF($H29=Categorie_Ventes_lbl5,$W29*Taux_Com1,0)</f>
        <v>0</v>
      </c>
      <c r="AD29" s="23">
        <f>IF($H29=Categorie_Ventes_lbl6,$W29*Taux_Com1,0)</f>
        <v>0</v>
      </c>
      <c r="AE29" s="23">
        <f>IF($H29=Categorie_Ventes_lbl7,$W29*Taux_Com1,0)</f>
        <v>0</v>
      </c>
      <c r="AF29" s="23">
        <f>IF($H29=Categorie_Ventes_lbl8,$W29*Taux_Com1,0)</f>
        <v>0</v>
      </c>
      <c r="AG29" s="23">
        <f>IF($H29=Categorie_Ventes_lbl9,$W29*Taux_Com1,0)</f>
        <v>0</v>
      </c>
      <c r="AH29" s="23">
        <f>IF($H29=Categorie_Ventes_lbl10,$W29*Taux_Com1,0)</f>
        <v>0</v>
      </c>
      <c r="AI29" s="23">
        <f>IF($H29=Categorie_Ventes_lbl11,$W29*Taux_Com1,0)</f>
        <v>0</v>
      </c>
      <c r="AJ29" s="23">
        <f>IF($H29=Categorie_Ventes_lbl12,$W29*Taux_Com1,0)</f>
        <v>0</v>
      </c>
      <c r="AK29" s="23">
        <f>IF($H29=Categorie_Ventes_lbl13,$W29*Taux_Com1,0)</f>
        <v>0</v>
      </c>
      <c r="AL29" s="23">
        <f>IF($H29=Categorie_Ventes_lbl14,$W29*Taux_Com1,0)</f>
        <v>0</v>
      </c>
      <c r="AM29" s="24">
        <f t="shared" si="15"/>
        <v>0</v>
      </c>
    </row>
    <row r="30" spans="7:39" ht="23.1" customHeight="1" x14ac:dyDescent="0.35">
      <c r="G30" s="19" t="str">
        <f>+$G$50</f>
        <v>SOLS</v>
      </c>
      <c r="H30" s="19" t="str">
        <f>+$H$50</f>
        <v>2-Mousse commer.</v>
      </c>
      <c r="I30" s="19" t="str">
        <f>+$I$50</f>
        <v>Mousse</v>
      </c>
      <c r="J30" s="20">
        <v>0.16666666666666669</v>
      </c>
      <c r="K30" s="21">
        <f>IF($H30=0,0,+K36*Pourc_categorie211)</f>
        <v>166.66666666666669</v>
      </c>
      <c r="L30" s="21">
        <f>IF($H30=0,0,+L36*Pourc_categorie211)</f>
        <v>166.66666666666669</v>
      </c>
      <c r="M30" s="21">
        <f>IF($H30=0,0,+M36*Pourc_categorie211)</f>
        <v>166.66666666666669</v>
      </c>
      <c r="N30" s="21">
        <f>IF($H30=0,0,+N36*Pourc_categorie211)</f>
        <v>166.66666666666669</v>
      </c>
      <c r="O30" s="21">
        <f>IF($H30=0,0,+O36*Pourc_categorie211)</f>
        <v>166.66666666666669</v>
      </c>
      <c r="P30" s="21">
        <f>IF($H30=0,0,+P36*Pourc_categorie211)</f>
        <v>166.66666666666669</v>
      </c>
      <c r="Q30" s="21">
        <f>IF($H30=0,0,+Q36*Pourc_categorie211)</f>
        <v>166.66666666666669</v>
      </c>
      <c r="R30" s="21">
        <f>IF($H30=0,0,+R36*Pourc_categorie211)</f>
        <v>166.66666666666669</v>
      </c>
      <c r="S30" s="21">
        <f>IF($H30=0,0,+S36*Pourc_categorie211)</f>
        <v>166.66666666666669</v>
      </c>
      <c r="T30" s="21">
        <f>IF($H30=0,0,+T36*Pourc_categorie211)</f>
        <v>166.66666666666669</v>
      </c>
      <c r="U30" s="21">
        <f>IF($H30=0,0,+U36*Pourc_categorie211)</f>
        <v>166.66666666666669</v>
      </c>
      <c r="V30" s="21">
        <f>IF($H30=0,0,+V36*Pourc_categorie211)</f>
        <v>166.66666666666669</v>
      </c>
      <c r="W30" s="22">
        <f t="shared" ref="W30:W35" si="31">SUM(K30:V30)</f>
        <v>2000.0000000000007</v>
      </c>
      <c r="Y30" s="23">
        <f t="shared" ref="Y30:Y35" si="32">IF($H30=Categorie_Ventes_lbl1,$W30*Taux_Com3,0)</f>
        <v>0</v>
      </c>
      <c r="Z30" s="23">
        <f t="shared" ref="Z30:Z35" si="33">IF($H30=Categorie_Ventes_lbl2,$W30*Taux_Com3,0)</f>
        <v>120.00000000000004</v>
      </c>
      <c r="AA30" s="23">
        <f t="shared" ref="AA30:AA35" si="34">IF($H30=Categorie_Ventes_lbl3,$W30*Taux_Com3,0)</f>
        <v>0</v>
      </c>
      <c r="AB30" s="23">
        <f t="shared" ref="AB30:AB35" si="35">IF($H30=Categorie_Ventes_lbl4,$W30*Taux_Com3,0)</f>
        <v>0</v>
      </c>
      <c r="AC30" s="23">
        <f t="shared" ref="AC30:AC35" si="36">IF($H30=Categorie_Ventes_lbl5,$W30*Taux_Com3,0)</f>
        <v>0</v>
      </c>
      <c r="AD30" s="23">
        <f t="shared" ref="AD30:AD35" si="37">IF($H30=Categorie_Ventes_lbl6,$W30*Taux_Com3,0)</f>
        <v>0</v>
      </c>
      <c r="AE30" s="23">
        <f t="shared" ref="AE30:AE35" si="38">IF($H30=Categorie_Ventes_lbl7,$W30*Taux_Com3,0)</f>
        <v>0</v>
      </c>
      <c r="AF30" s="23">
        <f t="shared" ref="AF30:AF35" si="39">IF($H30=Categorie_Ventes_lbl8,$W30*Taux_Com3,0)</f>
        <v>0</v>
      </c>
      <c r="AG30" s="23">
        <f t="shared" ref="AG30:AG35" si="40">IF($H30=Categorie_Ventes_lbl9,$W30*Taux_Com3,0)</f>
        <v>0</v>
      </c>
      <c r="AH30" s="23">
        <f t="shared" ref="AH30:AH35" si="41">IF($H30=Categorie_Ventes_lbl10,$W30*Taux_Com3,0)</f>
        <v>0</v>
      </c>
      <c r="AI30" s="23">
        <f t="shared" ref="AI30:AI35" si="42">IF($H30=Categorie_Ventes_lbl11,$W30*Taux_Com3,0)</f>
        <v>0</v>
      </c>
      <c r="AJ30" s="23">
        <f t="shared" ref="AJ30:AJ35" si="43">IF($H30=Categorie_Ventes_lbl12,$W30*Taux_Com3,0)</f>
        <v>0</v>
      </c>
      <c r="AK30" s="23">
        <f t="shared" ref="AK30:AK35" si="44">IF($H30=Categorie_Ventes_lbl13,$W30*Taux_Com3,0)</f>
        <v>0</v>
      </c>
      <c r="AL30" s="23">
        <f t="shared" ref="AL30:AL35" si="45">IF($H30=Categorie_Ventes_lbl14,$W30*Taux_Com3,0)</f>
        <v>0</v>
      </c>
      <c r="AM30" s="24">
        <f t="shared" si="15"/>
        <v>120.00000000000004</v>
      </c>
    </row>
    <row r="31" spans="7:39" ht="23.1" customHeight="1" x14ac:dyDescent="0.35">
      <c r="G31" s="19" t="str">
        <f>+$G$51</f>
        <v>MURS</v>
      </c>
      <c r="H31" s="19">
        <f>+$H$51</f>
        <v>0</v>
      </c>
      <c r="I31" s="19" t="str">
        <f>+$I$51</f>
        <v/>
      </c>
      <c r="J31" s="20">
        <v>0.16666666666666669</v>
      </c>
      <c r="K31" s="21">
        <f>IF($H31=0,0,+K36*Pourc_categorie212)</f>
        <v>0</v>
      </c>
      <c r="L31" s="21">
        <f>IF($H31=0,0,+L36*Pourc_categorie212)</f>
        <v>0</v>
      </c>
      <c r="M31" s="21">
        <f>IF($H31=0,0,+M36*Pourc_categorie212)</f>
        <v>0</v>
      </c>
      <c r="N31" s="21">
        <f>IF($H31=0,0,+N36*Pourc_categorie212)</f>
        <v>0</v>
      </c>
      <c r="O31" s="21">
        <f>IF($H31=0,0,+O36*Pourc_categorie212)</f>
        <v>0</v>
      </c>
      <c r="P31" s="21">
        <f>IF($H31=0,0,+P36*Pourc_categorie212)</f>
        <v>0</v>
      </c>
      <c r="Q31" s="21">
        <f>IF($H31=0,0,+Q36*Pourc_categorie212)</f>
        <v>0</v>
      </c>
      <c r="R31" s="21">
        <f>IF($H31=0,0,+R36*Pourc_categorie212)</f>
        <v>0</v>
      </c>
      <c r="S31" s="21">
        <f>IF($H31=0,0,+S36*Pourc_categorie212)</f>
        <v>0</v>
      </c>
      <c r="T31" s="21">
        <f>IF($H31=0,0,+T36*Pourc_categorie212)</f>
        <v>0</v>
      </c>
      <c r="U31" s="21">
        <f>IF($H31=0,0,+U36*Pourc_categorie212)</f>
        <v>0</v>
      </c>
      <c r="V31" s="21">
        <f>IF($H31=0,0,+V36*Pourc_categorie212)</f>
        <v>0</v>
      </c>
      <c r="W31" s="22">
        <f t="shared" si="31"/>
        <v>0</v>
      </c>
      <c r="Y31" s="23">
        <f t="shared" si="32"/>
        <v>0</v>
      </c>
      <c r="Z31" s="23">
        <f t="shared" si="33"/>
        <v>0</v>
      </c>
      <c r="AA31" s="23">
        <f t="shared" si="34"/>
        <v>0</v>
      </c>
      <c r="AB31" s="23">
        <f t="shared" si="35"/>
        <v>0</v>
      </c>
      <c r="AC31" s="23">
        <f t="shared" si="36"/>
        <v>0</v>
      </c>
      <c r="AD31" s="23">
        <f t="shared" si="37"/>
        <v>0</v>
      </c>
      <c r="AE31" s="23">
        <f t="shared" si="38"/>
        <v>0</v>
      </c>
      <c r="AF31" s="23">
        <f t="shared" si="39"/>
        <v>0</v>
      </c>
      <c r="AG31" s="23">
        <f t="shared" si="40"/>
        <v>0</v>
      </c>
      <c r="AH31" s="23">
        <f t="shared" si="41"/>
        <v>0</v>
      </c>
      <c r="AI31" s="23">
        <f t="shared" si="42"/>
        <v>0</v>
      </c>
      <c r="AJ31" s="23">
        <f t="shared" si="43"/>
        <v>0</v>
      </c>
      <c r="AK31" s="23">
        <f t="shared" si="44"/>
        <v>0</v>
      </c>
      <c r="AL31" s="23">
        <f t="shared" si="45"/>
        <v>0</v>
      </c>
      <c r="AM31" s="24">
        <f t="shared" si="15"/>
        <v>0</v>
      </c>
    </row>
    <row r="32" spans="7:39" ht="23.1" customHeight="1" x14ac:dyDescent="0.35">
      <c r="G32" s="19" t="str">
        <f>+$G$52</f>
        <v>Carrelage</v>
      </c>
      <c r="H32" s="19">
        <f>+$H$52</f>
        <v>0</v>
      </c>
      <c r="I32" s="19" t="str">
        <f>+$I$52</f>
        <v/>
      </c>
      <c r="J32" s="20">
        <v>0.16666666666666669</v>
      </c>
      <c r="K32" s="21">
        <f>IF($H32=0,0,+K36*Pourc_categorie213)</f>
        <v>0</v>
      </c>
      <c r="L32" s="21">
        <f>IF($H32=0,0,+L36*Pourc_categorie213)</f>
        <v>0</v>
      </c>
      <c r="M32" s="21">
        <f>IF($H32=0,0,+M36*Pourc_categorie213)</f>
        <v>0</v>
      </c>
      <c r="N32" s="21">
        <f>IF($H32=0,0,+N36*Pourc_categorie213)</f>
        <v>0</v>
      </c>
      <c r="O32" s="21">
        <f>IF($H32=0,0,+O36*Pourc_categorie213)</f>
        <v>0</v>
      </c>
      <c r="P32" s="21">
        <f>IF($H32=0,0,+P36*Pourc_categorie213)</f>
        <v>0</v>
      </c>
      <c r="Q32" s="21">
        <f>IF($H32=0,0,+Q36*Pourc_categorie213)</f>
        <v>0</v>
      </c>
      <c r="R32" s="21">
        <f>IF($H32=0,0,+R36*Pourc_categorie213)</f>
        <v>0</v>
      </c>
      <c r="S32" s="21">
        <f>IF($H32=0,0,+S36*Pourc_categorie213)</f>
        <v>0</v>
      </c>
      <c r="T32" s="21">
        <f>IF($H32=0,0,+T36*Pourc_categorie213)</f>
        <v>0</v>
      </c>
      <c r="U32" s="21">
        <f>IF($H32=0,0,+U36*Pourc_categorie213)</f>
        <v>0</v>
      </c>
      <c r="V32" s="21">
        <f>IF($H32=0,0,+V36*Pourc_categorie213)</f>
        <v>0</v>
      </c>
      <c r="W32" s="22">
        <f t="shared" si="31"/>
        <v>0</v>
      </c>
      <c r="Y32" s="23">
        <f t="shared" si="32"/>
        <v>0</v>
      </c>
      <c r="Z32" s="23">
        <f t="shared" si="33"/>
        <v>0</v>
      </c>
      <c r="AA32" s="23">
        <f t="shared" si="34"/>
        <v>0</v>
      </c>
      <c r="AB32" s="23">
        <f t="shared" si="35"/>
        <v>0</v>
      </c>
      <c r="AC32" s="23">
        <f t="shared" si="36"/>
        <v>0</v>
      </c>
      <c r="AD32" s="23">
        <f t="shared" si="37"/>
        <v>0</v>
      </c>
      <c r="AE32" s="23">
        <f t="shared" si="38"/>
        <v>0</v>
      </c>
      <c r="AF32" s="23">
        <f t="shared" si="39"/>
        <v>0</v>
      </c>
      <c r="AG32" s="23">
        <f t="shared" si="40"/>
        <v>0</v>
      </c>
      <c r="AH32" s="23">
        <f t="shared" si="41"/>
        <v>0</v>
      </c>
      <c r="AI32" s="23">
        <f t="shared" si="42"/>
        <v>0</v>
      </c>
      <c r="AJ32" s="23">
        <f t="shared" si="43"/>
        <v>0</v>
      </c>
      <c r="AK32" s="23">
        <f t="shared" si="44"/>
        <v>0</v>
      </c>
      <c r="AL32" s="23">
        <f t="shared" si="45"/>
        <v>0</v>
      </c>
      <c r="AM32" s="24">
        <f t="shared" si="15"/>
        <v>0</v>
      </c>
    </row>
    <row r="33" spans="1:39" ht="23.1" customHeight="1" x14ac:dyDescent="0.35">
      <c r="G33" s="19" t="str">
        <f>+$G$53</f>
        <v>Chaudière</v>
      </c>
      <c r="H33" s="19">
        <f>+$H$53</f>
        <v>0</v>
      </c>
      <c r="I33" s="19" t="str">
        <f>+$I$53</f>
        <v/>
      </c>
      <c r="J33" s="20">
        <v>0.16666666666666669</v>
      </c>
      <c r="K33" s="21">
        <f>IF($H33=0,0,+K36*Pourc_categorie214)</f>
        <v>0</v>
      </c>
      <c r="L33" s="21">
        <f>IF($H33=0,0,+L36*Pourc_categorie214)</f>
        <v>0</v>
      </c>
      <c r="M33" s="21">
        <f>IF($H33=0,0,+M36*Pourc_categorie214)</f>
        <v>0</v>
      </c>
      <c r="N33" s="21">
        <f>IF($H33=0,0,+N36*Pourc_categorie214)</f>
        <v>0</v>
      </c>
      <c r="O33" s="21">
        <f>IF($H33=0,0,+O36*Pourc_categorie214)</f>
        <v>0</v>
      </c>
      <c r="P33" s="21">
        <f>IF($H33=0,0,+P36*Pourc_categorie214)</f>
        <v>0</v>
      </c>
      <c r="Q33" s="21">
        <f>IF($H33=0,0,+Q36*Pourc_categorie214)</f>
        <v>0</v>
      </c>
      <c r="R33" s="21">
        <f>IF($H33=0,0,+R36*Pourc_categorie214)</f>
        <v>0</v>
      </c>
      <c r="S33" s="21">
        <f>IF($H33=0,0,+S36*Pourc_categorie214)</f>
        <v>0</v>
      </c>
      <c r="T33" s="21">
        <f>IF($H33=0,0,+T36*Pourc_categorie214)</f>
        <v>0</v>
      </c>
      <c r="U33" s="21">
        <f>IF($H33=0,0,+U36*Pourc_categorie214)</f>
        <v>0</v>
      </c>
      <c r="V33" s="21">
        <f>IF($H33=0,0,+V36*Pourc_categorie214)</f>
        <v>0</v>
      </c>
      <c r="W33" s="22">
        <f t="shared" si="31"/>
        <v>0</v>
      </c>
      <c r="Y33" s="23">
        <f t="shared" si="32"/>
        <v>0</v>
      </c>
      <c r="Z33" s="23">
        <f t="shared" si="33"/>
        <v>0</v>
      </c>
      <c r="AA33" s="23">
        <f t="shared" si="34"/>
        <v>0</v>
      </c>
      <c r="AB33" s="23">
        <f t="shared" si="35"/>
        <v>0</v>
      </c>
      <c r="AC33" s="23">
        <f t="shared" si="36"/>
        <v>0</v>
      </c>
      <c r="AD33" s="23">
        <f t="shared" si="37"/>
        <v>0</v>
      </c>
      <c r="AE33" s="23">
        <f t="shared" si="38"/>
        <v>0</v>
      </c>
      <c r="AF33" s="23">
        <f t="shared" si="39"/>
        <v>0</v>
      </c>
      <c r="AG33" s="23">
        <f t="shared" si="40"/>
        <v>0</v>
      </c>
      <c r="AH33" s="23">
        <f t="shared" si="41"/>
        <v>0</v>
      </c>
      <c r="AI33" s="23">
        <f t="shared" si="42"/>
        <v>0</v>
      </c>
      <c r="AJ33" s="23">
        <f t="shared" si="43"/>
        <v>0</v>
      </c>
      <c r="AK33" s="23">
        <f t="shared" si="44"/>
        <v>0</v>
      </c>
      <c r="AL33" s="23">
        <f t="shared" si="45"/>
        <v>0</v>
      </c>
      <c r="AM33" s="24">
        <f t="shared" si="15"/>
        <v>0</v>
      </c>
    </row>
    <row r="34" spans="1:39" ht="23.1" customHeight="1" x14ac:dyDescent="0.35">
      <c r="G34" s="19" t="str">
        <f>+$G$54</f>
        <v>Chaudière installation</v>
      </c>
      <c r="H34" s="19">
        <f>+$H$54</f>
        <v>0</v>
      </c>
      <c r="I34" s="19" t="str">
        <f>+$I$54</f>
        <v/>
      </c>
      <c r="J34" s="20">
        <v>0.16666666666666669</v>
      </c>
      <c r="K34" s="21">
        <f>IF($H34=0,0,+K36*Pourc_categorie215)</f>
        <v>0</v>
      </c>
      <c r="L34" s="21">
        <f>IF($H34=0,0,+L36*Pourc_categorie215)</f>
        <v>0</v>
      </c>
      <c r="M34" s="21">
        <f>IF($H34=0,0,+M36*Pourc_categorie215)</f>
        <v>0</v>
      </c>
      <c r="N34" s="21">
        <f>IF($H34=0,0,+N36*Pourc_categorie215)</f>
        <v>0</v>
      </c>
      <c r="O34" s="21">
        <f>IF($H34=0,0,+O36*Pourc_categorie215)</f>
        <v>0</v>
      </c>
      <c r="P34" s="21">
        <f>IF($H34=0,0,+P36*Pourc_categorie215)</f>
        <v>0</v>
      </c>
      <c r="Q34" s="21">
        <f>IF($H34=0,0,+Q36*Pourc_categorie215)</f>
        <v>0</v>
      </c>
      <c r="R34" s="21">
        <f>IF($H34=0,0,+R36*Pourc_categorie215)</f>
        <v>0</v>
      </c>
      <c r="S34" s="21">
        <f>IF($H34=0,0,+S36*Pourc_categorie215)</f>
        <v>0</v>
      </c>
      <c r="T34" s="21">
        <f>IF($H34=0,0,+T36*Pourc_categorie215)</f>
        <v>0</v>
      </c>
      <c r="U34" s="21">
        <f>IF($H34=0,0,+U36*Pourc_categorie215)</f>
        <v>0</v>
      </c>
      <c r="V34" s="21">
        <f>IF($H34=0,0,+V36*Pourc_categorie215)</f>
        <v>0</v>
      </c>
      <c r="W34" s="22">
        <f t="shared" si="31"/>
        <v>0</v>
      </c>
      <c r="Y34" s="23">
        <f t="shared" si="32"/>
        <v>0</v>
      </c>
      <c r="Z34" s="23">
        <f t="shared" si="33"/>
        <v>0</v>
      </c>
      <c r="AA34" s="23">
        <f t="shared" si="34"/>
        <v>0</v>
      </c>
      <c r="AB34" s="23">
        <f t="shared" si="35"/>
        <v>0</v>
      </c>
      <c r="AC34" s="23">
        <f t="shared" si="36"/>
        <v>0</v>
      </c>
      <c r="AD34" s="23">
        <f t="shared" si="37"/>
        <v>0</v>
      </c>
      <c r="AE34" s="23">
        <f t="shared" si="38"/>
        <v>0</v>
      </c>
      <c r="AF34" s="23">
        <f t="shared" si="39"/>
        <v>0</v>
      </c>
      <c r="AG34" s="23">
        <f t="shared" si="40"/>
        <v>0</v>
      </c>
      <c r="AH34" s="23">
        <f t="shared" si="41"/>
        <v>0</v>
      </c>
      <c r="AI34" s="23">
        <f t="shared" si="42"/>
        <v>0</v>
      </c>
      <c r="AJ34" s="23">
        <f t="shared" si="43"/>
        <v>0</v>
      </c>
      <c r="AK34" s="23">
        <f t="shared" si="44"/>
        <v>0</v>
      </c>
      <c r="AL34" s="23">
        <f t="shared" si="45"/>
        <v>0</v>
      </c>
      <c r="AM34" s="24">
        <f t="shared" si="15"/>
        <v>0</v>
      </c>
    </row>
    <row r="35" spans="1:39" ht="23.1" customHeight="1" x14ac:dyDescent="0.35">
      <c r="G35" s="19" t="str">
        <f>+$G$55</f>
        <v>Chape liquide</v>
      </c>
      <c r="H35" s="19">
        <f>+$H$55</f>
        <v>0</v>
      </c>
      <c r="I35" s="19" t="str">
        <f>+$I$55</f>
        <v/>
      </c>
      <c r="J35" s="20">
        <v>0.16666666666666669</v>
      </c>
      <c r="K35" s="21">
        <f>IF($H35=0,0,+K36*Pourc_categorie216)</f>
        <v>0</v>
      </c>
      <c r="L35" s="21">
        <f>IF($H35=0,0,+L36*Pourc_categorie216)</f>
        <v>0</v>
      </c>
      <c r="M35" s="21">
        <f>IF($H35=0,0,+M36*Pourc_categorie216)</f>
        <v>0</v>
      </c>
      <c r="N35" s="21">
        <f>IF($H35=0,0,+N36*Pourc_categorie216)</f>
        <v>0</v>
      </c>
      <c r="O35" s="21">
        <f>IF($H35=0,0,+O36*Pourc_categorie216)</f>
        <v>0</v>
      </c>
      <c r="P35" s="21">
        <f>IF($H35=0,0,+P36*Pourc_categorie216)</f>
        <v>0</v>
      </c>
      <c r="Q35" s="21">
        <f>IF($H35=0,0,+Q36*Pourc_categorie216)</f>
        <v>0</v>
      </c>
      <c r="R35" s="21">
        <f>IF($H35=0,0,+R36*Pourc_categorie216)</f>
        <v>0</v>
      </c>
      <c r="S35" s="21">
        <f>IF($H35=0,0,+S36*Pourc_categorie216)</f>
        <v>0</v>
      </c>
      <c r="T35" s="21">
        <f>IF($H35=0,0,+T36*Pourc_categorie216)</f>
        <v>0</v>
      </c>
      <c r="U35" s="21">
        <f>IF($H35=0,0,+U36*Pourc_categorie216)</f>
        <v>0</v>
      </c>
      <c r="V35" s="21">
        <f>IF($H35=0,0,+V36*Pourc_categorie216)</f>
        <v>0</v>
      </c>
      <c r="W35" s="22">
        <f t="shared" si="31"/>
        <v>0</v>
      </c>
      <c r="Y35" s="23">
        <f t="shared" si="32"/>
        <v>0</v>
      </c>
      <c r="Z35" s="23">
        <f t="shared" si="33"/>
        <v>0</v>
      </c>
      <c r="AA35" s="23">
        <f t="shared" si="34"/>
        <v>0</v>
      </c>
      <c r="AB35" s="23">
        <f t="shared" si="35"/>
        <v>0</v>
      </c>
      <c r="AC35" s="23">
        <f t="shared" si="36"/>
        <v>0</v>
      </c>
      <c r="AD35" s="23">
        <f t="shared" si="37"/>
        <v>0</v>
      </c>
      <c r="AE35" s="23">
        <f t="shared" si="38"/>
        <v>0</v>
      </c>
      <c r="AF35" s="23">
        <f t="shared" si="39"/>
        <v>0</v>
      </c>
      <c r="AG35" s="23">
        <f t="shared" si="40"/>
        <v>0</v>
      </c>
      <c r="AH35" s="23">
        <f t="shared" si="41"/>
        <v>0</v>
      </c>
      <c r="AI35" s="23">
        <f t="shared" si="42"/>
        <v>0</v>
      </c>
      <c r="AJ35" s="23">
        <f t="shared" si="43"/>
        <v>0</v>
      </c>
      <c r="AK35" s="23">
        <f t="shared" si="44"/>
        <v>0</v>
      </c>
      <c r="AL35" s="23">
        <f t="shared" si="45"/>
        <v>0</v>
      </c>
      <c r="AM35" s="24">
        <f t="shared" si="15"/>
        <v>0</v>
      </c>
    </row>
    <row r="36" spans="1:39" ht="23.1" customHeight="1" x14ac:dyDescent="0.35">
      <c r="G36" s="25"/>
      <c r="H36" s="25"/>
      <c r="I36" s="25"/>
      <c r="J36" s="30">
        <f>SUM(J30:J35)</f>
        <v>1.0000000000000002</v>
      </c>
      <c r="K36" s="28">
        <v>1000</v>
      </c>
      <c r="L36" s="28">
        <v>1000</v>
      </c>
      <c r="M36" s="28">
        <v>1000</v>
      </c>
      <c r="N36" s="28">
        <v>1000</v>
      </c>
      <c r="O36" s="28">
        <v>1000</v>
      </c>
      <c r="P36" s="28">
        <v>1000</v>
      </c>
      <c r="Q36" s="28">
        <v>1000</v>
      </c>
      <c r="R36" s="28">
        <v>1000</v>
      </c>
      <c r="S36" s="28">
        <v>1000</v>
      </c>
      <c r="T36" s="28">
        <v>1000</v>
      </c>
      <c r="U36" s="28">
        <v>1000</v>
      </c>
      <c r="V36" s="28">
        <v>1000</v>
      </c>
      <c r="W36" s="22">
        <f>SUM(W30:W35)</f>
        <v>2000.0000000000007</v>
      </c>
      <c r="Y36" s="23">
        <f>IF($H36=Categorie_Ventes_lbl1,$W36*Taux_Com1,0)</f>
        <v>0</v>
      </c>
      <c r="Z36" s="23">
        <f>IF($H36=Categorie_Ventes_lbl2,$W36*Taux_Com1,0)</f>
        <v>0</v>
      </c>
      <c r="AA36" s="23">
        <f>IF($H36=Categorie_Ventes_lbl3,$W36*Taux_Com1,0)</f>
        <v>0</v>
      </c>
      <c r="AB36" s="23">
        <f>IF($H36=Categorie_Ventes_lbl4,$W36*Taux_Com1,0)</f>
        <v>0</v>
      </c>
      <c r="AC36" s="23">
        <f>IF($H36=Categorie_Ventes_lbl5,$W36*Taux_Com1,0)</f>
        <v>0</v>
      </c>
      <c r="AD36" s="23">
        <f>IF($H36=Categorie_Ventes_lbl6,$W36*Taux_Com1,0)</f>
        <v>0</v>
      </c>
      <c r="AE36" s="23">
        <f>IF($H36=Categorie_Ventes_lbl7,$W36*Taux_Com1,0)</f>
        <v>0</v>
      </c>
      <c r="AF36" s="23">
        <f>IF($H36=Categorie_Ventes_lbl8,$W36*Taux_Com1,0)</f>
        <v>0</v>
      </c>
      <c r="AG36" s="23">
        <f>IF($H36=Categorie_Ventes_lbl9,$W36*Taux_Com1,0)</f>
        <v>0</v>
      </c>
      <c r="AH36" s="23">
        <f>IF($H36=Categorie_Ventes_lbl10,$W36*Taux_Com1,0)</f>
        <v>0</v>
      </c>
      <c r="AI36" s="23">
        <f>IF($H36=Categorie_Ventes_lbl11,$W36*Taux_Com1,0)</f>
        <v>0</v>
      </c>
      <c r="AJ36" s="23">
        <f>IF($H36=Categorie_Ventes_lbl12,$W36*Taux_Com1,0)</f>
        <v>0</v>
      </c>
      <c r="AK36" s="23">
        <f>IF($H36=Categorie_Ventes_lbl13,$W36*Taux_Com1,0)</f>
        <v>0</v>
      </c>
      <c r="AL36" s="23">
        <f>IF($H36=Categorie_Ventes_lbl14,$W36*Taux_Com1,0)</f>
        <v>0</v>
      </c>
      <c r="AM36" s="24">
        <f t="shared" si="15"/>
        <v>0</v>
      </c>
    </row>
    <row r="37" spans="1:39" ht="23.1" customHeight="1" x14ac:dyDescent="0.35">
      <c r="G37" s="25"/>
      <c r="H37" s="5"/>
      <c r="I37" s="5"/>
      <c r="J37" s="5"/>
      <c r="Y37" s="23">
        <f>IF($H37=Categorie_Ventes_lbl1,$W37*Taux_Com1,0)</f>
        <v>0</v>
      </c>
      <c r="Z37" s="23">
        <f>IF($H37=Categorie_Ventes_lbl2,$W37*Taux_Com1,0)</f>
        <v>0</v>
      </c>
      <c r="AA37" s="23">
        <f>IF($H37=Categorie_Ventes_lbl3,$W37*Taux_Com1,0)</f>
        <v>0</v>
      </c>
      <c r="AB37" s="23">
        <f>IF($H37=Categorie_Ventes_lbl4,$W37*Taux_Com1,0)</f>
        <v>0</v>
      </c>
      <c r="AC37" s="23">
        <f>IF($H37=Categorie_Ventes_lbl5,$W37*Taux_Com1,0)</f>
        <v>0</v>
      </c>
      <c r="AD37" s="23">
        <f>IF($H37=Categorie_Ventes_lbl6,$W37*Taux_Com1,0)</f>
        <v>0</v>
      </c>
      <c r="AE37" s="23">
        <f>IF($H37=Categorie_Ventes_lbl7,$W37*Taux_Com1,0)</f>
        <v>0</v>
      </c>
      <c r="AF37" s="23">
        <f>IF($H37=Categorie_Ventes_lbl8,$W37*Taux_Com1,0)</f>
        <v>0</v>
      </c>
      <c r="AG37" s="23">
        <f>IF($H37=Categorie_Ventes_lbl9,$W37*Taux_Com1,0)</f>
        <v>0</v>
      </c>
      <c r="AH37" s="23">
        <f>IF($H37=Categorie_Ventes_lbl10,$W37*Taux_Com1,0)</f>
        <v>0</v>
      </c>
      <c r="AI37" s="23">
        <f>IF($H37=Categorie_Ventes_lbl11,$W37*Taux_Com1,0)</f>
        <v>0</v>
      </c>
      <c r="AJ37" s="23">
        <f>IF($H37=Categorie_Ventes_lbl12,$W37*Taux_Com1,0)</f>
        <v>0</v>
      </c>
      <c r="AK37" s="23">
        <f>IF($H37=Categorie_Ventes_lbl13,$W37*Taux_Com1,0)</f>
        <v>0</v>
      </c>
      <c r="AL37" s="23">
        <f>IF($H37=Categorie_Ventes_lbl14,$W37*Taux_Com1,0)</f>
        <v>0</v>
      </c>
      <c r="AM37" s="24">
        <f t="shared" si="15"/>
        <v>0</v>
      </c>
    </row>
    <row r="38" spans="1:39" ht="23.1" customHeight="1" x14ac:dyDescent="0.35">
      <c r="G38" s="12"/>
      <c r="H38" s="12"/>
      <c r="I38" s="12"/>
      <c r="J38" s="13"/>
      <c r="K38" s="14"/>
      <c r="L38" s="15"/>
      <c r="M38" s="11"/>
      <c r="N38" s="16">
        <f>IF(ISNA(VLOOKUP(J38,Agents_Commer,3,FALSE)),0,VLOOKUP(J38,Agents_Commer,3,FALSE))</f>
        <v>0</v>
      </c>
      <c r="O38" s="17"/>
      <c r="Q38" s="16">
        <f>IF(ISNA(VLOOKUP(J38,Agents_Commer,4,FALSE)),0,VLOOKUP(J38,Agents_Commer,4,FALSE))</f>
        <v>0</v>
      </c>
      <c r="R38" s="17"/>
      <c r="S38" s="11"/>
      <c r="T38" s="11"/>
      <c r="U38" s="11"/>
      <c r="V38" s="11"/>
      <c r="W38" s="11"/>
      <c r="Y38" s="23">
        <f>IF($H38=Categorie_Ventes_lbl1,$W38*Taux_Com1,0)</f>
        <v>0</v>
      </c>
      <c r="Z38" s="23">
        <f>IF($H38=Categorie_Ventes_lbl2,$W38*Taux_Com1,0)</f>
        <v>0</v>
      </c>
      <c r="AA38" s="23">
        <f>IF($H38=Categorie_Ventes_lbl3,$W38*Taux_Com1,0)</f>
        <v>0</v>
      </c>
      <c r="AB38" s="23">
        <f>IF($H38=Categorie_Ventes_lbl4,$W38*Taux_Com1,0)</f>
        <v>0</v>
      </c>
      <c r="AC38" s="23">
        <f>IF($H38=Categorie_Ventes_lbl5,$W38*Taux_Com1,0)</f>
        <v>0</v>
      </c>
      <c r="AD38" s="23">
        <f>IF($H38=Categorie_Ventes_lbl6,$W38*Taux_Com1,0)</f>
        <v>0</v>
      </c>
      <c r="AE38" s="23">
        <f>IF($H38=Categorie_Ventes_lbl7,$W38*Taux_Com1,0)</f>
        <v>0</v>
      </c>
      <c r="AF38" s="23">
        <f>IF($H38=Categorie_Ventes_lbl8,$W38*Taux_Com1,0)</f>
        <v>0</v>
      </c>
      <c r="AG38" s="23">
        <f>IF($H38=Categorie_Ventes_lbl9,$W38*Taux_Com1,0)</f>
        <v>0</v>
      </c>
      <c r="AH38" s="23">
        <f>IF($H38=Categorie_Ventes_lbl10,$W38*Taux_Com1,0)</f>
        <v>0</v>
      </c>
      <c r="AI38" s="23">
        <f>IF($H38=Categorie_Ventes_lbl11,$W38*Taux_Com1,0)</f>
        <v>0</v>
      </c>
      <c r="AJ38" s="23">
        <f>IF($H38=Categorie_Ventes_lbl12,$W38*Taux_Com1,0)</f>
        <v>0</v>
      </c>
      <c r="AK38" s="23">
        <f>IF($H38=Categorie_Ventes_lbl13,$W38*Taux_Com1,0)</f>
        <v>0</v>
      </c>
      <c r="AL38" s="23">
        <f>IF($H38=Categorie_Ventes_lbl14,$W38*Taux_Com1,0)</f>
        <v>0</v>
      </c>
      <c r="AM38" s="24">
        <f t="shared" si="15"/>
        <v>0</v>
      </c>
    </row>
    <row r="39" spans="1:39" ht="23.1" customHeight="1" x14ac:dyDescent="0.35">
      <c r="G39" s="19" t="str">
        <f>+$G$50</f>
        <v>SOLS</v>
      </c>
      <c r="H39" s="19" t="str">
        <f>+$H$50</f>
        <v>2-Mousse commer.</v>
      </c>
      <c r="I39" s="19" t="str">
        <f>+$I$50</f>
        <v>Mousse</v>
      </c>
      <c r="J39" s="20">
        <v>0.16666666666666669</v>
      </c>
      <c r="K39" s="21">
        <f>IF($H39=0,0,+K45*Pourc_categorie311)</f>
        <v>166.66666666666669</v>
      </c>
      <c r="L39" s="21">
        <f>IF($H39=0,0,+L45*Pourc_categorie311)</f>
        <v>166.66666666666669</v>
      </c>
      <c r="M39" s="21">
        <f>IF($H39=0,0,+M45*Pourc_categorie311)</f>
        <v>166.66666666666669</v>
      </c>
      <c r="N39" s="21">
        <f>IF($H39=0,0,+N45*Pourc_categorie311)</f>
        <v>166.66666666666669</v>
      </c>
      <c r="O39" s="21">
        <f>IF($H39=0,0,+O45*Pourc_categorie311)</f>
        <v>166.66666666666669</v>
      </c>
      <c r="P39" s="21">
        <f>IF($H39=0,0,+P45*Pourc_categorie311)</f>
        <v>166.66666666666669</v>
      </c>
      <c r="Q39" s="21">
        <f>IF($H39=0,0,+Q45*Pourc_categorie311)</f>
        <v>166.66666666666669</v>
      </c>
      <c r="R39" s="21">
        <f>IF($H39=0,0,+R45*Pourc_categorie311)</f>
        <v>166.66666666666669</v>
      </c>
      <c r="S39" s="21">
        <f>IF($H39=0,0,+S45*Pourc_categorie311)</f>
        <v>166.66666666666669</v>
      </c>
      <c r="T39" s="21">
        <f>IF($H39=0,0,+T45*Pourc_categorie311)</f>
        <v>166.66666666666669</v>
      </c>
      <c r="U39" s="21">
        <f>IF($H39=0,0,+U45*Pourc_categorie311)</f>
        <v>166.66666666666669</v>
      </c>
      <c r="V39" s="21">
        <f>IF($H39=0,0,+V45*Pourc_categorie311)</f>
        <v>166.66666666666669</v>
      </c>
      <c r="W39" s="22">
        <f t="shared" ref="W39:W44" si="46">SUM(K39:V39)</f>
        <v>2000.0000000000007</v>
      </c>
      <c r="Y39" s="23">
        <f t="shared" ref="Y39:Y44" si="47">IF($H39=Categorie_Ventes_lbl1,$W39*Taux_Com4,0)</f>
        <v>0</v>
      </c>
      <c r="Z39" s="23">
        <f t="shared" ref="Z39:Z44" si="48">IF($H39=Categorie_Ventes_lbl2,$W39*Taux_Com4,0)</f>
        <v>120.00000000000004</v>
      </c>
      <c r="AA39" s="23">
        <f t="shared" ref="AA39:AA44" si="49">IF($H39=Categorie_Ventes_lbl3,$W39*Taux_Com4,0)</f>
        <v>0</v>
      </c>
      <c r="AB39" s="23">
        <f t="shared" ref="AB39:AB44" si="50">IF($H39=Categorie_Ventes_lbl4,$W39*Taux_Com4,0)</f>
        <v>0</v>
      </c>
      <c r="AC39" s="23">
        <f t="shared" ref="AC39:AC44" si="51">IF($H39=Categorie_Ventes_lbl5,$W39*Taux_Com4,0)</f>
        <v>0</v>
      </c>
      <c r="AD39" s="23">
        <f t="shared" ref="AD39:AD44" si="52">IF($H39=Categorie_Ventes_lbl6,$W39*Taux_Com4,0)</f>
        <v>0</v>
      </c>
      <c r="AE39" s="23">
        <f t="shared" ref="AE39:AE44" si="53">IF($H39=Categorie_Ventes_lbl7,$W39*Taux_Com4,0)</f>
        <v>0</v>
      </c>
      <c r="AF39" s="23">
        <f t="shared" ref="AF39:AF44" si="54">IF($H39=Categorie_Ventes_lbl8,$W39*Taux_Com4,0)</f>
        <v>0</v>
      </c>
      <c r="AG39" s="23">
        <f t="shared" ref="AG39:AG44" si="55">IF($H39=Categorie_Ventes_lbl9,$W39*Taux_Com4,0)</f>
        <v>0</v>
      </c>
      <c r="AH39" s="23">
        <f t="shared" ref="AH39:AH44" si="56">IF($H39=Categorie_Ventes_lbl10,$W39*Taux_Com4,0)</f>
        <v>0</v>
      </c>
      <c r="AI39" s="23">
        <f t="shared" ref="AI39:AI44" si="57">IF($H39=Categorie_Ventes_lbl11,$W39*Taux_Com4,0)</f>
        <v>0</v>
      </c>
      <c r="AJ39" s="23">
        <f t="shared" ref="AJ39:AJ44" si="58">IF($H39=Categorie_Ventes_lbl12,$W39*Taux_Com4,0)</f>
        <v>0</v>
      </c>
      <c r="AK39" s="23">
        <f t="shared" ref="AK39:AK44" si="59">IF($H39=Categorie_Ventes_lbl13,$W39*Taux_Com4,0)</f>
        <v>0</v>
      </c>
      <c r="AL39" s="23">
        <f t="shared" ref="AL39:AL44" si="60">IF($H39=Categorie_Ventes_lbl14,$W39*Taux_Com4,0)</f>
        <v>0</v>
      </c>
      <c r="AM39" s="24">
        <f t="shared" si="15"/>
        <v>120.00000000000004</v>
      </c>
    </row>
    <row r="40" spans="1:39" ht="23.1" customHeight="1" x14ac:dyDescent="0.35">
      <c r="G40" s="19" t="str">
        <f>+$G$51</f>
        <v>MURS</v>
      </c>
      <c r="H40" s="19">
        <f>+$H$51</f>
        <v>0</v>
      </c>
      <c r="I40" s="19" t="str">
        <f>+$I$51</f>
        <v/>
      </c>
      <c r="J40" s="20">
        <v>0.16666666666666669</v>
      </c>
      <c r="K40" s="21">
        <f>IF($H40=0,0,+K45*Pourc_categorie312)</f>
        <v>0</v>
      </c>
      <c r="L40" s="21">
        <f>IF($H40=0,0,+L45*Pourc_categorie312)</f>
        <v>0</v>
      </c>
      <c r="M40" s="21">
        <f>IF($H40=0,0,+M45*Pourc_categorie312)</f>
        <v>0</v>
      </c>
      <c r="N40" s="21">
        <f>IF($H40=0,0,+N45*Pourc_categorie312)</f>
        <v>0</v>
      </c>
      <c r="O40" s="21">
        <f>IF($H40=0,0,+O45*Pourc_categorie312)</f>
        <v>0</v>
      </c>
      <c r="P40" s="21">
        <f>IF($H40=0,0,+P45*Pourc_categorie312)</f>
        <v>0</v>
      </c>
      <c r="Q40" s="21">
        <f>IF($H40=0,0,+Q45*Pourc_categorie312)</f>
        <v>0</v>
      </c>
      <c r="R40" s="21">
        <f>IF($H40=0,0,+R45*Pourc_categorie312)</f>
        <v>0</v>
      </c>
      <c r="S40" s="21">
        <f>IF($H40=0,0,+S45*Pourc_categorie312)</f>
        <v>0</v>
      </c>
      <c r="T40" s="21">
        <f>IF($H40=0,0,+T45*Pourc_categorie312)</f>
        <v>0</v>
      </c>
      <c r="U40" s="21">
        <f>IF($H40=0,0,+U45*Pourc_categorie312)</f>
        <v>0</v>
      </c>
      <c r="V40" s="21">
        <f>IF($H40=0,0,+V45*Pourc_categorie312)</f>
        <v>0</v>
      </c>
      <c r="W40" s="22">
        <f t="shared" si="46"/>
        <v>0</v>
      </c>
      <c r="Y40" s="23">
        <f t="shared" si="47"/>
        <v>0</v>
      </c>
      <c r="Z40" s="23">
        <f t="shared" si="48"/>
        <v>0</v>
      </c>
      <c r="AA40" s="23">
        <f t="shared" si="49"/>
        <v>0</v>
      </c>
      <c r="AB40" s="23">
        <f t="shared" si="50"/>
        <v>0</v>
      </c>
      <c r="AC40" s="23">
        <f t="shared" si="51"/>
        <v>0</v>
      </c>
      <c r="AD40" s="23">
        <f t="shared" si="52"/>
        <v>0</v>
      </c>
      <c r="AE40" s="23">
        <f t="shared" si="53"/>
        <v>0</v>
      </c>
      <c r="AF40" s="23">
        <f t="shared" si="54"/>
        <v>0</v>
      </c>
      <c r="AG40" s="23">
        <f t="shared" si="55"/>
        <v>0</v>
      </c>
      <c r="AH40" s="23">
        <f t="shared" si="56"/>
        <v>0</v>
      </c>
      <c r="AI40" s="23">
        <f t="shared" si="57"/>
        <v>0</v>
      </c>
      <c r="AJ40" s="23">
        <f t="shared" si="58"/>
        <v>0</v>
      </c>
      <c r="AK40" s="23">
        <f t="shared" si="59"/>
        <v>0</v>
      </c>
      <c r="AL40" s="23">
        <f t="shared" si="60"/>
        <v>0</v>
      </c>
      <c r="AM40" s="24">
        <f t="shared" si="15"/>
        <v>0</v>
      </c>
    </row>
    <row r="41" spans="1:39" ht="23.1" customHeight="1" x14ac:dyDescent="0.35">
      <c r="G41" s="19" t="str">
        <f>+$G$52</f>
        <v>Carrelage</v>
      </c>
      <c r="H41" s="19">
        <f>+$H$52</f>
        <v>0</v>
      </c>
      <c r="I41" s="19" t="str">
        <f>+$I$52</f>
        <v/>
      </c>
      <c r="J41" s="20">
        <v>0.16666666666666669</v>
      </c>
      <c r="K41" s="21">
        <f>IF($H41=0,0,+K45*Pourc_categorie313)</f>
        <v>0</v>
      </c>
      <c r="L41" s="21">
        <f>IF($H41=0,0,+L45*Pourc_categorie313)</f>
        <v>0</v>
      </c>
      <c r="M41" s="21">
        <f>IF($H41=0,0,+M45*Pourc_categorie313)</f>
        <v>0</v>
      </c>
      <c r="N41" s="21">
        <f>IF($H41=0,0,+N45*Pourc_categorie313)</f>
        <v>0</v>
      </c>
      <c r="O41" s="21">
        <f>IF($H41=0,0,+O45*Pourc_categorie313)</f>
        <v>0</v>
      </c>
      <c r="P41" s="21">
        <f>IF($H41=0,0,+P45*Pourc_categorie313)</f>
        <v>0</v>
      </c>
      <c r="Q41" s="21">
        <f>IF($H41=0,0,+Q45*Pourc_categorie313)</f>
        <v>0</v>
      </c>
      <c r="R41" s="21">
        <f>IF($H41=0,0,+R45*Pourc_categorie313)</f>
        <v>0</v>
      </c>
      <c r="S41" s="21">
        <f>IF($H41=0,0,+S45*Pourc_categorie313)</f>
        <v>0</v>
      </c>
      <c r="T41" s="21">
        <f>IF($H41=0,0,+T45*Pourc_categorie313)</f>
        <v>0</v>
      </c>
      <c r="U41" s="21">
        <f>IF($H41=0,0,+U45*Pourc_categorie313)</f>
        <v>0</v>
      </c>
      <c r="V41" s="21">
        <f>IF($H41=0,0,+V45*Pourc_categorie313)</f>
        <v>0</v>
      </c>
      <c r="W41" s="22">
        <f t="shared" si="46"/>
        <v>0</v>
      </c>
      <c r="Y41" s="23">
        <f t="shared" si="47"/>
        <v>0</v>
      </c>
      <c r="Z41" s="23">
        <f t="shared" si="48"/>
        <v>0</v>
      </c>
      <c r="AA41" s="23">
        <f t="shared" si="49"/>
        <v>0</v>
      </c>
      <c r="AB41" s="23">
        <f t="shared" si="50"/>
        <v>0</v>
      </c>
      <c r="AC41" s="23">
        <f t="shared" si="51"/>
        <v>0</v>
      </c>
      <c r="AD41" s="23">
        <f t="shared" si="52"/>
        <v>0</v>
      </c>
      <c r="AE41" s="23">
        <f t="shared" si="53"/>
        <v>0</v>
      </c>
      <c r="AF41" s="23">
        <f t="shared" si="54"/>
        <v>0</v>
      </c>
      <c r="AG41" s="23">
        <f t="shared" si="55"/>
        <v>0</v>
      </c>
      <c r="AH41" s="23">
        <f t="shared" si="56"/>
        <v>0</v>
      </c>
      <c r="AI41" s="23">
        <f t="shared" si="57"/>
        <v>0</v>
      </c>
      <c r="AJ41" s="23">
        <f t="shared" si="58"/>
        <v>0</v>
      </c>
      <c r="AK41" s="23">
        <f t="shared" si="59"/>
        <v>0</v>
      </c>
      <c r="AL41" s="23">
        <f t="shared" si="60"/>
        <v>0</v>
      </c>
      <c r="AM41" s="24">
        <f t="shared" si="15"/>
        <v>0</v>
      </c>
    </row>
    <row r="42" spans="1:39" ht="23.1" customHeight="1" x14ac:dyDescent="0.35">
      <c r="G42" s="19" t="str">
        <f>+$G$53</f>
        <v>Chaudière</v>
      </c>
      <c r="H42" s="19">
        <f>+$H$53</f>
        <v>0</v>
      </c>
      <c r="I42" s="19" t="str">
        <f>+$I$53</f>
        <v/>
      </c>
      <c r="J42" s="20">
        <v>0.16666666666666669</v>
      </c>
      <c r="K42" s="21">
        <f>IF($H42=0,0,+K45*Pourc_categorie314)</f>
        <v>0</v>
      </c>
      <c r="L42" s="21">
        <f>IF($H42=0,0,+L45*Pourc_categorie314)</f>
        <v>0</v>
      </c>
      <c r="M42" s="21">
        <f>IF($H42=0,0,+M45*Pourc_categorie314)</f>
        <v>0</v>
      </c>
      <c r="N42" s="21">
        <f>IF($H42=0,0,+N45*Pourc_categorie314)</f>
        <v>0</v>
      </c>
      <c r="O42" s="21">
        <f>IF($H42=0,0,+O45*Pourc_categorie314)</f>
        <v>0</v>
      </c>
      <c r="P42" s="21">
        <f>IF($H42=0,0,+P45*Pourc_categorie314)</f>
        <v>0</v>
      </c>
      <c r="Q42" s="21">
        <f>IF($H42=0,0,+Q45*Pourc_categorie314)</f>
        <v>0</v>
      </c>
      <c r="R42" s="21">
        <f>IF($H42=0,0,+R45*Pourc_categorie314)</f>
        <v>0</v>
      </c>
      <c r="S42" s="21">
        <f>IF($H42=0,0,+S45*Pourc_categorie314)</f>
        <v>0</v>
      </c>
      <c r="T42" s="21">
        <f>IF($H42=0,0,+T45*Pourc_categorie314)</f>
        <v>0</v>
      </c>
      <c r="U42" s="21">
        <f>IF($H42=0,0,+U45*Pourc_categorie314)</f>
        <v>0</v>
      </c>
      <c r="V42" s="21">
        <f>IF($H42=0,0,+V45*Pourc_categorie314)</f>
        <v>0</v>
      </c>
      <c r="W42" s="22">
        <f t="shared" si="46"/>
        <v>0</v>
      </c>
      <c r="Y42" s="23">
        <f t="shared" si="47"/>
        <v>0</v>
      </c>
      <c r="Z42" s="23">
        <f t="shared" si="48"/>
        <v>0</v>
      </c>
      <c r="AA42" s="23">
        <f t="shared" si="49"/>
        <v>0</v>
      </c>
      <c r="AB42" s="23">
        <f t="shared" si="50"/>
        <v>0</v>
      </c>
      <c r="AC42" s="23">
        <f t="shared" si="51"/>
        <v>0</v>
      </c>
      <c r="AD42" s="23">
        <f t="shared" si="52"/>
        <v>0</v>
      </c>
      <c r="AE42" s="23">
        <f t="shared" si="53"/>
        <v>0</v>
      </c>
      <c r="AF42" s="23">
        <f t="shared" si="54"/>
        <v>0</v>
      </c>
      <c r="AG42" s="23">
        <f t="shared" si="55"/>
        <v>0</v>
      </c>
      <c r="AH42" s="23">
        <f t="shared" si="56"/>
        <v>0</v>
      </c>
      <c r="AI42" s="23">
        <f t="shared" si="57"/>
        <v>0</v>
      </c>
      <c r="AJ42" s="23">
        <f t="shared" si="58"/>
        <v>0</v>
      </c>
      <c r="AK42" s="23">
        <f t="shared" si="59"/>
        <v>0</v>
      </c>
      <c r="AL42" s="23">
        <f t="shared" si="60"/>
        <v>0</v>
      </c>
      <c r="AM42" s="24">
        <f t="shared" si="15"/>
        <v>0</v>
      </c>
    </row>
    <row r="43" spans="1:39" ht="23.1" customHeight="1" x14ac:dyDescent="0.35">
      <c r="G43" s="19" t="str">
        <f>+$G$54</f>
        <v>Chaudière installation</v>
      </c>
      <c r="H43" s="19">
        <f>+$H$54</f>
        <v>0</v>
      </c>
      <c r="I43" s="19" t="str">
        <f>+$I$54</f>
        <v/>
      </c>
      <c r="J43" s="20">
        <v>0.16666666666666669</v>
      </c>
      <c r="K43" s="21">
        <f>IF($H43=0,0,+K45*Pourc_categorie315)</f>
        <v>0</v>
      </c>
      <c r="L43" s="21">
        <f>IF($H43=0,0,+L45*Pourc_categorie315)</f>
        <v>0</v>
      </c>
      <c r="M43" s="21">
        <f>IF($H43=0,0,+M45*Pourc_categorie315)</f>
        <v>0</v>
      </c>
      <c r="N43" s="21">
        <f>IF($H43=0,0,+N45*Pourc_categorie315)</f>
        <v>0</v>
      </c>
      <c r="O43" s="21">
        <f>IF($H43=0,0,+O45*Pourc_categorie315)</f>
        <v>0</v>
      </c>
      <c r="P43" s="21">
        <f>IF($H43=0,0,+P45*Pourc_categorie315)</f>
        <v>0</v>
      </c>
      <c r="Q43" s="21">
        <f>IF($H43=0,0,+Q45*Pourc_categorie315)</f>
        <v>0</v>
      </c>
      <c r="R43" s="21">
        <f>IF($H43=0,0,+R45*Pourc_categorie315)</f>
        <v>0</v>
      </c>
      <c r="S43" s="21">
        <f>IF($H43=0,0,+S45*Pourc_categorie315)</f>
        <v>0</v>
      </c>
      <c r="T43" s="21">
        <f>IF($H43=0,0,+T45*Pourc_categorie315)</f>
        <v>0</v>
      </c>
      <c r="U43" s="21">
        <f>IF($H43=0,0,+U45*Pourc_categorie315)</f>
        <v>0</v>
      </c>
      <c r="V43" s="21">
        <f>IF($H43=0,0,+V45*Pourc_categorie315)</f>
        <v>0</v>
      </c>
      <c r="W43" s="22">
        <f t="shared" si="46"/>
        <v>0</v>
      </c>
      <c r="Y43" s="23">
        <f t="shared" si="47"/>
        <v>0</v>
      </c>
      <c r="Z43" s="23">
        <f t="shared" si="48"/>
        <v>0</v>
      </c>
      <c r="AA43" s="23">
        <f t="shared" si="49"/>
        <v>0</v>
      </c>
      <c r="AB43" s="23">
        <f t="shared" si="50"/>
        <v>0</v>
      </c>
      <c r="AC43" s="23">
        <f t="shared" si="51"/>
        <v>0</v>
      </c>
      <c r="AD43" s="23">
        <f t="shared" si="52"/>
        <v>0</v>
      </c>
      <c r="AE43" s="23">
        <f t="shared" si="53"/>
        <v>0</v>
      </c>
      <c r="AF43" s="23">
        <f t="shared" si="54"/>
        <v>0</v>
      </c>
      <c r="AG43" s="23">
        <f t="shared" si="55"/>
        <v>0</v>
      </c>
      <c r="AH43" s="23">
        <f t="shared" si="56"/>
        <v>0</v>
      </c>
      <c r="AI43" s="23">
        <f t="shared" si="57"/>
        <v>0</v>
      </c>
      <c r="AJ43" s="23">
        <f t="shared" si="58"/>
        <v>0</v>
      </c>
      <c r="AK43" s="23">
        <f t="shared" si="59"/>
        <v>0</v>
      </c>
      <c r="AL43" s="23">
        <f t="shared" si="60"/>
        <v>0</v>
      </c>
      <c r="AM43" s="24">
        <f t="shared" si="15"/>
        <v>0</v>
      </c>
    </row>
    <row r="44" spans="1:39" ht="23.1" customHeight="1" x14ac:dyDescent="0.35">
      <c r="G44" s="19" t="str">
        <f>+$G$55</f>
        <v>Chape liquide</v>
      </c>
      <c r="H44" s="19">
        <f>+$H$55</f>
        <v>0</v>
      </c>
      <c r="I44" s="19" t="str">
        <f>+$I$55</f>
        <v/>
      </c>
      <c r="J44" s="20">
        <v>0.16666666666666669</v>
      </c>
      <c r="K44" s="21">
        <f>IF($H44=0,0,+K45*Pourc_categorie316)</f>
        <v>0</v>
      </c>
      <c r="L44" s="21">
        <f>IF($H44=0,0,+L45*Pourc_categorie316)</f>
        <v>0</v>
      </c>
      <c r="M44" s="21">
        <f>IF($H44=0,0,+M45*Pourc_categorie316)</f>
        <v>0</v>
      </c>
      <c r="N44" s="21">
        <f>IF($H44=0,0,+N45*Pourc_categorie316)</f>
        <v>0</v>
      </c>
      <c r="O44" s="21">
        <f>IF($H44=0,0,+O45*Pourc_categorie316)</f>
        <v>0</v>
      </c>
      <c r="P44" s="21">
        <f>IF($H44=0,0,+P45*Pourc_categorie316)</f>
        <v>0</v>
      </c>
      <c r="Q44" s="21">
        <f>IF($H44=0,0,+Q45*Pourc_categorie316)</f>
        <v>0</v>
      </c>
      <c r="R44" s="21">
        <f>IF($H44=0,0,+R45*Pourc_categorie316)</f>
        <v>0</v>
      </c>
      <c r="S44" s="21">
        <f>IF($H44=0,0,+S45*Pourc_categorie316)</f>
        <v>0</v>
      </c>
      <c r="T44" s="21">
        <f>IF($H44=0,0,+T45*Pourc_categorie316)</f>
        <v>0</v>
      </c>
      <c r="U44" s="21">
        <f>IF($H44=0,0,+U45*Pourc_categorie316)</f>
        <v>0</v>
      </c>
      <c r="V44" s="21">
        <f>IF($H44=0,0,+V45*Pourc_categorie316)</f>
        <v>0</v>
      </c>
      <c r="W44" s="22">
        <f t="shared" si="46"/>
        <v>0</v>
      </c>
      <c r="Y44" s="23">
        <f t="shared" si="47"/>
        <v>0</v>
      </c>
      <c r="Z44" s="23">
        <f t="shared" si="48"/>
        <v>0</v>
      </c>
      <c r="AA44" s="23">
        <f t="shared" si="49"/>
        <v>0</v>
      </c>
      <c r="AB44" s="23">
        <f t="shared" si="50"/>
        <v>0</v>
      </c>
      <c r="AC44" s="23">
        <f t="shared" si="51"/>
        <v>0</v>
      </c>
      <c r="AD44" s="23">
        <f t="shared" si="52"/>
        <v>0</v>
      </c>
      <c r="AE44" s="23">
        <f t="shared" si="53"/>
        <v>0</v>
      </c>
      <c r="AF44" s="23">
        <f t="shared" si="54"/>
        <v>0</v>
      </c>
      <c r="AG44" s="23">
        <f t="shared" si="55"/>
        <v>0</v>
      </c>
      <c r="AH44" s="23">
        <f t="shared" si="56"/>
        <v>0</v>
      </c>
      <c r="AI44" s="23">
        <f t="shared" si="57"/>
        <v>0</v>
      </c>
      <c r="AJ44" s="23">
        <f t="shared" si="58"/>
        <v>0</v>
      </c>
      <c r="AK44" s="23">
        <f t="shared" si="59"/>
        <v>0</v>
      </c>
      <c r="AL44" s="23">
        <f t="shared" si="60"/>
        <v>0</v>
      </c>
      <c r="AM44" s="24">
        <f t="shared" si="15"/>
        <v>0</v>
      </c>
    </row>
    <row r="45" spans="1:39" s="33" customFormat="1" ht="23.1" customHeight="1" x14ac:dyDescent="0.25">
      <c r="A45" s="31"/>
      <c r="B45" s="32"/>
      <c r="C45" s="32"/>
      <c r="D45" s="32"/>
      <c r="E45" s="32"/>
      <c r="G45" s="25"/>
      <c r="H45" s="25"/>
      <c r="I45" s="25"/>
      <c r="J45" s="30">
        <f>SUM(J39:J44)</f>
        <v>1.0000000000000002</v>
      </c>
      <c r="K45" s="28">
        <v>1000</v>
      </c>
      <c r="L45" s="28">
        <v>1000</v>
      </c>
      <c r="M45" s="28">
        <v>1000</v>
      </c>
      <c r="N45" s="28">
        <v>1000</v>
      </c>
      <c r="O45" s="28">
        <v>1000</v>
      </c>
      <c r="P45" s="28">
        <v>1000</v>
      </c>
      <c r="Q45" s="28">
        <v>1000</v>
      </c>
      <c r="R45" s="28">
        <v>1000</v>
      </c>
      <c r="S45" s="28">
        <v>1000</v>
      </c>
      <c r="T45" s="28">
        <v>1000</v>
      </c>
      <c r="U45" s="28">
        <v>1000</v>
      </c>
      <c r="V45" s="28">
        <v>1000</v>
      </c>
      <c r="W45" s="34">
        <f>SUM(W39:W44)</f>
        <v>2000.0000000000007</v>
      </c>
      <c r="Y45" s="23">
        <f>IF($H45=Categorie_Ventes_lbl1,$W45*Taux_Com1,0)</f>
        <v>0</v>
      </c>
      <c r="Z45" s="23">
        <f>IF($H45=Categorie_Ventes_lbl2,$W45*Taux_Com1,0)</f>
        <v>0</v>
      </c>
      <c r="AM45" s="24"/>
    </row>
    <row r="46" spans="1:39" ht="23.1" customHeight="1" x14ac:dyDescent="0.35">
      <c r="G46" s="25"/>
      <c r="H46" s="5"/>
      <c r="I46" s="5"/>
      <c r="J46" s="5"/>
      <c r="AM46" s="24"/>
    </row>
    <row r="47" spans="1:39" ht="23.1" customHeight="1" x14ac:dyDescent="0.35">
      <c r="G47" s="25"/>
      <c r="H47" s="5"/>
      <c r="I47" s="5"/>
      <c r="J47" s="5"/>
      <c r="AM47" s="24"/>
    </row>
    <row r="48" spans="1:39" ht="23.1" customHeight="1" x14ac:dyDescent="0.35">
      <c r="G48" s="12"/>
      <c r="H48" s="12"/>
      <c r="I48" s="12"/>
      <c r="J48" s="35" t="s">
        <v>10</v>
      </c>
      <c r="K48" s="36"/>
      <c r="L48" s="37"/>
      <c r="M48" s="11"/>
      <c r="N48" s="38"/>
      <c r="O48" s="11"/>
      <c r="P48" s="11"/>
      <c r="Q48" s="11"/>
      <c r="R48" s="11"/>
      <c r="S48" s="11"/>
      <c r="T48" s="11"/>
      <c r="U48" s="11"/>
      <c r="V48" s="11"/>
      <c r="W48" s="11"/>
      <c r="AM48" s="24"/>
    </row>
    <row r="49" spans="1:40" ht="23.1" customHeight="1" x14ac:dyDescent="0.35">
      <c r="G49" s="8" t="s">
        <v>11</v>
      </c>
      <c r="H49" s="8" t="s">
        <v>12</v>
      </c>
      <c r="I49" s="8" t="s">
        <v>13</v>
      </c>
      <c r="J49" s="8" t="s">
        <v>14</v>
      </c>
      <c r="K49" s="8">
        <f>Mois1</f>
        <v>43131</v>
      </c>
      <c r="L49" s="8">
        <f>Mois2</f>
        <v>43159</v>
      </c>
      <c r="M49" s="8">
        <f>Mois3</f>
        <v>43190</v>
      </c>
      <c r="N49" s="8">
        <f>Mois4</f>
        <v>43220</v>
      </c>
      <c r="O49" s="8">
        <f>Mois5</f>
        <v>43251</v>
      </c>
      <c r="P49" s="8">
        <f>Mois6</f>
        <v>43281</v>
      </c>
      <c r="Q49" s="8">
        <f>Mois7</f>
        <v>43312</v>
      </c>
      <c r="R49" s="8">
        <f>Mois8</f>
        <v>43343</v>
      </c>
      <c r="S49" s="8">
        <f>Mois9</f>
        <v>43373</v>
      </c>
      <c r="T49" s="8">
        <f>Mois10</f>
        <v>43404</v>
      </c>
      <c r="U49" s="8">
        <f>Mois11</f>
        <v>43434</v>
      </c>
      <c r="V49" s="8">
        <f>Mois12</f>
        <v>43465</v>
      </c>
      <c r="W49" s="8" t="str">
        <f>Mois_Total_Annuel</f>
        <v>Total annuel</v>
      </c>
      <c r="AM49" s="24"/>
    </row>
    <row r="50" spans="1:40" ht="23.1" customHeight="1" x14ac:dyDescent="0.35">
      <c r="G50" s="39" t="s">
        <v>15</v>
      </c>
      <c r="H50" s="40" t="s">
        <v>16</v>
      </c>
      <c r="I50" s="41" t="str">
        <f>IF(H50="","",VLOOKUP(H50,[1]Parametres!$B$84:$E$97,4,0))</f>
        <v>Mousse</v>
      </c>
      <c r="J50" s="42">
        <f t="shared" ref="J50:J55" si="61">IF(W$56=0,0,+W50/W$56)</f>
        <v>1</v>
      </c>
      <c r="K50" s="21">
        <f>+K12+K21+K30+K39</f>
        <v>1333.3333333333335</v>
      </c>
      <c r="L50" s="21">
        <f t="shared" ref="L50:V50" si="62">+L12+L21+L30+L39</f>
        <v>1333.3333333333335</v>
      </c>
      <c r="M50" s="21">
        <f t="shared" si="62"/>
        <v>1333.3333333333335</v>
      </c>
      <c r="N50" s="21">
        <f t="shared" si="62"/>
        <v>1333.3333333333335</v>
      </c>
      <c r="O50" s="21">
        <f t="shared" si="62"/>
        <v>1333.3333333333335</v>
      </c>
      <c r="P50" s="21">
        <f t="shared" si="62"/>
        <v>1333.3333333333335</v>
      </c>
      <c r="Q50" s="21">
        <f t="shared" si="62"/>
        <v>1333.3333333333335</v>
      </c>
      <c r="R50" s="21">
        <f t="shared" si="62"/>
        <v>1333.3333333333335</v>
      </c>
      <c r="S50" s="21">
        <f t="shared" si="62"/>
        <v>1333.3333333333335</v>
      </c>
      <c r="T50" s="21">
        <f t="shared" si="62"/>
        <v>1333.3333333333335</v>
      </c>
      <c r="U50" s="21">
        <f t="shared" si="62"/>
        <v>1333.3333333333335</v>
      </c>
      <c r="V50" s="21">
        <f t="shared" si="62"/>
        <v>1333.3333333333335</v>
      </c>
      <c r="W50" s="22">
        <f>+W12+W21+W30+W39</f>
        <v>16000</v>
      </c>
      <c r="AM50" s="24"/>
    </row>
    <row r="51" spans="1:40" ht="23.1" customHeight="1" x14ac:dyDescent="0.35">
      <c r="G51" s="39" t="s">
        <v>17</v>
      </c>
      <c r="H51" s="40"/>
      <c r="I51" s="41" t="str">
        <f>IF(H51="","",VLOOKUP(H51,[1]Parametres!$B$84:$E$97,4,0))</f>
        <v/>
      </c>
      <c r="J51" s="42">
        <f t="shared" si="61"/>
        <v>0</v>
      </c>
      <c r="K51" s="21">
        <f t="shared" ref="K51:W55" si="63">+K13+K22+K31+K40</f>
        <v>0</v>
      </c>
      <c r="L51" s="21">
        <f t="shared" si="63"/>
        <v>0</v>
      </c>
      <c r="M51" s="21">
        <f t="shared" si="63"/>
        <v>0</v>
      </c>
      <c r="N51" s="21">
        <f t="shared" si="63"/>
        <v>0</v>
      </c>
      <c r="O51" s="21">
        <f t="shared" si="63"/>
        <v>0</v>
      </c>
      <c r="P51" s="21">
        <f t="shared" si="63"/>
        <v>0</v>
      </c>
      <c r="Q51" s="21">
        <f t="shared" si="63"/>
        <v>0</v>
      </c>
      <c r="R51" s="21">
        <f t="shared" si="63"/>
        <v>0</v>
      </c>
      <c r="S51" s="21">
        <f t="shared" si="63"/>
        <v>0</v>
      </c>
      <c r="T51" s="21">
        <f t="shared" si="63"/>
        <v>0</v>
      </c>
      <c r="U51" s="21">
        <f t="shared" si="63"/>
        <v>0</v>
      </c>
      <c r="V51" s="21">
        <f t="shared" si="63"/>
        <v>0</v>
      </c>
      <c r="W51" s="22">
        <f t="shared" si="63"/>
        <v>0</v>
      </c>
      <c r="AM51" s="24"/>
    </row>
    <row r="52" spans="1:40" ht="23.1" customHeight="1" x14ac:dyDescent="0.35">
      <c r="G52" s="39" t="s">
        <v>18</v>
      </c>
      <c r="H52" s="40"/>
      <c r="I52" s="41" t="str">
        <f>IF(H52="","",VLOOKUP(H52,[1]Parametres!$B$84:$E$97,4,0))</f>
        <v/>
      </c>
      <c r="J52" s="42">
        <f t="shared" si="61"/>
        <v>0</v>
      </c>
      <c r="K52" s="21">
        <f t="shared" si="63"/>
        <v>0</v>
      </c>
      <c r="L52" s="21">
        <f t="shared" si="63"/>
        <v>0</v>
      </c>
      <c r="M52" s="21">
        <f t="shared" si="63"/>
        <v>0</v>
      </c>
      <c r="N52" s="21">
        <f t="shared" si="63"/>
        <v>0</v>
      </c>
      <c r="O52" s="21">
        <f t="shared" si="63"/>
        <v>0</v>
      </c>
      <c r="P52" s="21">
        <f t="shared" si="63"/>
        <v>0</v>
      </c>
      <c r="Q52" s="21">
        <f t="shared" si="63"/>
        <v>0</v>
      </c>
      <c r="R52" s="21">
        <f t="shared" si="63"/>
        <v>0</v>
      </c>
      <c r="S52" s="21">
        <f t="shared" si="63"/>
        <v>0</v>
      </c>
      <c r="T52" s="21">
        <f t="shared" si="63"/>
        <v>0</v>
      </c>
      <c r="U52" s="21">
        <f t="shared" si="63"/>
        <v>0</v>
      </c>
      <c r="V52" s="21">
        <f t="shared" si="63"/>
        <v>0</v>
      </c>
      <c r="W52" s="22">
        <f t="shared" si="63"/>
        <v>0</v>
      </c>
      <c r="AM52" s="24"/>
    </row>
    <row r="53" spans="1:40" ht="23.1" customHeight="1" x14ac:dyDescent="0.35">
      <c r="G53" s="39" t="s">
        <v>19</v>
      </c>
      <c r="H53" s="40"/>
      <c r="I53" s="41" t="str">
        <f>IF(H53="","",VLOOKUP(H53,[1]Parametres!$B$84:$E$97,4,0))</f>
        <v/>
      </c>
      <c r="J53" s="42">
        <f t="shared" si="61"/>
        <v>0</v>
      </c>
      <c r="K53" s="21">
        <f t="shared" si="63"/>
        <v>0</v>
      </c>
      <c r="L53" s="21">
        <f t="shared" si="63"/>
        <v>0</v>
      </c>
      <c r="M53" s="21">
        <f t="shared" si="63"/>
        <v>0</v>
      </c>
      <c r="N53" s="21">
        <f t="shared" si="63"/>
        <v>0</v>
      </c>
      <c r="O53" s="21">
        <f t="shared" si="63"/>
        <v>0</v>
      </c>
      <c r="P53" s="21">
        <f t="shared" si="63"/>
        <v>0</v>
      </c>
      <c r="Q53" s="21">
        <f t="shared" si="63"/>
        <v>0</v>
      </c>
      <c r="R53" s="21">
        <f t="shared" si="63"/>
        <v>0</v>
      </c>
      <c r="S53" s="21">
        <f t="shared" si="63"/>
        <v>0</v>
      </c>
      <c r="T53" s="21">
        <f t="shared" si="63"/>
        <v>0</v>
      </c>
      <c r="U53" s="21">
        <f t="shared" si="63"/>
        <v>0</v>
      </c>
      <c r="V53" s="21">
        <f t="shared" si="63"/>
        <v>0</v>
      </c>
      <c r="W53" s="22">
        <f t="shared" si="63"/>
        <v>0</v>
      </c>
      <c r="AM53" s="24"/>
    </row>
    <row r="54" spans="1:40" ht="23.1" customHeight="1" x14ac:dyDescent="0.35">
      <c r="G54" s="39" t="s">
        <v>20</v>
      </c>
      <c r="H54" s="40"/>
      <c r="I54" s="41" t="str">
        <f>IF(H54="","",VLOOKUP(H54,[1]Parametres!$B$84:$E$97,4,0))</f>
        <v/>
      </c>
      <c r="J54" s="42">
        <f t="shared" si="61"/>
        <v>0</v>
      </c>
      <c r="K54" s="21">
        <f t="shared" si="63"/>
        <v>0</v>
      </c>
      <c r="L54" s="21">
        <f t="shared" si="63"/>
        <v>0</v>
      </c>
      <c r="M54" s="21">
        <f t="shared" si="63"/>
        <v>0</v>
      </c>
      <c r="N54" s="21">
        <f t="shared" si="63"/>
        <v>0</v>
      </c>
      <c r="O54" s="21">
        <f t="shared" si="63"/>
        <v>0</v>
      </c>
      <c r="P54" s="21">
        <f t="shared" si="63"/>
        <v>0</v>
      </c>
      <c r="Q54" s="21">
        <f t="shared" si="63"/>
        <v>0</v>
      </c>
      <c r="R54" s="21">
        <f t="shared" si="63"/>
        <v>0</v>
      </c>
      <c r="S54" s="21">
        <f t="shared" si="63"/>
        <v>0</v>
      </c>
      <c r="T54" s="21">
        <f t="shared" si="63"/>
        <v>0</v>
      </c>
      <c r="U54" s="21">
        <f t="shared" si="63"/>
        <v>0</v>
      </c>
      <c r="V54" s="21">
        <f t="shared" si="63"/>
        <v>0</v>
      </c>
      <c r="W54" s="22">
        <f t="shared" si="63"/>
        <v>0</v>
      </c>
      <c r="AM54" s="24"/>
    </row>
    <row r="55" spans="1:40" s="33" customFormat="1" ht="23.1" customHeight="1" x14ac:dyDescent="0.25">
      <c r="A55" s="31"/>
      <c r="B55" s="32"/>
      <c r="C55" s="32"/>
      <c r="D55" s="32"/>
      <c r="E55" s="32"/>
      <c r="G55" s="43" t="s">
        <v>21</v>
      </c>
      <c r="H55" s="40"/>
      <c r="I55" s="41" t="str">
        <f>IF(H55="","",VLOOKUP(H55,[1]Parametres!$B$84:$E$97,4,0))</f>
        <v/>
      </c>
      <c r="J55" s="42">
        <f t="shared" si="61"/>
        <v>0</v>
      </c>
      <c r="K55" s="21">
        <f t="shared" si="63"/>
        <v>0</v>
      </c>
      <c r="L55" s="21">
        <f t="shared" si="63"/>
        <v>0</v>
      </c>
      <c r="M55" s="21">
        <f t="shared" si="63"/>
        <v>0</v>
      </c>
      <c r="N55" s="21">
        <f t="shared" si="63"/>
        <v>0</v>
      </c>
      <c r="O55" s="21">
        <f t="shared" si="63"/>
        <v>0</v>
      </c>
      <c r="P55" s="21">
        <f t="shared" si="63"/>
        <v>0</v>
      </c>
      <c r="Q55" s="21">
        <f t="shared" si="63"/>
        <v>0</v>
      </c>
      <c r="R55" s="21">
        <f t="shared" si="63"/>
        <v>0</v>
      </c>
      <c r="S55" s="21">
        <f t="shared" si="63"/>
        <v>0</v>
      </c>
      <c r="T55" s="21">
        <f t="shared" si="63"/>
        <v>0</v>
      </c>
      <c r="U55" s="21">
        <f t="shared" si="63"/>
        <v>0</v>
      </c>
      <c r="V55" s="21">
        <f t="shared" si="63"/>
        <v>0</v>
      </c>
      <c r="W55" s="22">
        <f t="shared" si="63"/>
        <v>0</v>
      </c>
      <c r="AM55" s="24"/>
    </row>
    <row r="56" spans="1:40" ht="23.1" customHeight="1" x14ac:dyDescent="0.35">
      <c r="G56" s="25"/>
      <c r="H56" s="5"/>
      <c r="I56" s="5"/>
      <c r="J56" s="44">
        <f>SUM(J50:J55)</f>
        <v>1</v>
      </c>
      <c r="K56" s="22">
        <f>SUM(K50:K55)</f>
        <v>1333.3333333333335</v>
      </c>
      <c r="L56" s="22">
        <f t="shared" ref="L56:V56" si="64">SUM(L50:L55)</f>
        <v>1333.3333333333335</v>
      </c>
      <c r="M56" s="22">
        <f t="shared" si="64"/>
        <v>1333.3333333333335</v>
      </c>
      <c r="N56" s="22">
        <f t="shared" si="64"/>
        <v>1333.3333333333335</v>
      </c>
      <c r="O56" s="22">
        <f t="shared" si="64"/>
        <v>1333.3333333333335</v>
      </c>
      <c r="P56" s="22">
        <f t="shared" si="64"/>
        <v>1333.3333333333335</v>
      </c>
      <c r="Q56" s="22">
        <f t="shared" si="64"/>
        <v>1333.3333333333335</v>
      </c>
      <c r="R56" s="22">
        <f t="shared" si="64"/>
        <v>1333.3333333333335</v>
      </c>
      <c r="S56" s="22">
        <f t="shared" si="64"/>
        <v>1333.3333333333335</v>
      </c>
      <c r="T56" s="22">
        <f t="shared" si="64"/>
        <v>1333.3333333333335</v>
      </c>
      <c r="U56" s="22">
        <f t="shared" si="64"/>
        <v>1333.3333333333335</v>
      </c>
      <c r="V56" s="22">
        <f t="shared" si="64"/>
        <v>1333.3333333333335</v>
      </c>
      <c r="W56" s="22">
        <f>SUM(W50:W55)</f>
        <v>16000</v>
      </c>
      <c r="AM56" s="24"/>
    </row>
    <row r="57" spans="1:40" ht="23.1" customHeight="1" x14ac:dyDescent="0.35">
      <c r="G57" s="25"/>
      <c r="H57" s="5"/>
      <c r="I57" s="5"/>
      <c r="J57" s="5"/>
    </row>
    <row r="58" spans="1:40" ht="23.1" customHeight="1" x14ac:dyDescent="0.35">
      <c r="F58" s="5"/>
      <c r="G58" s="12" t="s">
        <v>22</v>
      </c>
      <c r="H58" s="5"/>
      <c r="I58" s="5"/>
      <c r="J58" s="5"/>
    </row>
    <row r="59" spans="1:40" ht="30" x14ac:dyDescent="0.35">
      <c r="F59" s="5"/>
      <c r="G59" s="45" t="s">
        <v>23</v>
      </c>
      <c r="H59" s="46"/>
      <c r="I59" s="9"/>
      <c r="J59" s="8" t="s">
        <v>24</v>
      </c>
      <c r="K59" s="8">
        <f>Mois1</f>
        <v>43131</v>
      </c>
      <c r="L59" s="8">
        <f>Mois2</f>
        <v>43159</v>
      </c>
      <c r="M59" s="8">
        <f>Mois3</f>
        <v>43190</v>
      </c>
      <c r="N59" s="8">
        <f>Mois4</f>
        <v>43220</v>
      </c>
      <c r="O59" s="8">
        <f>Mois5</f>
        <v>43251</v>
      </c>
      <c r="P59" s="8">
        <f>Mois6</f>
        <v>43281</v>
      </c>
      <c r="Q59" s="8">
        <f>Mois7</f>
        <v>43312</v>
      </c>
      <c r="R59" s="8">
        <f>Mois8</f>
        <v>43343</v>
      </c>
      <c r="S59" s="8">
        <f>Mois9</f>
        <v>43373</v>
      </c>
      <c r="T59" s="8">
        <f>Mois10</f>
        <v>43404</v>
      </c>
      <c r="U59" s="8">
        <f>Mois11</f>
        <v>43434</v>
      </c>
      <c r="V59" s="8">
        <f>Mois12</f>
        <v>43465</v>
      </c>
      <c r="W59" s="8" t="str">
        <f>Mois_Total_Annuel</f>
        <v>Total annuel</v>
      </c>
    </row>
    <row r="60" spans="1:40" ht="23.1" customHeight="1" x14ac:dyDescent="0.35">
      <c r="F60" s="5"/>
      <c r="G60" s="47" t="str">
        <f>+J11</f>
        <v>PARENT Jean</v>
      </c>
      <c r="H60" s="48"/>
      <c r="I60" s="49"/>
      <c r="J60" s="50">
        <v>0.08</v>
      </c>
      <c r="K60" s="21">
        <f t="shared" ref="K60:V60" si="65">+K18*Taux_Com1</f>
        <v>400</v>
      </c>
      <c r="L60" s="21">
        <f t="shared" si="65"/>
        <v>400</v>
      </c>
      <c r="M60" s="21">
        <f t="shared" si="65"/>
        <v>400</v>
      </c>
      <c r="N60" s="21">
        <f t="shared" si="65"/>
        <v>400</v>
      </c>
      <c r="O60" s="21">
        <f t="shared" si="65"/>
        <v>400</v>
      </c>
      <c r="P60" s="21">
        <f t="shared" si="65"/>
        <v>400</v>
      </c>
      <c r="Q60" s="21">
        <f t="shared" si="65"/>
        <v>400</v>
      </c>
      <c r="R60" s="21">
        <f t="shared" si="65"/>
        <v>400</v>
      </c>
      <c r="S60" s="21">
        <f t="shared" si="65"/>
        <v>400</v>
      </c>
      <c r="T60" s="21">
        <f t="shared" si="65"/>
        <v>400</v>
      </c>
      <c r="U60" s="21">
        <f t="shared" si="65"/>
        <v>400</v>
      </c>
      <c r="V60" s="21">
        <f t="shared" si="65"/>
        <v>400</v>
      </c>
      <c r="W60" s="22">
        <f>SUM(K60:V60)</f>
        <v>4800</v>
      </c>
    </row>
    <row r="61" spans="1:40" ht="23.1" customHeight="1" x14ac:dyDescent="0.35">
      <c r="F61" s="5"/>
      <c r="G61" s="47" t="str">
        <f>+J20</f>
        <v>PICARD Philippe</v>
      </c>
      <c r="H61" s="48"/>
      <c r="I61" s="49"/>
      <c r="J61" s="50">
        <v>0.06</v>
      </c>
      <c r="K61" s="21">
        <f t="shared" ref="K61:V61" si="66">+K27*Taux_Com2</f>
        <v>60</v>
      </c>
      <c r="L61" s="21">
        <f t="shared" si="66"/>
        <v>60</v>
      </c>
      <c r="M61" s="21">
        <f t="shared" si="66"/>
        <v>60</v>
      </c>
      <c r="N61" s="21">
        <f t="shared" si="66"/>
        <v>60</v>
      </c>
      <c r="O61" s="21">
        <f t="shared" si="66"/>
        <v>60</v>
      </c>
      <c r="P61" s="21">
        <f t="shared" si="66"/>
        <v>60</v>
      </c>
      <c r="Q61" s="21">
        <f t="shared" si="66"/>
        <v>60</v>
      </c>
      <c r="R61" s="21">
        <f t="shared" si="66"/>
        <v>60</v>
      </c>
      <c r="S61" s="21">
        <f t="shared" si="66"/>
        <v>60</v>
      </c>
      <c r="T61" s="21">
        <f t="shared" si="66"/>
        <v>60</v>
      </c>
      <c r="U61" s="21">
        <f t="shared" si="66"/>
        <v>60</v>
      </c>
      <c r="V61" s="21">
        <f t="shared" si="66"/>
        <v>60</v>
      </c>
      <c r="W61" s="22">
        <f>SUM(K61:V61)</f>
        <v>720</v>
      </c>
    </row>
    <row r="62" spans="1:40" ht="23.1" customHeight="1" x14ac:dyDescent="0.35">
      <c r="F62" s="5"/>
      <c r="G62" s="47" t="str">
        <f>+J29</f>
        <v>SANS</v>
      </c>
      <c r="H62" s="48"/>
      <c r="I62" s="49"/>
      <c r="J62" s="50">
        <v>0.06</v>
      </c>
      <c r="K62" s="21">
        <f t="shared" ref="K62:V62" si="67">+K36*Taux_Com3</f>
        <v>60</v>
      </c>
      <c r="L62" s="21">
        <f t="shared" si="67"/>
        <v>60</v>
      </c>
      <c r="M62" s="21">
        <f t="shared" si="67"/>
        <v>60</v>
      </c>
      <c r="N62" s="21">
        <f t="shared" si="67"/>
        <v>60</v>
      </c>
      <c r="O62" s="21">
        <f t="shared" si="67"/>
        <v>60</v>
      </c>
      <c r="P62" s="21">
        <f t="shared" si="67"/>
        <v>60</v>
      </c>
      <c r="Q62" s="21">
        <f t="shared" si="67"/>
        <v>60</v>
      </c>
      <c r="R62" s="21">
        <f t="shared" si="67"/>
        <v>60</v>
      </c>
      <c r="S62" s="21">
        <f t="shared" si="67"/>
        <v>60</v>
      </c>
      <c r="T62" s="21">
        <f t="shared" si="67"/>
        <v>60</v>
      </c>
      <c r="U62" s="21">
        <f t="shared" si="67"/>
        <v>60</v>
      </c>
      <c r="V62" s="21">
        <f t="shared" si="67"/>
        <v>60</v>
      </c>
      <c r="W62" s="22">
        <f>SUM(K62:V62)</f>
        <v>720</v>
      </c>
    </row>
    <row r="63" spans="1:40" ht="23.1" customHeight="1" x14ac:dyDescent="0.35">
      <c r="F63" s="5"/>
      <c r="G63" s="47">
        <f>+J38</f>
        <v>0</v>
      </c>
      <c r="H63" s="48"/>
      <c r="I63" s="51"/>
      <c r="J63" s="52">
        <v>0.06</v>
      </c>
      <c r="K63" s="21">
        <f t="shared" ref="K63:V63" si="68">+K45*Taux_Com4</f>
        <v>60</v>
      </c>
      <c r="L63" s="21">
        <f t="shared" si="68"/>
        <v>60</v>
      </c>
      <c r="M63" s="21">
        <f t="shared" si="68"/>
        <v>60</v>
      </c>
      <c r="N63" s="21">
        <f t="shared" si="68"/>
        <v>60</v>
      </c>
      <c r="O63" s="21">
        <f t="shared" si="68"/>
        <v>60</v>
      </c>
      <c r="P63" s="21">
        <f t="shared" si="68"/>
        <v>60</v>
      </c>
      <c r="Q63" s="21">
        <f t="shared" si="68"/>
        <v>60</v>
      </c>
      <c r="R63" s="21">
        <f t="shared" si="68"/>
        <v>60</v>
      </c>
      <c r="S63" s="21">
        <f t="shared" si="68"/>
        <v>60</v>
      </c>
      <c r="T63" s="21">
        <f t="shared" si="68"/>
        <v>60</v>
      </c>
      <c r="U63" s="21">
        <f t="shared" si="68"/>
        <v>60</v>
      </c>
      <c r="V63" s="21">
        <f t="shared" si="68"/>
        <v>60</v>
      </c>
      <c r="W63" s="22">
        <f>SUM(K63:V63)</f>
        <v>720</v>
      </c>
    </row>
    <row r="64" spans="1:40" ht="23.1" customHeight="1" x14ac:dyDescent="0.35">
      <c r="F64" s="5"/>
      <c r="G64" s="53" t="s">
        <v>25</v>
      </c>
      <c r="H64" s="54"/>
      <c r="I64" s="55"/>
      <c r="J64" s="30">
        <f>IF(W64=0,0,+W64/W56)</f>
        <v>0.435</v>
      </c>
      <c r="K64" s="22">
        <f>SUM(K60:K63)</f>
        <v>580</v>
      </c>
      <c r="L64" s="22">
        <f t="shared" ref="L64:W64" si="69">SUM(L60:L63)</f>
        <v>580</v>
      </c>
      <c r="M64" s="22">
        <f t="shared" si="69"/>
        <v>580</v>
      </c>
      <c r="N64" s="22">
        <f t="shared" si="69"/>
        <v>580</v>
      </c>
      <c r="O64" s="22">
        <f t="shared" si="69"/>
        <v>580</v>
      </c>
      <c r="P64" s="22">
        <f t="shared" si="69"/>
        <v>580</v>
      </c>
      <c r="Q64" s="22">
        <f t="shared" si="69"/>
        <v>580</v>
      </c>
      <c r="R64" s="22">
        <f t="shared" si="69"/>
        <v>580</v>
      </c>
      <c r="S64" s="22">
        <f t="shared" si="69"/>
        <v>580</v>
      </c>
      <c r="T64" s="22">
        <f t="shared" si="69"/>
        <v>580</v>
      </c>
      <c r="U64" s="22">
        <f t="shared" si="69"/>
        <v>580</v>
      </c>
      <c r="V64" s="22">
        <f t="shared" si="69"/>
        <v>580</v>
      </c>
      <c r="W64" s="22">
        <f t="shared" si="69"/>
        <v>6960</v>
      </c>
      <c r="Y64" s="56">
        <f>SUM(Y12:Y63)</f>
        <v>0</v>
      </c>
      <c r="Z64" s="56">
        <f t="shared" ref="Z64:AM64" si="70">SUM(Z12:Z63)</f>
        <v>1160</v>
      </c>
      <c r="AA64" s="56">
        <f t="shared" si="70"/>
        <v>0</v>
      </c>
      <c r="AB64" s="56">
        <f t="shared" si="70"/>
        <v>0</v>
      </c>
      <c r="AC64" s="56">
        <f t="shared" si="70"/>
        <v>0</v>
      </c>
      <c r="AD64" s="56">
        <f t="shared" si="70"/>
        <v>0</v>
      </c>
      <c r="AE64" s="56">
        <f t="shared" si="70"/>
        <v>0</v>
      </c>
      <c r="AF64" s="56">
        <f t="shared" si="70"/>
        <v>0</v>
      </c>
      <c r="AG64" s="56">
        <f t="shared" si="70"/>
        <v>0</v>
      </c>
      <c r="AH64" s="56">
        <f t="shared" si="70"/>
        <v>0</v>
      </c>
      <c r="AI64" s="56">
        <f t="shared" si="70"/>
        <v>0</v>
      </c>
      <c r="AJ64" s="56">
        <f t="shared" si="70"/>
        <v>0</v>
      </c>
      <c r="AK64" s="56">
        <f t="shared" si="70"/>
        <v>0</v>
      </c>
      <c r="AL64" s="56">
        <f t="shared" si="70"/>
        <v>0</v>
      </c>
      <c r="AM64" s="56">
        <f t="shared" si="70"/>
        <v>1160</v>
      </c>
      <c r="AN64" s="56">
        <f>+Frais_Agents_Co-AM64</f>
        <v>5800</v>
      </c>
    </row>
    <row r="65" spans="1:23" s="33" customFormat="1" ht="23.1" customHeight="1" x14ac:dyDescent="0.25">
      <c r="A65" s="31"/>
      <c r="B65" s="32"/>
      <c r="C65" s="32"/>
      <c r="D65" s="32"/>
      <c r="E65" s="32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ht="15" customHeight="1" x14ac:dyDescent="0.35">
      <c r="F66" s="5"/>
      <c r="G66" s="5"/>
      <c r="H66" s="5"/>
      <c r="I66" s="5"/>
      <c r="J66" s="5"/>
    </row>
    <row r="68" spans="1:23" ht="15" customHeight="1" x14ac:dyDescent="0.35"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customHeight="1" x14ac:dyDescent="0.35"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customHeight="1" x14ac:dyDescent="0.35"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customHeight="1" x14ac:dyDescent="0.35"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customHeight="1" x14ac:dyDescent="0.35"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customHeight="1" x14ac:dyDescent="0.35"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customHeight="1" x14ac:dyDescent="0.35"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customHeight="1" x14ac:dyDescent="0.35"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customHeight="1" x14ac:dyDescent="0.35"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customHeight="1" x14ac:dyDescent="0.35"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customHeight="1" x14ac:dyDescent="0.35"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customHeight="1" x14ac:dyDescent="0.35"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customHeight="1" x14ac:dyDescent="0.35"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1:23" ht="15" customHeight="1" x14ac:dyDescent="0.35"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</sheetData>
  <mergeCells count="19">
    <mergeCell ref="G64:H64"/>
    <mergeCell ref="J48:L48"/>
    <mergeCell ref="G59:H59"/>
    <mergeCell ref="G60:H60"/>
    <mergeCell ref="G61:H61"/>
    <mergeCell ref="G62:H62"/>
    <mergeCell ref="G63:H63"/>
    <mergeCell ref="J29:L29"/>
    <mergeCell ref="N29:O29"/>
    <mergeCell ref="Q29:R29"/>
    <mergeCell ref="J38:L38"/>
    <mergeCell ref="N38:O38"/>
    <mergeCell ref="Q38:R38"/>
    <mergeCell ref="J11:L11"/>
    <mergeCell ref="N11:O11"/>
    <mergeCell ref="Q11:R11"/>
    <mergeCell ref="J20:L20"/>
    <mergeCell ref="N20:O20"/>
    <mergeCell ref="Q20:R20"/>
  </mergeCells>
  <conditionalFormatting sqref="J56 J36 J45 J27">
    <cfRule type="cellIs" dxfId="1" priority="2" operator="notEqual">
      <formula>100%</formula>
    </cfRule>
  </conditionalFormatting>
  <conditionalFormatting sqref="J18">
    <cfRule type="cellIs" dxfId="0" priority="1" operator="notEqual">
      <formula>100%</formula>
    </cfRule>
  </conditionalFormatting>
  <dataValidations count="3">
    <dataValidation type="list" allowBlank="1" showInputMessage="1" showErrorMessage="1" promptTitle="Catégorie de vente" prompt="Sélectionner à quelle catégorie de vente se produit se rapporte et que vous avez renseignez dans les objectifs de vente de la société_x000a_" sqref="H50:H55" xr:uid="{E7F08B93-24A6-4D1A-939E-D79CFD6DF49C}">
      <formula1>Categorie_Ventes</formula1>
    </dataValidation>
    <dataValidation type="list" allowBlank="1" showInputMessage="1" showErrorMessage="1" sqref="G50:G55" xr:uid="{30B6A648-C626-446A-B1D7-1827E4FF161E}">
      <formula1>Designation_Ventes</formula1>
    </dataValidation>
    <dataValidation type="list" allowBlank="1" showInputMessage="1" showErrorMessage="1" sqref="J11:L11 J38:L38 J29:L29 J20:L20" xr:uid="{2697C543-C353-447D-ACFA-0FAA811EB8DB}">
      <formula1>Agents_Commerciaux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29</vt:i4>
      </vt:variant>
    </vt:vector>
  </HeadingPairs>
  <TitlesOfParts>
    <vt:vector size="30" baseType="lpstr">
      <vt:lpstr>Feuil1</vt:lpstr>
      <vt:lpstr>Frais_Agents_Co</vt:lpstr>
      <vt:lpstr>Pourc_categorie011</vt:lpstr>
      <vt:lpstr>Pourc_categorie012</vt:lpstr>
      <vt:lpstr>Pourc_categorie013</vt:lpstr>
      <vt:lpstr>Pourc_categorie014</vt:lpstr>
      <vt:lpstr>Pourc_categorie015</vt:lpstr>
      <vt:lpstr>Pourc_categorie016</vt:lpstr>
      <vt:lpstr>Pourc_categorie111</vt:lpstr>
      <vt:lpstr>Pourc_categorie112</vt:lpstr>
      <vt:lpstr>Pourc_categorie113</vt:lpstr>
      <vt:lpstr>Pourc_categorie114</vt:lpstr>
      <vt:lpstr>Pourc_categorie115</vt:lpstr>
      <vt:lpstr>Pourc_categorie116</vt:lpstr>
      <vt:lpstr>Pourc_categorie211</vt:lpstr>
      <vt:lpstr>Pourc_categorie212</vt:lpstr>
      <vt:lpstr>Pourc_categorie213</vt:lpstr>
      <vt:lpstr>Pourc_categorie214</vt:lpstr>
      <vt:lpstr>Pourc_categorie215</vt:lpstr>
      <vt:lpstr>Pourc_categorie216</vt:lpstr>
      <vt:lpstr>Pourc_categorie311</vt:lpstr>
      <vt:lpstr>Pourc_categorie312</vt:lpstr>
      <vt:lpstr>Pourc_categorie313</vt:lpstr>
      <vt:lpstr>Pourc_categorie314</vt:lpstr>
      <vt:lpstr>Pourc_categorie315</vt:lpstr>
      <vt:lpstr>Pourc_categorie316</vt:lpstr>
      <vt:lpstr>Taux_Com1</vt:lpstr>
      <vt:lpstr>Taux_Com2</vt:lpstr>
      <vt:lpstr>Taux_Com3</vt:lpstr>
      <vt:lpstr>Taux_Com4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Dynamique-Vision - André CAFFIN</cp:lastModifiedBy>
  <dcterms:created xsi:type="dcterms:W3CDTF">2018-08-27T08:04:15Z</dcterms:created>
  <dcterms:modified xsi:type="dcterms:W3CDTF">2018-08-27T08:07:25Z</dcterms:modified>
</cp:coreProperties>
</file>