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timelines/timeline3.xml" ContentType="application/vnd.ms-excel.timeline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s\Professionnel\Dynamique Vision\Outils Excel\EXAPRI\"/>
    </mc:Choice>
  </mc:AlternateContent>
  <xr:revisionPtr revIDLastSave="0" documentId="8_{220DC760-ECCB-4E02-9478-5B277C21CEB7}" xr6:coauthVersionLast="34" xr6:coauthVersionMax="34" xr10:uidLastSave="{00000000-0000-0000-0000-000000000000}"/>
  <bookViews>
    <workbookView xWindow="0" yWindow="0" windowWidth="28800" windowHeight="13725" xr2:uid="{9AF8B090-3B42-4A30-9A87-86B2EE51AC2F}"/>
  </bookViews>
  <sheets>
    <sheet name="Résultat" sheetId="1" r:id="rId1"/>
    <sheet name="TC_FG" sheetId="4" r:id="rId2"/>
    <sheet name="TC_Data_Doc" sheetId="2" r:id="rId3"/>
    <sheet name="Data_Doc" sheetId="3" r:id="rId4"/>
  </sheets>
  <externalReferences>
    <externalReference r:id="rId5"/>
  </externalReferences>
  <definedNames>
    <definedName name="ACHATS">[1]Achats!$K$10:$W$26</definedName>
    <definedName name="Achats_Matiere">'[1]Ventes MO'!$N$27</definedName>
    <definedName name="Achats_Negoce">'[1]Ventes MO'!$N$28</definedName>
    <definedName name="Achats_Total">'[1]Ventes MO'!$N$29</definedName>
    <definedName name="CA_Commer_Activite1">[1]Parametres!$F$122</definedName>
    <definedName name="CA_Commer_Activite10">[1]Parametres!$X$122</definedName>
    <definedName name="CA_Commer_Activite11">[1]Parametres!$Z$122</definedName>
    <definedName name="CA_Commer_Activite12">[1]Parametres!$AB$122</definedName>
    <definedName name="CA_Commer_Activite13">[1]Parametres!$AD$122</definedName>
    <definedName name="CA_Commer_Activite14">[1]Parametres!$AF$122</definedName>
    <definedName name="CA_Commer_Activite2">[1]Parametres!$H$122</definedName>
    <definedName name="CA_Commer_Activite3">[1]Parametres!$J$122</definedName>
    <definedName name="CA_Commer_Activite4">[1]Parametres!$L$122</definedName>
    <definedName name="CA_Commer_Activite5">[1]Parametres!$N$122</definedName>
    <definedName name="CA_Commer_Activite6">[1]Parametres!$P$122</definedName>
    <definedName name="CA_Commer_Activite7">[1]Parametres!$R$122</definedName>
    <definedName name="CA_Commer_Activite8">[1]Parametres!$T$122</definedName>
    <definedName name="CA_Commer_Activite9">[1]Parametres!$V$122</definedName>
    <definedName name="CA_Commer_Total">[1]Parametres!$D$122</definedName>
    <definedName name="CA_Prev">[1]Ventes!$H$10:$V$37</definedName>
    <definedName name="CAR_Activite1">[1]TC_Data_Doc!$C$2</definedName>
    <definedName name="CAR_Heures1">[1]TC_Data_Doc!$E$2</definedName>
    <definedName name="CAR_MO1">[1]TC_Data_Doc!$D$2</definedName>
    <definedName name="CAR_PAMat1">[1]TC_Data_Doc!$G$2</definedName>
    <definedName name="CAR_PVMAT1">[1]TC_Data_Doc!$F$2</definedName>
    <definedName name="Categorie_Ventes_lbl1">[1]Parametres!$B$83</definedName>
    <definedName name="Categorie_Ventes_lbl10">[1]Parametres!$B$92</definedName>
    <definedName name="Categorie_Ventes_lbl11">[1]Parametres!$B$93</definedName>
    <definedName name="Categorie_Ventes_lbl12">[1]Parametres!$B$94</definedName>
    <definedName name="Categorie_Ventes_lbl13">[1]Parametres!$B$95</definedName>
    <definedName name="Categorie_Ventes_lbl14">[1]Parametres!$B$96</definedName>
    <definedName name="Categorie_Ventes_lbl2">[1]Parametres!$B$84</definedName>
    <definedName name="Categorie_Ventes_lbl3">[1]Parametres!$B$85</definedName>
    <definedName name="Categorie_Ventes_lbl4">[1]Parametres!$B$86</definedName>
    <definedName name="Categorie_Ventes_lbl5">[1]Parametres!$B$87</definedName>
    <definedName name="Categorie_Ventes_lbl6">[1]Parametres!$B$88</definedName>
    <definedName name="Categorie_Ventes_lbl7">[1]Parametres!$B$89</definedName>
    <definedName name="Categorie_Ventes_lbl8">[1]Parametres!$B$90</definedName>
    <definedName name="Categorie_Ventes_lbl9">[1]Parametres!$B$91</definedName>
    <definedName name="Charges">'[1]Resultat Prev'!$K$23</definedName>
    <definedName name="Charges_Activite1">'[1]Resultat Prev'!$R$23</definedName>
    <definedName name="Charges_Activite10">'[1]Resultat Prev'!$CC$23</definedName>
    <definedName name="Charges_Activite11">'[1]Resultat Prev'!$CJ$23</definedName>
    <definedName name="Charges_Activite12">'[1]Resultat Prev'!$CQ$23</definedName>
    <definedName name="Charges_Activite13">'[1]Resultat Prev'!$CX$23</definedName>
    <definedName name="Charges_Activite14">'[1]Resultat Prev'!$DE$23</definedName>
    <definedName name="Charges_Activite2">'[1]Resultat Prev'!$Y$23</definedName>
    <definedName name="Charges_Activite3">'[1]Resultat Prev'!$AF$23</definedName>
    <definedName name="Charges_Activite4">'[1]Resultat Prev'!$AM$23</definedName>
    <definedName name="Charges_Activite5">'[1]Resultat Prev'!$AT$23</definedName>
    <definedName name="Charges_Activite6">'[1]Resultat Prev'!$BA$23</definedName>
    <definedName name="Charges_Activite7">'[1]Resultat Prev'!$BH$23</definedName>
    <definedName name="Charges_Activite8">'[1]Resultat Prev'!$BO$23</definedName>
    <definedName name="Charges_Activite9">'[1]Resultat Prev'!$BV$23</definedName>
    <definedName name="Charges_Except">'[1]Charges except'!$L$30</definedName>
    <definedName name="Charges_Except_Activite1">'[1]Charges except'!$P$30</definedName>
    <definedName name="Charges_Except_Activite10">'[1]Charges except'!$Y$30</definedName>
    <definedName name="Charges_Except_Activite11">'[1]Charges except'!$Z$30</definedName>
    <definedName name="Charges_Except_Activite12">'[1]Charges except'!$AA$30</definedName>
    <definedName name="Charges_Except_Activite13">'[1]Charges except'!$AB$30</definedName>
    <definedName name="Charges_Except_Activite14">'[1]Charges except'!$AC$30</definedName>
    <definedName name="Charges_Except_Activite2">'[1]Charges except'!$Q$30</definedName>
    <definedName name="Charges_Except_Activite3">'[1]Charges except'!$R$30</definedName>
    <definedName name="Charges_Except_Activite4">'[1]Charges except'!$S$30</definedName>
    <definedName name="Charges_Except_Activite5">'[1]Charges except'!$T$30</definedName>
    <definedName name="Charges_Except_Activite6">'[1]Charges except'!$U$30</definedName>
    <definedName name="Charges_Except_Activite7">'[1]Charges except'!$V$30</definedName>
    <definedName name="Charges_Except_Activite8">'[1]Charges except'!$W$30</definedName>
    <definedName name="Charges_Except_Activite9">'[1]Charges except'!$X$30</definedName>
    <definedName name="ChronologieNative_Date">#N/A</definedName>
    <definedName name="ChronologieNative_Date1">#N/A</definedName>
    <definedName name="ChronologieNative_Mois">#N/A</definedName>
    <definedName name="ChronologieNative_Mois1">#N/A</definedName>
    <definedName name="Credit_bail">'[1]Credits bails'!$P$27</definedName>
    <definedName name="Credit_Bail_Activite1">'[1]Credits bails'!$S$27</definedName>
    <definedName name="Credit_Bail_Activite10">'[1]Credits bails'!$AB$27</definedName>
    <definedName name="Credit_Bail_Activite11">'[1]Credits bails'!$AC$27</definedName>
    <definedName name="Credit_Bail_Activite12">'[1]Credits bails'!$AD$27</definedName>
    <definedName name="Credit_Bail_Activite13">'[1]Credits bails'!$AE$27</definedName>
    <definedName name="Credit_Bail_Activite14">'[1]Credits bails'!$AF$27</definedName>
    <definedName name="Credit_Bail_Activite2">'[1]Credits bails'!$T$27</definedName>
    <definedName name="Credit_Bail_Activite3">'[1]Credits bails'!$U$27</definedName>
    <definedName name="Credit_Bail_Activite4">'[1]Credits bails'!$V$27</definedName>
    <definedName name="Credit_Bail_Activite5">'[1]Credits bails'!$W$27</definedName>
    <definedName name="Credit_Bail_Activite6">'[1]Credits bails'!$X$27</definedName>
    <definedName name="Credit_Bail_Activite7">'[1]Credits bails'!$Y$27</definedName>
    <definedName name="Credit_Bail_Activite8">'[1]Credits bails'!$Z$27</definedName>
    <definedName name="Credit_Bail_Activite9">'[1]Credits bails'!$AA$27</definedName>
    <definedName name="Dotations_Activite1">[1]Investissements!$T$27</definedName>
    <definedName name="Dotations_Activite10">[1]Investissements!$AC$27</definedName>
    <definedName name="Dotations_Activite11">[1]Investissements!$AD$27</definedName>
    <definedName name="Dotations_Activite12">[1]Investissements!$AE$27</definedName>
    <definedName name="Dotations_Activite13">[1]Investissements!$AF$27</definedName>
    <definedName name="Dotations_Activite14">[1]Investissements!$AG$27</definedName>
    <definedName name="Dotations_Activite2">[1]Investissements!$U$27</definedName>
    <definedName name="Dotations_Activite3">[1]Investissements!$V$27</definedName>
    <definedName name="Dotations_Activite4">[1]Investissements!$W$27</definedName>
    <definedName name="Dotations_Activite5">[1]Investissements!$X$27</definedName>
    <definedName name="Dotations_Activite6">[1]Investissements!$Y$27</definedName>
    <definedName name="Dotations_Activite7">[1]Investissements!$Z$27</definedName>
    <definedName name="Dotations_Activite8">[1]Investissements!$AA$27</definedName>
    <definedName name="Dotations_Activite9">[1]Investissements!$AB$27</definedName>
    <definedName name="Dotations_Amor">[1]Investissements!$Q$27</definedName>
    <definedName name="Frais_Agents_Co">'[1]Agents commerciaux'!$W$64</definedName>
    <definedName name="Frais_Agents_Co_Activite1">'[1]Agents commerciaux'!$Y$64</definedName>
    <definedName name="Frais_Agents_Co_Activite10">'[1]Agents commerciaux'!$AH$64</definedName>
    <definedName name="Frais_Agents_Co_Activite11">'[1]Agents commerciaux'!$AI$64</definedName>
    <definedName name="Frais_Agents_Co_Activite12">'[1]Agents commerciaux'!$AJ$64</definedName>
    <definedName name="Frais_Agents_Co_Activite13">'[1]Agents commerciaux'!$AK$64</definedName>
    <definedName name="Frais_Agents_Co_Activite14">'[1]Agents commerciaux'!$AL$64</definedName>
    <definedName name="Frais_Agents_Co_Activite2">'[1]Agents commerciaux'!$Z$64</definedName>
    <definedName name="Frais_Agents_Co_Activite3">'[1]Agents commerciaux'!$AA$64</definedName>
    <definedName name="Frais_Agents_Co_Activite4">'[1]Agents commerciaux'!$AB$64</definedName>
    <definedName name="Frais_Agents_Co_Activite5">'[1]Agents commerciaux'!$AC$64</definedName>
    <definedName name="Frais_Agents_Co_Activite6">'[1]Agents commerciaux'!$AD$64</definedName>
    <definedName name="Frais_Agents_Co_Activite7">'[1]Agents commerciaux'!$AE$64</definedName>
    <definedName name="Frais_Agents_Co_Activite8">'[1]Agents commerciaux'!$AF$64</definedName>
    <definedName name="Frais_Agents_Co_Activite9">'[1]Agents commerciaux'!$AG$64</definedName>
    <definedName name="Frais_Autres_charges_Activite1">'[1]Autres charges personnel'!$P$134</definedName>
    <definedName name="Frais_Autres_charges_Activite10">'[1]Autres charges personnel'!$Y$134</definedName>
    <definedName name="Frais_Autres_charges_Activite11">'[1]Autres charges personnel'!$Z$134</definedName>
    <definedName name="Frais_Autres_charges_Activite12">'[1]Autres charges personnel'!$AA$134</definedName>
    <definedName name="Frais_Autres_charges_Activite13">'[1]Autres charges personnel'!$AB$134</definedName>
    <definedName name="Frais_Autres_charges_Activite14">'[1]Autres charges personnel'!$AC$134</definedName>
    <definedName name="Frais_Autres_charges_Activite2">'[1]Autres charges personnel'!$Q$134</definedName>
    <definedName name="Frais_Autres_charges_Activite3">'[1]Autres charges personnel'!$R$134</definedName>
    <definedName name="Frais_Autres_charges_Activite4">'[1]Autres charges personnel'!$S$134</definedName>
    <definedName name="Frais_Autres_charges_Activite5">'[1]Autres charges personnel'!$T$134</definedName>
    <definedName name="Frais_Autres_charges_Activite6">'[1]Autres charges personnel'!$U$134</definedName>
    <definedName name="Frais_Autres_charges_Activite7">'[1]Autres charges personnel'!$V$134</definedName>
    <definedName name="Frais_Autres_charges_Activite8">'[1]Autres charges personnel'!$W$134</definedName>
    <definedName name="Frais_Autres_charges_Activite9">'[1]Autres charges personnel'!$X$134</definedName>
    <definedName name="Frais_Autres_charges_Perso">'[1]Autres charges personnel'!$L$134</definedName>
    <definedName name="Frais_Commerciaux">'[1]Frais commerciaux'!$M$93</definedName>
    <definedName name="Frais_Commerciaux_Activite1">'[1]Frais commerciaux'!$Q$93</definedName>
    <definedName name="Frais_Commerciaux_Activite10">'[1]Frais commerciaux'!$Z$93</definedName>
    <definedName name="Frais_Commerciaux_Activite11">'[1]Frais commerciaux'!$AA$93</definedName>
    <definedName name="Frais_Commerciaux_Activite12">'[1]Frais commerciaux'!$AB$93</definedName>
    <definedName name="Frais_Commerciaux_Activite13">'[1]Frais commerciaux'!$AC$93</definedName>
    <definedName name="Frais_Commerciaux_Activite14">'[1]Frais commerciaux'!$AD$93</definedName>
    <definedName name="Frais_Commerciaux_Activite2">'[1]Frais commerciaux'!$R$93</definedName>
    <definedName name="Frais_Commerciaux_Activite3">'[1]Frais commerciaux'!$S$93</definedName>
    <definedName name="Frais_Commerciaux_Activite4">'[1]Frais commerciaux'!$T$93</definedName>
    <definedName name="Frais_Commerciaux_Activite5">'[1]Frais commerciaux'!$U$93</definedName>
    <definedName name="Frais_Commerciaux_Activite6">'[1]Frais commerciaux'!$V$93</definedName>
    <definedName name="Frais_Commerciaux_Activite7">'[1]Frais commerciaux'!$W$93</definedName>
    <definedName name="Frais_Commerciaux_Activite8">'[1]Frais commerciaux'!$X$93</definedName>
    <definedName name="Frais_Commerciaux_Activite9">'[1]Frais commerciaux'!$Y$93</definedName>
    <definedName name="Frais_Financiers">'[1]Frais Financiers'!$L$30</definedName>
    <definedName name="Frais_Financiers_Activite1">'[1]Frais Financiers'!$P$30</definedName>
    <definedName name="Frais_Financiers_Activite10">'[1]Frais Financiers'!$Y$30</definedName>
    <definedName name="Frais_Financiers_Activite11">'[1]Frais Financiers'!$Z$30</definedName>
    <definedName name="Frais_Financiers_Activite12">'[1]Frais Financiers'!$AA$30</definedName>
    <definedName name="Frais_Financiers_Activite13">'[1]Frais Financiers'!$AB$30</definedName>
    <definedName name="Frais_Financiers_Activite14">'[1]Frais Financiers'!$AC$30</definedName>
    <definedName name="Frais_Financiers_Activite2">'[1]Frais Financiers'!$Q$30</definedName>
    <definedName name="Frais_Financiers_Activite3">'[1]Frais Financiers'!$R$30</definedName>
    <definedName name="Frais_Financiers_Activite4">'[1]Frais Financiers'!$S$30</definedName>
    <definedName name="Frais_Financiers_Activite5">'[1]Frais Financiers'!$T$30</definedName>
    <definedName name="Frais_Financiers_Activite6">'[1]Frais Financiers'!$U$30</definedName>
    <definedName name="Frais_Financiers_Activite7">'[1]Frais Financiers'!$V$30</definedName>
    <definedName name="Frais_Financiers_Activite8">'[1]Frais Financiers'!$W$30</definedName>
    <definedName name="Frais_Financiers_Activite9">'[1]Frais Financiers'!$X$30</definedName>
    <definedName name="Frais_Fixes">'[1]Frais généraux'!$N$134</definedName>
    <definedName name="Frais_Fixes_Activite1">'[1]Frais généraux'!$R$134</definedName>
    <definedName name="Frais_Fixes_Activite10">'[1]Frais généraux'!$AA$134</definedName>
    <definedName name="Frais_Fixes_Activite11">'[1]Frais généraux'!$AB$134</definedName>
    <definedName name="Frais_Fixes_Activite12">'[1]Frais généraux'!$AC$134</definedName>
    <definedName name="Frais_Fixes_Activite13">'[1]Frais généraux'!$AD$134</definedName>
    <definedName name="Frais_Fixes_Activite14">'[1]Frais généraux'!$AE$134</definedName>
    <definedName name="Frais_Fixes_Activite2">'[1]Frais généraux'!$S$134</definedName>
    <definedName name="Frais_Fixes_Activite3">'[1]Frais généraux'!$T$134</definedName>
    <definedName name="Frais_Fixes_Activite4">'[1]Frais généraux'!$U$134</definedName>
    <definedName name="Frais_Fixes_Activite5">'[1]Frais généraux'!$V$134</definedName>
    <definedName name="Frais_Fixes_Activite6">'[1]Frais généraux'!$W$134</definedName>
    <definedName name="Frais_Fixes_Activite7">'[1]Frais généraux'!$X$134</definedName>
    <definedName name="Frais_Fixes_Activite8">'[1]Frais généraux'!$Y$134</definedName>
    <definedName name="Frais_Fixes_Activite9">'[1]Frais généraux'!$Z$134</definedName>
    <definedName name="Frais_Interim_Activite1">[1]Intérimaires!$X$28</definedName>
    <definedName name="Frais_Interim_Activite10">[1]Intérimaires!$AG$28</definedName>
    <definedName name="Frais_Interim_Activite11">[1]Intérimaires!$AH$28</definedName>
    <definedName name="Frais_Interim_Activite12">[1]Intérimaires!$AI$28</definedName>
    <definedName name="Frais_Interim_Activite13">[1]Intérimaires!$AJ$28</definedName>
    <definedName name="Frais_Interim_Activite14">[1]Intérimaires!$AK$28</definedName>
    <definedName name="Frais_Interim_Activite2">[1]Intérimaires!$Y$28</definedName>
    <definedName name="Frais_Interim_Activite3">[1]Intérimaires!$Z$28</definedName>
    <definedName name="Frais_Interim_Activite4">[1]Intérimaires!$AA$28</definedName>
    <definedName name="Frais_Interim_Activite5">[1]Intérimaires!$AB$28</definedName>
    <definedName name="Frais_Interim_Activite6">[1]Intérimaires!$AC$28</definedName>
    <definedName name="Frais_Interim_Activite7">[1]Intérimaires!$AD$28</definedName>
    <definedName name="Frais_Interim_Activite8">[1]Intérimaires!$AE$28</definedName>
    <definedName name="Frais_Interim_Activite9">[1]Intérimaires!$AF$28</definedName>
    <definedName name="Frais_Intérimaires">[1]Intérimaires!$V$28</definedName>
    <definedName name="Frais_Sous_traitance">'[1]Sous-traitance'!$V$28</definedName>
    <definedName name="Frais_Sous_traitance_Activite1">'[1]Sous-traitance'!$X$28</definedName>
    <definedName name="Frais_Sous_traitance_Activite10">'[1]Sous-traitance'!$AG$28</definedName>
    <definedName name="Frais_Sous_traitance_Activite11">'[1]Sous-traitance'!$AH$28</definedName>
    <definedName name="Frais_Sous_traitance_Activite12">'[1]Sous-traitance'!$AI$28</definedName>
    <definedName name="Frais_Sous_traitance_Activite13">'[1]Sous-traitance'!$AJ$28</definedName>
    <definedName name="Frais_Sous_traitance_Activite14">'[1]Sous-traitance'!$AK$28</definedName>
    <definedName name="Frais_Sous_traitance_Activite2">'[1]Sous-traitance'!$Y$28</definedName>
    <definedName name="Frais_Sous_traitance_Activite3">'[1]Sous-traitance'!$Z$28</definedName>
    <definedName name="Frais_Sous_traitance_Activite4">'[1]Sous-traitance'!$AA$28</definedName>
    <definedName name="Frais_Sous_traitance_Activite5">'[1]Sous-traitance'!$AB$28</definedName>
    <definedName name="Frais_Sous_traitance_Activite6">'[1]Sous-traitance'!$AC$28</definedName>
    <definedName name="Frais_Sous_traitance_Activite7">'[1]Sous-traitance'!$AD$28</definedName>
    <definedName name="Frais_Sous_traitance_Activite8">'[1]Sous-traitance'!$AE$28</definedName>
    <definedName name="Frais_Sous_traitance_Activite9">'[1]Sous-traitance'!$AF$28</definedName>
    <definedName name="Frais_Var_Activite1">'[1]Frais variables'!$T$29</definedName>
    <definedName name="Frais_Var_Activite10">'[1]Frais variables'!$AC$29</definedName>
    <definedName name="Frais_Var_Activite11">'[1]Frais variables'!$AD$29</definedName>
    <definedName name="Frais_Var_Activite12">'[1]Frais variables'!$AE$29</definedName>
    <definedName name="Frais_Var_Activite13">'[1]Frais variables'!$AF$29</definedName>
    <definedName name="Frais_Var_Activite14">'[1]Frais variables'!$AG$29</definedName>
    <definedName name="Frais_Var_Activite2">'[1]Frais variables'!$U$29</definedName>
    <definedName name="Frais_Var_Activite3">'[1]Frais variables'!$V$29</definedName>
    <definedName name="Frais_Var_Activite4">'[1]Frais variables'!$W$29</definedName>
    <definedName name="Frais_Var_Activite5">'[1]Frais variables'!$X$29</definedName>
    <definedName name="Frais_Var_Activite6">'[1]Frais variables'!$Y$29</definedName>
    <definedName name="Frais_Var_Activite7">'[1]Frais variables'!$Z$29</definedName>
    <definedName name="Frais_Var_Activite8">'[1]Frais variables'!$AA$29</definedName>
    <definedName name="Frais_Var_Activite9">'[1]Frais variables'!$AB$29</definedName>
    <definedName name="Frais_Variables">'[1]Frais variables'!$Q$29</definedName>
    <definedName name="Heures_Activite1">[1]Parametres!$F$124</definedName>
    <definedName name="Heures_Activite10">[1]Parametres!$X$124</definedName>
    <definedName name="Heures_Activite11">[1]Parametres!$Z$124</definedName>
    <definedName name="Heures_Activite12">[1]Parametres!$AB$124</definedName>
    <definedName name="Heures_Activite13">[1]Parametres!$AD$124</definedName>
    <definedName name="Heures_Activite14">[1]Parametres!$AF$124</definedName>
    <definedName name="Heures_Activite2">[1]Parametres!$H$124</definedName>
    <definedName name="Heures_Activite3">[1]Parametres!$J$124</definedName>
    <definedName name="Heures_Activite4">[1]Parametres!$L$124</definedName>
    <definedName name="Heures_Activite5">[1]Parametres!$N$124</definedName>
    <definedName name="Heures_Activite6">[1]Parametres!$P$124</definedName>
    <definedName name="Heures_Activite7">[1]Parametres!$R$124</definedName>
    <definedName name="Heures_Activite8">[1]Parametres!$T$124</definedName>
    <definedName name="Heures_Activite9">[1]Parametres!$V$124</definedName>
    <definedName name="Heures_Produc_Commer">[1]Ventes!$R$45</definedName>
    <definedName name="Heures_Production">[1]Ventes!$R$39</definedName>
    <definedName name="Horaire_Journalier">[1]Parametres!$D$61</definedName>
    <definedName name="Indice_Previs">'[1]Indicateur Previs'!$D$17</definedName>
    <definedName name="Jour_Produc_Annee">[1]Calendrier!$M$54</definedName>
    <definedName name="Maindoeuvre_Objectifs">'[1]Ventes MO'!$G$10:$U$26</definedName>
    <definedName name="Marge_Brute">'[1]Resultat Prev'!$K$17</definedName>
    <definedName name="Marge_Brute_Activite1">'[1]Resultat Prev'!$R$17</definedName>
    <definedName name="Marge_Brute_Activite10">'[1]Resultat Prev'!$CC$17</definedName>
    <definedName name="Marge_Brute_Activite11">'[1]Resultat Prev'!$CJ$17</definedName>
    <definedName name="Marge_Brute_Activite12">'[1]Resultat Prev'!$CQ$17</definedName>
    <definedName name="Marge_Brute_Activite13">'[1]Resultat Prev'!$CX$17</definedName>
    <definedName name="Marge_Brute_Activite14">'[1]Resultat Prev'!$DE$17</definedName>
    <definedName name="Marge_Brute_Activite2">'[1]Resultat Prev'!$Y$17</definedName>
    <definedName name="Marge_Brute_Activite3">'[1]Resultat Prev'!$AF$17</definedName>
    <definedName name="Marge_Brute_Activite4">'[1]Resultat Prev'!$AM$17</definedName>
    <definedName name="Marge_Brute_Activite5">'[1]Resultat Prev'!$AT$17</definedName>
    <definedName name="Marge_Brute_Activite6">'[1]Resultat Prev'!$BA$17</definedName>
    <definedName name="Marge_Brute_Activite7">'[1]Resultat Prev'!$BH$17</definedName>
    <definedName name="Marge_Brute_Activite8">'[1]Resultat Prev'!$BO$17</definedName>
    <definedName name="Marge_Brute_Activite9">'[1]Resultat Prev'!$BV$17</definedName>
    <definedName name="Sal_Charges_Autres">'[1]Salariés autres'!$U$128</definedName>
    <definedName name="Sal_Charges_Autres_Activite1">'[1]Salariés autres'!$X$128</definedName>
    <definedName name="Sal_Charges_Autres_Activite10">'[1]Salariés autres'!$AG$128</definedName>
    <definedName name="Sal_Charges_Autres_Activite11">'[1]Salariés autres'!$AH$128</definedName>
    <definedName name="Sal_Charges_Autres_Activite12">'[1]Salariés autres'!$AI$128</definedName>
    <definedName name="Sal_Charges_Autres_Activite13">'[1]Salariés autres'!$AJ$128</definedName>
    <definedName name="Sal_Charges_Autres_Activite14">'[1]Salariés autres'!$AK$128</definedName>
    <definedName name="Sal_Charges_Autres_Activite2">'[1]Salariés autres'!$Y$128</definedName>
    <definedName name="Sal_Charges_Autres_Activite3">'[1]Salariés autres'!$Z$128</definedName>
    <definedName name="Sal_Charges_Autres_Activite4">'[1]Salariés autres'!$AA$128</definedName>
    <definedName name="Sal_Charges_Autres_Activite5">'[1]Salariés autres'!$AB$128</definedName>
    <definedName name="Sal_Charges_Autres_Activite6">'[1]Salariés autres'!$AC$128</definedName>
    <definedName name="Sal_Charges_Autres_Activite7">'[1]Salariés autres'!$AD$128</definedName>
    <definedName name="Sal_Charges_Autres_Activite8">'[1]Salariés autres'!$AE$128</definedName>
    <definedName name="Sal_Charges_Autres_Activite9">'[1]Salariés autres'!$AF$128</definedName>
    <definedName name="Sal_charges_Commer_Activite1">'[1]Salaires commerciaux'!$W$41</definedName>
    <definedName name="Sal_charges_Commer_Activite10">'[1]Salaires commerciaux'!$AF$41</definedName>
    <definedName name="Sal_charges_Commer_Activite11">'[1]Salaires commerciaux'!$AG$41</definedName>
    <definedName name="Sal_charges_Commer_Activite12">'[1]Salaires commerciaux'!$AH$41</definedName>
    <definedName name="Sal_charges_Commer_Activite13">'[1]Salaires commerciaux'!$AI$41</definedName>
    <definedName name="Sal_charges_Commer_Activite2">'[1]Salaires commerciaux'!$X$41</definedName>
    <definedName name="Sal_charges_Commer_Activite3">'[1]Salaires commerciaux'!$Y$41</definedName>
    <definedName name="Sal_charges_Commer_Activite4">'[1]Salaires commerciaux'!$Z$41</definedName>
    <definedName name="Sal_charges_Commer_Activite5">'[1]Salaires commerciaux'!$AA$41</definedName>
    <definedName name="Sal_charges_Commer_Activite6">'[1]Salaires commerciaux'!$AB$41</definedName>
    <definedName name="Sal_charges_Commer_Activite7">'[1]Salaires commerciaux'!$AC$41</definedName>
    <definedName name="Sal_charges_Commer_Activite8">'[1]Salaires commerciaux'!$AD$41</definedName>
    <definedName name="Sal_charges_Commer_Activite9">'[1]Salaires commerciaux'!$AE$41</definedName>
    <definedName name="Sal_charges_Commerciaux">'[1]Salaires commerciaux'!$U$41</definedName>
    <definedName name="Sal_Charges_Productifs">'[1]Salariés Productif'!$U$238</definedName>
    <definedName name="Sal_Charges_Productifs_Activite1">'[1]Salariés Productif'!$W$238</definedName>
    <definedName name="Sal_Charges_Productifs_Activite10">'[1]Salariés Productif'!$AF$238</definedName>
    <definedName name="Sal_Charges_Productifs_Activite11">'[1]Salariés Productif'!$AG$238</definedName>
    <definedName name="Sal_Charges_Productifs_Activite12">'[1]Salariés Productif'!$AH$238</definedName>
    <definedName name="Sal_Charges_Productifs_Activite13">'[1]Salariés Productif'!$AI$238</definedName>
    <definedName name="Sal_Charges_Productifs_Activite14">'[1]Salariés Productif'!$AJ$238</definedName>
    <definedName name="Sal_Charges_Productifs_Activite2">'[1]Salariés Productif'!$X$238</definedName>
    <definedName name="Sal_Charges_Productifs_Activite3">'[1]Salariés Productif'!$Y$238</definedName>
    <definedName name="Sal_Charges_Productifs_Activite4">'[1]Salariés Productif'!$Z$238</definedName>
    <definedName name="Sal_Charges_Productifs_Activite5">'[1]Salariés Productif'!$AA$238</definedName>
    <definedName name="Sal_Charges_Productifs_Activite6">'[1]Salariés Productif'!$AB$238</definedName>
    <definedName name="Sal_Charges_Productifs_Activite7">'[1]Salariés Productif'!$AC$238</definedName>
    <definedName name="Sal_Charges_Productifs_Activite8">'[1]Salariés Productif'!$AD$238</definedName>
    <definedName name="Sal_Charges_Productifs_Activite9">'[1]Salariés Productif'!$AE$238</definedName>
    <definedName name="Segment_Type_Doc">#N/A</definedName>
    <definedName name="Segment_Type_Doc1">#N/A</definedName>
  </definedNames>
  <calcPr calcId="162913"/>
  <pivotCaches>
    <pivotCache cacheId="3" r:id="rId6"/>
    <pivotCache cacheId="2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0"/>
        <x15:timelineCacheRef r:id="rId11"/>
        <x15:timelineCacheRef r:id="rId12"/>
        <x15:timelineCacheRef r:id="rId1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D45" i="3" l="1"/>
  <c r="HC45" i="3"/>
  <c r="HB45" i="3"/>
  <c r="HA45" i="3"/>
  <c r="GZ45" i="3"/>
  <c r="GY45" i="3"/>
  <c r="GX45" i="3"/>
  <c r="GW45" i="3"/>
  <c r="GV45" i="3"/>
  <c r="GU45" i="3"/>
  <c r="HD44" i="3"/>
  <c r="HC44" i="3"/>
  <c r="HB44" i="3"/>
  <c r="HA44" i="3"/>
  <c r="GZ44" i="3"/>
  <c r="GY44" i="3"/>
  <c r="GX44" i="3"/>
  <c r="GW44" i="3"/>
  <c r="GV44" i="3"/>
  <c r="GU44" i="3"/>
  <c r="HD43" i="3"/>
  <c r="HC43" i="3"/>
  <c r="HB43" i="3"/>
  <c r="HA43" i="3"/>
  <c r="GZ43" i="3"/>
  <c r="GY43" i="3"/>
  <c r="GX43" i="3"/>
  <c r="GW43" i="3"/>
  <c r="GV43" i="3"/>
  <c r="GU43" i="3"/>
  <c r="HD42" i="3"/>
  <c r="HC42" i="3"/>
  <c r="HB42" i="3"/>
  <c r="HA42" i="3"/>
  <c r="GZ42" i="3"/>
  <c r="GY42" i="3"/>
  <c r="GX42" i="3"/>
  <c r="GW42" i="3"/>
  <c r="GV42" i="3"/>
  <c r="GU42" i="3"/>
  <c r="HD41" i="3"/>
  <c r="HC41" i="3"/>
  <c r="HB41" i="3"/>
  <c r="HA41" i="3"/>
  <c r="GZ41" i="3"/>
  <c r="GY41" i="3"/>
  <c r="GX41" i="3"/>
  <c r="GW41" i="3"/>
  <c r="GV41" i="3"/>
  <c r="GU41" i="3"/>
  <c r="HD40" i="3"/>
  <c r="HC40" i="3"/>
  <c r="HB40" i="3"/>
  <c r="HA40" i="3"/>
  <c r="GZ40" i="3"/>
  <c r="GY40" i="3"/>
  <c r="GX40" i="3"/>
  <c r="GW40" i="3"/>
  <c r="GV40" i="3"/>
  <c r="GU40" i="3"/>
  <c r="HD39" i="3"/>
  <c r="HC39" i="3"/>
  <c r="HB39" i="3"/>
  <c r="HA39" i="3"/>
  <c r="GZ39" i="3"/>
  <c r="GY39" i="3"/>
  <c r="GX39" i="3"/>
  <c r="GW39" i="3"/>
  <c r="GV39" i="3"/>
  <c r="GU39" i="3"/>
  <c r="HD38" i="3"/>
  <c r="HC38" i="3"/>
  <c r="HB38" i="3"/>
  <c r="HA38" i="3"/>
  <c r="GZ38" i="3"/>
  <c r="GY38" i="3"/>
  <c r="GX38" i="3"/>
  <c r="GW38" i="3"/>
  <c r="GV38" i="3"/>
  <c r="GU38" i="3"/>
  <c r="HD37" i="3"/>
  <c r="HC37" i="3"/>
  <c r="HB37" i="3"/>
  <c r="HA37" i="3"/>
  <c r="GZ37" i="3"/>
  <c r="GY37" i="3"/>
  <c r="GX37" i="3"/>
  <c r="GW37" i="3"/>
  <c r="GV37" i="3"/>
  <c r="GU37" i="3"/>
  <c r="HD36" i="3"/>
  <c r="HC36" i="3"/>
  <c r="HB36" i="3"/>
  <c r="HA36" i="3"/>
  <c r="GZ36" i="3"/>
  <c r="GY36" i="3"/>
  <c r="GX36" i="3"/>
  <c r="GW36" i="3"/>
  <c r="GV36" i="3"/>
  <c r="GU36" i="3"/>
  <c r="HD35" i="3"/>
  <c r="HC35" i="3"/>
  <c r="HB35" i="3"/>
  <c r="HA35" i="3"/>
  <c r="GZ35" i="3"/>
  <c r="GY35" i="3"/>
  <c r="GX35" i="3"/>
  <c r="GW35" i="3"/>
  <c r="GV35" i="3"/>
  <c r="GU35" i="3"/>
  <c r="HD34" i="3"/>
  <c r="HC34" i="3"/>
  <c r="HB34" i="3"/>
  <c r="HA34" i="3"/>
  <c r="GZ34" i="3"/>
  <c r="GY34" i="3"/>
  <c r="GX34" i="3"/>
  <c r="GW34" i="3"/>
  <c r="GV34" i="3"/>
  <c r="GU34" i="3"/>
  <c r="HD33" i="3"/>
  <c r="HC33" i="3"/>
  <c r="HB33" i="3"/>
  <c r="HA33" i="3"/>
  <c r="GZ33" i="3"/>
  <c r="GY33" i="3"/>
  <c r="GX33" i="3"/>
  <c r="GW33" i="3"/>
  <c r="GV33" i="3"/>
  <c r="GU33" i="3"/>
  <c r="HD32" i="3"/>
  <c r="HC32" i="3"/>
  <c r="HB32" i="3"/>
  <c r="HA32" i="3"/>
  <c r="GZ32" i="3"/>
  <c r="GY32" i="3"/>
  <c r="GX32" i="3"/>
  <c r="GW32" i="3"/>
  <c r="GV32" i="3"/>
  <c r="GU32" i="3"/>
  <c r="HD31" i="3"/>
  <c r="HC31" i="3"/>
  <c r="HB31" i="3"/>
  <c r="HA31" i="3"/>
  <c r="GZ31" i="3"/>
  <c r="GY31" i="3"/>
  <c r="GX31" i="3"/>
  <c r="GW31" i="3"/>
  <c r="GV31" i="3"/>
  <c r="GU31" i="3"/>
  <c r="HD30" i="3"/>
  <c r="HC30" i="3"/>
  <c r="HB30" i="3"/>
  <c r="HA30" i="3"/>
  <c r="GZ30" i="3"/>
  <c r="GY30" i="3"/>
  <c r="GX30" i="3"/>
  <c r="GW30" i="3"/>
  <c r="GV30" i="3"/>
  <c r="GU30" i="3"/>
  <c r="HD29" i="3"/>
  <c r="HC29" i="3"/>
  <c r="HB29" i="3"/>
  <c r="HA29" i="3"/>
  <c r="GZ29" i="3"/>
  <c r="GY29" i="3"/>
  <c r="GX29" i="3"/>
  <c r="GW29" i="3"/>
  <c r="GV29" i="3"/>
  <c r="GU29" i="3"/>
  <c r="HD28" i="3"/>
  <c r="HC28" i="3"/>
  <c r="HB28" i="3"/>
  <c r="HA28" i="3"/>
  <c r="GZ28" i="3"/>
  <c r="GY28" i="3"/>
  <c r="GX28" i="3"/>
  <c r="GW28" i="3"/>
  <c r="GV28" i="3"/>
  <c r="GU28" i="3"/>
  <c r="HD27" i="3"/>
  <c r="HC27" i="3"/>
  <c r="HB27" i="3"/>
  <c r="HA27" i="3"/>
  <c r="GZ27" i="3"/>
  <c r="GY27" i="3"/>
  <c r="GX27" i="3"/>
  <c r="GW27" i="3"/>
  <c r="GV27" i="3"/>
  <c r="GU27" i="3"/>
  <c r="HD26" i="3"/>
  <c r="HC26" i="3"/>
  <c r="HB26" i="3"/>
  <c r="HA26" i="3"/>
  <c r="GZ26" i="3"/>
  <c r="GY26" i="3"/>
  <c r="GX26" i="3"/>
  <c r="GW26" i="3"/>
  <c r="GV26" i="3"/>
  <c r="GU26" i="3"/>
  <c r="HD25" i="3"/>
  <c r="HC25" i="3"/>
  <c r="HB25" i="3"/>
  <c r="HA25" i="3"/>
  <c r="GZ25" i="3"/>
  <c r="GY25" i="3"/>
  <c r="GX25" i="3"/>
  <c r="GW25" i="3"/>
  <c r="GV25" i="3"/>
  <c r="GU25" i="3"/>
  <c r="HD24" i="3"/>
  <c r="HC24" i="3"/>
  <c r="HB24" i="3"/>
  <c r="HA24" i="3"/>
  <c r="GZ24" i="3"/>
  <c r="GY24" i="3"/>
  <c r="GX24" i="3"/>
  <c r="GW24" i="3"/>
  <c r="GV24" i="3"/>
  <c r="GU24" i="3"/>
  <c r="HD23" i="3"/>
  <c r="HC23" i="3"/>
  <c r="HB23" i="3"/>
  <c r="HA23" i="3"/>
  <c r="GZ23" i="3"/>
  <c r="GY23" i="3"/>
  <c r="GX23" i="3"/>
  <c r="GW23" i="3"/>
  <c r="GV23" i="3"/>
  <c r="GU23" i="3"/>
  <c r="HD22" i="3"/>
  <c r="HC22" i="3"/>
  <c r="HB22" i="3"/>
  <c r="HA22" i="3"/>
  <c r="GZ22" i="3"/>
  <c r="GY22" i="3"/>
  <c r="GX22" i="3"/>
  <c r="GW22" i="3"/>
  <c r="GV22" i="3"/>
  <c r="GU22" i="3"/>
  <c r="HD21" i="3"/>
  <c r="HC21" i="3"/>
  <c r="HB21" i="3"/>
  <c r="HA21" i="3"/>
  <c r="GZ21" i="3"/>
  <c r="GY21" i="3"/>
  <c r="GX21" i="3"/>
  <c r="GW21" i="3"/>
  <c r="GV21" i="3"/>
  <c r="GU21" i="3"/>
  <c r="HD20" i="3"/>
  <c r="HC20" i="3"/>
  <c r="HB20" i="3"/>
  <c r="HA20" i="3"/>
  <c r="GZ20" i="3"/>
  <c r="GY20" i="3"/>
  <c r="GX20" i="3"/>
  <c r="GW20" i="3"/>
  <c r="GV20" i="3"/>
  <c r="GU20" i="3"/>
  <c r="HD19" i="3"/>
  <c r="HC19" i="3"/>
  <c r="HB19" i="3"/>
  <c r="HA19" i="3"/>
  <c r="GZ19" i="3"/>
  <c r="GY19" i="3"/>
  <c r="GX19" i="3"/>
  <c r="GW19" i="3"/>
  <c r="GV19" i="3"/>
  <c r="GU19" i="3"/>
  <c r="HD18" i="3"/>
  <c r="HC18" i="3"/>
  <c r="HB18" i="3"/>
  <c r="HA18" i="3"/>
  <c r="GZ18" i="3"/>
  <c r="GY18" i="3"/>
  <c r="GX18" i="3"/>
  <c r="GW18" i="3"/>
  <c r="GV18" i="3"/>
  <c r="GU18" i="3"/>
  <c r="HD17" i="3"/>
  <c r="HC17" i="3"/>
  <c r="HB17" i="3"/>
  <c r="HA17" i="3"/>
  <c r="GZ17" i="3"/>
  <c r="GY17" i="3"/>
  <c r="GX17" i="3"/>
  <c r="GW17" i="3"/>
  <c r="GV17" i="3"/>
  <c r="GU17" i="3"/>
  <c r="HD16" i="3"/>
  <c r="HC16" i="3"/>
  <c r="HB16" i="3"/>
  <c r="HA16" i="3"/>
  <c r="GZ16" i="3"/>
  <c r="GY16" i="3"/>
  <c r="GX16" i="3"/>
  <c r="GW16" i="3"/>
  <c r="GV16" i="3"/>
  <c r="GU16" i="3"/>
  <c r="HD15" i="3"/>
  <c r="HC15" i="3"/>
  <c r="HB15" i="3"/>
  <c r="HA15" i="3"/>
  <c r="GZ15" i="3"/>
  <c r="GY15" i="3"/>
  <c r="GX15" i="3"/>
  <c r="GW15" i="3"/>
  <c r="GV15" i="3"/>
  <c r="GU15" i="3"/>
  <c r="HD14" i="3"/>
  <c r="HC14" i="3"/>
  <c r="HB14" i="3"/>
  <c r="HA14" i="3"/>
  <c r="GZ14" i="3"/>
  <c r="GY14" i="3"/>
  <c r="GX14" i="3"/>
  <c r="GW14" i="3"/>
  <c r="GV14" i="3"/>
  <c r="GU14" i="3"/>
  <c r="HD13" i="3"/>
  <c r="HC13" i="3"/>
  <c r="HB13" i="3"/>
  <c r="HA13" i="3"/>
  <c r="GZ13" i="3"/>
  <c r="GY13" i="3"/>
  <c r="GX13" i="3"/>
  <c r="GW13" i="3"/>
  <c r="GV13" i="3"/>
  <c r="GU13" i="3"/>
  <c r="HD12" i="3"/>
  <c r="HC12" i="3"/>
  <c r="HB12" i="3"/>
  <c r="HA12" i="3"/>
  <c r="GZ12" i="3"/>
  <c r="GY12" i="3"/>
  <c r="GX12" i="3"/>
  <c r="GW12" i="3"/>
  <c r="GV12" i="3"/>
  <c r="GU12" i="3"/>
  <c r="HD11" i="3"/>
  <c r="HC11" i="3"/>
  <c r="HB11" i="3"/>
  <c r="HA11" i="3"/>
  <c r="GZ11" i="3"/>
  <c r="GY11" i="3"/>
  <c r="GX11" i="3"/>
  <c r="GW11" i="3"/>
  <c r="GV11" i="3"/>
  <c r="GU11" i="3"/>
  <c r="HD10" i="3"/>
  <c r="HC10" i="3"/>
  <c r="HB10" i="3"/>
  <c r="HA10" i="3"/>
  <c r="GZ10" i="3"/>
  <c r="GY10" i="3"/>
  <c r="GX10" i="3"/>
  <c r="GW10" i="3"/>
  <c r="GV10" i="3"/>
  <c r="GU10" i="3"/>
  <c r="HH2" i="3"/>
  <c r="O132" i="1"/>
  <c r="K132" i="1"/>
  <c r="O131" i="1"/>
  <c r="K131" i="1"/>
  <c r="K129" i="1"/>
  <c r="K128" i="1"/>
  <c r="K127" i="1"/>
  <c r="K126" i="1"/>
  <c r="K125" i="1"/>
  <c r="K124" i="1"/>
  <c r="K123" i="1" s="1"/>
  <c r="K122" i="1" s="1"/>
  <c r="Q123" i="1"/>
  <c r="Q122" i="1"/>
  <c r="K121" i="1"/>
  <c r="K120" i="1"/>
  <c r="K119" i="1"/>
  <c r="K118" i="1"/>
  <c r="L137" i="1" s="1"/>
  <c r="K117" i="1"/>
  <c r="K116" i="1"/>
  <c r="K115" i="1"/>
  <c r="K114" i="1"/>
  <c r="L135" i="1" s="1"/>
  <c r="L134" i="1" s="1"/>
  <c r="Q113" i="1"/>
  <c r="Q112" i="1"/>
  <c r="O109" i="1"/>
  <c r="Q107" i="1"/>
  <c r="K104" i="1"/>
  <c r="O104" i="1" s="1"/>
  <c r="O108" i="1" s="1"/>
  <c r="Q108" i="1" s="1"/>
  <c r="Q103" i="1"/>
  <c r="O103" i="1"/>
  <c r="O107" i="1" s="1"/>
  <c r="K103" i="1"/>
  <c r="O102" i="1"/>
  <c r="K102" i="1"/>
  <c r="Q101" i="1"/>
  <c r="O101" i="1"/>
  <c r="Q100" i="1"/>
  <c r="K100" i="1"/>
  <c r="K109" i="1" s="1"/>
  <c r="O99" i="1"/>
  <c r="Q99" i="1" s="1"/>
  <c r="K99" i="1"/>
  <c r="K106" i="1" s="1"/>
  <c r="O98" i="1"/>
  <c r="K98" i="1"/>
  <c r="G96" i="1"/>
  <c r="L94" i="1"/>
  <c r="L91" i="1"/>
  <c r="L90" i="1" s="1"/>
  <c r="O88" i="1"/>
  <c r="K88" i="1"/>
  <c r="L93" i="1" s="1"/>
  <c r="O87" i="1"/>
  <c r="K87" i="1"/>
  <c r="K85" i="1"/>
  <c r="K84" i="1"/>
  <c r="K83" i="1"/>
  <c r="K82" i="1"/>
  <c r="K81" i="1"/>
  <c r="K80" i="1"/>
  <c r="Q79" i="1"/>
  <c r="K79" i="1"/>
  <c r="Q78" i="1"/>
  <c r="K78" i="1"/>
  <c r="K77" i="1"/>
  <c r="K76" i="1"/>
  <c r="L92" i="1" s="1"/>
  <c r="K75" i="1"/>
  <c r="K74" i="1"/>
  <c r="K73" i="1"/>
  <c r="K72" i="1"/>
  <c r="K71" i="1"/>
  <c r="K70" i="1"/>
  <c r="Q69" i="1"/>
  <c r="K69" i="1"/>
  <c r="Q68" i="1"/>
  <c r="K68" i="1"/>
  <c r="K67" i="1"/>
  <c r="O65" i="1"/>
  <c r="K65" i="1"/>
  <c r="K62" i="1"/>
  <c r="K60" i="1"/>
  <c r="O60" i="1" s="1"/>
  <c r="Q60" i="1" s="1"/>
  <c r="O59" i="1"/>
  <c r="Q59" i="1" s="1"/>
  <c r="K59" i="1"/>
  <c r="O57" i="1"/>
  <c r="K57" i="1"/>
  <c r="Q56" i="1"/>
  <c r="K56" i="1"/>
  <c r="K63" i="1" s="1"/>
  <c r="Q55" i="1"/>
  <c r="O55" i="1"/>
  <c r="O62" i="1" s="1"/>
  <c r="K55" i="1"/>
  <c r="O54" i="1"/>
  <c r="K54" i="1"/>
  <c r="G52" i="1"/>
  <c r="CC50" i="1"/>
  <c r="BA50" i="1"/>
  <c r="L50" i="1"/>
  <c r="DL49" i="1"/>
  <c r="BO49" i="1"/>
  <c r="CQ48" i="1"/>
  <c r="BO48" i="1"/>
  <c r="DL47" i="1"/>
  <c r="DL46" i="1" s="1"/>
  <c r="DE47" i="1"/>
  <c r="CQ47" i="1"/>
  <c r="CQ46" i="1" s="1"/>
  <c r="CJ47" i="1"/>
  <c r="CJ46" i="1" s="1"/>
  <c r="BO47" i="1"/>
  <c r="BH47" i="1"/>
  <c r="BH46" i="1" s="1"/>
  <c r="BA47" i="1"/>
  <c r="BA46" i="1" s="1"/>
  <c r="DE46" i="1"/>
  <c r="BO46" i="1"/>
  <c r="P46" i="1"/>
  <c r="L46" i="1"/>
  <c r="DK45" i="1"/>
  <c r="BN45" i="1"/>
  <c r="DK44" i="1"/>
  <c r="DL48" i="1" s="1"/>
  <c r="DD44" i="1"/>
  <c r="DD45" i="1" s="1"/>
  <c r="CW44" i="1"/>
  <c r="CP44" i="1"/>
  <c r="CQ49" i="1" s="1"/>
  <c r="CI44" i="1"/>
  <c r="CJ48" i="1" s="1"/>
  <c r="CB44" i="1"/>
  <c r="BU44" i="1"/>
  <c r="BN44" i="1"/>
  <c r="BG44" i="1"/>
  <c r="BH48" i="1" s="1"/>
  <c r="AZ44" i="1"/>
  <c r="AZ45" i="1" s="1"/>
  <c r="AS44" i="1"/>
  <c r="AL44" i="1"/>
  <c r="O44" i="1"/>
  <c r="DR44" i="1" s="1"/>
  <c r="K44" i="1"/>
  <c r="DK43" i="1"/>
  <c r="DD43" i="1"/>
  <c r="CW43" i="1"/>
  <c r="CP43" i="1"/>
  <c r="CI43" i="1"/>
  <c r="CB43" i="1"/>
  <c r="BU43" i="1"/>
  <c r="BN43" i="1"/>
  <c r="BG43" i="1"/>
  <c r="AZ43" i="1"/>
  <c r="AS43" i="1"/>
  <c r="AL43" i="1"/>
  <c r="O43" i="1"/>
  <c r="DR43" i="1" s="1"/>
  <c r="K43" i="1"/>
  <c r="DR42" i="1"/>
  <c r="DK41" i="1"/>
  <c r="DD41" i="1"/>
  <c r="CW41" i="1"/>
  <c r="CP41" i="1"/>
  <c r="CI41" i="1"/>
  <c r="CB41" i="1"/>
  <c r="BU41" i="1"/>
  <c r="BN41" i="1"/>
  <c r="BG41" i="1"/>
  <c r="AZ41" i="1"/>
  <c r="AS41" i="1"/>
  <c r="AL41" i="1"/>
  <c r="O41" i="1"/>
  <c r="DR41" i="1" s="1"/>
  <c r="K41" i="1"/>
  <c r="DK40" i="1"/>
  <c r="DD40" i="1"/>
  <c r="CW40" i="1"/>
  <c r="CP40" i="1"/>
  <c r="CI40" i="1"/>
  <c r="CB40" i="1"/>
  <c r="BU40" i="1"/>
  <c r="BN40" i="1"/>
  <c r="BG40" i="1"/>
  <c r="AZ40" i="1"/>
  <c r="AS40" i="1"/>
  <c r="AL40" i="1"/>
  <c r="DR40" i="1" s="1"/>
  <c r="O40" i="1"/>
  <c r="K40" i="1"/>
  <c r="DK39" i="1"/>
  <c r="DD39" i="1"/>
  <c r="CW39" i="1"/>
  <c r="CP39" i="1"/>
  <c r="CI39" i="1"/>
  <c r="CB39" i="1"/>
  <c r="BU39" i="1"/>
  <c r="BN39" i="1"/>
  <c r="BG39" i="1"/>
  <c r="AZ39" i="1"/>
  <c r="AS39" i="1"/>
  <c r="AL39" i="1"/>
  <c r="O39" i="1"/>
  <c r="K39" i="1"/>
  <c r="DK38" i="1"/>
  <c r="DD38" i="1"/>
  <c r="DE50" i="1" s="1"/>
  <c r="CW38" i="1"/>
  <c r="CP38" i="1"/>
  <c r="CQ50" i="1" s="1"/>
  <c r="CI38" i="1"/>
  <c r="CB38" i="1"/>
  <c r="BU38" i="1"/>
  <c r="BN38" i="1"/>
  <c r="BO50" i="1" s="1"/>
  <c r="BG38" i="1"/>
  <c r="AZ38" i="1"/>
  <c r="AS38" i="1"/>
  <c r="AL38" i="1"/>
  <c r="AM50" i="1" s="1"/>
  <c r="O38" i="1"/>
  <c r="K38" i="1"/>
  <c r="DK37" i="1"/>
  <c r="DD37" i="1"/>
  <c r="CW37" i="1"/>
  <c r="CP37" i="1"/>
  <c r="CI37" i="1"/>
  <c r="CB37" i="1"/>
  <c r="BU37" i="1"/>
  <c r="BN37" i="1"/>
  <c r="BG37" i="1"/>
  <c r="AZ37" i="1"/>
  <c r="AS37" i="1"/>
  <c r="AL37" i="1"/>
  <c r="O37" i="1"/>
  <c r="K37" i="1"/>
  <c r="DK36" i="1"/>
  <c r="DD36" i="1"/>
  <c r="CW36" i="1"/>
  <c r="CW35" i="1" s="1"/>
  <c r="CW34" i="1" s="1"/>
  <c r="CP36" i="1"/>
  <c r="CP35" i="1" s="1"/>
  <c r="CP34" i="1" s="1"/>
  <c r="CI36" i="1"/>
  <c r="CB36" i="1"/>
  <c r="BU36" i="1"/>
  <c r="BU35" i="1" s="1"/>
  <c r="BU34" i="1" s="1"/>
  <c r="BN36" i="1"/>
  <c r="BN35" i="1" s="1"/>
  <c r="BN34" i="1" s="1"/>
  <c r="BG36" i="1"/>
  <c r="AZ36" i="1"/>
  <c r="AS36" i="1"/>
  <c r="AL36" i="1"/>
  <c r="O36" i="1"/>
  <c r="K36" i="1"/>
  <c r="DK35" i="1"/>
  <c r="CI35" i="1"/>
  <c r="CI34" i="1" s="1"/>
  <c r="AS35" i="1"/>
  <c r="AS34" i="1" s="1"/>
  <c r="DK34" i="1"/>
  <c r="DK33" i="1"/>
  <c r="DD33" i="1"/>
  <c r="CW33" i="1"/>
  <c r="CP33" i="1"/>
  <c r="CI33" i="1"/>
  <c r="CB33" i="1"/>
  <c r="BU33" i="1"/>
  <c r="BN33" i="1"/>
  <c r="BG33" i="1"/>
  <c r="AZ33" i="1"/>
  <c r="AS33" i="1"/>
  <c r="AL33" i="1"/>
  <c r="P33" i="1"/>
  <c r="O33" i="1"/>
  <c r="L33" i="1"/>
  <c r="K33" i="1"/>
  <c r="DK32" i="1"/>
  <c r="DD32" i="1"/>
  <c r="CW32" i="1"/>
  <c r="CP32" i="1"/>
  <c r="CI32" i="1"/>
  <c r="CB32" i="1"/>
  <c r="BU32" i="1"/>
  <c r="BN32" i="1"/>
  <c r="BG32" i="1"/>
  <c r="AZ32" i="1"/>
  <c r="AS32" i="1"/>
  <c r="AL32" i="1"/>
  <c r="AM48" i="1" s="1"/>
  <c r="O32" i="1"/>
  <c r="K32" i="1"/>
  <c r="L48" i="1" s="1"/>
  <c r="DK31" i="1"/>
  <c r="DD31" i="1"/>
  <c r="CW31" i="1"/>
  <c r="CX48" i="1" s="1"/>
  <c r="CP31" i="1"/>
  <c r="CI31" i="1"/>
  <c r="CB31" i="1"/>
  <c r="BU31" i="1"/>
  <c r="BV48" i="1" s="1"/>
  <c r="BN31" i="1"/>
  <c r="BG31" i="1"/>
  <c r="AZ31" i="1"/>
  <c r="AS31" i="1"/>
  <c r="AT48" i="1" s="1"/>
  <c r="AL31" i="1"/>
  <c r="O31" i="1"/>
  <c r="K31" i="1"/>
  <c r="DK30" i="1"/>
  <c r="DD30" i="1"/>
  <c r="CW30" i="1"/>
  <c r="CX50" i="1" s="1"/>
  <c r="CP30" i="1"/>
  <c r="CI30" i="1"/>
  <c r="CB30" i="1"/>
  <c r="BU30" i="1"/>
  <c r="BV50" i="1" s="1"/>
  <c r="BN30" i="1"/>
  <c r="BG30" i="1"/>
  <c r="AZ30" i="1"/>
  <c r="AS30" i="1"/>
  <c r="AT50" i="1" s="1"/>
  <c r="AL30" i="1"/>
  <c r="AL25" i="1" s="1"/>
  <c r="AL24" i="1" s="1"/>
  <c r="O30" i="1"/>
  <c r="K30" i="1"/>
  <c r="L49" i="1" s="1"/>
  <c r="DK29" i="1"/>
  <c r="DD29" i="1"/>
  <c r="CW29" i="1"/>
  <c r="CP29" i="1"/>
  <c r="CI29" i="1"/>
  <c r="CB29" i="1"/>
  <c r="BU29" i="1"/>
  <c r="BN29" i="1"/>
  <c r="BG29" i="1"/>
  <c r="BG25" i="1" s="1"/>
  <c r="BG24" i="1" s="1"/>
  <c r="AZ29" i="1"/>
  <c r="AS29" i="1"/>
  <c r="AL29" i="1"/>
  <c r="O29" i="1"/>
  <c r="K29" i="1"/>
  <c r="DK28" i="1"/>
  <c r="DD28" i="1"/>
  <c r="CW28" i="1"/>
  <c r="CP28" i="1"/>
  <c r="CI28" i="1"/>
  <c r="CB28" i="1"/>
  <c r="BU28" i="1"/>
  <c r="BN28" i="1"/>
  <c r="BG28" i="1"/>
  <c r="AZ28" i="1"/>
  <c r="AS28" i="1"/>
  <c r="AL28" i="1"/>
  <c r="O28" i="1"/>
  <c r="K28" i="1"/>
  <c r="DK27" i="1"/>
  <c r="DK25" i="1" s="1"/>
  <c r="DK24" i="1" s="1"/>
  <c r="DK23" i="1" s="1"/>
  <c r="DD27" i="1"/>
  <c r="CW27" i="1"/>
  <c r="CP27" i="1"/>
  <c r="CI27" i="1"/>
  <c r="CI25" i="1" s="1"/>
  <c r="CI24" i="1" s="1"/>
  <c r="CB27" i="1"/>
  <c r="BU27" i="1"/>
  <c r="BN27" i="1"/>
  <c r="BG27" i="1"/>
  <c r="AZ27" i="1"/>
  <c r="AS27" i="1"/>
  <c r="AS25" i="1" s="1"/>
  <c r="AS24" i="1" s="1"/>
  <c r="AS23" i="1" s="1"/>
  <c r="AL27" i="1"/>
  <c r="O27" i="1"/>
  <c r="K27" i="1"/>
  <c r="DK26" i="1"/>
  <c r="DD26" i="1"/>
  <c r="CW26" i="1"/>
  <c r="CP26" i="1"/>
  <c r="CI26" i="1"/>
  <c r="CB26" i="1"/>
  <c r="BU26" i="1"/>
  <c r="BN26" i="1"/>
  <c r="BG26" i="1"/>
  <c r="AZ26" i="1"/>
  <c r="AS26" i="1"/>
  <c r="AL26" i="1"/>
  <c r="AM47" i="1" s="1"/>
  <c r="AM46" i="1" s="1"/>
  <c r="O26" i="1"/>
  <c r="K26" i="1"/>
  <c r="CW25" i="1"/>
  <c r="CW24" i="1" s="1"/>
  <c r="CW23" i="1" s="1"/>
  <c r="BN25" i="1"/>
  <c r="BN24" i="1" s="1"/>
  <c r="BN23" i="1" s="1"/>
  <c r="O25" i="1"/>
  <c r="CI23" i="1"/>
  <c r="BU22" i="1"/>
  <c r="O18" i="1"/>
  <c r="K18" i="1"/>
  <c r="DK16" i="1"/>
  <c r="DD16" i="1"/>
  <c r="CW16" i="1"/>
  <c r="CP16" i="1"/>
  <c r="DR16" i="1" s="1"/>
  <c r="CI16" i="1"/>
  <c r="CB16" i="1"/>
  <c r="BU16" i="1"/>
  <c r="BN16" i="1"/>
  <c r="BG16" i="1"/>
  <c r="AZ16" i="1"/>
  <c r="AS16" i="1"/>
  <c r="AL16" i="1"/>
  <c r="P16" i="1"/>
  <c r="O16" i="1"/>
  <c r="L16" i="1"/>
  <c r="K16" i="1"/>
  <c r="DK15" i="1"/>
  <c r="DD15" i="1"/>
  <c r="CW15" i="1"/>
  <c r="CW14" i="1" s="1"/>
  <c r="CP15" i="1"/>
  <c r="CI15" i="1"/>
  <c r="CB15" i="1"/>
  <c r="CB14" i="1" s="1"/>
  <c r="BU15" i="1"/>
  <c r="BN15" i="1"/>
  <c r="BN14" i="1" s="1"/>
  <c r="BG15" i="1"/>
  <c r="AZ15" i="1"/>
  <c r="AZ14" i="1" s="1"/>
  <c r="AS15" i="1"/>
  <c r="AL15" i="1"/>
  <c r="O15" i="1"/>
  <c r="K15" i="1"/>
  <c r="DK14" i="1"/>
  <c r="CP14" i="1"/>
  <c r="CI14" i="1"/>
  <c r="BU14" i="1"/>
  <c r="BG14" i="1"/>
  <c r="AS14" i="1"/>
  <c r="AL14" i="1"/>
  <c r="O14" i="1"/>
  <c r="K14" i="1"/>
  <c r="DK13" i="1"/>
  <c r="DD13" i="1"/>
  <c r="CP13" i="1"/>
  <c r="CP22" i="1" s="1"/>
  <c r="CI13" i="1"/>
  <c r="BU13" i="1"/>
  <c r="BU20" i="1" s="1"/>
  <c r="BN13" i="1"/>
  <c r="BN22" i="1" s="1"/>
  <c r="BG13" i="1"/>
  <c r="O13" i="1"/>
  <c r="K13" i="1"/>
  <c r="DK12" i="1"/>
  <c r="DK19" i="1" s="1"/>
  <c r="DD12" i="1"/>
  <c r="CW12" i="1"/>
  <c r="CP12" i="1"/>
  <c r="CP21" i="1" s="1"/>
  <c r="CI12" i="1"/>
  <c r="CI21" i="1" s="1"/>
  <c r="CB12" i="1"/>
  <c r="BU12" i="1"/>
  <c r="BU19" i="1" s="1"/>
  <c r="BN12" i="1"/>
  <c r="BN19" i="1" s="1"/>
  <c r="BG12" i="1"/>
  <c r="BG21" i="1" s="1"/>
  <c r="AZ12" i="1"/>
  <c r="AS12" i="1"/>
  <c r="AS19" i="1" s="1"/>
  <c r="AL12" i="1"/>
  <c r="AL19" i="1" s="1"/>
  <c r="O12" i="1"/>
  <c r="O19" i="1" s="1"/>
  <c r="K12" i="1"/>
  <c r="DK11" i="1"/>
  <c r="DK18" i="1" s="1"/>
  <c r="DD11" i="1"/>
  <c r="DD18" i="1" s="1"/>
  <c r="CW11" i="1"/>
  <c r="CP11" i="1"/>
  <c r="CP18" i="1" s="1"/>
  <c r="CI11" i="1"/>
  <c r="CI18" i="1" s="1"/>
  <c r="CB11" i="1"/>
  <c r="CB13" i="1" s="1"/>
  <c r="BU11" i="1"/>
  <c r="BU18" i="1" s="1"/>
  <c r="BU17" i="1" s="1"/>
  <c r="BU45" i="1" s="1"/>
  <c r="BN11" i="1"/>
  <c r="BN18" i="1" s="1"/>
  <c r="BG11" i="1"/>
  <c r="BG18" i="1" s="1"/>
  <c r="AZ11" i="1"/>
  <c r="AZ13" i="1" s="1"/>
  <c r="AS11" i="1"/>
  <c r="AL11" i="1"/>
  <c r="AL18" i="1" s="1"/>
  <c r="O11" i="1"/>
  <c r="DR11" i="1" s="1"/>
  <c r="K11" i="1"/>
  <c r="DK10" i="1"/>
  <c r="DD10" i="1"/>
  <c r="CW10" i="1"/>
  <c r="CP10" i="1"/>
  <c r="CI10" i="1"/>
  <c r="CB10" i="1"/>
  <c r="BU10" i="1"/>
  <c r="BN10" i="1"/>
  <c r="BG10" i="1"/>
  <c r="AZ10" i="1"/>
  <c r="AS10" i="1"/>
  <c r="AL10" i="1"/>
  <c r="O10" i="1"/>
  <c r="DR10" i="1" s="1"/>
  <c r="K10" i="1"/>
  <c r="DG8" i="1"/>
  <c r="CZ8" i="1"/>
  <c r="CS8" i="1"/>
  <c r="CL8" i="1"/>
  <c r="CE8" i="1"/>
  <c r="BX8" i="1"/>
  <c r="BQ8" i="1"/>
  <c r="BJ8" i="1"/>
  <c r="BC8" i="1"/>
  <c r="AV8" i="1"/>
  <c r="AO8" i="1"/>
  <c r="AH8" i="1"/>
  <c r="CV2" i="2"/>
  <c r="CR2" i="2"/>
  <c r="CN2" i="2"/>
  <c r="CJ2" i="2"/>
  <c r="CB2" i="2"/>
  <c r="BX2" i="2"/>
  <c r="BT2" i="2"/>
  <c r="BP2" i="2"/>
  <c r="BL2" i="2"/>
  <c r="BD2" i="2"/>
  <c r="AR2" i="2"/>
  <c r="AB2" i="2"/>
  <c r="L2" i="2"/>
  <c r="CU2" i="2"/>
  <c r="CQ2" i="2"/>
  <c r="CM2" i="2"/>
  <c r="CI2" i="2"/>
  <c r="CE2" i="2"/>
  <c r="CA2" i="2"/>
  <c r="BW2" i="2"/>
  <c r="BS2" i="2"/>
  <c r="BO2" i="2"/>
  <c r="BK2" i="2"/>
  <c r="BG2" i="2"/>
  <c r="BC2" i="2"/>
  <c r="AY2" i="2"/>
  <c r="AU2" i="2"/>
  <c r="AQ2" i="2"/>
  <c r="AM2" i="2"/>
  <c r="AI2" i="2"/>
  <c r="AE2" i="2"/>
  <c r="AA2" i="2"/>
  <c r="W2" i="2"/>
  <c r="S2" i="2"/>
  <c r="O2" i="2"/>
  <c r="K2" i="2"/>
  <c r="G2" i="2"/>
  <c r="C2" i="2"/>
  <c r="CT2" i="2"/>
  <c r="CP2" i="2"/>
  <c r="CL2" i="2"/>
  <c r="CH2" i="2"/>
  <c r="CD2" i="2"/>
  <c r="BZ2" i="2"/>
  <c r="BV2" i="2"/>
  <c r="BR2" i="2"/>
  <c r="BN2" i="2"/>
  <c r="BJ2" i="2"/>
  <c r="BF2" i="2"/>
  <c r="BB2" i="2"/>
  <c r="AX2" i="2"/>
  <c r="AT2" i="2"/>
  <c r="AP2" i="2"/>
  <c r="AL2" i="2"/>
  <c r="AH2" i="2"/>
  <c r="AD2" i="2"/>
  <c r="Z2" i="2"/>
  <c r="V2" i="2"/>
  <c r="R2" i="2"/>
  <c r="N2" i="2"/>
  <c r="J2" i="2"/>
  <c r="F2" i="2"/>
  <c r="B2" i="2"/>
  <c r="CS2" i="2"/>
  <c r="CO2" i="2"/>
  <c r="CK2" i="2"/>
  <c r="CG2" i="2"/>
  <c r="CC2" i="2"/>
  <c r="BY2" i="2"/>
  <c r="BU2" i="2"/>
  <c r="BQ2" i="2"/>
  <c r="BM2" i="2"/>
  <c r="BI2" i="2"/>
  <c r="BE2" i="2"/>
  <c r="BA2" i="2"/>
  <c r="AW2" i="2"/>
  <c r="AS2" i="2"/>
  <c r="AO2" i="2"/>
  <c r="AK2" i="2"/>
  <c r="AG2" i="2"/>
  <c r="AC2" i="2"/>
  <c r="Y2" i="2"/>
  <c r="U2" i="2"/>
  <c r="Q2" i="2"/>
  <c r="M2" i="2"/>
  <c r="I2" i="2"/>
  <c r="E2" i="2"/>
  <c r="CF2" i="2"/>
  <c r="BH2" i="2"/>
  <c r="AZ2" i="2"/>
  <c r="AV2" i="2"/>
  <c r="AN2" i="2"/>
  <c r="AJ2" i="2"/>
  <c r="AF2" i="2"/>
  <c r="X2" i="2"/>
  <c r="T2" i="2"/>
  <c r="P2" i="2"/>
  <c r="H2" i="2"/>
  <c r="D2" i="2"/>
  <c r="M128" i="1"/>
  <c r="M124" i="1"/>
  <c r="M118" i="1"/>
  <c r="M114" i="1"/>
  <c r="M82" i="1"/>
  <c r="M76" i="1"/>
  <c r="M72" i="1"/>
  <c r="M129" i="1"/>
  <c r="M117" i="1"/>
  <c r="M83" i="1"/>
  <c r="M80" i="1"/>
  <c r="M73" i="1"/>
  <c r="M70" i="1"/>
  <c r="M126" i="1"/>
  <c r="M120" i="1"/>
  <c r="M115" i="1"/>
  <c r="M81" i="1"/>
  <c r="M71" i="1"/>
  <c r="M127" i="1"/>
  <c r="M121" i="1"/>
  <c r="M84" i="1"/>
  <c r="M77" i="1"/>
  <c r="M74" i="1"/>
  <c r="M125" i="1"/>
  <c r="M119" i="1"/>
  <c r="M116" i="1"/>
  <c r="M85" i="1"/>
  <c r="M75" i="1"/>
  <c r="O75" i="1" l="1"/>
  <c r="O85" i="1"/>
  <c r="O116" i="1"/>
  <c r="O119" i="1"/>
  <c r="O125" i="1"/>
  <c r="O74" i="1"/>
  <c r="O77" i="1"/>
  <c r="O84" i="1"/>
  <c r="O121" i="1"/>
  <c r="O127" i="1"/>
  <c r="O71" i="1"/>
  <c r="O81" i="1"/>
  <c r="O115" i="1"/>
  <c r="O120" i="1"/>
  <c r="O126" i="1"/>
  <c r="P138" i="1" s="1"/>
  <c r="M69" i="1"/>
  <c r="M68" i="1" s="1"/>
  <c r="O70" i="1"/>
  <c r="O73" i="1"/>
  <c r="M79" i="1"/>
  <c r="M78" i="1" s="1"/>
  <c r="O80" i="1"/>
  <c r="O79" i="1" s="1"/>
  <c r="O78" i="1" s="1"/>
  <c r="O83" i="1"/>
  <c r="O117" i="1"/>
  <c r="O129" i="1"/>
  <c r="O72" i="1"/>
  <c r="O76" i="1"/>
  <c r="O82" i="1"/>
  <c r="P94" i="1" s="1"/>
  <c r="M113" i="1"/>
  <c r="M112" i="1" s="1"/>
  <c r="O114" i="1"/>
  <c r="O118" i="1"/>
  <c r="M123" i="1"/>
  <c r="M122" i="1" s="1"/>
  <c r="O124" i="1"/>
  <c r="O123" i="1" s="1"/>
  <c r="O122" i="1" s="1"/>
  <c r="O128" i="1"/>
  <c r="AZ20" i="1"/>
  <c r="AZ22" i="1"/>
  <c r="CB20" i="1"/>
  <c r="CB22" i="1"/>
  <c r="K22" i="1"/>
  <c r="K20" i="1"/>
  <c r="BG22" i="1"/>
  <c r="BG20" i="1"/>
  <c r="CI22" i="1"/>
  <c r="CI20" i="1"/>
  <c r="AS21" i="1"/>
  <c r="DR29" i="1"/>
  <c r="DR39" i="1"/>
  <c r="Q62" i="1"/>
  <c r="BN17" i="1"/>
  <c r="CW19" i="1"/>
  <c r="CW21" i="1"/>
  <c r="O20" i="1"/>
  <c r="DD14" i="1"/>
  <c r="DR15" i="1"/>
  <c r="AZ18" i="1"/>
  <c r="BG19" i="1"/>
  <c r="BG17" i="1" s="1"/>
  <c r="BN20" i="1"/>
  <c r="BU21" i="1"/>
  <c r="O64" i="1"/>
  <c r="Q64" i="1" s="1"/>
  <c r="AS13" i="1"/>
  <c r="AS18" i="1"/>
  <c r="CW13" i="1"/>
  <c r="DR13" i="1" s="1"/>
  <c r="CW18" i="1"/>
  <c r="K21" i="1"/>
  <c r="K19" i="1"/>
  <c r="AZ21" i="1"/>
  <c r="AZ19" i="1"/>
  <c r="CB21" i="1"/>
  <c r="CB19" i="1"/>
  <c r="DD21" i="1"/>
  <c r="DD19" i="1"/>
  <c r="DR19" i="1" s="1"/>
  <c r="AL13" i="1"/>
  <c r="DD20" i="1"/>
  <c r="DD22" i="1"/>
  <c r="CB18" i="1"/>
  <c r="CB17" i="1" s="1"/>
  <c r="CI19" i="1"/>
  <c r="CI17" i="1" s="1"/>
  <c r="CP20" i="1"/>
  <c r="DK21" i="1"/>
  <c r="DR28" i="1"/>
  <c r="DR32" i="1"/>
  <c r="O21" i="1"/>
  <c r="DR12" i="1"/>
  <c r="DR21" i="1" s="1"/>
  <c r="DK22" i="1"/>
  <c r="DK20" i="1"/>
  <c r="DK17" i="1" s="1"/>
  <c r="K17" i="1"/>
  <c r="K45" i="1" s="1"/>
  <c r="DR30" i="1"/>
  <c r="AL21" i="1"/>
  <c r="BN21" i="1"/>
  <c r="CP25" i="1"/>
  <c r="CP24" i="1" s="1"/>
  <c r="CP23" i="1" s="1"/>
  <c r="K25" i="1"/>
  <c r="K24" i="1" s="1"/>
  <c r="AZ25" i="1"/>
  <c r="AZ24" i="1" s="1"/>
  <c r="AZ23" i="1" s="1"/>
  <c r="CB25" i="1"/>
  <c r="CB24" i="1" s="1"/>
  <c r="DD25" i="1"/>
  <c r="DD24" i="1" s="1"/>
  <c r="DD23" i="1" s="1"/>
  <c r="DR27" i="1"/>
  <c r="AL35" i="1"/>
  <c r="AL34" i="1" s="1"/>
  <c r="AL23" i="1" s="1"/>
  <c r="DR36" i="1"/>
  <c r="P50" i="1"/>
  <c r="BH50" i="1"/>
  <c r="CJ50" i="1"/>
  <c r="DL50" i="1"/>
  <c r="AT49" i="1"/>
  <c r="BV49" i="1"/>
  <c r="CX49" i="1"/>
  <c r="CC47" i="1"/>
  <c r="CC46" i="1" s="1"/>
  <c r="BA48" i="1"/>
  <c r="P49" i="1"/>
  <c r="DE49" i="1"/>
  <c r="K64" i="1"/>
  <c r="K58" i="1"/>
  <c r="O66" i="1"/>
  <c r="K107" i="1"/>
  <c r="K113" i="1"/>
  <c r="K112" i="1" s="1"/>
  <c r="K111" i="1" s="1"/>
  <c r="L136" i="1"/>
  <c r="DR33" i="1"/>
  <c r="DR38" i="1"/>
  <c r="CB45" i="1"/>
  <c r="AM49" i="1"/>
  <c r="CC49" i="1"/>
  <c r="O63" i="1"/>
  <c r="Q63" i="1" s="1"/>
  <c r="P93" i="1"/>
  <c r="L138" i="1"/>
  <c r="P136" i="1"/>
  <c r="CP19" i="1"/>
  <c r="CP17" i="1" s="1"/>
  <c r="O24" i="1"/>
  <c r="BU25" i="1"/>
  <c r="BU24" i="1" s="1"/>
  <c r="BU23" i="1" s="1"/>
  <c r="DR26" i="1"/>
  <c r="BG35" i="1"/>
  <c r="BG34" i="1" s="1"/>
  <c r="BG23" i="1" s="1"/>
  <c r="K35" i="1"/>
  <c r="K34" i="1" s="1"/>
  <c r="AZ35" i="1"/>
  <c r="AZ34" i="1" s="1"/>
  <c r="CB35" i="1"/>
  <c r="CB34" i="1" s="1"/>
  <c r="DD35" i="1"/>
  <c r="DD34" i="1" s="1"/>
  <c r="DR37" i="1"/>
  <c r="CI45" i="1"/>
  <c r="L47" i="1"/>
  <c r="DE48" i="1"/>
  <c r="BA49" i="1"/>
  <c r="CJ49" i="1"/>
  <c r="Q57" i="1"/>
  <c r="K61" i="1"/>
  <c r="K89" i="1" s="1"/>
  <c r="K101" i="1"/>
  <c r="O106" i="1"/>
  <c r="O17" i="1"/>
  <c r="AT47" i="1"/>
  <c r="AT46" i="1" s="1"/>
  <c r="BV47" i="1"/>
  <c r="BV46" i="1" s="1"/>
  <c r="CX47" i="1"/>
  <c r="CX46" i="1" s="1"/>
  <c r="P48" i="1"/>
  <c r="DR31" i="1"/>
  <c r="O35" i="1"/>
  <c r="O34" i="1" s="1"/>
  <c r="BG45" i="1"/>
  <c r="CP45" i="1"/>
  <c r="P47" i="1"/>
  <c r="CC48" i="1"/>
  <c r="BH49" i="1"/>
  <c r="O58" i="1"/>
  <c r="DR14" i="1" s="1"/>
  <c r="K66" i="1"/>
  <c r="P92" i="1"/>
  <c r="O110" i="1"/>
  <c r="Q104" i="1"/>
  <c r="AS20" i="1" l="1"/>
  <c r="AS22" i="1"/>
  <c r="O61" i="1"/>
  <c r="O89" i="1" s="1"/>
  <c r="DD17" i="1"/>
  <c r="P135" i="1"/>
  <c r="P134" i="1" s="1"/>
  <c r="O113" i="1"/>
  <c r="O112" i="1" s="1"/>
  <c r="O111" i="1" s="1"/>
  <c r="K108" i="1"/>
  <c r="K105" i="1" s="1"/>
  <c r="K133" i="1" s="1"/>
  <c r="O23" i="1"/>
  <c r="DR23" i="1" s="1"/>
  <c r="DR35" i="1"/>
  <c r="DR34" i="1" s="1"/>
  <c r="CB23" i="1"/>
  <c r="DR25" i="1"/>
  <c r="AZ17" i="1"/>
  <c r="O22" i="1"/>
  <c r="AL22" i="1"/>
  <c r="AL20" i="1"/>
  <c r="AL17" i="1" s="1"/>
  <c r="AL45" i="1" s="1"/>
  <c r="O45" i="1"/>
  <c r="CW22" i="1"/>
  <c r="CW20" i="1"/>
  <c r="DR20" i="1" s="1"/>
  <c r="DR22" i="1" s="1"/>
  <c r="DR18" i="1"/>
  <c r="P137" i="1"/>
  <c r="Q106" i="1"/>
  <c r="O105" i="1"/>
  <c r="O133" i="1" s="1"/>
  <c r="K23" i="1"/>
  <c r="AS17" i="1"/>
  <c r="AS45" i="1" s="1"/>
  <c r="P91" i="1"/>
  <c r="P90" i="1" s="1"/>
  <c r="O69" i="1"/>
  <c r="O68" i="1" s="1"/>
  <c r="O67" i="1" s="1"/>
  <c r="K110" i="1" l="1"/>
  <c r="CW17" i="1"/>
  <c r="DR24" i="1"/>
  <c r="CW45" i="1" l="1"/>
  <c r="DR17" i="1"/>
  <c r="DR45" i="1" s="1"/>
</calcChain>
</file>

<file path=xl/sharedStrings.xml><?xml version="1.0" encoding="utf-8"?>
<sst xmlns="http://schemas.openxmlformats.org/spreadsheetml/2006/main" count="3237" uniqueCount="522">
  <si>
    <t>Situation d'exploitation globale</t>
  </si>
  <si>
    <t>Contrôle de cohérence</t>
  </si>
  <si>
    <t>Désignation</t>
  </si>
  <si>
    <t>Previsions annuelles</t>
  </si>
  <si>
    <t>Prévisions période</t>
  </si>
  <si>
    <t>Réalisé</t>
  </si>
  <si>
    <t>Ecarts</t>
  </si>
  <si>
    <t>Montant</t>
  </si>
  <si>
    <t>Chiffre d'affaires Total</t>
  </si>
  <si>
    <t>Chiffre d'affaires Main d'œuvre</t>
  </si>
  <si>
    <t>Chiffre d'affaires Négoce</t>
  </si>
  <si>
    <t>Chiffre d'affaires Matière première</t>
  </si>
  <si>
    <t>Chiffre d'affaires matière première</t>
  </si>
  <si>
    <t>Achats</t>
  </si>
  <si>
    <t>Achats Négoce</t>
  </si>
  <si>
    <t>Achats matière première</t>
  </si>
  <si>
    <t>Marge brute</t>
  </si>
  <si>
    <t>Marge brute main d'œuvre</t>
  </si>
  <si>
    <t>Marge Brute Négoce</t>
  </si>
  <si>
    <t>Marge brute matière première</t>
  </si>
  <si>
    <t>Marge Brute Matière première</t>
  </si>
  <si>
    <t>% Marge Négoce</t>
  </si>
  <si>
    <t>% Marge Matière</t>
  </si>
  <si>
    <t>CHARGES</t>
  </si>
  <si>
    <t>FRAIS GENERAUX</t>
  </si>
  <si>
    <t>CHARGES EXTERNES</t>
  </si>
  <si>
    <t>Frais fixes</t>
  </si>
  <si>
    <t>Frais variables</t>
  </si>
  <si>
    <t>Crédits bails</t>
  </si>
  <si>
    <t>Agents commerciaux</t>
  </si>
  <si>
    <t>Frais commerciaux</t>
  </si>
  <si>
    <t>Sous-traitance MO</t>
  </si>
  <si>
    <t>Intérimaires</t>
  </si>
  <si>
    <t>DOTATIONS AUX AMORTISSEMENTS</t>
  </si>
  <si>
    <t>FRAIS DE PERSONNEL</t>
  </si>
  <si>
    <t>Salaires Internes</t>
  </si>
  <si>
    <t>Productifs</t>
  </si>
  <si>
    <t>Administratifs et autres</t>
  </si>
  <si>
    <t>Salaires commerciaux</t>
  </si>
  <si>
    <t>Autres charges du personnel</t>
  </si>
  <si>
    <t>Frais financiers</t>
  </si>
  <si>
    <t>Charges exceptionnelles</t>
  </si>
  <si>
    <t>Résultat</t>
  </si>
  <si>
    <t>Nombre d'heures de production</t>
  </si>
  <si>
    <t>Indice Vision</t>
  </si>
  <si>
    <t>Prix de revient d'un jour de frais généraux</t>
  </si>
  <si>
    <t>Prix de revient d'une heure de frais fixes</t>
  </si>
  <si>
    <t>Prix de revient d'une heure de MO Prod.</t>
  </si>
  <si>
    <t>Prix de revient d'une heure Commercial</t>
  </si>
  <si>
    <t>% moyen Coût commercial/ C. A. Commercial</t>
  </si>
  <si>
    <t>Votre indicateur de référence</t>
  </si>
  <si>
    <t>Nombre d'heures vendues</t>
  </si>
  <si>
    <t>Totaux</t>
  </si>
  <si>
    <t>Étiquettes de lignes</t>
  </si>
  <si>
    <t>Total HT</t>
  </si>
  <si>
    <t>Hors taxes 1</t>
  </si>
  <si>
    <t xml:space="preserve"> Prix Vente MO1</t>
  </si>
  <si>
    <t xml:space="preserve"> Heures1</t>
  </si>
  <si>
    <t xml:space="preserve"> Prix Vente Matière1</t>
  </si>
  <si>
    <t xml:space="preserve"> PA Matière1</t>
  </si>
  <si>
    <t>Somme de Marge Matière1</t>
  </si>
  <si>
    <t>Somme de Marge Brute1</t>
  </si>
  <si>
    <t>Somme de Hors Taxes2</t>
  </si>
  <si>
    <t>Somme de Prix Vente MO2</t>
  </si>
  <si>
    <t>Somme de Heures2</t>
  </si>
  <si>
    <t>Somme de Prix Vente Matière2</t>
  </si>
  <si>
    <t>Somme de PA Matière2</t>
  </si>
  <si>
    <t>Somme de Marge Matière2</t>
  </si>
  <si>
    <t>Somme de Marge Brute2</t>
  </si>
  <si>
    <t>Somme de Hors Taxes3</t>
  </si>
  <si>
    <t>Somme de Prix Vente MO3</t>
  </si>
  <si>
    <t>Somme de Heures3</t>
  </si>
  <si>
    <t>Somme de Prix Vente Matière3</t>
  </si>
  <si>
    <t>Somme de PA Matière3</t>
  </si>
  <si>
    <t>Somme de Marge Matière3</t>
  </si>
  <si>
    <t>Somme de Marge Brute3</t>
  </si>
  <si>
    <t>Somme de Hors Taxes4</t>
  </si>
  <si>
    <t>Somme de Prix Vente MO4</t>
  </si>
  <si>
    <t>Somme de Heures4</t>
  </si>
  <si>
    <t>Somme de Prix Vente Matière4</t>
  </si>
  <si>
    <t>Somme de PA Matière4</t>
  </si>
  <si>
    <t>Somme de Marge Matière4</t>
  </si>
  <si>
    <t>Somme de Marge Brute4</t>
  </si>
  <si>
    <t>Somme de Hors Taxes5</t>
  </si>
  <si>
    <t>Somme de Prix Vente MO5</t>
  </si>
  <si>
    <t>Somme de Heures5</t>
  </si>
  <si>
    <t>Somme de Prix Vente Matière5</t>
  </si>
  <si>
    <t>Somme de PA Matière5</t>
  </si>
  <si>
    <t>Somme de Marge Matière5</t>
  </si>
  <si>
    <t>Somme de Marge Brute5</t>
  </si>
  <si>
    <t>Somme de Hors Taxes6</t>
  </si>
  <si>
    <t>Somme de Prix Vente MO6</t>
  </si>
  <si>
    <t>Somme de Heures6</t>
  </si>
  <si>
    <t>Somme de Prix Vente Matière6</t>
  </si>
  <si>
    <t>Somme de PA Matière6</t>
  </si>
  <si>
    <t>Somme de Marge Matière6</t>
  </si>
  <si>
    <t>Somme de Marge Brute6</t>
  </si>
  <si>
    <t>Somme de Hors Taxes7</t>
  </si>
  <si>
    <t>Somme de Prix Vente MO7</t>
  </si>
  <si>
    <t>Somme de Heures7</t>
  </si>
  <si>
    <t>Somme de Prix Vente Matière7</t>
  </si>
  <si>
    <t>Somme de PA Matière7</t>
  </si>
  <si>
    <t>Somme de Marge Matière7</t>
  </si>
  <si>
    <t>Somme de Marge Brute7</t>
  </si>
  <si>
    <t>Somme de Hors Taxes8</t>
  </si>
  <si>
    <t>Somme de Prix Vente MO8</t>
  </si>
  <si>
    <t>Somme de Heures8</t>
  </si>
  <si>
    <t>Somme de Prix Vente Matière8</t>
  </si>
  <si>
    <t>Somme de PA Matière8</t>
  </si>
  <si>
    <t>Somme de Marge Matière8</t>
  </si>
  <si>
    <t>Somme de Marge Brute8</t>
  </si>
  <si>
    <t>Somme de Hors Taxes9</t>
  </si>
  <si>
    <t>Somme de Prix Vente MO9</t>
  </si>
  <si>
    <t>Somme de Heures9</t>
  </si>
  <si>
    <t>Somme de Prix Vente Matière9</t>
  </si>
  <si>
    <t>Somme de PA Matière9</t>
  </si>
  <si>
    <t>Somme de Marge Matière9</t>
  </si>
  <si>
    <t>Somme de Marge Brute9</t>
  </si>
  <si>
    <t>Somme de Hors Taxes10</t>
  </si>
  <si>
    <t>Somme de Prix Vente MO10</t>
  </si>
  <si>
    <t>Somme de Heures10</t>
  </si>
  <si>
    <t>Somme de Prix Vente Matière10</t>
  </si>
  <si>
    <t>Somme de PA Matière10</t>
  </si>
  <si>
    <t>Somme de Marge Matière10</t>
  </si>
  <si>
    <t>Somme de Marge Brute10</t>
  </si>
  <si>
    <t>Somme de Hors Taxes11</t>
  </si>
  <si>
    <t>Somme de Prix Vente MO11</t>
  </si>
  <si>
    <t>Somme de Heures11</t>
  </si>
  <si>
    <t>Somme de Prix Vente Matière11</t>
  </si>
  <si>
    <t>Somme de PA Matière11</t>
  </si>
  <si>
    <t>Somme de Marge Matière11</t>
  </si>
  <si>
    <t>Somme de Marge Brute11</t>
  </si>
  <si>
    <t>Somme de Hors Taxes12</t>
  </si>
  <si>
    <t>Somme de Prix Vente MO12</t>
  </si>
  <si>
    <t>Somme de Heures12</t>
  </si>
  <si>
    <t>Somme de Prix Vente Matière12</t>
  </si>
  <si>
    <t>Somme de PA Matière12</t>
  </si>
  <si>
    <t>Somme de Marge Matière12</t>
  </si>
  <si>
    <t>Somme de Marge Brute12</t>
  </si>
  <si>
    <t>Somme de Hors Taxes13</t>
  </si>
  <si>
    <t>Somme de Prix Vente MO13</t>
  </si>
  <si>
    <t>Somme de Heures13</t>
  </si>
  <si>
    <t>Somme de Prix Vente Matière13</t>
  </si>
  <si>
    <t>Somme de PA Matière13</t>
  </si>
  <si>
    <t>Somme de Marge Matière13</t>
  </si>
  <si>
    <t>Somme de Marge Brute13</t>
  </si>
  <si>
    <t>Somme de Hors Taxes14</t>
  </si>
  <si>
    <t>Somme de Prix Vente MO14</t>
  </si>
  <si>
    <t>Somme de Heures14</t>
  </si>
  <si>
    <t>Somme de Prix Vente Matière14</t>
  </si>
  <si>
    <t>Somme de PA Matière14</t>
  </si>
  <si>
    <t>Somme de Marge Matière14</t>
  </si>
  <si>
    <t>Somme de Marge Brute14</t>
  </si>
  <si>
    <t>Avoir</t>
  </si>
  <si>
    <t>Facture</t>
  </si>
  <si>
    <t>Reprise</t>
  </si>
  <si>
    <t>Situation</t>
  </si>
  <si>
    <t>Total général</t>
  </si>
  <si>
    <t>Index</t>
  </si>
  <si>
    <t>Date</t>
  </si>
  <si>
    <t>Statut</t>
  </si>
  <si>
    <t>Nom client</t>
  </si>
  <si>
    <t>Prénom</t>
  </si>
  <si>
    <t>Nom Représentant</t>
  </si>
  <si>
    <t>Prénom Respresentant</t>
  </si>
  <si>
    <t>Adresse</t>
  </si>
  <si>
    <t>Code Postal</t>
  </si>
  <si>
    <t>Ville</t>
  </si>
  <si>
    <t>Tel</t>
  </si>
  <si>
    <t>N° Affaire</t>
  </si>
  <si>
    <t>Ref Affaire</t>
  </si>
  <si>
    <t>Type Doc</t>
  </si>
  <si>
    <t>Numéro Doc</t>
  </si>
  <si>
    <t>TTC</t>
  </si>
  <si>
    <t>HT</t>
  </si>
  <si>
    <t>TVA</t>
  </si>
  <si>
    <t>Activité 1</t>
  </si>
  <si>
    <t>PA Matière1</t>
  </si>
  <si>
    <t>Marge Matière1</t>
  </si>
  <si>
    <t>Prix Vente Matière1</t>
  </si>
  <si>
    <t>% Marge Matière1</t>
  </si>
  <si>
    <t>Heures1</t>
  </si>
  <si>
    <t>Taux MO1</t>
  </si>
  <si>
    <t>Prix Vente MO1</t>
  </si>
  <si>
    <t>Marge Brute1</t>
  </si>
  <si>
    <t>Indice Vision1</t>
  </si>
  <si>
    <t>Hors Taxes1</t>
  </si>
  <si>
    <t>Taux TVA1</t>
  </si>
  <si>
    <t>TVA1</t>
  </si>
  <si>
    <t>Activité 2</t>
  </si>
  <si>
    <t>PA Matière2</t>
  </si>
  <si>
    <t>Marge Matière2</t>
  </si>
  <si>
    <t>Prix Vente Matière2</t>
  </si>
  <si>
    <t>% Marge Matière2</t>
  </si>
  <si>
    <t>Heures2</t>
  </si>
  <si>
    <t>Taux MO2</t>
  </si>
  <si>
    <t>Prix Vente MO2</t>
  </si>
  <si>
    <t>Marge Brute2</t>
  </si>
  <si>
    <t>Indice Vision2</t>
  </si>
  <si>
    <t>Hors Taxes2</t>
  </si>
  <si>
    <t>Taux TVA2</t>
  </si>
  <si>
    <t>TVA2</t>
  </si>
  <si>
    <t>Activité 3</t>
  </si>
  <si>
    <t>PA Matière3</t>
  </si>
  <si>
    <t>Marge Matière3</t>
  </si>
  <si>
    <t>Prix Vente Matière3</t>
  </si>
  <si>
    <t>% Marge Matière3</t>
  </si>
  <si>
    <t>Heures3</t>
  </si>
  <si>
    <t>Taux MO3</t>
  </si>
  <si>
    <t>Prix Vente MO3</t>
  </si>
  <si>
    <t>Marge Brute3</t>
  </si>
  <si>
    <t>Indice Vision3</t>
  </si>
  <si>
    <t>Hors Taxes3</t>
  </si>
  <si>
    <t>Taux TVA3</t>
  </si>
  <si>
    <t>TVA3</t>
  </si>
  <si>
    <t>Activité 4</t>
  </si>
  <si>
    <t>PA Matière4</t>
  </si>
  <si>
    <t>Marge Matière4</t>
  </si>
  <si>
    <t>Prix Vente Matière4</t>
  </si>
  <si>
    <t>% Marge Matière4</t>
  </si>
  <si>
    <t>Heures4</t>
  </si>
  <si>
    <t>Taux MO4</t>
  </si>
  <si>
    <t>Prix Vente MO4</t>
  </si>
  <si>
    <t>Marge Brute4</t>
  </si>
  <si>
    <t>Indice Vision4</t>
  </si>
  <si>
    <t>Hors Taxes4</t>
  </si>
  <si>
    <t>Taux TVA4</t>
  </si>
  <si>
    <t>TVA4</t>
  </si>
  <si>
    <t>Activité 5</t>
  </si>
  <si>
    <t>PA Matière5</t>
  </si>
  <si>
    <t>Marge Matière5</t>
  </si>
  <si>
    <t>Prix Vente Matière5</t>
  </si>
  <si>
    <t>% Marge Matière5</t>
  </si>
  <si>
    <t>Heures5</t>
  </si>
  <si>
    <t>Taux MO5</t>
  </si>
  <si>
    <t>Prix Vente MO5</t>
  </si>
  <si>
    <t>Marge Brute5</t>
  </si>
  <si>
    <t>Indice Vision5</t>
  </si>
  <si>
    <t>Hors Taxes5</t>
  </si>
  <si>
    <t>Taux TVA5</t>
  </si>
  <si>
    <t>TVA5</t>
  </si>
  <si>
    <t>Activité 6</t>
  </si>
  <si>
    <t>PA Matière6</t>
  </si>
  <si>
    <t>Marge Matière6</t>
  </si>
  <si>
    <t>Prix Vente Matière6</t>
  </si>
  <si>
    <t>% Marge Matière6</t>
  </si>
  <si>
    <t>Heures6</t>
  </si>
  <si>
    <t>Taux MO6</t>
  </si>
  <si>
    <t>Prix Vente MO6</t>
  </si>
  <si>
    <t>Marge Brute6</t>
  </si>
  <si>
    <t>Indice Vision6</t>
  </si>
  <si>
    <t>Hors Taxes6</t>
  </si>
  <si>
    <t>Taux TVA6</t>
  </si>
  <si>
    <t>TVA6</t>
  </si>
  <si>
    <t>Activité 7</t>
  </si>
  <si>
    <t>PA Matière7</t>
  </si>
  <si>
    <t>Marge Matière7</t>
  </si>
  <si>
    <t>Prix Vente Matière7</t>
  </si>
  <si>
    <t>% Marge Matière7</t>
  </si>
  <si>
    <t>Heures7</t>
  </si>
  <si>
    <t>Taux MO7</t>
  </si>
  <si>
    <t>Prix Vente MO7</t>
  </si>
  <si>
    <t>Marge Brute7</t>
  </si>
  <si>
    <t>Indice Vision7</t>
  </si>
  <si>
    <t>Hors Taxes7</t>
  </si>
  <si>
    <t>Taux TVA7</t>
  </si>
  <si>
    <t>TVA7</t>
  </si>
  <si>
    <t>Activité 8</t>
  </si>
  <si>
    <t>PA Matière8</t>
  </si>
  <si>
    <t>Marge Matière8</t>
  </si>
  <si>
    <t>Prix Vente Matière8</t>
  </si>
  <si>
    <t>% Marge Matière8</t>
  </si>
  <si>
    <t>Heures8</t>
  </si>
  <si>
    <t>Taux MO8</t>
  </si>
  <si>
    <t>Prix Vente MO8</t>
  </si>
  <si>
    <t>Marge Brute8</t>
  </si>
  <si>
    <t>Indice Vision8</t>
  </si>
  <si>
    <t>Hors Taxes8</t>
  </si>
  <si>
    <t>Taux TVA8</t>
  </si>
  <si>
    <t>TVA8</t>
  </si>
  <si>
    <t>Activité 9</t>
  </si>
  <si>
    <t>PA Matière9</t>
  </si>
  <si>
    <t>Marge Matière9</t>
  </si>
  <si>
    <t>Prix Vente Matière9</t>
  </si>
  <si>
    <t>% Marge Matière9</t>
  </si>
  <si>
    <t>Heures9</t>
  </si>
  <si>
    <t>Taux MO9</t>
  </si>
  <si>
    <t>Prix Vente MO9</t>
  </si>
  <si>
    <t>Marge Brute9</t>
  </si>
  <si>
    <t>Indice Vision9</t>
  </si>
  <si>
    <t>Hors Taxes9</t>
  </si>
  <si>
    <t>Taux TVA9</t>
  </si>
  <si>
    <t>TVA9</t>
  </si>
  <si>
    <t>Activité 10</t>
  </si>
  <si>
    <t>PA Matière10</t>
  </si>
  <si>
    <t>Marge Matière10</t>
  </si>
  <si>
    <t>Prix Vente Matière10</t>
  </si>
  <si>
    <t>% Marge Matière10</t>
  </si>
  <si>
    <t>Heures10</t>
  </si>
  <si>
    <t>Taux MO10</t>
  </si>
  <si>
    <t>Prix Vente MO10</t>
  </si>
  <si>
    <t>Marge Brute10</t>
  </si>
  <si>
    <t>Indice Vision10</t>
  </si>
  <si>
    <t>Hors Taxes10</t>
  </si>
  <si>
    <t>Taux TVA10</t>
  </si>
  <si>
    <t>TVA10</t>
  </si>
  <si>
    <t>Activité 11</t>
  </si>
  <si>
    <t>PA Matière11</t>
  </si>
  <si>
    <t>Marge Matière11</t>
  </si>
  <si>
    <t>Prix Vente Matière11</t>
  </si>
  <si>
    <t>% Marge Matière11</t>
  </si>
  <si>
    <t>Heures11</t>
  </si>
  <si>
    <t>Taux MO11</t>
  </si>
  <si>
    <t>Prix Vente MO11</t>
  </si>
  <si>
    <t>Marge Brute11</t>
  </si>
  <si>
    <t>Indice Vision11</t>
  </si>
  <si>
    <t>Hors Taxes11</t>
  </si>
  <si>
    <t>Taux TVA11</t>
  </si>
  <si>
    <t>TVA11</t>
  </si>
  <si>
    <t>Activité 12</t>
  </si>
  <si>
    <t>PA Matière12</t>
  </si>
  <si>
    <t>Marge Matière12</t>
  </si>
  <si>
    <t>Prix Vente Matière12</t>
  </si>
  <si>
    <t>% Marge Matière12</t>
  </si>
  <si>
    <t>Heures12</t>
  </si>
  <si>
    <t>Taux MO12</t>
  </si>
  <si>
    <t>Prix Vente MO12</t>
  </si>
  <si>
    <t>Marge Brute12</t>
  </si>
  <si>
    <t>Indice Vision12</t>
  </si>
  <si>
    <t>Hors Taxes12</t>
  </si>
  <si>
    <t>Taux TVA12</t>
  </si>
  <si>
    <t>TVA12</t>
  </si>
  <si>
    <t>Activité 13</t>
  </si>
  <si>
    <t>PA Matière13</t>
  </si>
  <si>
    <t>Marge Matière13</t>
  </si>
  <si>
    <t>Prix Vente Matière13</t>
  </si>
  <si>
    <t>% Marge Matière13</t>
  </si>
  <si>
    <t>Heures13</t>
  </si>
  <si>
    <t>Taux MO13</t>
  </si>
  <si>
    <t>Prix Vente MO13</t>
  </si>
  <si>
    <t>Marge Brute13</t>
  </si>
  <si>
    <t>Indice Vision13</t>
  </si>
  <si>
    <t>Hors Taxes13</t>
  </si>
  <si>
    <t>Taux TVA13</t>
  </si>
  <si>
    <t>TVA13</t>
  </si>
  <si>
    <t>Activité 14</t>
  </si>
  <si>
    <t>PA Matière14</t>
  </si>
  <si>
    <t>Marge Matière14</t>
  </si>
  <si>
    <t>Prix Vente Matière14</t>
  </si>
  <si>
    <t>% Marge Matière14</t>
  </si>
  <si>
    <t>Heures14</t>
  </si>
  <si>
    <t>Taux MO14</t>
  </si>
  <si>
    <t>Prix Vente MO14</t>
  </si>
  <si>
    <t>Marge Brute14</t>
  </si>
  <si>
    <t>Indice Vision14</t>
  </si>
  <si>
    <t>Hors Taxes14</t>
  </si>
  <si>
    <t>Taux TVA14</t>
  </si>
  <si>
    <t>TVA14</t>
  </si>
  <si>
    <t>Cumuls</t>
  </si>
  <si>
    <t>PA Matière</t>
  </si>
  <si>
    <t>Marge Matière</t>
  </si>
  <si>
    <t>Prix Vente Matière</t>
  </si>
  <si>
    <t>Heures</t>
  </si>
  <si>
    <t>Taux MO</t>
  </si>
  <si>
    <t>Prix Vente MO</t>
  </si>
  <si>
    <t>Marge Brute</t>
  </si>
  <si>
    <t>Hors Taxes</t>
  </si>
  <si>
    <t>Taux TVA</t>
  </si>
  <si>
    <t>Total</t>
  </si>
  <si>
    <t>SARL</t>
  </si>
  <si>
    <t>GARAGE JEAN PERRIN</t>
  </si>
  <si>
    <t>GAVIGNEY</t>
  </si>
  <si>
    <t>Paul</t>
  </si>
  <si>
    <t>66, avenue Marechal Leclerc</t>
  </si>
  <si>
    <t>DOLE</t>
  </si>
  <si>
    <t>03 85 45 65 98</t>
  </si>
  <si>
    <t>1456 - Réhabilitation d'une maison de campagne</t>
  </si>
  <si>
    <t>DEV 568</t>
  </si>
  <si>
    <t>1-Mousse Directe</t>
  </si>
  <si>
    <t>2-Mousse commer.</t>
  </si>
  <si>
    <t>3-Chape directe</t>
  </si>
  <si>
    <t>4-Chape Commer.</t>
  </si>
  <si>
    <t>5-DUOVAC directe</t>
  </si>
  <si>
    <t>6-DUOVAC Commerciaux</t>
  </si>
  <si>
    <t>7-Carrelage</t>
  </si>
  <si>
    <t>8-Etude Thermique</t>
  </si>
  <si>
    <t>9-Chaudière Commer.</t>
  </si>
  <si>
    <t xml:space="preserve">10-Chaudière Instal. </t>
  </si>
  <si>
    <t>11-Réparation Plomberie</t>
  </si>
  <si>
    <t>12-Activité 12</t>
  </si>
  <si>
    <t>13-Activité 13</t>
  </si>
  <si>
    <t>14-Activité 14</t>
  </si>
  <si>
    <t>Madame</t>
  </si>
  <si>
    <t>LEGALLAIS</t>
  </si>
  <si>
    <t>Jean-François</t>
  </si>
  <si>
    <t>DUMONT</t>
  </si>
  <si>
    <t>Pascal</t>
  </si>
  <si>
    <t>24, rue du Bourg</t>
  </si>
  <si>
    <t>BESANCON</t>
  </si>
  <si>
    <t>03 85 65 45 78</t>
  </si>
  <si>
    <t>Monsieur</t>
  </si>
  <si>
    <t>PANLOUP</t>
  </si>
  <si>
    <t>Jean-Michel</t>
  </si>
  <si>
    <t>18, route de Longvic</t>
  </si>
  <si>
    <t>DIJON</t>
  </si>
  <si>
    <t>03 80 41 52 69</t>
  </si>
  <si>
    <t>Rénovation appartement 4 pièces</t>
  </si>
  <si>
    <t>2018-5624</t>
  </si>
  <si>
    <t>SAITOUFAIRE</t>
  </si>
  <si>
    <t>BRICOLE</t>
  </si>
  <si>
    <t>24, rue du Parc</t>
  </si>
  <si>
    <t>AF 12313</t>
  </si>
  <si>
    <t>REF 546456</t>
  </si>
  <si>
    <t>FAC 45676</t>
  </si>
  <si>
    <t>MALIN</t>
  </si>
  <si>
    <t>Christophe</t>
  </si>
  <si>
    <t>65, rue de la Poste</t>
  </si>
  <si>
    <t>VILLERS LES POTS</t>
  </si>
  <si>
    <t>AF 6578</t>
  </si>
  <si>
    <t>GUICHARD</t>
  </si>
  <si>
    <t>François</t>
  </si>
  <si>
    <t>24, Avenue du Marechal de Lattre de Tassigny</t>
  </si>
  <si>
    <t>03 80 31 40 69</t>
  </si>
  <si>
    <t>Devis</t>
  </si>
  <si>
    <t>SAS</t>
  </si>
  <si>
    <t>DYNAMIQUE-VISION</t>
  </si>
  <si>
    <t>CAFFIN</t>
  </si>
  <si>
    <t>André</t>
  </si>
  <si>
    <t>25, rue d'Amont</t>
  </si>
  <si>
    <t>Labergement les Auxonne</t>
  </si>
  <si>
    <t>Groupe GRG</t>
  </si>
  <si>
    <t>03 73 73 98 20</t>
  </si>
  <si>
    <t>Situation n° 1</t>
  </si>
  <si>
    <t>MARLOUP</t>
  </si>
  <si>
    <t>FIDJI</t>
  </si>
  <si>
    <t>Marc</t>
  </si>
  <si>
    <t>24, rue Lafayette</t>
  </si>
  <si>
    <t>CHENOVE</t>
  </si>
  <si>
    <t>AF 8565 Rennovation bâtiment industriel</t>
  </si>
  <si>
    <t>dev 58654</t>
  </si>
  <si>
    <t>AF 654</t>
  </si>
  <si>
    <t>36, rue du Port</t>
  </si>
  <si>
    <t>AF 999</t>
  </si>
  <si>
    <t>REF AF 888</t>
  </si>
  <si>
    <t>AF 789</t>
  </si>
  <si>
    <t>Ref Af 987</t>
  </si>
  <si>
    <t>Af 123456</t>
  </si>
  <si>
    <t>Ref af 789456</t>
  </si>
  <si>
    <t>etezt</t>
  </si>
  <si>
    <t>etrez</t>
  </si>
  <si>
    <t>eztrez</t>
  </si>
  <si>
    <t>eztezt</t>
  </si>
  <si>
    <t>AF 78945</t>
  </si>
  <si>
    <t>Ref AF 654</t>
  </si>
  <si>
    <t>SDFQS</t>
  </si>
  <si>
    <t>SQDFQS</t>
  </si>
  <si>
    <t>SDFQSF</t>
  </si>
  <si>
    <t>MARTIN</t>
  </si>
  <si>
    <t>Jacques</t>
  </si>
  <si>
    <t>24, rue de l'Arquebuse</t>
  </si>
  <si>
    <t>AF 432</t>
  </si>
  <si>
    <t>Ref AF 456</t>
  </si>
  <si>
    <t>Individ.</t>
  </si>
  <si>
    <t>AKTIS 21</t>
  </si>
  <si>
    <t>Bruce</t>
  </si>
  <si>
    <t>24 rue de la Paix</t>
  </si>
  <si>
    <t>AUXONNE</t>
  </si>
  <si>
    <t xml:space="preserve">03 73 73 98 20 </t>
  </si>
  <si>
    <t>AF 45635</t>
  </si>
  <si>
    <t>Ref af 8932</t>
  </si>
  <si>
    <t>FAC 180025</t>
  </si>
  <si>
    <t>CARROSSERIE DE LA GARE</t>
  </si>
  <si>
    <t>DETRASSE</t>
  </si>
  <si>
    <t>Philippe</t>
  </si>
  <si>
    <t>56, rue de La Gare</t>
  </si>
  <si>
    <t>03 85 45 6 587</t>
  </si>
  <si>
    <t>fac 180052</t>
  </si>
  <si>
    <t>Amenagement bureaux</t>
  </si>
  <si>
    <t>fac 123456</t>
  </si>
  <si>
    <t>Les hirondelles</t>
  </si>
  <si>
    <t>MARTINEZ</t>
  </si>
  <si>
    <t>TRANSPORTS CARMIN</t>
  </si>
  <si>
    <t>DUFOIS</t>
  </si>
  <si>
    <t>24, route de Beaune</t>
  </si>
  <si>
    <t>FIXIN</t>
  </si>
  <si>
    <t>MENUISERIE DU GALLAIS</t>
  </si>
  <si>
    <t>Filiale du Groupe LVI</t>
  </si>
  <si>
    <t>JASMIN</t>
  </si>
  <si>
    <t>24, rue du Perigourdin</t>
  </si>
  <si>
    <t>03 85 38 42 26</t>
  </si>
  <si>
    <t>DUCELLE</t>
  </si>
  <si>
    <t>Martine</t>
  </si>
  <si>
    <t>Groupe grg</t>
  </si>
  <si>
    <t>ROBARDET</t>
  </si>
  <si>
    <t>Jean-luc</t>
  </si>
  <si>
    <t>Ref af 24365</t>
  </si>
  <si>
    <t>6-DUOVAC Commer.</t>
  </si>
  <si>
    <t>7-Carrelage Directe</t>
  </si>
  <si>
    <t>8-Etude Thermique Directe</t>
  </si>
  <si>
    <t>10-Chaudière Directe</t>
  </si>
  <si>
    <t>12-Carrelage Commer.</t>
  </si>
  <si>
    <t>LE PONT DU PUIT</t>
  </si>
  <si>
    <t>Mr &amp; Mme</t>
  </si>
  <si>
    <t>FROMENT</t>
  </si>
  <si>
    <t>56, AVENUE DU GÉNÉRAL DE GAULLE</t>
  </si>
  <si>
    <t xml:space="preserve"> Frais fixes</t>
  </si>
  <si>
    <t xml:space="preserve"> Frais variables</t>
  </si>
  <si>
    <t xml:space="preserve"> Crédits bails</t>
  </si>
  <si>
    <t xml:space="preserve"> Agents commerciaux</t>
  </si>
  <si>
    <t xml:space="preserve"> Frais commerciaux</t>
  </si>
  <si>
    <t xml:space="preserve"> Sous-traitance MO</t>
  </si>
  <si>
    <t xml:space="preserve"> Intérimaires</t>
  </si>
  <si>
    <t>Dotations</t>
  </si>
  <si>
    <t xml:space="preserve"> Productifs</t>
  </si>
  <si>
    <t xml:space="preserve"> Administratifs et autres</t>
  </si>
  <si>
    <t xml:space="preserve"> Salaires commerciaux</t>
  </si>
  <si>
    <t xml:space="preserve"> Autres charges du personnel</t>
  </si>
  <si>
    <t xml:space="preserve"> Frais financiers</t>
  </si>
  <si>
    <t xml:space="preserve"> Charges exceptionnelles</t>
  </si>
  <si>
    <t>30-avr</t>
  </si>
  <si>
    <t>31-mai</t>
  </si>
  <si>
    <t>30-juin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</si>
</sst>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0&quot; h&quot;"/>
    <numFmt numFmtId="166" formatCode="#,##0.00_ ;[Red]\-#,##0.00\ "/>
    <numFmt numFmtId="167" formatCode="00000"/>
    <numFmt numFmtId="168" formatCode="0#&quot; &quot;##&quot; &quot;##&quot; &quot;##&quot; &quot;##"/>
    <numFmt numFmtId="169" formatCode="[$-40C]d\-mmm\-yy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0066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5" tint="-0.249977111117893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color theme="1"/>
      <name val="Arial Unicode MS"/>
      <family val="2"/>
    </font>
  </fonts>
  <fills count="18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57D1F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1" fillId="5" borderId="1">
      <alignment horizontal="center" vertical="center" wrapText="1"/>
    </xf>
  </cellStyleXfs>
  <cellXfs count="124">
    <xf numFmtId="0" fontId="0" fillId="0" borderId="0" xfId="0"/>
    <xf numFmtId="0" fontId="4" fillId="3" borderId="0" xfId="0" applyFont="1" applyFill="1" applyAlignment="1"/>
    <xf numFmtId="0" fontId="0" fillId="3" borderId="0" xfId="0" applyFill="1"/>
    <xf numFmtId="0" fontId="0" fillId="4" borderId="0" xfId="0" applyFill="1"/>
    <xf numFmtId="0" fontId="0" fillId="3" borderId="0" xfId="0" applyFill="1" applyAlignment="1"/>
    <xf numFmtId="0" fontId="5" fillId="6" borderId="2" xfId="4" applyFont="1" applyFill="1" applyBorder="1" applyAlignment="1">
      <alignment horizontal="center" vertical="center" wrapText="1"/>
    </xf>
    <xf numFmtId="0" fontId="5" fillId="6" borderId="3" xfId="4" applyFont="1" applyFill="1" applyBorder="1" applyAlignment="1">
      <alignment horizontal="center" vertical="center" wrapText="1"/>
    </xf>
    <xf numFmtId="0" fontId="5" fillId="6" borderId="4" xfId="4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6" fillId="7" borderId="4" xfId="0" applyFont="1" applyFill="1" applyBorder="1" applyAlignment="1">
      <alignment horizontal="left" vertical="center" wrapText="1"/>
    </xf>
    <xf numFmtId="164" fontId="7" fillId="8" borderId="2" xfId="0" applyNumberFormat="1" applyFont="1" applyFill="1" applyBorder="1" applyAlignment="1">
      <alignment horizontal="center" vertical="center" wrapText="1"/>
    </xf>
    <xf numFmtId="0" fontId="7" fillId="8" borderId="4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4" xfId="0" applyFont="1" applyFill="1" applyBorder="1" applyAlignment="1">
      <alignment horizontal="center" vertical="center" wrapText="1"/>
    </xf>
    <xf numFmtId="44" fontId="7" fillId="8" borderId="2" xfId="1" applyFont="1" applyFill="1" applyBorder="1" applyAlignment="1">
      <alignment horizontal="center" vertical="center" wrapText="1"/>
    </xf>
    <xf numFmtId="44" fontId="7" fillId="8" borderId="4" xfId="1" applyFont="1" applyFill="1" applyBorder="1" applyAlignment="1">
      <alignment horizontal="center" vertical="center" wrapText="1"/>
    </xf>
    <xf numFmtId="164" fontId="0" fillId="4" borderId="0" xfId="0" applyNumberFormat="1" applyFill="1"/>
    <xf numFmtId="44" fontId="0" fillId="4" borderId="0" xfId="0" applyNumberFormat="1" applyFill="1"/>
    <xf numFmtId="164" fontId="7" fillId="8" borderId="4" xfId="0" applyNumberFormat="1" applyFont="1" applyFill="1" applyBorder="1" applyAlignment="1">
      <alignment horizontal="center" vertical="center" wrapText="1"/>
    </xf>
    <xf numFmtId="0" fontId="0" fillId="9" borderId="2" xfId="0" applyFill="1" applyBorder="1" applyAlignment="1">
      <alignment vertical="center" wrapText="1"/>
    </xf>
    <xf numFmtId="0" fontId="8" fillId="9" borderId="3" xfId="0" applyFont="1" applyFill="1" applyBorder="1" applyAlignment="1">
      <alignment horizontal="left" vertical="center"/>
    </xf>
    <xf numFmtId="0" fontId="8" fillId="9" borderId="4" xfId="0" applyFont="1" applyFill="1" applyBorder="1" applyAlignment="1">
      <alignment horizontal="left" vertical="center"/>
    </xf>
    <xf numFmtId="164" fontId="8" fillId="9" borderId="2" xfId="0" applyNumberFormat="1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164" fontId="8" fillId="9" borderId="4" xfId="0" applyNumberFormat="1" applyFont="1" applyFill="1" applyBorder="1" applyAlignment="1">
      <alignment horizontal="center" vertical="center" wrapText="1"/>
    </xf>
    <xf numFmtId="0" fontId="8" fillId="9" borderId="3" xfId="0" applyFont="1" applyFill="1" applyBorder="1" applyAlignment="1">
      <alignment horizontal="left" vertical="center"/>
    </xf>
    <xf numFmtId="0" fontId="8" fillId="9" borderId="4" xfId="0" applyFont="1" applyFill="1" applyBorder="1" applyAlignment="1">
      <alignment horizontal="left" vertical="center"/>
    </xf>
    <xf numFmtId="0" fontId="0" fillId="9" borderId="2" xfId="0" applyFill="1" applyBorder="1" applyAlignment="1">
      <alignment vertical="center"/>
    </xf>
    <xf numFmtId="0" fontId="8" fillId="9" borderId="3" xfId="0" applyFont="1" applyFill="1" applyBorder="1" applyAlignment="1">
      <alignment horizontal="right" vertical="center"/>
    </xf>
    <xf numFmtId="0" fontId="8" fillId="9" borderId="4" xfId="0" applyFont="1" applyFill="1" applyBorder="1" applyAlignment="1">
      <alignment horizontal="right" vertical="center"/>
    </xf>
    <xf numFmtId="10" fontId="0" fillId="9" borderId="2" xfId="2" applyNumberFormat="1" applyFont="1" applyFill="1" applyBorder="1" applyAlignment="1">
      <alignment horizontal="center" vertical="center" wrapText="1"/>
    </xf>
    <xf numFmtId="10" fontId="0" fillId="9" borderId="4" xfId="2" applyNumberFormat="1" applyFont="1" applyFill="1" applyBorder="1" applyAlignment="1">
      <alignment horizontal="center" vertical="center" wrapText="1"/>
    </xf>
    <xf numFmtId="0" fontId="9" fillId="10" borderId="2" xfId="0" applyFont="1" applyFill="1" applyBorder="1" applyAlignment="1">
      <alignment horizontal="left" vertical="center" wrapText="1"/>
    </xf>
    <xf numFmtId="0" fontId="9" fillId="10" borderId="3" xfId="0" applyFont="1" applyFill="1" applyBorder="1" applyAlignment="1">
      <alignment horizontal="left" vertical="center" wrapText="1"/>
    </xf>
    <xf numFmtId="0" fontId="9" fillId="10" borderId="4" xfId="0" applyFont="1" applyFill="1" applyBorder="1" applyAlignment="1">
      <alignment horizontal="left" vertical="center" wrapText="1"/>
    </xf>
    <xf numFmtId="44" fontId="10" fillId="10" borderId="1" xfId="1" applyFont="1" applyFill="1" applyBorder="1" applyAlignment="1">
      <alignment horizontal="left" vertical="center" wrapText="1"/>
    </xf>
    <xf numFmtId="0" fontId="9" fillId="10" borderId="3" xfId="0" applyFont="1" applyFill="1" applyBorder="1" applyAlignment="1">
      <alignment horizontal="center" vertical="center" wrapText="1"/>
    </xf>
    <xf numFmtId="0" fontId="9" fillId="10" borderId="4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vertical="center"/>
    </xf>
    <xf numFmtId="0" fontId="8" fillId="11" borderId="3" xfId="0" applyFont="1" applyFill="1" applyBorder="1" applyAlignment="1">
      <alignment vertical="center"/>
    </xf>
    <xf numFmtId="0" fontId="8" fillId="11" borderId="3" xfId="0" applyFont="1" applyFill="1" applyBorder="1" applyAlignment="1">
      <alignment horizontal="left" vertical="center"/>
    </xf>
    <xf numFmtId="0" fontId="8" fillId="11" borderId="4" xfId="0" applyFont="1" applyFill="1" applyBorder="1" applyAlignment="1">
      <alignment vertical="center"/>
    </xf>
    <xf numFmtId="164" fontId="11" fillId="11" borderId="2" xfId="0" applyNumberFormat="1" applyFont="1" applyFill="1" applyBorder="1" applyAlignment="1">
      <alignment horizontal="center" vertical="center" wrapText="1"/>
    </xf>
    <xf numFmtId="0" fontId="11" fillId="11" borderId="4" xfId="0" applyFont="1" applyFill="1" applyBorder="1" applyAlignment="1">
      <alignment horizontal="center" vertical="center" wrapText="1"/>
    </xf>
    <xf numFmtId="44" fontId="11" fillId="11" borderId="2" xfId="1" applyFont="1" applyFill="1" applyBorder="1" applyAlignment="1">
      <alignment horizontal="center" vertical="center" wrapText="1"/>
    </xf>
    <xf numFmtId="44" fontId="11" fillId="11" borderId="4" xfId="1" applyFont="1" applyFill="1" applyBorder="1" applyAlignment="1">
      <alignment horizontal="center" vertical="center" wrapText="1"/>
    </xf>
    <xf numFmtId="0" fontId="0" fillId="11" borderId="2" xfId="0" applyFill="1" applyBorder="1" applyAlignment="1">
      <alignment vertical="center"/>
    </xf>
    <xf numFmtId="0" fontId="8" fillId="11" borderId="3" xfId="0" applyFont="1" applyFill="1" applyBorder="1" applyAlignment="1">
      <alignment horizontal="left" vertical="center"/>
    </xf>
    <xf numFmtId="0" fontId="8" fillId="11" borderId="4" xfId="0" applyFont="1" applyFill="1" applyBorder="1" applyAlignment="1">
      <alignment horizontal="left" vertical="center"/>
    </xf>
    <xf numFmtId="164" fontId="0" fillId="11" borderId="2" xfId="0" applyNumberFormat="1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44" fontId="0" fillId="11" borderId="2" xfId="1" applyFont="1" applyFill="1" applyBorder="1" applyAlignment="1">
      <alignment horizontal="center" vertical="center" wrapText="1"/>
    </xf>
    <xf numFmtId="44" fontId="0" fillId="11" borderId="4" xfId="1" applyFont="1" applyFill="1" applyBorder="1" applyAlignment="1">
      <alignment horizontal="center" vertical="center" wrapText="1"/>
    </xf>
    <xf numFmtId="0" fontId="8" fillId="11" borderId="4" xfId="0" applyFont="1" applyFill="1" applyBorder="1" applyAlignment="1">
      <alignment horizontal="left" vertical="center"/>
    </xf>
    <xf numFmtId="164" fontId="0" fillId="11" borderId="4" xfId="0" applyNumberFormat="1" applyFill="1" applyBorder="1" applyAlignment="1">
      <alignment horizontal="center" vertical="center" wrapText="1"/>
    </xf>
    <xf numFmtId="164" fontId="12" fillId="11" borderId="2" xfId="0" applyNumberFormat="1" applyFont="1" applyFill="1" applyBorder="1" applyAlignment="1">
      <alignment horizontal="center" vertical="center" wrapText="1"/>
    </xf>
    <xf numFmtId="0" fontId="12" fillId="11" borderId="4" xfId="0" applyFont="1" applyFill="1" applyBorder="1" applyAlignment="1">
      <alignment horizontal="center" vertical="center" wrapText="1"/>
    </xf>
    <xf numFmtId="44" fontId="12" fillId="11" borderId="2" xfId="1" applyFont="1" applyFill="1" applyBorder="1" applyAlignment="1">
      <alignment horizontal="center" vertical="center" wrapText="1"/>
    </xf>
    <xf numFmtId="44" fontId="12" fillId="11" borderId="4" xfId="1" applyFont="1" applyFill="1" applyBorder="1" applyAlignment="1">
      <alignment horizontal="center" vertical="center" wrapText="1"/>
    </xf>
    <xf numFmtId="0" fontId="8" fillId="11" borderId="0" xfId="0" applyFont="1" applyFill="1" applyBorder="1" applyAlignment="1">
      <alignment vertical="center"/>
    </xf>
    <xf numFmtId="0" fontId="13" fillId="9" borderId="2" xfId="0" applyFont="1" applyFill="1" applyBorder="1" applyAlignment="1">
      <alignment horizontal="left" vertical="center" wrapText="1"/>
    </xf>
    <xf numFmtId="0" fontId="13" fillId="9" borderId="3" xfId="0" applyFont="1" applyFill="1" applyBorder="1" applyAlignment="1">
      <alignment horizontal="left" vertical="center" wrapText="1"/>
    </xf>
    <xf numFmtId="0" fontId="13" fillId="9" borderId="4" xfId="0" applyFont="1" applyFill="1" applyBorder="1" applyAlignment="1">
      <alignment horizontal="left" vertical="center" wrapText="1"/>
    </xf>
    <xf numFmtId="44" fontId="10" fillId="12" borderId="1" xfId="1" applyFont="1" applyFill="1" applyBorder="1" applyAlignment="1">
      <alignment horizontal="left" vertical="center" wrapText="1"/>
    </xf>
    <xf numFmtId="0" fontId="13" fillId="9" borderId="3" xfId="0" applyFont="1" applyFill="1" applyBorder="1" applyAlignment="1">
      <alignment horizontal="center" vertical="center" wrapText="1"/>
    </xf>
    <xf numFmtId="0" fontId="13" fillId="9" borderId="4" xfId="0" applyFont="1" applyFill="1" applyBorder="1" applyAlignment="1">
      <alignment horizontal="center" vertical="center" wrapText="1"/>
    </xf>
    <xf numFmtId="0" fontId="1" fillId="13" borderId="2" xfId="3" applyFill="1" applyBorder="1" applyAlignment="1">
      <alignment vertical="center"/>
    </xf>
    <xf numFmtId="0" fontId="1" fillId="13" borderId="3" xfId="3" applyFill="1" applyBorder="1" applyAlignment="1">
      <alignment vertical="center"/>
    </xf>
    <xf numFmtId="0" fontId="1" fillId="13" borderId="4" xfId="3" applyFill="1" applyBorder="1" applyAlignment="1">
      <alignment vertical="center"/>
    </xf>
    <xf numFmtId="165" fontId="1" fillId="13" borderId="2" xfId="3" applyNumberFormat="1" applyFill="1" applyBorder="1" applyAlignment="1">
      <alignment horizontal="center" vertical="center" wrapText="1"/>
    </xf>
    <xf numFmtId="165" fontId="1" fillId="13" borderId="4" xfId="3" applyNumberFormat="1" applyFill="1" applyBorder="1" applyAlignment="1">
      <alignment horizontal="center" vertical="center" wrapText="1"/>
    </xf>
    <xf numFmtId="164" fontId="1" fillId="13" borderId="2" xfId="3" applyNumberFormat="1" applyFill="1" applyBorder="1" applyAlignment="1">
      <alignment horizontal="center" vertical="center" wrapText="1"/>
    </xf>
    <xf numFmtId="164" fontId="1" fillId="13" borderId="4" xfId="3" applyNumberFormat="1" applyFill="1" applyBorder="1" applyAlignment="1">
      <alignment horizontal="center" vertical="center" wrapText="1"/>
    </xf>
    <xf numFmtId="164" fontId="1" fillId="13" borderId="3" xfId="3" applyNumberFormat="1" applyFill="1" applyBorder="1" applyAlignment="1">
      <alignment horizontal="center" vertical="center" wrapText="1"/>
    </xf>
    <xf numFmtId="164" fontId="1" fillId="13" borderId="4" xfId="3" applyNumberFormat="1" applyFill="1" applyBorder="1" applyAlignment="1">
      <alignment horizontal="center" vertical="center" wrapText="1"/>
    </xf>
    <xf numFmtId="164" fontId="1" fillId="13" borderId="7" xfId="3" applyNumberFormat="1" applyFill="1" applyBorder="1" applyAlignment="1">
      <alignment horizontal="center" vertical="center" wrapText="1"/>
    </xf>
    <xf numFmtId="164" fontId="1" fillId="13" borderId="8" xfId="3" applyNumberFormat="1" applyFill="1" applyBorder="1" applyAlignment="1">
      <alignment horizontal="center" vertical="center" wrapText="1"/>
    </xf>
    <xf numFmtId="164" fontId="1" fillId="13" borderId="2" xfId="3" applyNumberFormat="1" applyFill="1" applyBorder="1" applyAlignment="1">
      <alignment horizontal="center" vertical="center" wrapText="1"/>
    </xf>
    <xf numFmtId="164" fontId="1" fillId="13" borderId="9" xfId="3" applyNumberFormat="1" applyFill="1" applyBorder="1" applyAlignment="1">
      <alignment horizontal="center" vertical="center" wrapText="1"/>
    </xf>
    <xf numFmtId="164" fontId="1" fillId="13" borderId="10" xfId="3" applyNumberFormat="1" applyFill="1" applyBorder="1" applyAlignment="1">
      <alignment horizontal="center" vertical="center" wrapText="1"/>
    </xf>
    <xf numFmtId="0" fontId="0" fillId="13" borderId="3" xfId="3" applyFont="1" applyFill="1" applyBorder="1" applyAlignment="1">
      <alignment vertical="center"/>
    </xf>
    <xf numFmtId="164" fontId="1" fillId="13" borderId="2" xfId="3" applyNumberFormat="1" applyFill="1" applyBorder="1" applyAlignment="1">
      <alignment vertical="center" wrapText="1"/>
    </xf>
    <xf numFmtId="164" fontId="0" fillId="13" borderId="4" xfId="3" applyNumberFormat="1" applyFont="1" applyFill="1" applyBorder="1" applyAlignment="1">
      <alignment horizontal="center" vertical="center" wrapText="1"/>
    </xf>
    <xf numFmtId="10" fontId="1" fillId="13" borderId="4" xfId="2" applyNumberFormat="1" applyFill="1" applyBorder="1" applyAlignment="1">
      <alignment horizontal="center" vertical="center" wrapText="1"/>
    </xf>
    <xf numFmtId="10" fontId="1" fillId="13" borderId="11" xfId="2" applyNumberFormat="1" applyFill="1" applyBorder="1" applyAlignment="1">
      <alignment horizontal="center" vertical="center" wrapText="1"/>
    </xf>
    <xf numFmtId="10" fontId="1" fillId="13" borderId="6" xfId="2" applyNumberFormat="1" applyFill="1" applyBorder="1" applyAlignment="1">
      <alignment horizontal="center" vertical="center" wrapText="1"/>
    </xf>
    <xf numFmtId="44" fontId="0" fillId="4" borderId="0" xfId="0" applyNumberFormat="1" applyFill="1" applyAlignment="1">
      <alignment horizontal="center"/>
    </xf>
    <xf numFmtId="0" fontId="14" fillId="14" borderId="2" xfId="0" applyFont="1" applyFill="1" applyBorder="1" applyAlignment="1">
      <alignment horizontal="center" vertical="center" wrapText="1"/>
    </xf>
    <xf numFmtId="0" fontId="14" fillId="14" borderId="3" xfId="0" applyFont="1" applyFill="1" applyBorder="1" applyAlignment="1">
      <alignment horizontal="center" vertical="center" wrapText="1"/>
    </xf>
    <xf numFmtId="0" fontId="14" fillId="14" borderId="4" xfId="0" applyFont="1" applyFill="1" applyBorder="1" applyAlignment="1">
      <alignment horizontal="center" vertical="center" wrapText="1"/>
    </xf>
    <xf numFmtId="164" fontId="12" fillId="11" borderId="4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2" fontId="15" fillId="0" borderId="0" xfId="1" applyNumberFormat="1" applyFon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4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3" fillId="15" borderId="0" xfId="0" applyNumberFormat="1" applyFont="1" applyFill="1" applyAlignment="1">
      <alignment horizontal="center" vertical="center" wrapText="1"/>
    </xf>
    <xf numFmtId="14" fontId="3" fillId="15" borderId="0" xfId="0" applyNumberFormat="1" applyFont="1" applyFill="1" applyAlignment="1">
      <alignment horizontal="center" vertical="center" wrapText="1"/>
    </xf>
    <xf numFmtId="0" fontId="3" fillId="15" borderId="0" xfId="0" applyFont="1" applyFill="1" applyAlignment="1">
      <alignment horizontal="center" vertical="center" wrapText="1"/>
    </xf>
    <xf numFmtId="167" fontId="3" fillId="15" borderId="0" xfId="0" applyNumberFormat="1" applyFont="1" applyFill="1" applyAlignment="1">
      <alignment horizontal="center" vertical="center" wrapText="1"/>
    </xf>
    <xf numFmtId="168" fontId="3" fillId="15" borderId="0" xfId="0" applyNumberFormat="1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166" fontId="0" fillId="16" borderId="0" xfId="0" applyNumberFormat="1" applyFill="1" applyAlignment="1">
      <alignment horizontal="right" vertical="center" wrapText="1"/>
    </xf>
    <xf numFmtId="166" fontId="0" fillId="16" borderId="0" xfId="0" applyNumberFormat="1" applyFill="1" applyAlignment="1">
      <alignment horizontal="center" vertical="center" wrapText="1"/>
    </xf>
    <xf numFmtId="166" fontId="3" fillId="15" borderId="0" xfId="0" applyNumberFormat="1" applyFont="1" applyFill="1" applyAlignment="1">
      <alignment horizontal="center" vertical="center" wrapText="1"/>
    </xf>
    <xf numFmtId="0" fontId="3" fillId="17" borderId="0" xfId="0" applyFont="1" applyFill="1" applyAlignment="1">
      <alignment horizontal="center" vertical="center" wrapText="1"/>
    </xf>
    <xf numFmtId="1" fontId="3" fillId="15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167" fontId="0" fillId="0" borderId="0" xfId="0" applyNumberFormat="1" applyAlignment="1">
      <alignment horizontal="center"/>
    </xf>
    <xf numFmtId="168" fontId="0" fillId="0" borderId="0" xfId="0" applyNumberFormat="1"/>
    <xf numFmtId="166" fontId="0" fillId="0" borderId="0" xfId="0" applyNumberFormat="1" applyAlignment="1">
      <alignment horizontal="right"/>
    </xf>
    <xf numFmtId="166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169" fontId="0" fillId="0" borderId="0" xfId="0" applyNumberFormat="1" applyAlignment="1">
      <alignment horizontal="left" indent="1"/>
    </xf>
    <xf numFmtId="0" fontId="0" fillId="0" borderId="0" xfId="0" pivotButton="1"/>
  </cellXfs>
  <cellStyles count="5">
    <cellStyle name="20 % - Accent5" xfId="3" builtinId="46"/>
    <cellStyle name="En-tête de colonne" xfId="4" xr:uid="{47347FBA-B671-4E2A-B963-89B108B30376}"/>
    <cellStyle name="Monétaire" xfId="1" builtinId="4"/>
    <cellStyle name="Normal" xfId="0" builtinId="0"/>
    <cellStyle name="Pourcentage" xfId="2" builtinId="5"/>
  </cellStyles>
  <dxfs count="447"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horizontal="center" vertical="center"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horizontal="center" vertical="center"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horizontal="center" vertical="center"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horizontal="center" vertical="center" wrapText="1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horizontal="center" vertical="center" wrapText="1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6" formatCode="#,##0.00_ ;[Red]\-#,##0.00\ "/>
      <alignment horizontal="right" vertical="bottom" textRotation="0" wrapText="0" indent="0" justifyLastLine="0" shrinkToFit="0" readingOrder="0"/>
    </dxf>
    <dxf>
      <numFmt numFmtId="168" formatCode="0#&quot; &quot;##&quot; &quot;##&quot; &quot;##&quot; &quot;##"/>
    </dxf>
    <dxf>
      <numFmt numFmtId="168" formatCode="0#&quot; &quot;##&quot; &quot;##&quot; &quot;##&quot; &quot;##"/>
    </dxf>
    <dxf>
      <numFmt numFmtId="167" formatCode="00000"/>
      <alignment horizontal="center" vertical="bottom" textRotation="0" wrapText="0" indent="0" justifyLastLine="0" shrinkToFit="0" readingOrder="0"/>
    </dxf>
    <dxf>
      <numFmt numFmtId="167" formatCode="00000"/>
      <alignment horizontal="center" vertical="bottom" textRotation="0" wrapText="0" indent="0" justifyLastLine="0" shrinkToFit="0" readingOrder="0"/>
    </dxf>
    <dxf>
      <numFmt numFmtId="19" formatCode="dd/mm/yyyy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6" formatCode="#,##0.00_ ;[Red]\-#,##0.00\ "/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horizontal="center" vertical="center" wrapText="1"/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11/relationships/timelineCache" Target="timelineCaches/timelineCache4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11/relationships/timelineCache" Target="timelineCaches/timelineCache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11/relationships/timelineCache" Target="timelineCaches/timelineCache2.xml"/><Relationship Id="rId5" Type="http://schemas.openxmlformats.org/officeDocument/2006/relationships/externalLink" Target="externalLinks/externalLink1.xml"/><Relationship Id="rId15" Type="http://schemas.openxmlformats.org/officeDocument/2006/relationships/styles" Target="styles.xml"/><Relationship Id="rId10" Type="http://schemas.microsoft.com/office/2011/relationships/timelineCache" Target="timelineCaches/timelineCach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7638888888891089"/>
          <c:y val="8.101851851851849E-2"/>
          <c:w val="0.46388888888891089"/>
          <c:h val="0.77314814814817334"/>
        </c:manualLayout>
      </c:layout>
      <c:doughnutChart>
        <c:varyColors val="1"/>
        <c:ser>
          <c:idx val="1"/>
          <c:order val="1"/>
          <c:explosion val="1"/>
          <c:dPt>
            <c:idx val="0"/>
            <c:bubble3D val="0"/>
            <c:spPr>
              <a:solidFill>
                <a:srgbClr val="FF0000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1-FF2F-492D-BD90-231E448B434B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3-FF2F-492D-BD90-231E448B434B}"/>
              </c:ext>
            </c:extLst>
          </c:dPt>
          <c:dPt>
            <c:idx val="2"/>
            <c:bubble3D val="0"/>
            <c:spPr>
              <a:solidFill>
                <a:srgbClr val="92D050"/>
              </a:solidFill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FF2F-492D-BD90-231E448B434B}"/>
              </c:ext>
            </c:extLst>
          </c:dPt>
          <c:dPt>
            <c:idx val="3"/>
            <c:bubble3D val="0"/>
            <c:spPr>
              <a:noFill/>
            </c:spPr>
            <c:extLst>
              <c:ext xmlns:c16="http://schemas.microsoft.com/office/drawing/2014/chart" uri="{C3380CC4-5D6E-409C-BE32-E72D297353CC}">
                <c16:uniqueId val="{00000007-FF2F-492D-BD90-231E448B434B}"/>
              </c:ext>
            </c:extLst>
          </c:dPt>
          <c:dLbls>
            <c:dLbl>
              <c:idx val="0"/>
              <c:tx>
                <c:strRef>
                  <c:f>'[1]Indicateur Previs'!$B$11</c:f>
                  <c:strCache>
                    <c:ptCount val="1"/>
                    <c:pt idx="0">
                      <c:v>Frais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{F549FD50-FA74-45ED-BB3C-8E3BE7931720}</c15:txfldGUID>
                      <c15:f>'[1]Indicateur Previs'!$B$11</c15:f>
                      <c15:dlblFieldTableCache>
                        <c:ptCount val="1"/>
                        <c:pt idx="0">
                          <c:v>Frais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FF2F-492D-BD90-231E448B434B}"/>
                </c:ext>
              </c:extLst>
            </c:dLbl>
            <c:dLbl>
              <c:idx val="1"/>
              <c:tx>
                <c:strRef>
                  <c:f>'[1]Indicateur Previs'!$B$12</c:f>
                  <c:strCache>
                    <c:ptCount val="1"/>
                    <c:pt idx="0">
                      <c:v>Bénéfice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{02B9923B-18A6-49FF-ABAA-89F92E331E67}</c15:txfldGUID>
                      <c15:f>'[1]Indicateur Previs'!$B$12</c15:f>
                      <c15:dlblFieldTableCache>
                        <c:ptCount val="1"/>
                        <c:pt idx="0">
                          <c:v>Bénéfice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3-FF2F-492D-BD90-231E448B434B}"/>
                </c:ext>
              </c:extLst>
            </c:dLbl>
            <c:dLbl>
              <c:idx val="2"/>
              <c:tx>
                <c:strRef>
                  <c:f>'[1]Indicateur Previs'!$B$13</c:f>
                  <c:strCache>
                    <c:ptCount val="1"/>
                    <c:pt idx="0">
                      <c:v>Bonus</c:v>
                    </c:pt>
                  </c:strCache>
                </c:strRef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{A0D60A14-FF2D-4590-9F9C-410E1AFB92DB}</c15:txfldGUID>
                      <c15:f>'[1]Indicateur Previs'!$B$13</c15:f>
                      <c15:dlblFieldTableCache>
                        <c:ptCount val="1"/>
                        <c:pt idx="0">
                          <c:v>Bonus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5-FF2F-492D-BD90-231E448B434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[1]!Tranche_Previs</c:f>
              <c:numCache>
                <c:formatCode>_(* #\ ##0.00_);_(* \(#\ ##0.00\);_(* "-"??_);_(@_)</c:formatCode>
                <c:ptCount val="4"/>
                <c:pt idx="0">
                  <c:v>33.549636696164583</c:v>
                </c:pt>
                <c:pt idx="1">
                  <c:v>26.45036330383542</c:v>
                </c:pt>
                <c:pt idx="2">
                  <c:v>40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F2F-492D-BD90-231E448B43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0"/>
      </c:doughnutChart>
      <c:radarChart>
        <c:radarStyle val="marker"/>
        <c:varyColors val="0"/>
        <c:ser>
          <c:idx val="0"/>
          <c:order val="0"/>
          <c:spPr>
            <a:ln w="38100">
              <a:solidFill>
                <a:schemeClr val="tx1"/>
              </a:solidFill>
            </a:ln>
          </c:spPr>
          <c:marker>
            <c:symbol val="none"/>
          </c:marker>
          <c:val>
            <c:numRef>
              <c:f>[1]!Valeur</c:f>
              <c:numCache>
                <c:formatCode>General</c:formatCode>
                <c:ptCount val="200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1.05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0.05</c:v>
                </c:pt>
                <c:pt idx="19">
                  <c:v>0.05</c:v>
                </c:pt>
                <c:pt idx="20">
                  <c:v>0.05</c:v>
                </c:pt>
                <c:pt idx="21">
                  <c:v>0.05</c:v>
                </c:pt>
                <c:pt idx="22">
                  <c:v>0.05</c:v>
                </c:pt>
                <c:pt idx="23">
                  <c:v>0.05</c:v>
                </c:pt>
                <c:pt idx="24">
                  <c:v>0.05</c:v>
                </c:pt>
                <c:pt idx="25">
                  <c:v>0.05</c:v>
                </c:pt>
                <c:pt idx="26">
                  <c:v>0.05</c:v>
                </c:pt>
                <c:pt idx="27">
                  <c:v>0.05</c:v>
                </c:pt>
                <c:pt idx="28">
                  <c:v>0.05</c:v>
                </c:pt>
                <c:pt idx="29">
                  <c:v>0.05</c:v>
                </c:pt>
                <c:pt idx="30">
                  <c:v>0.05</c:v>
                </c:pt>
                <c:pt idx="31">
                  <c:v>0.05</c:v>
                </c:pt>
                <c:pt idx="32">
                  <c:v>0.05</c:v>
                </c:pt>
                <c:pt idx="33">
                  <c:v>0.05</c:v>
                </c:pt>
                <c:pt idx="34">
                  <c:v>0.05</c:v>
                </c:pt>
                <c:pt idx="35">
                  <c:v>0.05</c:v>
                </c:pt>
                <c:pt idx="36">
                  <c:v>0.05</c:v>
                </c:pt>
                <c:pt idx="37">
                  <c:v>0.05</c:v>
                </c:pt>
                <c:pt idx="38">
                  <c:v>0.05</c:v>
                </c:pt>
                <c:pt idx="39">
                  <c:v>0.05</c:v>
                </c:pt>
                <c:pt idx="40">
                  <c:v>0.05</c:v>
                </c:pt>
                <c:pt idx="41">
                  <c:v>0.05</c:v>
                </c:pt>
                <c:pt idx="42">
                  <c:v>0.05</c:v>
                </c:pt>
                <c:pt idx="43">
                  <c:v>0.05</c:v>
                </c:pt>
                <c:pt idx="44">
                  <c:v>0.05</c:v>
                </c:pt>
                <c:pt idx="45">
                  <c:v>0.05</c:v>
                </c:pt>
                <c:pt idx="46">
                  <c:v>0.05</c:v>
                </c:pt>
                <c:pt idx="47">
                  <c:v>0.05</c:v>
                </c:pt>
                <c:pt idx="48">
                  <c:v>0.05</c:v>
                </c:pt>
                <c:pt idx="49">
                  <c:v>0.05</c:v>
                </c:pt>
                <c:pt idx="50">
                  <c:v>0.05</c:v>
                </c:pt>
                <c:pt idx="51">
                  <c:v>0.05</c:v>
                </c:pt>
                <c:pt idx="52">
                  <c:v>0.05</c:v>
                </c:pt>
                <c:pt idx="53">
                  <c:v>0.05</c:v>
                </c:pt>
                <c:pt idx="54">
                  <c:v>0.05</c:v>
                </c:pt>
                <c:pt idx="55">
                  <c:v>0.05</c:v>
                </c:pt>
                <c:pt idx="56">
                  <c:v>0.05</c:v>
                </c:pt>
                <c:pt idx="57">
                  <c:v>0.05</c:v>
                </c:pt>
                <c:pt idx="58">
                  <c:v>0.05</c:v>
                </c:pt>
                <c:pt idx="59">
                  <c:v>0.05</c:v>
                </c:pt>
                <c:pt idx="60">
                  <c:v>0.05</c:v>
                </c:pt>
                <c:pt idx="61">
                  <c:v>0.05</c:v>
                </c:pt>
                <c:pt idx="62">
                  <c:v>0.05</c:v>
                </c:pt>
                <c:pt idx="63">
                  <c:v>0.05</c:v>
                </c:pt>
                <c:pt idx="64">
                  <c:v>0.05</c:v>
                </c:pt>
                <c:pt idx="65">
                  <c:v>0.05</c:v>
                </c:pt>
                <c:pt idx="66">
                  <c:v>0.05</c:v>
                </c:pt>
                <c:pt idx="67">
                  <c:v>0.05</c:v>
                </c:pt>
                <c:pt idx="68">
                  <c:v>0.05</c:v>
                </c:pt>
                <c:pt idx="69">
                  <c:v>0.05</c:v>
                </c:pt>
                <c:pt idx="70">
                  <c:v>0.05</c:v>
                </c:pt>
                <c:pt idx="71">
                  <c:v>0.05</c:v>
                </c:pt>
                <c:pt idx="72">
                  <c:v>0.05</c:v>
                </c:pt>
                <c:pt idx="73">
                  <c:v>0.05</c:v>
                </c:pt>
                <c:pt idx="74">
                  <c:v>0.05</c:v>
                </c:pt>
                <c:pt idx="75">
                  <c:v>0.05</c:v>
                </c:pt>
                <c:pt idx="76">
                  <c:v>0.05</c:v>
                </c:pt>
                <c:pt idx="77">
                  <c:v>0.05</c:v>
                </c:pt>
                <c:pt idx="78">
                  <c:v>0.05</c:v>
                </c:pt>
                <c:pt idx="79">
                  <c:v>0.05</c:v>
                </c:pt>
                <c:pt idx="80">
                  <c:v>0.05</c:v>
                </c:pt>
                <c:pt idx="81">
                  <c:v>0.05</c:v>
                </c:pt>
                <c:pt idx="82">
                  <c:v>0.05</c:v>
                </c:pt>
                <c:pt idx="83">
                  <c:v>0.05</c:v>
                </c:pt>
                <c:pt idx="84">
                  <c:v>0.05</c:v>
                </c:pt>
                <c:pt idx="85">
                  <c:v>0.05</c:v>
                </c:pt>
                <c:pt idx="86">
                  <c:v>0.05</c:v>
                </c:pt>
                <c:pt idx="87">
                  <c:v>0.05</c:v>
                </c:pt>
                <c:pt idx="88">
                  <c:v>0.05</c:v>
                </c:pt>
                <c:pt idx="89">
                  <c:v>0.05</c:v>
                </c:pt>
                <c:pt idx="90">
                  <c:v>0.05</c:v>
                </c:pt>
                <c:pt idx="91">
                  <c:v>0.05</c:v>
                </c:pt>
                <c:pt idx="92">
                  <c:v>0.05</c:v>
                </c:pt>
                <c:pt idx="93">
                  <c:v>0.05</c:v>
                </c:pt>
                <c:pt idx="94">
                  <c:v>0.05</c:v>
                </c:pt>
                <c:pt idx="95">
                  <c:v>0.05</c:v>
                </c:pt>
                <c:pt idx="96">
                  <c:v>0.05</c:v>
                </c:pt>
                <c:pt idx="97">
                  <c:v>0.05</c:v>
                </c:pt>
                <c:pt idx="98">
                  <c:v>0.05</c:v>
                </c:pt>
                <c:pt idx="99">
                  <c:v>0.05</c:v>
                </c:pt>
                <c:pt idx="100">
                  <c:v>0.05</c:v>
                </c:pt>
                <c:pt idx="101">
                  <c:v>0.05</c:v>
                </c:pt>
                <c:pt idx="102">
                  <c:v>0.05</c:v>
                </c:pt>
                <c:pt idx="103">
                  <c:v>0.05</c:v>
                </c:pt>
                <c:pt idx="104">
                  <c:v>0.05</c:v>
                </c:pt>
                <c:pt idx="105">
                  <c:v>0.05</c:v>
                </c:pt>
                <c:pt idx="106">
                  <c:v>0.05</c:v>
                </c:pt>
                <c:pt idx="107">
                  <c:v>0.05</c:v>
                </c:pt>
                <c:pt idx="108">
                  <c:v>0.05</c:v>
                </c:pt>
                <c:pt idx="109">
                  <c:v>0.05</c:v>
                </c:pt>
                <c:pt idx="110">
                  <c:v>0.05</c:v>
                </c:pt>
                <c:pt idx="111">
                  <c:v>0.05</c:v>
                </c:pt>
                <c:pt idx="112">
                  <c:v>0.05</c:v>
                </c:pt>
                <c:pt idx="113">
                  <c:v>0.05</c:v>
                </c:pt>
                <c:pt idx="114">
                  <c:v>0.05</c:v>
                </c:pt>
                <c:pt idx="115">
                  <c:v>0.05</c:v>
                </c:pt>
                <c:pt idx="116">
                  <c:v>0.05</c:v>
                </c:pt>
                <c:pt idx="117">
                  <c:v>0.05</c:v>
                </c:pt>
                <c:pt idx="118">
                  <c:v>0.05</c:v>
                </c:pt>
                <c:pt idx="119">
                  <c:v>0.05</c:v>
                </c:pt>
                <c:pt idx="120">
                  <c:v>0.05</c:v>
                </c:pt>
                <c:pt idx="121">
                  <c:v>0.05</c:v>
                </c:pt>
                <c:pt idx="122">
                  <c:v>0.05</c:v>
                </c:pt>
                <c:pt idx="123">
                  <c:v>0.05</c:v>
                </c:pt>
                <c:pt idx="124">
                  <c:v>0.05</c:v>
                </c:pt>
                <c:pt idx="125">
                  <c:v>0.05</c:v>
                </c:pt>
                <c:pt idx="126">
                  <c:v>0.05</c:v>
                </c:pt>
                <c:pt idx="127">
                  <c:v>0.05</c:v>
                </c:pt>
                <c:pt idx="128">
                  <c:v>0.05</c:v>
                </c:pt>
                <c:pt idx="129">
                  <c:v>0.05</c:v>
                </c:pt>
                <c:pt idx="130">
                  <c:v>0.05</c:v>
                </c:pt>
                <c:pt idx="131">
                  <c:v>0.05</c:v>
                </c:pt>
                <c:pt idx="132">
                  <c:v>0.05</c:v>
                </c:pt>
                <c:pt idx="133">
                  <c:v>0.05</c:v>
                </c:pt>
                <c:pt idx="134">
                  <c:v>0.05</c:v>
                </c:pt>
                <c:pt idx="135">
                  <c:v>0.05</c:v>
                </c:pt>
                <c:pt idx="136">
                  <c:v>0.05</c:v>
                </c:pt>
                <c:pt idx="137">
                  <c:v>0.05</c:v>
                </c:pt>
                <c:pt idx="138">
                  <c:v>0.05</c:v>
                </c:pt>
                <c:pt idx="139">
                  <c:v>0.05</c:v>
                </c:pt>
                <c:pt idx="140">
                  <c:v>0.05</c:v>
                </c:pt>
                <c:pt idx="141">
                  <c:v>0.05</c:v>
                </c:pt>
                <c:pt idx="142">
                  <c:v>0.05</c:v>
                </c:pt>
                <c:pt idx="143">
                  <c:v>0.05</c:v>
                </c:pt>
                <c:pt idx="144">
                  <c:v>0.05</c:v>
                </c:pt>
                <c:pt idx="145">
                  <c:v>0.05</c:v>
                </c:pt>
                <c:pt idx="146">
                  <c:v>0.05</c:v>
                </c:pt>
                <c:pt idx="147">
                  <c:v>0.05</c:v>
                </c:pt>
                <c:pt idx="148">
                  <c:v>0.05</c:v>
                </c:pt>
                <c:pt idx="149">
                  <c:v>0.05</c:v>
                </c:pt>
                <c:pt idx="150">
                  <c:v>0.05</c:v>
                </c:pt>
                <c:pt idx="151">
                  <c:v>0.05</c:v>
                </c:pt>
                <c:pt idx="152">
                  <c:v>0.05</c:v>
                </c:pt>
                <c:pt idx="153">
                  <c:v>0.05</c:v>
                </c:pt>
                <c:pt idx="154">
                  <c:v>0.05</c:v>
                </c:pt>
                <c:pt idx="155">
                  <c:v>0.05</c:v>
                </c:pt>
                <c:pt idx="156">
                  <c:v>0.05</c:v>
                </c:pt>
                <c:pt idx="157">
                  <c:v>0.05</c:v>
                </c:pt>
                <c:pt idx="158">
                  <c:v>0.05</c:v>
                </c:pt>
                <c:pt idx="159">
                  <c:v>0.05</c:v>
                </c:pt>
                <c:pt idx="160">
                  <c:v>0.05</c:v>
                </c:pt>
                <c:pt idx="161">
                  <c:v>0.05</c:v>
                </c:pt>
                <c:pt idx="162">
                  <c:v>0.05</c:v>
                </c:pt>
                <c:pt idx="163">
                  <c:v>0.05</c:v>
                </c:pt>
                <c:pt idx="164">
                  <c:v>0.05</c:v>
                </c:pt>
                <c:pt idx="165">
                  <c:v>0.05</c:v>
                </c:pt>
                <c:pt idx="166">
                  <c:v>0.05</c:v>
                </c:pt>
                <c:pt idx="167">
                  <c:v>0.05</c:v>
                </c:pt>
                <c:pt idx="168">
                  <c:v>0.05</c:v>
                </c:pt>
                <c:pt idx="169">
                  <c:v>0.05</c:v>
                </c:pt>
                <c:pt idx="170">
                  <c:v>0.05</c:v>
                </c:pt>
                <c:pt idx="171">
                  <c:v>0.05</c:v>
                </c:pt>
                <c:pt idx="172">
                  <c:v>0.05</c:v>
                </c:pt>
                <c:pt idx="173">
                  <c:v>0.05</c:v>
                </c:pt>
                <c:pt idx="174">
                  <c:v>0.05</c:v>
                </c:pt>
                <c:pt idx="175">
                  <c:v>0.05</c:v>
                </c:pt>
                <c:pt idx="176">
                  <c:v>0.05</c:v>
                </c:pt>
                <c:pt idx="177">
                  <c:v>0.05</c:v>
                </c:pt>
                <c:pt idx="178">
                  <c:v>0.05</c:v>
                </c:pt>
                <c:pt idx="179">
                  <c:v>0.05</c:v>
                </c:pt>
                <c:pt idx="180">
                  <c:v>0.05</c:v>
                </c:pt>
                <c:pt idx="181">
                  <c:v>0.05</c:v>
                </c:pt>
                <c:pt idx="182">
                  <c:v>0.05</c:v>
                </c:pt>
                <c:pt idx="183">
                  <c:v>0.05</c:v>
                </c:pt>
                <c:pt idx="184">
                  <c:v>0.05</c:v>
                </c:pt>
                <c:pt idx="185">
                  <c:v>0.05</c:v>
                </c:pt>
                <c:pt idx="186">
                  <c:v>0.05</c:v>
                </c:pt>
                <c:pt idx="187">
                  <c:v>0.05</c:v>
                </c:pt>
                <c:pt idx="188">
                  <c:v>0.05</c:v>
                </c:pt>
                <c:pt idx="189">
                  <c:v>0.05</c:v>
                </c:pt>
                <c:pt idx="190">
                  <c:v>0.05</c:v>
                </c:pt>
                <c:pt idx="191">
                  <c:v>0.05</c:v>
                </c:pt>
                <c:pt idx="192">
                  <c:v>0.05</c:v>
                </c:pt>
                <c:pt idx="193">
                  <c:v>0.05</c:v>
                </c:pt>
                <c:pt idx="194">
                  <c:v>0.05</c:v>
                </c:pt>
                <c:pt idx="195">
                  <c:v>0.05</c:v>
                </c:pt>
                <c:pt idx="196">
                  <c:v>0.05</c:v>
                </c:pt>
                <c:pt idx="197">
                  <c:v>0.05</c:v>
                </c:pt>
                <c:pt idx="198">
                  <c:v>0.05</c:v>
                </c:pt>
                <c:pt idx="199">
                  <c:v>0.05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F2F-492D-BD90-231E448B43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7577088"/>
        <c:axId val="167578240"/>
      </c:radarChart>
      <c:catAx>
        <c:axId val="167577088"/>
        <c:scaling>
          <c:orientation val="minMax"/>
        </c:scaling>
        <c:delete val="1"/>
        <c:axPos val="b"/>
        <c:majorGridlines/>
        <c:majorTickMark val="out"/>
        <c:minorTickMark val="none"/>
        <c:tickLblPos val="none"/>
        <c:crossAx val="167578240"/>
        <c:crosses val="autoZero"/>
        <c:auto val="1"/>
        <c:lblAlgn val="ctr"/>
        <c:lblOffset val="100"/>
        <c:noMultiLvlLbl val="0"/>
      </c:catAx>
      <c:valAx>
        <c:axId val="16757824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General" sourceLinked="1"/>
        <c:majorTickMark val="cross"/>
        <c:minorTickMark val="none"/>
        <c:tickLblPos val="none"/>
        <c:crossAx val="167577088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Ventes MO'!A1"/><Relationship Id="rId2" Type="http://schemas.openxmlformats.org/officeDocument/2006/relationships/hyperlink" Target="#Ventes!A1"/><Relationship Id="rId1" Type="http://schemas.openxmlformats.org/officeDocument/2006/relationships/hyperlink" Target="#'Menu General'!A1"/><Relationship Id="rId5" Type="http://schemas.openxmlformats.org/officeDocument/2006/relationships/chart" Target="../charts/chart1.xml"/><Relationship Id="rId4" Type="http://schemas.openxmlformats.org/officeDocument/2006/relationships/hyperlink" Target="#'Menu Previsions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aisie_Doc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8</xdr:row>
      <xdr:rowOff>228600</xdr:rowOff>
    </xdr:from>
    <xdr:to>
      <xdr:col>4</xdr:col>
      <xdr:colOff>134400</xdr:colOff>
      <xdr:row>12</xdr:row>
      <xdr:rowOff>215175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CFBE8E9-1DDC-427E-811A-96915A47099C}"/>
            </a:ext>
          </a:extLst>
        </xdr:cNvPr>
        <xdr:cNvSpPr/>
      </xdr:nvSpPr>
      <xdr:spPr>
        <a:xfrm>
          <a:off x="466725" y="1847850"/>
          <a:ext cx="2268000" cy="1072425"/>
        </a:xfrm>
        <a:prstGeom prst="rect">
          <a:avLst/>
        </a:prstGeom>
        <a:gradFill>
          <a:gsLst>
            <a:gs pos="0">
              <a:srgbClr val="92D050"/>
            </a:gs>
            <a:gs pos="35000">
              <a:schemeClr val="accent3">
                <a:tint val="37000"/>
                <a:satMod val="300000"/>
              </a:schemeClr>
            </a:gs>
            <a:gs pos="100000">
              <a:schemeClr val="accent3">
                <a:tint val="15000"/>
                <a:satMod val="350000"/>
              </a:schemeClr>
            </a:gs>
          </a:gsLst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/>
            <a:t>Prévisions</a:t>
          </a:r>
          <a:r>
            <a:rPr lang="fr-FR" sz="2400" b="1" baseline="0"/>
            <a:t> Résultat</a:t>
          </a:r>
          <a:endParaRPr lang="fr-FR" sz="2400" b="1"/>
        </a:p>
      </xdr:txBody>
    </xdr:sp>
    <xdr:clientData/>
  </xdr:twoCellAnchor>
  <xdr:twoCellAnchor>
    <xdr:from>
      <xdr:col>1</xdr:col>
      <xdr:colOff>142875</xdr:colOff>
      <xdr:row>13</xdr:row>
      <xdr:rowOff>177796</xdr:rowOff>
    </xdr:from>
    <xdr:to>
      <xdr:col>4</xdr:col>
      <xdr:colOff>124875</xdr:colOff>
      <xdr:row>15</xdr:row>
      <xdr:rowOff>127246</xdr:rowOff>
    </xdr:to>
    <xdr:sp macro="" textlink="">
      <xdr:nvSpPr>
        <xdr:cNvPr id="3" name="Rectangle à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09C9DEF-FC75-4C7F-B733-895D75DEBFFB}"/>
            </a:ext>
          </a:extLst>
        </xdr:cNvPr>
        <xdr:cNvSpPr/>
      </xdr:nvSpPr>
      <xdr:spPr>
        <a:xfrm>
          <a:off x="457200" y="3130546"/>
          <a:ext cx="2268000" cy="4923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 Général</a:t>
          </a:r>
        </a:p>
      </xdr:txBody>
    </xdr:sp>
    <xdr:clientData/>
  </xdr:twoCellAnchor>
  <xdr:twoCellAnchor>
    <xdr:from>
      <xdr:col>1</xdr:col>
      <xdr:colOff>142875</xdr:colOff>
      <xdr:row>16</xdr:row>
      <xdr:rowOff>23192</xdr:rowOff>
    </xdr:from>
    <xdr:to>
      <xdr:col>4</xdr:col>
      <xdr:colOff>124875</xdr:colOff>
      <xdr:row>17</xdr:row>
      <xdr:rowOff>267917</xdr:rowOff>
    </xdr:to>
    <xdr:sp macro="" textlink="">
      <xdr:nvSpPr>
        <xdr:cNvPr id="4" name="Rectangle à coins arrondis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54706D2-5455-48DD-A2CD-38D1A57EAFD3}"/>
            </a:ext>
          </a:extLst>
        </xdr:cNvPr>
        <xdr:cNvSpPr/>
      </xdr:nvSpPr>
      <xdr:spPr>
        <a:xfrm>
          <a:off x="457200" y="3766517"/>
          <a:ext cx="2268000" cy="5209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Ventes</a:t>
          </a:r>
        </a:p>
      </xdr:txBody>
    </xdr:sp>
    <xdr:clientData/>
  </xdr:twoCellAnchor>
  <xdr:twoCellAnchor>
    <xdr:from>
      <xdr:col>1</xdr:col>
      <xdr:colOff>142875</xdr:colOff>
      <xdr:row>18</xdr:row>
      <xdr:rowOff>163863</xdr:rowOff>
    </xdr:from>
    <xdr:to>
      <xdr:col>4</xdr:col>
      <xdr:colOff>124875</xdr:colOff>
      <xdr:row>20</xdr:row>
      <xdr:rowOff>113313</xdr:rowOff>
    </xdr:to>
    <xdr:sp macro="" textlink="">
      <xdr:nvSpPr>
        <xdr:cNvPr id="5" name="Rectangle à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46F6DEE-195F-442F-93CF-F848C834951B}"/>
            </a:ext>
          </a:extLst>
        </xdr:cNvPr>
        <xdr:cNvSpPr/>
      </xdr:nvSpPr>
      <xdr:spPr>
        <a:xfrm>
          <a:off x="457200" y="4450113"/>
          <a:ext cx="2268000" cy="4447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CA Main d'oeuvre</a:t>
          </a:r>
        </a:p>
      </xdr:txBody>
    </xdr:sp>
    <xdr:clientData/>
  </xdr:twoCellAnchor>
  <xdr:twoCellAnchor>
    <xdr:from>
      <xdr:col>1</xdr:col>
      <xdr:colOff>152400</xdr:colOff>
      <xdr:row>32</xdr:row>
      <xdr:rowOff>42950</xdr:rowOff>
    </xdr:from>
    <xdr:to>
      <xdr:col>4</xdr:col>
      <xdr:colOff>141600</xdr:colOff>
      <xdr:row>34</xdr:row>
      <xdr:rowOff>6800</xdr:rowOff>
    </xdr:to>
    <xdr:sp macro="" textlink="">
      <xdr:nvSpPr>
        <xdr:cNvPr id="6" name="Rectangle à coins arrondis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198AF5E-C1CA-4BBE-825B-F522299CFFEA}"/>
            </a:ext>
          </a:extLst>
        </xdr:cNvPr>
        <xdr:cNvSpPr/>
      </xdr:nvSpPr>
      <xdr:spPr>
        <a:xfrm>
          <a:off x="466725" y="7891550"/>
          <a:ext cx="2275200" cy="5067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 Prévisions</a:t>
          </a:r>
        </a:p>
      </xdr:txBody>
    </xdr:sp>
    <xdr:clientData/>
  </xdr:twoCellAnchor>
  <xdr:twoCellAnchor>
    <xdr:from>
      <xdr:col>22</xdr:col>
      <xdr:colOff>180975</xdr:colOff>
      <xdr:row>54</xdr:row>
      <xdr:rowOff>95250</xdr:rowOff>
    </xdr:from>
    <xdr:to>
      <xdr:col>32</xdr:col>
      <xdr:colOff>209549</xdr:colOff>
      <xdr:row>69</xdr:row>
      <xdr:rowOff>0</xdr:rowOff>
    </xdr:to>
    <xdr:grpSp>
      <xdr:nvGrpSpPr>
        <xdr:cNvPr id="19" name="Indice Vision Rond">
          <a:extLst>
            <a:ext uri="{FF2B5EF4-FFF2-40B4-BE49-F238E27FC236}">
              <a16:creationId xmlns:a16="http://schemas.microsoft.com/office/drawing/2014/main" id="{8271A3D0-4936-41C9-970E-53F34CD5D622}"/>
            </a:ext>
          </a:extLst>
        </xdr:cNvPr>
        <xdr:cNvGrpSpPr/>
      </xdr:nvGrpSpPr>
      <xdr:grpSpPr>
        <a:xfrm>
          <a:off x="15249525" y="13820775"/>
          <a:ext cx="6915149" cy="3810000"/>
          <a:chOff x="104775" y="3667125"/>
          <a:chExt cx="7231155" cy="4248150"/>
        </a:xfrm>
      </xdr:grpSpPr>
      <xdr:sp macro="" textlink="">
        <xdr:nvSpPr>
          <xdr:cNvPr id="20" name="Fond Rond">
            <a:extLst>
              <a:ext uri="{FF2B5EF4-FFF2-40B4-BE49-F238E27FC236}">
                <a16:creationId xmlns:a16="http://schemas.microsoft.com/office/drawing/2014/main" id="{65C71A16-E088-4F7F-9A72-1A28CFBC0003}"/>
              </a:ext>
            </a:extLst>
          </xdr:cNvPr>
          <xdr:cNvSpPr/>
        </xdr:nvSpPr>
        <xdr:spPr>
          <a:xfrm>
            <a:off x="1689739" y="3667125"/>
            <a:ext cx="4157075" cy="3941584"/>
          </a:xfrm>
          <a:prstGeom prst="ellipse">
            <a:avLst/>
          </a:prstGeom>
          <a:ln>
            <a:noFill/>
          </a:ln>
          <a:effectLst/>
          <a:scene3d>
            <a:camera prst="orthographicFront">
              <a:rot lat="0" lon="0" rev="0"/>
            </a:camera>
            <a:lightRig rig="glow" dir="t">
              <a:rot lat="0" lon="0" rev="14100000"/>
            </a:lightRig>
          </a:scene3d>
          <a:sp3d prstMaterial="softEdge">
            <a:bevelT w="127000" prst="artDeco"/>
          </a:sp3d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rtlCol="0" anchor="ctr">
            <a:scene3d>
              <a:camera prst="orthographicFront"/>
              <a:lightRig rig="glow" dir="tl">
                <a:rot lat="0" lon="0" rev="5400000"/>
              </a:lightRig>
            </a:scene3d>
            <a:sp3d contourW="12700">
              <a:bevelT w="25400" h="25400"/>
              <a:contourClr>
                <a:schemeClr val="accent6">
                  <a:shade val="73000"/>
                </a:schemeClr>
              </a:contourClr>
            </a:sp3d>
          </a:bodyPr>
          <a:lstStyle/>
          <a:p>
            <a:pPr algn="ctr"/>
            <a:endParaRPr lang="fr-FR" sz="11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endParaRPr>
          </a:p>
        </xdr:txBody>
      </xdr:sp>
      <xdr:graphicFrame macro="">
        <xdr:nvGraphicFramePr>
          <xdr:cNvPr id="21" name="Fromages">
            <a:extLst>
              <a:ext uri="{FF2B5EF4-FFF2-40B4-BE49-F238E27FC236}">
                <a16:creationId xmlns:a16="http://schemas.microsoft.com/office/drawing/2014/main" id="{EE13D966-595B-44AA-BEE9-0DCCBA38B066}"/>
              </a:ext>
            </a:extLst>
          </xdr:cNvPr>
          <xdr:cNvGraphicFramePr/>
        </xdr:nvGraphicFramePr>
        <xdr:xfrm>
          <a:off x="104775" y="3710919"/>
          <a:ext cx="7231155" cy="4204356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5"/>
          </a:graphicData>
        </a:graphic>
      </xdr:graphicFrame>
      <xdr:sp macro="" textlink="">
        <xdr:nvSpPr>
          <xdr:cNvPr id="22" name="Axe aiguille">
            <a:extLst>
              <a:ext uri="{FF2B5EF4-FFF2-40B4-BE49-F238E27FC236}">
                <a16:creationId xmlns:a16="http://schemas.microsoft.com/office/drawing/2014/main" id="{954497B0-9423-42EB-8652-E8AD63F0705D}"/>
              </a:ext>
            </a:extLst>
          </xdr:cNvPr>
          <xdr:cNvSpPr/>
        </xdr:nvSpPr>
        <xdr:spPr>
          <a:xfrm>
            <a:off x="3649492" y="5536943"/>
            <a:ext cx="285790" cy="262772"/>
          </a:xfrm>
          <a:prstGeom prst="ellipse">
            <a:avLst/>
          </a:prstGeom>
          <a:scene3d>
            <a:camera prst="orthographicFront"/>
            <a:lightRig rig="threePt" dir="t"/>
          </a:scene3d>
          <a:sp3d>
            <a:bevelT prst="relaxedInset"/>
          </a:sp3d>
        </xdr:spPr>
        <xdr:style>
          <a:lnRef idx="1">
            <a:schemeClr val="dk1"/>
          </a:lnRef>
          <a:fillRef idx="3">
            <a:schemeClr val="dk1"/>
          </a:fillRef>
          <a:effectRef idx="2">
            <a:schemeClr val="dk1"/>
          </a:effectRef>
          <a:fontRef idx="minor">
            <a:schemeClr val="lt1"/>
          </a:fontRef>
        </xdr:style>
        <xdr:txBody>
          <a:bodyPr vertOverflow="clip" rtlCol="0" anchor="ctr">
            <a:scene3d>
              <a:camera prst="orthographicFront"/>
              <a:lightRig rig="glow" dir="tl">
                <a:rot lat="0" lon="0" rev="5400000"/>
              </a:lightRig>
            </a:scene3d>
            <a:sp3d contourW="12700">
              <a:bevelT w="25400" h="25400"/>
              <a:contourClr>
                <a:schemeClr val="accent6">
                  <a:shade val="73000"/>
                </a:schemeClr>
              </a:contourClr>
            </a:sp3d>
          </a:bodyPr>
          <a:lstStyle/>
          <a:p>
            <a:pPr algn="ctr"/>
            <a:endParaRPr lang="fr-FR" sz="11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endParaRPr>
          </a:p>
        </xdr:txBody>
      </xdr:sp>
      <xdr:sp macro="" textlink="Indice_Previs">
        <xdr:nvSpPr>
          <xdr:cNvPr id="23" name="Valeur de l'indice">
            <a:extLst>
              <a:ext uri="{FF2B5EF4-FFF2-40B4-BE49-F238E27FC236}">
                <a16:creationId xmlns:a16="http://schemas.microsoft.com/office/drawing/2014/main" id="{CBE86A7D-D952-4D0B-B8A9-1D88DD0D7938}"/>
              </a:ext>
            </a:extLst>
          </xdr:cNvPr>
          <xdr:cNvSpPr/>
        </xdr:nvSpPr>
        <xdr:spPr>
          <a:xfrm>
            <a:off x="3023425" y="5988280"/>
            <a:ext cx="1600008" cy="554741"/>
          </a:xfrm>
          <a:prstGeom prst="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rtlCol="0" anchor="ctr"/>
          <a:lstStyle/>
          <a:p>
            <a:pPr algn="ctr"/>
            <a:fld id="{83378B9F-943C-46A1-B4C1-2CF07F7D1AA8}" type="TxLink">
              <a:rPr lang="en-US" sz="2400" b="1" i="0" u="none" strike="noStrike" cap="none" spc="0">
                <a:ln w="6600">
                  <a:solidFill>
                    <a:schemeClr val="accent2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chemeClr val="accent2"/>
                  </a:outerShdw>
                </a:effectLst>
                <a:latin typeface="Calibri"/>
              </a:rPr>
              <a:pPr algn="ctr"/>
              <a:t>90,60</a:t>
            </a:fld>
            <a:endParaRPr lang="fr-FR" sz="2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chemeClr val="accent2"/>
                </a:outerShdw>
              </a:effectLst>
            </a:endParaRPr>
          </a:p>
        </xdr:txBody>
      </xdr:sp>
      <xdr:sp macro="" textlink="">
        <xdr:nvSpPr>
          <xdr:cNvPr id="24" name="Indice Vision">
            <a:extLst>
              <a:ext uri="{FF2B5EF4-FFF2-40B4-BE49-F238E27FC236}">
                <a16:creationId xmlns:a16="http://schemas.microsoft.com/office/drawing/2014/main" id="{8CEB6194-012C-47BC-BBD2-D6B63AC5A6E4}"/>
              </a:ext>
            </a:extLst>
          </xdr:cNvPr>
          <xdr:cNvSpPr/>
        </xdr:nvSpPr>
        <xdr:spPr>
          <a:xfrm>
            <a:off x="2211181" y="4523568"/>
            <a:ext cx="3089123" cy="2671516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rtlCol="0" anchor="ctr">
            <a:prstTxWarp prst="textArchDown">
              <a:avLst/>
            </a:prstTxWarp>
            <a:scene3d>
              <a:camera prst="orthographicFront"/>
              <a:lightRig rig="soft" dir="t">
                <a:rot lat="0" lon="0" rev="10800000"/>
              </a:lightRig>
            </a:scene3d>
            <a:sp3d>
              <a:bevelT w="27940" h="12700"/>
              <a:contourClr>
                <a:srgbClr val="DDDDDD"/>
              </a:contourClr>
            </a:sp3d>
          </a:bodyPr>
          <a:lstStyle/>
          <a:p>
            <a:pPr algn="ctr"/>
            <a:r>
              <a:rPr lang="fr-FR" sz="3200" b="1" cap="none" spc="150">
                <a:ln w="11430"/>
                <a:solidFill>
                  <a:srgbClr val="F8F8F8"/>
                </a:solidFill>
                <a:effectLst>
                  <a:outerShdw blurRad="25400" algn="tl" rotWithShape="0">
                    <a:srgbClr val="000000">
                      <a:alpha val="43000"/>
                    </a:srgbClr>
                  </a:outerShdw>
                </a:effectLst>
                <a:latin typeface="Trajan" pitchFamily="18" charset="0"/>
              </a:rPr>
              <a:t>Indice Vision</a:t>
            </a:r>
          </a:p>
        </xdr:txBody>
      </xdr:sp>
    </xdr:grpSp>
    <xdr:clientData/>
  </xdr:twoCellAnchor>
  <xdr:twoCellAnchor>
    <xdr:from>
      <xdr:col>18</xdr:col>
      <xdr:colOff>200025</xdr:colOff>
      <xdr:row>66</xdr:row>
      <xdr:rowOff>9524</xdr:rowOff>
    </xdr:from>
    <xdr:to>
      <xdr:col>23</xdr:col>
      <xdr:colOff>592200</xdr:colOff>
      <xdr:row>71</xdr:row>
      <xdr:rowOff>74543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5" name="Mois 2" descr="Définir sur quelle pérode les frais généraux prévisionnels doivent-ils être calculés et affichés" title="Période des charges">
              <a:extLst>
                <a:ext uri="{FF2B5EF4-FFF2-40B4-BE49-F238E27FC236}">
                  <a16:creationId xmlns:a16="http://schemas.microsoft.com/office/drawing/2014/main" id="{1965BDEF-06BE-4DCB-A59E-9162B912EFF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is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50" y="16802099"/>
              <a:ext cx="3564000" cy="13985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200025</xdr:colOff>
      <xdr:row>52</xdr:row>
      <xdr:rowOff>285751</xdr:rowOff>
    </xdr:from>
    <xdr:to>
      <xdr:col>23</xdr:col>
      <xdr:colOff>592200</xdr:colOff>
      <xdr:row>57</xdr:row>
      <xdr:rowOff>79514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6" name="Type Doc 1">
              <a:extLst>
                <a:ext uri="{FF2B5EF4-FFF2-40B4-BE49-F238E27FC236}">
                  <a16:creationId xmlns:a16="http://schemas.microsoft.com/office/drawing/2014/main" id="{1BD64321-B51E-4DB2-8DD7-D12EC8D5524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oc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50" y="13420726"/>
              <a:ext cx="3564000" cy="11272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200025</xdr:colOff>
      <xdr:row>57</xdr:row>
      <xdr:rowOff>199197</xdr:rowOff>
    </xdr:from>
    <xdr:to>
      <xdr:col>23</xdr:col>
      <xdr:colOff>592200</xdr:colOff>
      <xdr:row>62</xdr:row>
      <xdr:rowOff>240611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7" name="Date 1">
              <a:extLst>
                <a:ext uri="{FF2B5EF4-FFF2-40B4-BE49-F238E27FC236}">
                  <a16:creationId xmlns:a16="http://schemas.microsoft.com/office/drawing/2014/main" id="{2DAEC30B-BB27-421F-819F-548D35E873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50" y="14667672"/>
              <a:ext cx="3564000" cy="137491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>
    <xdr:from>
      <xdr:col>18</xdr:col>
      <xdr:colOff>200025</xdr:colOff>
      <xdr:row>22</xdr:row>
      <xdr:rowOff>38100</xdr:rowOff>
    </xdr:from>
    <xdr:to>
      <xdr:col>23</xdr:col>
      <xdr:colOff>592200</xdr:colOff>
      <xdr:row>26</xdr:row>
      <xdr:rowOff>228600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8" name="Mois 3" descr="Définir sur quelle pérode les frais généraux prévisionnels doivent-ils être calculés et affichés" title="Période des charges">
              <a:extLst>
                <a:ext uri="{FF2B5EF4-FFF2-40B4-BE49-F238E27FC236}">
                  <a16:creationId xmlns:a16="http://schemas.microsoft.com/office/drawing/2014/main" id="{21294B8D-BDD2-4E39-9EDA-456C4A8AAC1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is 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50" y="5314950"/>
              <a:ext cx="3564000" cy="127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200025</xdr:colOff>
      <xdr:row>9</xdr:row>
      <xdr:rowOff>19051</xdr:rowOff>
    </xdr:from>
    <xdr:to>
      <xdr:col>23</xdr:col>
      <xdr:colOff>592200</xdr:colOff>
      <xdr:row>13</xdr:row>
      <xdr:rowOff>108089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9" name="Type Doc 2">
              <a:extLst>
                <a:ext uri="{FF2B5EF4-FFF2-40B4-BE49-F238E27FC236}">
                  <a16:creationId xmlns:a16="http://schemas.microsoft.com/office/drawing/2014/main" id="{7AC7E9C8-E1A7-4819-9DFD-F14A08AEA34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oc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50" y="1933576"/>
              <a:ext cx="3564000" cy="112726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200025</xdr:colOff>
      <xdr:row>13</xdr:row>
      <xdr:rowOff>228600</xdr:rowOff>
    </xdr:from>
    <xdr:to>
      <xdr:col>23</xdr:col>
      <xdr:colOff>592200</xdr:colOff>
      <xdr:row>19</xdr:row>
      <xdr:rowOff>22363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0" name="Date 2">
              <a:extLst>
                <a:ext uri="{FF2B5EF4-FFF2-40B4-BE49-F238E27FC236}">
                  <a16:creationId xmlns:a16="http://schemas.microsoft.com/office/drawing/2014/main" id="{44C3E128-DBB5-4FB6-B852-2DB85664E6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50" y="3181350"/>
              <a:ext cx="3564000" cy="13749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5</xdr:row>
      <xdr:rowOff>152400</xdr:rowOff>
    </xdr:from>
    <xdr:to>
      <xdr:col>12</xdr:col>
      <xdr:colOff>457200</xdr:colOff>
      <xdr:row>13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F4D1A8EA-ED0F-470A-8B68-634AAC2773E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125075" y="11049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85725</xdr:colOff>
      <xdr:row>11</xdr:row>
      <xdr:rowOff>180975</xdr:rowOff>
    </xdr:from>
    <xdr:to>
      <xdr:col>5</xdr:col>
      <xdr:colOff>904875</xdr:colOff>
      <xdr:row>25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Type Doc">
              <a:extLst>
                <a:ext uri="{FF2B5EF4-FFF2-40B4-BE49-F238E27FC236}">
                  <a16:creationId xmlns:a16="http://schemas.microsoft.com/office/drawing/2014/main" id="{70BD1E47-6E58-49A1-B38F-40460434C25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oc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57850" y="26574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600075</xdr:colOff>
      <xdr:row>12</xdr:row>
      <xdr:rowOff>9525</xdr:rowOff>
    </xdr:from>
    <xdr:to>
      <xdr:col>2</xdr:col>
      <xdr:colOff>952500</xdr:colOff>
      <xdr:row>19</xdr:row>
      <xdr:rowOff>47625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5" name="Date">
              <a:extLst>
                <a:ext uri="{FF2B5EF4-FFF2-40B4-BE49-F238E27FC236}">
                  <a16:creationId xmlns:a16="http://schemas.microsoft.com/office/drawing/2014/main" id="{1C9FE007-ADC1-41F5-8B5A-FD58980327D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0075" y="26765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213</xdr:col>
      <xdr:colOff>50800</xdr:colOff>
      <xdr:row>0</xdr:row>
      <xdr:rowOff>76202</xdr:rowOff>
    </xdr:from>
    <xdr:to>
      <xdr:col>213</xdr:col>
      <xdr:colOff>698500</xdr:colOff>
      <xdr:row>49</xdr:row>
      <xdr:rowOff>127003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E3B9FD7-27A9-417D-A428-90E91C8B27BE}"/>
            </a:ext>
          </a:extLst>
        </xdr:cNvPr>
        <xdr:cNvSpPr/>
      </xdr:nvSpPr>
      <xdr:spPr>
        <a:xfrm rot="5400000">
          <a:off x="226615624" y="4816478"/>
          <a:ext cx="10128251" cy="647700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400" b="1">
              <a:solidFill>
                <a:schemeClr val="tx1"/>
              </a:solidFill>
            </a:rPr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UTIL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olution_Produit"/>
      <sheetName val="Menu General"/>
      <sheetName val="Menu Previsions"/>
      <sheetName val="Menu commercial"/>
      <sheetName val="Menu Outils"/>
      <sheetName val="Aide"/>
      <sheetName val="Parametres"/>
      <sheetName val="Calendrier"/>
      <sheetName val="Resultat N-1"/>
      <sheetName val="Heures N-1"/>
      <sheetName val="Financement"/>
      <sheetName val="Simul_Emprunt"/>
      <sheetName val="Credits bails"/>
      <sheetName val="Emprunts"/>
      <sheetName val="Investissements"/>
      <sheetName val="Ventes"/>
      <sheetName val="Achats"/>
      <sheetName val="Ventes MO"/>
      <sheetName val="Frais variables"/>
      <sheetName val="Frais généraux"/>
      <sheetName val="Autres charges personnel"/>
      <sheetName val="Frais Financiers"/>
      <sheetName val="Charges except"/>
      <sheetName val="Performance"/>
      <sheetName val="Frais commerciaux"/>
      <sheetName val="Objectif com"/>
      <sheetName val="Agents commerciaux"/>
      <sheetName val="Objectif Global"/>
      <sheetName val="Objectif croisé"/>
      <sheetName val="Salaires commerciaux"/>
      <sheetName val="Salariés Productif"/>
      <sheetName val="Intérimaires"/>
      <sheetName val="Sous-traitance"/>
      <sheetName val="Salariés autres"/>
      <sheetName val="Heures potentielles"/>
      <sheetName val="Ventil FG"/>
      <sheetName val="Ventil CA"/>
      <sheetName val="Resultat Prev"/>
      <sheetName val="Indicateur Previs"/>
      <sheetName val="Saisie_Doc"/>
      <sheetName val="Data_Client"/>
      <sheetName val="Data_Doc"/>
      <sheetName val="Indicateur Doc"/>
      <sheetName val="Analyse_Doc"/>
      <sheetName val="TC_FG"/>
      <sheetName val="TC_Data_Doc"/>
      <sheetName val="Resultat"/>
    </sheetNames>
    <definedNames>
      <definedName name="Tranche_Previs" refersTo="='Indicateur Previs'!$A$11:$A$14"/>
      <definedName name="Valeur" refersTo="#REF!"/>
    </definedNames>
    <sheetDataSet>
      <sheetData sheetId="0">
        <row r="11">
          <cell r="A11" t="str">
            <v>Outil de recherche élaboré pour la gestion des clients et module de modification des clients/Contacts</v>
          </cell>
        </row>
        <row r="12">
          <cell r="A12" t="str">
            <v>Outil de recherche élaboré pour la gestion des documents</v>
          </cell>
        </row>
        <row r="13">
          <cell r="A13" t="str">
            <v>Classification contrôlée, des frais généraux en frais fixes et frais variables par rapport au compte de résultat N-1</v>
          </cell>
        </row>
        <row r="14">
          <cell r="A14" t="str">
            <v>Sélection des frais généraux en frais variables avec une évolution automatique des charges suivant certains critères</v>
          </cell>
        </row>
      </sheetData>
      <sheetData sheetId="1"/>
      <sheetData sheetId="2"/>
      <sheetData sheetId="3"/>
      <sheetData sheetId="4"/>
      <sheetData sheetId="5"/>
      <sheetData sheetId="6">
        <row r="61">
          <cell r="D61">
            <v>7.8</v>
          </cell>
        </row>
        <row r="83">
          <cell r="B83" t="str">
            <v>1-Mousse Directe</v>
          </cell>
        </row>
        <row r="84">
          <cell r="B84" t="str">
            <v>2-Mousse commer.</v>
          </cell>
        </row>
        <row r="85">
          <cell r="B85" t="str">
            <v>3-Chape directe</v>
          </cell>
        </row>
        <row r="86">
          <cell r="B86" t="str">
            <v>4-Chape Commer.</v>
          </cell>
        </row>
        <row r="87">
          <cell r="B87" t="str">
            <v>5-DUOVAC directe</v>
          </cell>
        </row>
        <row r="88">
          <cell r="B88" t="str">
            <v>6-DUOVAC Commer.</v>
          </cell>
        </row>
        <row r="89">
          <cell r="B89" t="str">
            <v>7-Carrelage Directe</v>
          </cell>
        </row>
        <row r="90">
          <cell r="B90" t="str">
            <v>8-Etude Thermique Directe</v>
          </cell>
        </row>
        <row r="91">
          <cell r="B91" t="str">
            <v>9-Chaudière Commer.</v>
          </cell>
        </row>
        <row r="92">
          <cell r="B92" t="str">
            <v>10-Chaudière Directe</v>
          </cell>
        </row>
        <row r="93">
          <cell r="B93" t="str">
            <v>11-Réparation Plomberie</v>
          </cell>
        </row>
        <row r="94">
          <cell r="B94" t="str">
            <v>12-Carrelage Commer.</v>
          </cell>
        </row>
        <row r="95">
          <cell r="B95" t="str">
            <v>13-Activité 13</v>
          </cell>
        </row>
        <row r="96">
          <cell r="B96" t="str">
            <v>14-Activité 14</v>
          </cell>
        </row>
        <row r="122">
          <cell r="D122">
            <v>395443.38</v>
          </cell>
          <cell r="F122">
            <v>0</v>
          </cell>
          <cell r="H122">
            <v>242565.84000000003</v>
          </cell>
          <cell r="J122">
            <v>0</v>
          </cell>
          <cell r="L122">
            <v>9046.16</v>
          </cell>
          <cell r="N122">
            <v>0</v>
          </cell>
          <cell r="P122">
            <v>0</v>
          </cell>
          <cell r="R122">
            <v>0</v>
          </cell>
          <cell r="T122">
            <v>0</v>
          </cell>
          <cell r="V122">
            <v>65423.18</v>
          </cell>
          <cell r="X122">
            <v>0</v>
          </cell>
          <cell r="Z122">
            <v>0</v>
          </cell>
          <cell r="AB122">
            <v>78408.199999999983</v>
          </cell>
          <cell r="AD122">
            <v>0</v>
          </cell>
          <cell r="AF122">
            <v>0</v>
          </cell>
        </row>
        <row r="124">
          <cell r="F124">
            <v>14258</v>
          </cell>
          <cell r="H124">
            <v>1865.8910769230772</v>
          </cell>
          <cell r="J124">
            <v>5800</v>
          </cell>
          <cell r="L124">
            <v>69.585846153846148</v>
          </cell>
          <cell r="N124">
            <v>0</v>
          </cell>
          <cell r="P124">
            <v>0</v>
          </cell>
          <cell r="R124">
            <v>0</v>
          </cell>
          <cell r="T124">
            <v>1800</v>
          </cell>
          <cell r="V124">
            <v>503.25523076923076</v>
          </cell>
          <cell r="X124">
            <v>0</v>
          </cell>
          <cell r="Z124">
            <v>0</v>
          </cell>
          <cell r="AB124">
            <v>603.13999999999987</v>
          </cell>
          <cell r="AD124">
            <v>0</v>
          </cell>
          <cell r="AF124">
            <v>0</v>
          </cell>
        </row>
      </sheetData>
      <sheetData sheetId="7">
        <row r="54">
          <cell r="M54">
            <v>225</v>
          </cell>
        </row>
      </sheetData>
      <sheetData sheetId="8"/>
      <sheetData sheetId="9"/>
      <sheetData sheetId="10"/>
      <sheetData sheetId="11"/>
      <sheetData sheetId="12">
        <row r="27">
          <cell r="P27">
            <v>13593</v>
          </cell>
          <cell r="S27">
            <v>5791.884</v>
          </cell>
          <cell r="T27">
            <v>5289.5759999999991</v>
          </cell>
          <cell r="U27">
            <v>1562.7360000000001</v>
          </cell>
          <cell r="V27">
            <v>55.811999999999998</v>
          </cell>
          <cell r="W27">
            <v>0</v>
          </cell>
          <cell r="X27">
            <v>0</v>
          </cell>
          <cell r="Y27">
            <v>0</v>
          </cell>
          <cell r="Z27">
            <v>334.87199999999996</v>
          </cell>
          <cell r="AA27">
            <v>334.87199999999996</v>
          </cell>
          <cell r="AB27">
            <v>0</v>
          </cell>
          <cell r="AC27">
            <v>0</v>
          </cell>
          <cell r="AD27">
            <v>223.24799999999999</v>
          </cell>
          <cell r="AE27">
            <v>0</v>
          </cell>
          <cell r="AF27">
            <v>0</v>
          </cell>
        </row>
      </sheetData>
      <sheetData sheetId="13"/>
      <sheetData sheetId="14">
        <row r="27">
          <cell r="Q27">
            <v>92598.959999999992</v>
          </cell>
          <cell r="T27">
            <v>53660.885787530882</v>
          </cell>
          <cell r="U27">
            <v>6778.1047605714739</v>
          </cell>
          <cell r="V27">
            <v>21340.520239001202</v>
          </cell>
          <cell r="W27">
            <v>208.02775922978782</v>
          </cell>
          <cell r="X27">
            <v>680.91897012588959</v>
          </cell>
          <cell r="Y27">
            <v>0</v>
          </cell>
          <cell r="Z27">
            <v>0</v>
          </cell>
          <cell r="AA27">
            <v>6622.9200741727864</v>
          </cell>
          <cell r="AB27">
            <v>1504.4878199243735</v>
          </cell>
          <cell r="AC27">
            <v>0</v>
          </cell>
          <cell r="AD27">
            <v>0</v>
          </cell>
          <cell r="AE27">
            <v>1803.0945894435922</v>
          </cell>
          <cell r="AF27">
            <v>0</v>
          </cell>
          <cell r="AG27">
            <v>0</v>
          </cell>
        </row>
      </sheetData>
      <sheetData sheetId="15">
        <row r="10">
          <cell r="H10" t="str">
            <v>1-Mousse Directe</v>
          </cell>
          <cell r="L10">
            <v>467581.56</v>
          </cell>
          <cell r="M10">
            <v>0.65448197864031465</v>
          </cell>
          <cell r="N10" t="str">
            <v>OUI</v>
          </cell>
          <cell r="O10" t="str">
            <v>Production</v>
          </cell>
          <cell r="P10">
            <v>0</v>
          </cell>
          <cell r="Q10">
            <v>0.5726</v>
          </cell>
          <cell r="R10">
            <v>14258</v>
          </cell>
          <cell r="S10">
            <v>160</v>
          </cell>
          <cell r="T10" t="str">
            <v>M²</v>
          </cell>
          <cell r="U10">
            <v>0</v>
          </cell>
          <cell r="V10">
            <v>2281280</v>
          </cell>
        </row>
        <row r="11">
          <cell r="H11" t="str">
            <v>3-Chape directe</v>
          </cell>
          <cell r="L11">
            <v>162614.72</v>
          </cell>
          <cell r="M11">
            <v>0.22761462984477135</v>
          </cell>
          <cell r="N11" t="str">
            <v>OUI</v>
          </cell>
          <cell r="O11" t="str">
            <v>Production</v>
          </cell>
          <cell r="P11">
            <v>0</v>
          </cell>
          <cell r="Q11">
            <v>0.2329</v>
          </cell>
          <cell r="R11">
            <v>5800</v>
          </cell>
          <cell r="S11">
            <v>160</v>
          </cell>
          <cell r="T11" t="str">
            <v>M²</v>
          </cell>
          <cell r="U11">
            <v>0</v>
          </cell>
          <cell r="V11">
            <v>928000</v>
          </cell>
        </row>
        <row r="12">
          <cell r="H12" t="str">
            <v>5-DUOVAC directe</v>
          </cell>
          <cell r="L12">
            <v>28848.720000000001</v>
          </cell>
          <cell r="M12">
            <v>4.038005122965161E-2</v>
          </cell>
          <cell r="N12" t="str">
            <v>OUI</v>
          </cell>
          <cell r="O12" t="str">
            <v>Négoce</v>
          </cell>
          <cell r="P12">
            <v>7</v>
          </cell>
          <cell r="Q12">
            <v>0</v>
          </cell>
          <cell r="R12">
            <v>0</v>
          </cell>
          <cell r="S12">
            <v>0</v>
          </cell>
          <cell r="T12" t="str">
            <v>Unité</v>
          </cell>
          <cell r="U12">
            <v>4230</v>
          </cell>
          <cell r="V12">
            <v>29610</v>
          </cell>
        </row>
        <row r="13">
          <cell r="H13" t="str">
            <v>8-Etude Thermique Directe</v>
          </cell>
          <cell r="L13">
            <v>55385</v>
          </cell>
          <cell r="M13">
            <v>7.7523340285262379E-2</v>
          </cell>
          <cell r="N13" t="str">
            <v>NON</v>
          </cell>
          <cell r="O13" t="str">
            <v>Services</v>
          </cell>
          <cell r="P13">
            <v>0</v>
          </cell>
          <cell r="Q13">
            <v>7.2300000000000003E-2</v>
          </cell>
          <cell r="R13">
            <v>1800</v>
          </cell>
          <cell r="S13">
            <v>160</v>
          </cell>
          <cell r="T13" t="str">
            <v>M²</v>
          </cell>
          <cell r="U13">
            <v>0</v>
          </cell>
          <cell r="V13">
            <v>288000</v>
          </cell>
        </row>
        <row r="14">
          <cell r="L14">
            <v>0</v>
          </cell>
          <cell r="M14">
            <v>0</v>
          </cell>
          <cell r="N14" t="str">
            <v/>
          </cell>
          <cell r="O14" t="str">
            <v>Sans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 t="str">
            <v>M²</v>
          </cell>
          <cell r="U14">
            <v>0</v>
          </cell>
          <cell r="V14">
            <v>0</v>
          </cell>
        </row>
        <row r="15">
          <cell r="L15">
            <v>0</v>
          </cell>
          <cell r="M15">
            <v>0</v>
          </cell>
          <cell r="N15" t="str">
            <v/>
          </cell>
          <cell r="O15" t="str">
            <v>Sans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 t="str">
            <v>M²</v>
          </cell>
          <cell r="U15">
            <v>0</v>
          </cell>
          <cell r="V15">
            <v>0</v>
          </cell>
        </row>
        <row r="16">
          <cell r="L16">
            <v>0</v>
          </cell>
          <cell r="M16">
            <v>0</v>
          </cell>
          <cell r="N16" t="str">
            <v/>
          </cell>
          <cell r="O16" t="str">
            <v>Sans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 t="str">
            <v>M²</v>
          </cell>
          <cell r="U16">
            <v>0</v>
          </cell>
          <cell r="V16">
            <v>0</v>
          </cell>
        </row>
        <row r="17">
          <cell r="L17">
            <v>0</v>
          </cell>
          <cell r="M17">
            <v>0</v>
          </cell>
          <cell r="N17" t="str">
            <v/>
          </cell>
          <cell r="O17" t="str">
            <v>Sans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 t="str">
            <v>M²</v>
          </cell>
          <cell r="U17">
            <v>0</v>
          </cell>
          <cell r="V17">
            <v>0</v>
          </cell>
        </row>
        <row r="18">
          <cell r="L18">
            <v>0</v>
          </cell>
          <cell r="M18">
            <v>0</v>
          </cell>
          <cell r="N18" t="str">
            <v/>
          </cell>
          <cell r="O18" t="str">
            <v>Sans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 t="str">
            <v>M²</v>
          </cell>
          <cell r="U18">
            <v>0</v>
          </cell>
          <cell r="V18">
            <v>0</v>
          </cell>
        </row>
        <row r="19">
          <cell r="L19">
            <v>0</v>
          </cell>
          <cell r="M19">
            <v>0</v>
          </cell>
          <cell r="N19" t="str">
            <v/>
          </cell>
          <cell r="O19" t="str">
            <v>Sans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 t="str">
            <v>M²</v>
          </cell>
          <cell r="U19">
            <v>0</v>
          </cell>
          <cell r="V19">
            <v>0</v>
          </cell>
        </row>
        <row r="20">
          <cell r="L20">
            <v>0</v>
          </cell>
          <cell r="M20">
            <v>0</v>
          </cell>
          <cell r="N20" t="str">
            <v/>
          </cell>
          <cell r="O20" t="str">
            <v>Sans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 t="str">
            <v>M²</v>
          </cell>
          <cell r="U20">
            <v>0</v>
          </cell>
          <cell r="V20">
            <v>0</v>
          </cell>
        </row>
        <row r="21">
          <cell r="L21">
            <v>0</v>
          </cell>
          <cell r="M21">
            <v>0</v>
          </cell>
          <cell r="N21" t="str">
            <v/>
          </cell>
          <cell r="O21" t="str">
            <v>Sans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 t="str">
            <v>M²</v>
          </cell>
          <cell r="U21">
            <v>0</v>
          </cell>
          <cell r="V21">
            <v>0</v>
          </cell>
        </row>
        <row r="22">
          <cell r="L22">
            <v>0</v>
          </cell>
          <cell r="M22">
            <v>0</v>
          </cell>
          <cell r="N22" t="str">
            <v/>
          </cell>
          <cell r="O22" t="str">
            <v>Sans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 t="str">
            <v>M²</v>
          </cell>
          <cell r="U22">
            <v>0</v>
          </cell>
          <cell r="V22">
            <v>0</v>
          </cell>
        </row>
        <row r="23">
          <cell r="L23">
            <v>0</v>
          </cell>
          <cell r="M23">
            <v>0</v>
          </cell>
          <cell r="N23" t="str">
            <v/>
          </cell>
          <cell r="O23" t="str">
            <v>Sans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 t="str">
            <v>M²</v>
          </cell>
          <cell r="U23">
            <v>0</v>
          </cell>
          <cell r="V23">
            <v>0</v>
          </cell>
        </row>
        <row r="24">
          <cell r="H24" t="str">
            <v>2-Mousse commer.</v>
          </cell>
          <cell r="L24">
            <v>0</v>
          </cell>
          <cell r="M24">
            <v>0</v>
          </cell>
          <cell r="N24" t="str">
            <v>OUI</v>
          </cell>
          <cell r="O24" t="str">
            <v>Production</v>
          </cell>
          <cell r="P24">
            <v>0</v>
          </cell>
          <cell r="Q24">
            <v>7.4899999999999994E-2</v>
          </cell>
          <cell r="R24">
            <v>1865.8910769230772</v>
          </cell>
          <cell r="S24">
            <v>130</v>
          </cell>
          <cell r="T24" t="str">
            <v>M²</v>
          </cell>
          <cell r="U24">
            <v>0</v>
          </cell>
          <cell r="V24">
            <v>242565.84000000003</v>
          </cell>
        </row>
        <row r="25">
          <cell r="H25" t="str">
            <v>9-Chaudière Commer.</v>
          </cell>
          <cell r="L25">
            <v>0</v>
          </cell>
          <cell r="M25">
            <v>0</v>
          </cell>
          <cell r="N25" t="str">
            <v>OUI</v>
          </cell>
          <cell r="O25" t="str">
            <v>Production</v>
          </cell>
          <cell r="P25">
            <v>0</v>
          </cell>
          <cell r="Q25">
            <v>2.0211053444547419E-2</v>
          </cell>
          <cell r="R25">
            <v>503.25523076923076</v>
          </cell>
          <cell r="S25">
            <v>130</v>
          </cell>
          <cell r="T25" t="str">
            <v>Unité</v>
          </cell>
          <cell r="U25">
            <v>0</v>
          </cell>
          <cell r="V25">
            <v>65423.18</v>
          </cell>
        </row>
        <row r="26">
          <cell r="H26" t="str">
            <v>12-Carrelage Commer.</v>
          </cell>
          <cell r="L26">
            <v>0</v>
          </cell>
          <cell r="M26">
            <v>0</v>
          </cell>
          <cell r="N26" t="str">
            <v>OUI</v>
          </cell>
          <cell r="O26" t="str">
            <v>Production</v>
          </cell>
          <cell r="P26">
            <v>0</v>
          </cell>
          <cell r="Q26">
            <v>2.4222489959839354E-2</v>
          </cell>
          <cell r="R26">
            <v>603.13999999999987</v>
          </cell>
          <cell r="S26">
            <v>130</v>
          </cell>
          <cell r="T26" t="str">
            <v>Unité</v>
          </cell>
          <cell r="U26">
            <v>0</v>
          </cell>
          <cell r="V26">
            <v>78408.199999999983</v>
          </cell>
        </row>
        <row r="27">
          <cell r="H27" t="str">
            <v>4-Chape Commer.</v>
          </cell>
          <cell r="L27">
            <v>0</v>
          </cell>
          <cell r="M27">
            <v>0</v>
          </cell>
          <cell r="N27" t="str">
            <v>OUI</v>
          </cell>
          <cell r="O27" t="str">
            <v>Production</v>
          </cell>
          <cell r="P27">
            <v>0</v>
          </cell>
          <cell r="Q27">
            <v>2.7946122953351866E-3</v>
          </cell>
          <cell r="R27">
            <v>69.585846153846148</v>
          </cell>
          <cell r="S27">
            <v>130</v>
          </cell>
          <cell r="T27" t="str">
            <v>M²</v>
          </cell>
          <cell r="U27">
            <v>0</v>
          </cell>
          <cell r="V27">
            <v>9046.16</v>
          </cell>
        </row>
        <row r="28">
          <cell r="H28">
            <v>0</v>
          </cell>
          <cell r="L28">
            <v>0</v>
          </cell>
          <cell r="M28">
            <v>0</v>
          </cell>
          <cell r="N28" t="str">
            <v/>
          </cell>
          <cell r="O28" t="str">
            <v>Sans</v>
          </cell>
          <cell r="P28">
            <v>0</v>
          </cell>
          <cell r="Q28">
            <v>0</v>
          </cell>
          <cell r="R28">
            <v>0</v>
          </cell>
          <cell r="S28">
            <v>160</v>
          </cell>
          <cell r="T28" t="str">
            <v>Unité</v>
          </cell>
          <cell r="U28">
            <v>0</v>
          </cell>
          <cell r="V28">
            <v>0</v>
          </cell>
        </row>
        <row r="29">
          <cell r="H29">
            <v>0</v>
          </cell>
          <cell r="L29">
            <v>0</v>
          </cell>
          <cell r="M29">
            <v>0</v>
          </cell>
          <cell r="N29" t="str">
            <v/>
          </cell>
          <cell r="O29" t="str">
            <v>Sans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 t="str">
            <v>M²</v>
          </cell>
          <cell r="U29">
            <v>0</v>
          </cell>
          <cell r="V29">
            <v>0</v>
          </cell>
        </row>
        <row r="30">
          <cell r="H30">
            <v>0</v>
          </cell>
          <cell r="L30">
            <v>0</v>
          </cell>
          <cell r="M30">
            <v>0</v>
          </cell>
          <cell r="N30" t="str">
            <v/>
          </cell>
          <cell r="O30" t="str">
            <v>Sans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 t="str">
            <v>M²</v>
          </cell>
          <cell r="U30">
            <v>0</v>
          </cell>
          <cell r="V30">
            <v>0</v>
          </cell>
        </row>
        <row r="31">
          <cell r="H31">
            <v>0</v>
          </cell>
          <cell r="L31">
            <v>0</v>
          </cell>
          <cell r="M31">
            <v>0</v>
          </cell>
          <cell r="N31" t="str">
            <v/>
          </cell>
          <cell r="O31" t="str">
            <v>Sans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 t="str">
            <v>M²</v>
          </cell>
          <cell r="U31">
            <v>0</v>
          </cell>
          <cell r="V31">
            <v>0</v>
          </cell>
        </row>
        <row r="32">
          <cell r="H32">
            <v>0</v>
          </cell>
          <cell r="L32">
            <v>0</v>
          </cell>
          <cell r="M32">
            <v>0</v>
          </cell>
          <cell r="N32" t="str">
            <v/>
          </cell>
          <cell r="O32" t="str">
            <v>Sans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 t="str">
            <v>M²</v>
          </cell>
          <cell r="U32">
            <v>0</v>
          </cell>
          <cell r="V32">
            <v>0</v>
          </cell>
        </row>
        <row r="33">
          <cell r="H33">
            <v>0</v>
          </cell>
          <cell r="L33">
            <v>0</v>
          </cell>
          <cell r="M33">
            <v>0</v>
          </cell>
          <cell r="N33" t="str">
            <v/>
          </cell>
          <cell r="O33" t="str">
            <v>Sans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 t="str">
            <v>M²</v>
          </cell>
          <cell r="U33">
            <v>0</v>
          </cell>
          <cell r="V33">
            <v>0</v>
          </cell>
        </row>
        <row r="34">
          <cell r="H34">
            <v>0</v>
          </cell>
          <cell r="L34">
            <v>0</v>
          </cell>
          <cell r="M34">
            <v>0</v>
          </cell>
          <cell r="N34" t="str">
            <v/>
          </cell>
          <cell r="O34" t="str">
            <v>Sans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 t="str">
            <v>M²</v>
          </cell>
          <cell r="U34">
            <v>0</v>
          </cell>
          <cell r="V34">
            <v>0</v>
          </cell>
        </row>
        <row r="35">
          <cell r="H35">
            <v>0</v>
          </cell>
          <cell r="L35">
            <v>0</v>
          </cell>
          <cell r="M35">
            <v>0</v>
          </cell>
          <cell r="N35" t="str">
            <v/>
          </cell>
          <cell r="O35" t="str">
            <v>Sans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 t="str">
            <v>M²</v>
          </cell>
          <cell r="U35">
            <v>0</v>
          </cell>
          <cell r="V35">
            <v>0</v>
          </cell>
        </row>
        <row r="36">
          <cell r="H36">
            <v>0</v>
          </cell>
          <cell r="L36">
            <v>0</v>
          </cell>
          <cell r="M36">
            <v>0</v>
          </cell>
          <cell r="N36" t="str">
            <v/>
          </cell>
          <cell r="O36" t="str">
            <v>Sans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 t="str">
            <v>M²</v>
          </cell>
          <cell r="U36">
            <v>0</v>
          </cell>
          <cell r="V36">
            <v>0</v>
          </cell>
        </row>
        <row r="37">
          <cell r="H37">
            <v>0</v>
          </cell>
          <cell r="L37">
            <v>0</v>
          </cell>
          <cell r="M37">
            <v>0</v>
          </cell>
          <cell r="N37" t="str">
            <v/>
          </cell>
          <cell r="O37" t="str">
            <v>Sans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 t="str">
            <v>M²</v>
          </cell>
          <cell r="U37">
            <v>0</v>
          </cell>
          <cell r="V37">
            <v>0</v>
          </cell>
        </row>
        <row r="38">
          <cell r="V38">
            <v>3922333.3800000004</v>
          </cell>
        </row>
        <row r="39">
          <cell r="R39">
            <v>24900</v>
          </cell>
        </row>
        <row r="45">
          <cell r="R45">
            <v>3041.8721538461537</v>
          </cell>
        </row>
      </sheetData>
      <sheetData sheetId="16">
        <row r="10">
          <cell r="K10" t="str">
            <v>1-Mousse Directe</v>
          </cell>
          <cell r="M10">
            <v>2281280</v>
          </cell>
          <cell r="N10" t="str">
            <v>Production</v>
          </cell>
          <cell r="O10">
            <v>0.48</v>
          </cell>
          <cell r="P10">
            <v>0</v>
          </cell>
          <cell r="Q10">
            <v>0</v>
          </cell>
          <cell r="R10">
            <v>0</v>
          </cell>
          <cell r="S10">
            <v>1186265.6000000001</v>
          </cell>
          <cell r="T10">
            <v>1095014.3999999999</v>
          </cell>
          <cell r="U10">
            <v>0.27652173913043471</v>
          </cell>
          <cell r="V10">
            <v>453404.39999999991</v>
          </cell>
          <cell r="W10">
            <v>641610</v>
          </cell>
        </row>
        <row r="11">
          <cell r="K11" t="str">
            <v>3-Chape directe</v>
          </cell>
          <cell r="M11">
            <v>928000</v>
          </cell>
          <cell r="N11" t="str">
            <v>Production</v>
          </cell>
          <cell r="O11">
            <v>0.62</v>
          </cell>
          <cell r="P11">
            <v>0</v>
          </cell>
          <cell r="R11">
            <v>0</v>
          </cell>
          <cell r="S11">
            <v>352640</v>
          </cell>
          <cell r="T11">
            <v>575360</v>
          </cell>
          <cell r="U11">
            <v>0.47130434782608693</v>
          </cell>
          <cell r="V11">
            <v>314360</v>
          </cell>
          <cell r="W11">
            <v>261000</v>
          </cell>
        </row>
        <row r="12">
          <cell r="K12" t="str">
            <v>5-DUOVAC directe</v>
          </cell>
          <cell r="M12">
            <v>29610</v>
          </cell>
          <cell r="N12" t="str">
            <v>Négoce</v>
          </cell>
          <cell r="O12">
            <v>0.45</v>
          </cell>
          <cell r="P12">
            <v>0</v>
          </cell>
          <cell r="R12">
            <v>0</v>
          </cell>
          <cell r="S12">
            <v>16285.500000000002</v>
          </cell>
          <cell r="T12">
            <v>13324.499999999998</v>
          </cell>
          <cell r="U12">
            <v>0</v>
          </cell>
          <cell r="V12">
            <v>13324.499999999998</v>
          </cell>
          <cell r="W12">
            <v>0</v>
          </cell>
        </row>
        <row r="13">
          <cell r="K13" t="str">
            <v>2-Mousse commer.</v>
          </cell>
          <cell r="M13">
            <v>242565.84000000003</v>
          </cell>
          <cell r="N13" t="str">
            <v>Production</v>
          </cell>
          <cell r="O13">
            <v>0.7</v>
          </cell>
          <cell r="P13">
            <v>0</v>
          </cell>
          <cell r="R13">
            <v>0</v>
          </cell>
          <cell r="S13">
            <v>72769.752000000022</v>
          </cell>
          <cell r="T13">
            <v>169796.08799999999</v>
          </cell>
          <cell r="U13">
            <v>0.54117647058823515</v>
          </cell>
          <cell r="V13">
            <v>85830.989538461508</v>
          </cell>
          <cell r="W13">
            <v>83965.09846153848</v>
          </cell>
        </row>
        <row r="14">
          <cell r="K14" t="str">
            <v>9-Chaudière Commer.</v>
          </cell>
          <cell r="M14">
            <v>65423.18</v>
          </cell>
          <cell r="N14" t="str">
            <v>Production</v>
          </cell>
          <cell r="O14">
            <v>0.8</v>
          </cell>
          <cell r="P14">
            <v>0</v>
          </cell>
          <cell r="R14">
            <v>0</v>
          </cell>
          <cell r="S14">
            <v>13084.635999999997</v>
          </cell>
          <cell r="T14">
            <v>52338.544000000002</v>
          </cell>
          <cell r="U14">
            <v>0.69411764705882351</v>
          </cell>
          <cell r="V14">
            <v>29692.058615384616</v>
          </cell>
          <cell r="W14">
            <v>22646.485384615386</v>
          </cell>
        </row>
        <row r="15">
          <cell r="K15" t="str">
            <v>12-Carrelage Commer.</v>
          </cell>
          <cell r="M15">
            <v>78408.199999999983</v>
          </cell>
          <cell r="N15" t="str">
            <v>Production</v>
          </cell>
          <cell r="O15">
            <v>0.7</v>
          </cell>
          <cell r="P15">
            <v>0</v>
          </cell>
          <cell r="R15">
            <v>0</v>
          </cell>
          <cell r="S15">
            <v>23522.46</v>
          </cell>
          <cell r="T15">
            <v>54885.739999999983</v>
          </cell>
          <cell r="U15">
            <v>0.54117647058823515</v>
          </cell>
          <cell r="V15">
            <v>27744.439999999988</v>
          </cell>
          <cell r="W15">
            <v>27141.299999999996</v>
          </cell>
        </row>
        <row r="16">
          <cell r="K16" t="str">
            <v>4-Chape Commer.</v>
          </cell>
          <cell r="M16">
            <v>9046.16</v>
          </cell>
          <cell r="N16" t="str">
            <v>Production</v>
          </cell>
          <cell r="O16">
            <v>0.8</v>
          </cell>
          <cell r="P16">
            <v>0</v>
          </cell>
          <cell r="R16">
            <v>0</v>
          </cell>
          <cell r="S16">
            <v>1809.2319999999995</v>
          </cell>
          <cell r="T16">
            <v>7236.9279999999999</v>
          </cell>
          <cell r="U16">
            <v>0.69411764705882351</v>
          </cell>
          <cell r="V16">
            <v>4105.5649230769232</v>
          </cell>
          <cell r="W16">
            <v>3131.3630769230767</v>
          </cell>
        </row>
        <row r="17">
          <cell r="K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</row>
        <row r="18">
          <cell r="K18">
            <v>0</v>
          </cell>
          <cell r="M18">
            <v>0</v>
          </cell>
          <cell r="N18">
            <v>0</v>
          </cell>
          <cell r="P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</row>
        <row r="19">
          <cell r="K19">
            <v>0</v>
          </cell>
          <cell r="M19">
            <v>0</v>
          </cell>
          <cell r="N19">
            <v>0</v>
          </cell>
          <cell r="P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</row>
        <row r="20">
          <cell r="K20">
            <v>0</v>
          </cell>
          <cell r="M20">
            <v>0</v>
          </cell>
          <cell r="N20">
            <v>0</v>
          </cell>
          <cell r="P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</row>
        <row r="21">
          <cell r="K21">
            <v>0</v>
          </cell>
          <cell r="M21">
            <v>0</v>
          </cell>
          <cell r="N21">
            <v>0</v>
          </cell>
          <cell r="P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</row>
        <row r="22">
          <cell r="K22">
            <v>0</v>
          </cell>
          <cell r="M22">
            <v>0</v>
          </cell>
          <cell r="N22">
            <v>0</v>
          </cell>
          <cell r="P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</row>
        <row r="23">
          <cell r="K23">
            <v>0</v>
          </cell>
          <cell r="M23">
            <v>0</v>
          </cell>
          <cell r="N23">
            <v>0</v>
          </cell>
          <cell r="P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</row>
        <row r="24">
          <cell r="K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</row>
        <row r="25">
          <cell r="K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</row>
        <row r="26">
          <cell r="K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</row>
      </sheetData>
      <sheetData sheetId="17">
        <row r="10">
          <cell r="G10" t="str">
            <v>1-Mousse Directe</v>
          </cell>
          <cell r="K10">
            <v>2281280</v>
          </cell>
          <cell r="L10" t="str">
            <v>Production</v>
          </cell>
          <cell r="M10">
            <v>0.48</v>
          </cell>
          <cell r="N10">
            <v>1186265.6000000001</v>
          </cell>
          <cell r="O10">
            <v>1095014.3999999999</v>
          </cell>
          <cell r="P10">
            <v>0.27652173913043471</v>
          </cell>
          <cell r="Q10">
            <v>453404.39999999991</v>
          </cell>
          <cell r="R10">
            <v>641610</v>
          </cell>
          <cell r="S10">
            <v>45</v>
          </cell>
          <cell r="T10">
            <v>14258</v>
          </cell>
          <cell r="U10">
            <v>594.08333333333337</v>
          </cell>
        </row>
        <row r="11">
          <cell r="G11" t="str">
            <v>3-Chape directe</v>
          </cell>
          <cell r="K11">
            <v>928000</v>
          </cell>
          <cell r="L11" t="str">
            <v>Production</v>
          </cell>
          <cell r="M11">
            <v>0.62</v>
          </cell>
          <cell r="N11">
            <v>352640</v>
          </cell>
          <cell r="O11">
            <v>575360</v>
          </cell>
          <cell r="P11">
            <v>0.47130434782608693</v>
          </cell>
          <cell r="Q11">
            <v>314360</v>
          </cell>
          <cell r="R11">
            <v>261000</v>
          </cell>
          <cell r="S11">
            <v>45</v>
          </cell>
          <cell r="T11">
            <v>5800</v>
          </cell>
          <cell r="U11">
            <v>241.66666666666666</v>
          </cell>
        </row>
        <row r="12">
          <cell r="G12" t="str">
            <v>8-Etude Thermique Directe</v>
          </cell>
          <cell r="K12">
            <v>288000</v>
          </cell>
          <cell r="L12" t="str">
            <v>Services</v>
          </cell>
          <cell r="M12">
            <v>1</v>
          </cell>
          <cell r="N12">
            <v>0</v>
          </cell>
          <cell r="O12">
            <v>288000</v>
          </cell>
          <cell r="P12">
            <v>0</v>
          </cell>
          <cell r="Q12">
            <v>0</v>
          </cell>
          <cell r="R12">
            <v>288000</v>
          </cell>
          <cell r="S12">
            <v>70</v>
          </cell>
          <cell r="T12">
            <v>1800</v>
          </cell>
          <cell r="U12">
            <v>75</v>
          </cell>
        </row>
        <row r="13">
          <cell r="G13" t="str">
            <v>2-Mousse commer.</v>
          </cell>
          <cell r="K13">
            <v>242565.84000000003</v>
          </cell>
          <cell r="L13" t="str">
            <v>Production</v>
          </cell>
          <cell r="M13">
            <v>0.7</v>
          </cell>
          <cell r="N13">
            <v>72769.752000000022</v>
          </cell>
          <cell r="O13">
            <v>169796.08799999999</v>
          </cell>
          <cell r="P13">
            <v>0.54117647058823515</v>
          </cell>
          <cell r="Q13">
            <v>85830.989538461508</v>
          </cell>
          <cell r="R13">
            <v>83965.09846153848</v>
          </cell>
          <cell r="S13">
            <v>45</v>
          </cell>
          <cell r="T13">
            <v>1865.8910769230772</v>
          </cell>
          <cell r="U13">
            <v>77.745461538461555</v>
          </cell>
        </row>
        <row r="14">
          <cell r="G14" t="str">
            <v>9-Chaudière Commer.</v>
          </cell>
          <cell r="K14">
            <v>65423.18</v>
          </cell>
          <cell r="L14" t="str">
            <v>Production</v>
          </cell>
          <cell r="M14">
            <v>0.8</v>
          </cell>
          <cell r="N14">
            <v>13084.635999999997</v>
          </cell>
          <cell r="O14">
            <v>52338.544000000002</v>
          </cell>
          <cell r="P14">
            <v>0.69411764705882351</v>
          </cell>
          <cell r="Q14">
            <v>29692.058615384616</v>
          </cell>
          <cell r="R14">
            <v>22646.485384615386</v>
          </cell>
          <cell r="S14">
            <v>45</v>
          </cell>
          <cell r="T14">
            <v>503.25523076923076</v>
          </cell>
          <cell r="U14">
            <v>20.96896794871795</v>
          </cell>
        </row>
        <row r="15">
          <cell r="G15" t="str">
            <v>12-Carrelage Commer.</v>
          </cell>
          <cell r="K15">
            <v>78408.199999999983</v>
          </cell>
          <cell r="L15" t="str">
            <v>Production</v>
          </cell>
          <cell r="M15">
            <v>0.7</v>
          </cell>
          <cell r="N15">
            <v>23522.46</v>
          </cell>
          <cell r="O15">
            <v>54885.739999999983</v>
          </cell>
          <cell r="P15">
            <v>0.54117647058823515</v>
          </cell>
          <cell r="Q15">
            <v>27744.439999999988</v>
          </cell>
          <cell r="R15">
            <v>27141.299999999996</v>
          </cell>
          <cell r="S15">
            <v>45</v>
          </cell>
          <cell r="T15">
            <v>603.13999999999987</v>
          </cell>
          <cell r="U15">
            <v>25.130833333333328</v>
          </cell>
        </row>
        <row r="16">
          <cell r="G16" t="str">
            <v>4-Chape Commer.</v>
          </cell>
          <cell r="K16">
            <v>9046.16</v>
          </cell>
          <cell r="L16" t="str">
            <v>Production</v>
          </cell>
          <cell r="M16">
            <v>0.8</v>
          </cell>
          <cell r="N16">
            <v>1809.2319999999995</v>
          </cell>
          <cell r="O16">
            <v>7236.9279999999999</v>
          </cell>
          <cell r="P16">
            <v>0.69411764705882351</v>
          </cell>
          <cell r="Q16">
            <v>4105.5649230769232</v>
          </cell>
          <cell r="R16">
            <v>3131.3630769230767</v>
          </cell>
          <cell r="S16">
            <v>45</v>
          </cell>
          <cell r="T16">
            <v>69.585846153846148</v>
          </cell>
          <cell r="U16">
            <v>2.8994102564102562</v>
          </cell>
        </row>
        <row r="17">
          <cell r="G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</row>
        <row r="18">
          <cell r="G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</row>
        <row r="19">
          <cell r="G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</row>
        <row r="20">
          <cell r="G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</row>
        <row r="21">
          <cell r="G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</row>
        <row r="22">
          <cell r="G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</row>
        <row r="23">
          <cell r="G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</row>
        <row r="24">
          <cell r="G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</row>
        <row r="25">
          <cell r="G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</row>
        <row r="26">
          <cell r="G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</row>
        <row r="27">
          <cell r="N27">
            <v>1650091.6800000002</v>
          </cell>
          <cell r="R27">
            <v>1327494.2469230772</v>
          </cell>
        </row>
        <row r="28">
          <cell r="N28">
            <v>16285.500000000002</v>
          </cell>
        </row>
        <row r="29">
          <cell r="N29">
            <v>1666377.1800000002</v>
          </cell>
        </row>
      </sheetData>
      <sheetData sheetId="18">
        <row r="29">
          <cell r="Q29">
            <v>117670.00140000002</v>
          </cell>
          <cell r="T29">
            <v>68438.399999999994</v>
          </cell>
          <cell r="U29">
            <v>7276.9752000000008</v>
          </cell>
          <cell r="V29">
            <v>27840</v>
          </cell>
          <cell r="W29">
            <v>271.38480000000004</v>
          </cell>
          <cell r="X29">
            <v>888.30000000000007</v>
          </cell>
          <cell r="Y29">
            <v>0</v>
          </cell>
          <cell r="Z29">
            <v>0</v>
          </cell>
          <cell r="AA29">
            <v>8640</v>
          </cell>
          <cell r="AB29">
            <v>1962.6954000000001</v>
          </cell>
          <cell r="AC29">
            <v>0</v>
          </cell>
          <cell r="AD29">
            <v>0</v>
          </cell>
          <cell r="AE29">
            <v>2352.2459999999996</v>
          </cell>
          <cell r="AF29">
            <v>0</v>
          </cell>
          <cell r="AG29">
            <v>0</v>
          </cell>
        </row>
      </sheetData>
      <sheetData sheetId="19">
        <row r="134">
          <cell r="N134">
            <v>289022</v>
          </cell>
          <cell r="R134">
            <v>168098.9462858967</v>
          </cell>
          <cell r="S134">
            <v>17873.764776333213</v>
          </cell>
          <cell r="T134">
            <v>68380.831004222273</v>
          </cell>
          <cell r="U134">
            <v>666.57751960900362</v>
          </cell>
          <cell r="V134">
            <v>2181.8495754687724</v>
          </cell>
          <cell r="W134">
            <v>0</v>
          </cell>
          <cell r="X134">
            <v>0</v>
          </cell>
          <cell r="Y134">
            <v>21221.63720820691</v>
          </cell>
          <cell r="Z134">
            <v>4820.7881630806214</v>
          </cell>
          <cell r="AA134">
            <v>0</v>
          </cell>
          <cell r="AB134">
            <v>0</v>
          </cell>
          <cell r="AC134">
            <v>5777.6054671823949</v>
          </cell>
          <cell r="AD134">
            <v>0</v>
          </cell>
          <cell r="AE134">
            <v>0</v>
          </cell>
        </row>
      </sheetData>
      <sheetData sheetId="20">
        <row r="134">
          <cell r="L134">
            <v>9400</v>
          </cell>
          <cell r="P134">
            <v>5467.1619983510936</v>
          </cell>
          <cell r="Q134">
            <v>581.31695475615084</v>
          </cell>
          <cell r="R134">
            <v>2223.9822969866977</v>
          </cell>
          <cell r="S134">
            <v>21.679417775548693</v>
          </cell>
          <cell r="T134">
            <v>70.961331695879466</v>
          </cell>
          <cell r="U134">
            <v>0</v>
          </cell>
          <cell r="V134">
            <v>0</v>
          </cell>
          <cell r="W134">
            <v>690.20140251311329</v>
          </cell>
          <cell r="X134">
            <v>156.78878678079118</v>
          </cell>
          <cell r="Y134">
            <v>0</v>
          </cell>
          <cell r="Z134">
            <v>0</v>
          </cell>
          <cell r="AA134">
            <v>187.90781114072459</v>
          </cell>
          <cell r="AB134">
            <v>0</v>
          </cell>
          <cell r="AC134">
            <v>0</v>
          </cell>
        </row>
      </sheetData>
      <sheetData sheetId="21">
        <row r="30">
          <cell r="L30">
            <v>11898.09</v>
          </cell>
          <cell r="P30">
            <v>6920.0835639320394</v>
          </cell>
          <cell r="Q30">
            <v>735.80440917176702</v>
          </cell>
          <cell r="R30">
            <v>2815.0150561653682</v>
          </cell>
          <cell r="S30">
            <v>27.44081530224236</v>
          </cell>
          <cell r="T30">
            <v>89.819607557173029</v>
          </cell>
          <cell r="U30">
            <v>0</v>
          </cell>
          <cell r="V30">
            <v>0</v>
          </cell>
          <cell r="W30">
            <v>873.62536225821782</v>
          </cell>
          <cell r="X30">
            <v>198.45607405411315</v>
          </cell>
          <cell r="Y30">
            <v>0</v>
          </cell>
          <cell r="Z30">
            <v>0</v>
          </cell>
          <cell r="AA30">
            <v>237.8451115590791</v>
          </cell>
          <cell r="AB30">
            <v>0</v>
          </cell>
          <cell r="AC30">
            <v>0</v>
          </cell>
        </row>
      </sheetData>
      <sheetData sheetId="22">
        <row r="30">
          <cell r="L30">
            <v>950</v>
          </cell>
          <cell r="P30">
            <v>551.63236994417787</v>
          </cell>
          <cell r="Q30">
            <v>60.059471781408739</v>
          </cell>
          <cell r="R30">
            <v>224.39807446179213</v>
          </cell>
          <cell r="S30">
            <v>2.2398355483612549</v>
          </cell>
          <cell r="T30">
            <v>6.4167161639890997</v>
          </cell>
          <cell r="U30">
            <v>0</v>
          </cell>
          <cell r="V30">
            <v>0</v>
          </cell>
          <cell r="W30">
            <v>69.640781729521692</v>
          </cell>
          <cell r="X30">
            <v>16.198825164582217</v>
          </cell>
          <cell r="Y30">
            <v>0</v>
          </cell>
          <cell r="Z30">
            <v>0</v>
          </cell>
          <cell r="AA30">
            <v>19.413925206166915</v>
          </cell>
          <cell r="AB30">
            <v>0</v>
          </cell>
          <cell r="AC30">
            <v>0</v>
          </cell>
        </row>
      </sheetData>
      <sheetData sheetId="23"/>
      <sheetData sheetId="24">
        <row r="93">
          <cell r="M93">
            <v>22252</v>
          </cell>
          <cell r="Q93">
            <v>0</v>
          </cell>
          <cell r="R93">
            <v>11993.239850620335</v>
          </cell>
          <cell r="S93">
            <v>0</v>
          </cell>
          <cell r="T93">
            <v>447.2714154931611</v>
          </cell>
          <cell r="U93">
            <v>367.89022229381442</v>
          </cell>
          <cell r="V93">
            <v>0</v>
          </cell>
          <cell r="W93">
            <v>0</v>
          </cell>
          <cell r="X93">
            <v>2332.1097777061855</v>
          </cell>
          <cell r="Y93">
            <v>3234.7336687239522</v>
          </cell>
          <cell r="Z93">
            <v>0</v>
          </cell>
          <cell r="AA93">
            <v>0</v>
          </cell>
          <cell r="AB93">
            <v>3876.7550651625515</v>
          </cell>
          <cell r="AC93">
            <v>0</v>
          </cell>
          <cell r="AD93">
            <v>0</v>
          </cell>
        </row>
      </sheetData>
      <sheetData sheetId="25"/>
      <sheetData sheetId="26">
        <row r="64">
          <cell r="W64">
            <v>5520</v>
          </cell>
          <cell r="Y64">
            <v>0</v>
          </cell>
          <cell r="Z64">
            <v>2760</v>
          </cell>
          <cell r="AA64">
            <v>0</v>
          </cell>
          <cell r="AB64">
            <v>480</v>
          </cell>
          <cell r="AC64">
            <v>0</v>
          </cell>
          <cell r="AD64">
            <v>0</v>
          </cell>
          <cell r="AE64">
            <v>0</v>
          </cell>
          <cell r="AF64">
            <v>0</v>
          </cell>
          <cell r="AG64">
            <v>1104</v>
          </cell>
          <cell r="AH64">
            <v>0</v>
          </cell>
          <cell r="AI64">
            <v>0</v>
          </cell>
          <cell r="AJ64">
            <v>1176</v>
          </cell>
          <cell r="AK64">
            <v>0</v>
          </cell>
          <cell r="AL64">
            <v>0</v>
          </cell>
        </row>
      </sheetData>
      <sheetData sheetId="27"/>
      <sheetData sheetId="28"/>
      <sheetData sheetId="29">
        <row r="41">
          <cell r="U41">
            <v>34204.175860000003</v>
          </cell>
          <cell r="W41">
            <v>0</v>
          </cell>
          <cell r="X41">
            <v>21844.362119974827</v>
          </cell>
          <cell r="Y41">
            <v>0</v>
          </cell>
          <cell r="Z41">
            <v>322.13178188311537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5395.7073465421827</v>
          </cell>
          <cell r="AF41">
            <v>0</v>
          </cell>
          <cell r="AG41">
            <v>0</v>
          </cell>
          <cell r="AH41">
            <v>6641.9746115998778</v>
          </cell>
          <cell r="AI41">
            <v>0</v>
          </cell>
        </row>
      </sheetData>
      <sheetData sheetId="30">
        <row r="238">
          <cell r="U238">
            <v>578248.03616099991</v>
          </cell>
          <cell r="W238">
            <v>331112.56349603494</v>
          </cell>
          <cell r="X238">
            <v>43331.46147316436</v>
          </cell>
          <cell r="Y238">
            <v>134693.00520949659</v>
          </cell>
          <cell r="Z238">
            <v>1615.9873687081429</v>
          </cell>
          <cell r="AA238">
            <v>0</v>
          </cell>
          <cell r="AB238">
            <v>0</v>
          </cell>
          <cell r="AC238">
            <v>0</v>
          </cell>
          <cell r="AD238">
            <v>41801.277478809287</v>
          </cell>
          <cell r="AE238">
            <v>11687.061968914899</v>
          </cell>
          <cell r="AF238">
            <v>0</v>
          </cell>
          <cell r="AG238">
            <v>0</v>
          </cell>
          <cell r="AH238">
            <v>14006.679165871685</v>
          </cell>
          <cell r="AI238">
            <v>0</v>
          </cell>
          <cell r="AJ238">
            <v>0</v>
          </cell>
        </row>
      </sheetData>
      <sheetData sheetId="31">
        <row r="28">
          <cell r="V28">
            <v>12600</v>
          </cell>
          <cell r="X28">
            <v>7214.9286104768316</v>
          </cell>
          <cell r="Y28">
            <v>944.19069399114437</v>
          </cell>
          <cell r="Z28">
            <v>2934.9548282203409</v>
          </cell>
          <cell r="AA28">
            <v>35.212295714660101</v>
          </cell>
          <cell r="AB28">
            <v>0</v>
          </cell>
          <cell r="AC28">
            <v>0</v>
          </cell>
          <cell r="AD28">
            <v>0</v>
          </cell>
          <cell r="AE28">
            <v>910.84805013734729</v>
          </cell>
          <cell r="AF28">
            <v>254.6605809264303</v>
          </cell>
          <cell r="AG28">
            <v>0</v>
          </cell>
          <cell r="AH28">
            <v>0</v>
          </cell>
          <cell r="AI28">
            <v>305.20494053324416</v>
          </cell>
          <cell r="AJ28">
            <v>0</v>
          </cell>
          <cell r="AK28">
            <v>0</v>
          </cell>
        </row>
      </sheetData>
      <sheetData sheetId="32">
        <row r="28">
          <cell r="V28">
            <v>8000</v>
          </cell>
          <cell r="X28">
            <v>4580.9070542710042</v>
          </cell>
          <cell r="Y28">
            <v>599.48615491501232</v>
          </cell>
          <cell r="Z28">
            <v>1863.4633829970421</v>
          </cell>
          <cell r="AA28">
            <v>22.357013152165148</v>
          </cell>
          <cell r="AB28">
            <v>0</v>
          </cell>
          <cell r="AC28">
            <v>0</v>
          </cell>
          <cell r="AD28">
            <v>0</v>
          </cell>
          <cell r="AE28">
            <v>578.31622230942685</v>
          </cell>
          <cell r="AF28">
            <v>161.68925773106687</v>
          </cell>
          <cell r="AG28">
            <v>0</v>
          </cell>
          <cell r="AH28">
            <v>0</v>
          </cell>
          <cell r="AI28">
            <v>193.78091462428202</v>
          </cell>
          <cell r="AJ28">
            <v>0</v>
          </cell>
          <cell r="AK28">
            <v>0</v>
          </cell>
        </row>
      </sheetData>
      <sheetData sheetId="33">
        <row r="128">
          <cell r="U128">
            <v>65485.585120000011</v>
          </cell>
          <cell r="X128">
            <v>38087.266213601048</v>
          </cell>
          <cell r="Y128">
            <v>4049.7745662109683</v>
          </cell>
          <cell r="Z128">
            <v>15493.487448371867</v>
          </cell>
          <cell r="AA128">
            <v>151.0307827758229</v>
          </cell>
          <cell r="AB128">
            <v>494.35577946798594</v>
          </cell>
          <cell r="AC128">
            <v>0</v>
          </cell>
          <cell r="AD128">
            <v>0</v>
          </cell>
          <cell r="AE128">
            <v>4808.3236908740273</v>
          </cell>
          <cell r="AF128">
            <v>1092.2771747441523</v>
          </cell>
          <cell r="AG128">
            <v>0</v>
          </cell>
          <cell r="AH128">
            <v>0</v>
          </cell>
          <cell r="AI128">
            <v>1309.069463954128</v>
          </cell>
          <cell r="AJ128">
            <v>0</v>
          </cell>
          <cell r="AK128">
            <v>0</v>
          </cell>
        </row>
      </sheetData>
      <sheetData sheetId="34"/>
      <sheetData sheetId="35"/>
      <sheetData sheetId="36"/>
      <sheetData sheetId="37">
        <row r="17">
          <cell r="K17">
            <v>2255956.2000000002</v>
          </cell>
          <cell r="R17">
            <v>1095014.3999999999</v>
          </cell>
          <cell r="Y17">
            <v>169796.08799999999</v>
          </cell>
          <cell r="AF17">
            <v>575360</v>
          </cell>
          <cell r="AM17">
            <v>7236.9279999999999</v>
          </cell>
          <cell r="AT17">
            <v>13324.499999999998</v>
          </cell>
          <cell r="BA17">
            <v>0</v>
          </cell>
          <cell r="BH17">
            <v>0</v>
          </cell>
          <cell r="BO17">
            <v>288000</v>
          </cell>
          <cell r="BV17">
            <v>52338.544000000002</v>
          </cell>
          <cell r="CC17">
            <v>0</v>
          </cell>
          <cell r="CJ17">
            <v>0</v>
          </cell>
          <cell r="CQ17">
            <v>54885.739999999983</v>
          </cell>
          <cell r="CX17">
            <v>0</v>
          </cell>
          <cell r="DE17">
            <v>0</v>
          </cell>
        </row>
        <row r="23">
          <cell r="K23">
            <v>1261441.8485410002</v>
          </cell>
          <cell r="R23">
            <v>689924.65938003862</v>
          </cell>
          <cell r="Y23">
            <v>124118.11643149066</v>
          </cell>
          <cell r="AF23">
            <v>279372.39353992313</v>
          </cell>
          <cell r="AM23">
            <v>4327.1528051920113</v>
          </cell>
          <cell r="AT23">
            <v>4780.5122027735042</v>
          </cell>
          <cell r="BA23">
            <v>0</v>
          </cell>
          <cell r="BH23">
            <v>0</v>
          </cell>
          <cell r="BO23">
            <v>88883.772048716826</v>
          </cell>
          <cell r="BV23">
            <v>31924.417066587164</v>
          </cell>
          <cell r="CC23">
            <v>0</v>
          </cell>
          <cell r="CJ23">
            <v>0</v>
          </cell>
          <cell r="CQ23">
            <v>38110.825066277721</v>
          </cell>
          <cell r="CX23">
            <v>0</v>
          </cell>
          <cell r="DE23">
            <v>0</v>
          </cell>
        </row>
      </sheetData>
      <sheetData sheetId="38">
        <row r="11">
          <cell r="A11">
            <v>33.549636696164583</v>
          </cell>
          <cell r="B11" t="str">
            <v>Frais</v>
          </cell>
        </row>
        <row r="12">
          <cell r="A12">
            <v>26.45036330383542</v>
          </cell>
          <cell r="B12" t="str">
            <v>Bénéfice</v>
          </cell>
        </row>
        <row r="13">
          <cell r="A13">
            <v>40</v>
          </cell>
          <cell r="B13" t="str">
            <v>Bonus</v>
          </cell>
        </row>
        <row r="14">
          <cell r="A14">
            <v>100</v>
          </cell>
        </row>
        <row r="17">
          <cell r="D17">
            <v>90.600650602409644</v>
          </cell>
        </row>
      </sheetData>
      <sheetData sheetId="39"/>
      <sheetData sheetId="40"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</sheetData>
      <sheetData sheetId="41">
        <row r="11">
          <cell r="A11">
            <v>11</v>
          </cell>
        </row>
        <row r="12">
          <cell r="A12">
            <v>12</v>
          </cell>
        </row>
        <row r="13">
          <cell r="A13">
            <v>13</v>
          </cell>
        </row>
        <row r="14">
          <cell r="A14">
            <v>14</v>
          </cell>
        </row>
      </sheetData>
      <sheetData sheetId="42">
        <row r="13">
          <cell r="A13" t="str">
            <v>Tranche %</v>
          </cell>
        </row>
        <row r="14">
          <cell r="A14">
            <v>33.549636696164583</v>
          </cell>
        </row>
      </sheetData>
      <sheetData sheetId="43"/>
      <sheetData sheetId="44">
        <row r="3">
          <cell r="A3" t="str">
            <v>Étiquettes de lignes</v>
          </cell>
        </row>
        <row r="11">
          <cell r="A11" t="str">
            <v>31-mai</v>
          </cell>
        </row>
        <row r="12">
          <cell r="A12" t="str">
            <v>30-juin</v>
          </cell>
        </row>
        <row r="13">
          <cell r="A13" t="str">
            <v>31-juil</v>
          </cell>
        </row>
        <row r="14">
          <cell r="A14" t="str">
            <v>3-Chape directe</v>
          </cell>
        </row>
      </sheetData>
      <sheetData sheetId="45">
        <row r="2">
          <cell r="C2">
            <v>72655.48</v>
          </cell>
          <cell r="D2">
            <v>34270</v>
          </cell>
          <cell r="E2">
            <v>546</v>
          </cell>
          <cell r="F2">
            <v>38385.480000000003</v>
          </cell>
          <cell r="G2">
            <v>27808</v>
          </cell>
        </row>
      </sheetData>
      <sheetData sheetId="4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NAUTILUX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NAUTILUX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namique-Vision - André CAFFIN" refreshedDate="43335.977843055553" createdVersion="6" refreshedVersion="6" minRefreshableVersion="3" recordCount="168" xr:uid="{41640986-B821-4486-B833-973DDB159A2F}">
  <cacheSource type="worksheet">
    <worksheetSource name="Source_FG" r:id="rId2"/>
  </cacheSource>
  <cacheFields count="17">
    <cacheField name="Mois" numFmtId="0">
      <sharedItems containsSemiMixedTypes="0" containsNonDate="0" containsDate="1" containsString="0" minDate="2018-04-30T00:00:00" maxDate="2019-04-01T00:00:00" count="12">
        <d v="2018-04-30T00:00:00"/>
        <d v="2018-05-31T00:00:00"/>
        <d v="2018-06-30T00:00:00"/>
        <d v="2018-07-31T00:00:00"/>
        <d v="2018-08-31T00:00:00"/>
        <d v="2018-09-30T00:00:00"/>
        <d v="2018-10-31T00:00:00"/>
        <d v="2018-11-30T00:00:00"/>
        <d v="2018-12-31T00:00:00"/>
        <d v="2019-01-31T00:00:00"/>
        <d v="2019-02-28T00:00:00"/>
        <d v="2019-03-31T00:00:00"/>
      </sharedItems>
      <fieldGroup par="16" base="0">
        <rangePr groupBy="days" startDate="2018-04-30T00:00:00" endDate="2019-04-01T00:00:00"/>
        <groupItems count="368">
          <s v="&lt;30/04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4/2019"/>
        </groupItems>
      </fieldGroup>
    </cacheField>
    <cacheField name="Activité" numFmtId="0">
      <sharedItems count="14">
        <s v="1-Mousse Directe"/>
        <s v="2-Mousse commer."/>
        <s v="3-Chape directe"/>
        <s v="4-Chape Commer."/>
        <s v="5-DUOVAC directe"/>
        <s v="6-DUOVAC Commer."/>
        <s v="7-Carrelage Directe"/>
        <s v="8-Etude Thermique Directe"/>
        <s v="9-Chaudière Commer."/>
        <s v="10-Chaudière Directe"/>
        <s v="11-Réparation Plomberie"/>
        <s v="12-Carrelage Commer."/>
        <s v="13-Activité 13"/>
        <s v="14-Activité 14"/>
      </sharedItems>
    </cacheField>
    <cacheField name="Frais fixes" numFmtId="0">
      <sharedItems containsSemiMixedTypes="0" containsString="0" containsNumber="1" minValue="0" maxValue="20045.254042231918"/>
    </cacheField>
    <cacheField name="Frais variables" numFmtId="0">
      <sharedItems containsSemiMixedTypes="0" containsString="0" containsNumber="1" minValue="0" maxValue="8161.0571901543353"/>
    </cacheField>
    <cacheField name="Crédits bails" numFmtId="0">
      <sharedItems containsSemiMixedTypes="0" containsString="0" containsNumber="1" minValue="0" maxValue="690.66337849423508"/>
    </cacheField>
    <cacheField name="Agents commerciaux" numFmtId="0">
      <sharedItems containsSemiMixedTypes="0" containsString="0" containsNumber="1" minValue="0" maxValue="329.1210467343767"/>
    </cacheField>
    <cacheField name="Frais commerciaux" numFmtId="0">
      <sharedItems containsSemiMixedTypes="0" containsString="0" containsNumber="1" minValue="0" maxValue="1430.1549468741321"/>
    </cacheField>
    <cacheField name="Sous-traitance MO" numFmtId="0">
      <sharedItems containsSemiMixedTypes="0" containsString="0" containsNumber="1" minValue="0" maxValue="546.25830604875478"/>
    </cacheField>
    <cacheField name="Intérimaires" numFmtId="0">
      <sharedItems containsSemiMixedTypes="0" containsString="0" containsNumber="1" minValue="0" maxValue="860.35683202678877"/>
    </cacheField>
    <cacheField name="DOTATIONS AUX AMORTISSEMENTS" numFmtId="0">
      <sharedItems containsSemiMixedTypes="0" containsString="0" containsNumber="1" minValue="0" maxValue="6398.8865576398557"/>
    </cacheField>
    <cacheField name="Productifs" numFmtId="0">
      <sharedItems containsSemiMixedTypes="0" containsString="0" containsNumber="1" minValue="0" maxValue="39484.099088665869"/>
    </cacheField>
    <cacheField name="Administratifs et autres" numFmtId="0">
      <sharedItems containsSemiMixedTypes="0" containsString="0" containsNumber="1" minValue="0" maxValue="4541.7829432866802"/>
    </cacheField>
    <cacheField name="Salaires commerciaux" numFmtId="0">
      <sharedItems containsSemiMixedTypes="0" containsString="0" containsNumber="1" minValue="0" maxValue="2604.8693210764072"/>
    </cacheField>
    <cacheField name="Autres charges du personnel" numFmtId="0">
      <sharedItems containsSemiMixedTypes="0" containsString="0" containsNumber="1" minValue="0" maxValue="651.94133317526041"/>
    </cacheField>
    <cacheField name="Frais financiers" numFmtId="0">
      <sharedItems containsSemiMixedTypes="0" containsString="0" containsNumber="1" minValue="0" maxValue="825.19751668502499"/>
    </cacheField>
    <cacheField name="Charges exceptionnelles" numFmtId="0">
      <sharedItems containsSemiMixedTypes="0" containsString="0" containsNumber="1" minValue="0" maxValue="65.780370655287228"/>
    </cacheField>
    <cacheField name="Mois2" numFmtId="0" databaseField="0">
      <fieldGroup base="0">
        <rangePr groupBy="months" startDate="2018-04-30T00:00:00" endDate="2019-04-01T00:00:00"/>
        <groupItems count="14">
          <s v="&lt;30/04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4/2019"/>
        </groupItems>
      </fieldGroup>
    </cacheField>
  </cacheFields>
  <extLst>
    <ext xmlns:x14="http://schemas.microsoft.com/office/spreadsheetml/2009/9/main" uri="{725AE2AE-9491-48be-B2B4-4EB974FC3084}">
      <x14:pivotCacheDefinition pivotCacheId="1148190190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namique-Vision - André CAFFIN" refreshedDate="43335.977842708337" createdVersion="6" refreshedVersion="6" minRefreshableVersion="3" recordCount="96" xr:uid="{BD023492-74DA-4E9A-B36E-885BB2158720}">
  <cacheSource type="worksheet">
    <worksheetSource name="TDATA_DOC" r:id="rId2"/>
  </cacheSource>
  <cacheFields count="200">
    <cacheField name="Index" numFmtId="0">
      <sharedItems containsSemiMixedTypes="0" containsString="0" containsNumber="1" containsInteger="1" minValue="1" maxValue="97"/>
    </cacheField>
    <cacheField name="Date" numFmtId="14">
      <sharedItems containsSemiMixedTypes="0" containsNonDate="0" containsDate="1" containsString="0" minDate="2018-01-01T00:00:00" maxDate="2018-08-12T00:00:00" count="14">
        <d v="2018-01-01T00:00:00"/>
        <d v="2018-02-01T00:00:00"/>
        <d v="2018-03-01T00:00:00"/>
        <d v="2018-04-10T00:00:00"/>
        <d v="2018-05-15T00:00:00"/>
        <d v="2018-06-15T00:00:00"/>
        <d v="2018-07-16T00:00:00"/>
        <d v="2018-07-17T00:00:00"/>
        <d v="2018-08-06T00:00:00"/>
        <d v="2018-06-08T00:00:00"/>
        <d v="2018-02-08T00:00:00"/>
        <d v="2018-08-09T00:00:00"/>
        <d v="2018-08-10T00:00:00"/>
        <d v="2018-08-11T00:00:00"/>
      </sharedItems>
    </cacheField>
    <cacheField name="Statut" numFmtId="0">
      <sharedItems/>
    </cacheField>
    <cacheField name="Nom client" numFmtId="0">
      <sharedItems/>
    </cacheField>
    <cacheField name="Prénom" numFmtId="0">
      <sharedItems containsBlank="1"/>
    </cacheField>
    <cacheField name="Nom Représentant" numFmtId="0">
      <sharedItems containsBlank="1"/>
    </cacheField>
    <cacheField name="Prénom Respresentant" numFmtId="0">
      <sharedItems containsBlank="1"/>
    </cacheField>
    <cacheField name="Adresse" numFmtId="0">
      <sharedItems/>
    </cacheField>
    <cacheField name="Code Postal" numFmtId="0">
      <sharedItems containsSemiMixedTypes="0" containsString="0" containsNumber="1" containsInteger="1" minValue="2500" maxValue="39100"/>
    </cacheField>
    <cacheField name="Ville" numFmtId="0">
      <sharedItems/>
    </cacheField>
    <cacheField name="Tel" numFmtId="0">
      <sharedItems containsBlank="1" containsMixedTypes="1" containsNumber="1" containsInteger="1" minValue="373739820" maxValue="385456896"/>
    </cacheField>
    <cacheField name="N° Affaire" numFmtId="0">
      <sharedItems containsBlank="1" containsMixedTypes="1" containsNumber="1" containsInteger="1" minValue="321" maxValue="1818654"/>
    </cacheField>
    <cacheField name="Ref Affaire" numFmtId="0">
      <sharedItems containsBlank="1" containsMixedTypes="1" containsNumber="1" containsInteger="1" minValue="984" maxValue="1233132131"/>
    </cacheField>
    <cacheField name="Type Doc" numFmtId="0">
      <sharedItems count="7">
        <s v="Facture"/>
        <s v="Devis"/>
        <s v="Avoir"/>
        <s v="Situation"/>
        <s v="Reprise"/>
        <s v="Commande" u="1"/>
        <s v="Bon de livraison" u="1"/>
      </sharedItems>
    </cacheField>
    <cacheField name="Numéro Doc" numFmtId="0">
      <sharedItems containsBlank="1" containsMixedTypes="1" containsNumber="1" minValue="52.131300000000003" maxValue="3123131"/>
    </cacheField>
    <cacheField name="TTC" numFmtId="0">
      <sharedItems containsSemiMixedTypes="0" containsString="0" containsNumber="1" minValue="1" maxValue="91315.09"/>
    </cacheField>
    <cacheField name="HT" numFmtId="0">
      <sharedItems containsSemiMixedTypes="0" containsString="0" containsNumber="1" minValue="1" maxValue="55352.54"/>
    </cacheField>
    <cacheField name="TVA" numFmtId="0">
      <sharedItems containsSemiMixedTypes="0" containsString="0" containsNumber="1" minValue="1" maxValue="35962.54"/>
    </cacheField>
    <cacheField name="Activité 1" numFmtId="0">
      <sharedItems/>
    </cacheField>
    <cacheField name="PA Matière1" numFmtId="0">
      <sharedItems containsSemiMixedTypes="0" containsString="0" containsNumber="1" containsInteger="1" minValue="0" maxValue="5000"/>
    </cacheField>
    <cacheField name="Marge Matière1" numFmtId="0">
      <sharedItems containsSemiMixedTypes="0" containsString="0" containsNumber="1" minValue="0" maxValue="2142.86"/>
    </cacheField>
    <cacheField name="Prix Vente Matière1" numFmtId="0">
      <sharedItems containsSemiMixedTypes="0" containsString="0" containsNumber="1" minValue="0" maxValue="7142.86"/>
    </cacheField>
    <cacheField name="% Marge Matière1" numFmtId="0">
      <sharedItems containsSemiMixedTypes="0" containsString="0" containsNumber="1" containsInteger="1" minValue="0" maxValue="50"/>
    </cacheField>
    <cacheField name="Heures1" numFmtId="0">
      <sharedItems containsSemiMixedTypes="0" containsString="0" containsNumber="1" minValue="0" maxValue="120"/>
    </cacheField>
    <cacheField name="Taux MO1" numFmtId="0">
      <sharedItems containsSemiMixedTypes="0" containsString="0" containsNumber="1" minValue="0" maxValue="120"/>
    </cacheField>
    <cacheField name="Prix Vente MO1" numFmtId="0">
      <sharedItems containsSemiMixedTypes="0" containsString="0" containsNumber="1" minValue="0" maxValue="7200"/>
    </cacheField>
    <cacheField name="Marge Brute1" numFmtId="0">
      <sharedItems containsSemiMixedTypes="0" containsString="0" containsNumber="1" minValue="0" maxValue="8271.43"/>
    </cacheField>
    <cacheField name="Indice Vision1" numFmtId="0">
      <sharedItems containsSemiMixedTypes="0" containsString="0" containsNumber="1" minValue="0" maxValue="141.69999999999999"/>
    </cacheField>
    <cacheField name="Hors Taxes1" numFmtId="0">
      <sharedItems containsSemiMixedTypes="0" containsString="0" containsNumber="1" minValue="0" maxValue="11342.86"/>
    </cacheField>
    <cacheField name="Taux TVA1" numFmtId="0">
      <sharedItems containsSemiMixedTypes="0" containsString="0" containsNumber="1" containsInteger="1" minValue="0" maxValue="20"/>
    </cacheField>
    <cacheField name="TVA1" numFmtId="0">
      <sharedItems containsSemiMixedTypes="0" containsString="0" containsNumber="1" minValue="0" maxValue="2268.5700000000002"/>
    </cacheField>
    <cacheField name="Activité 2" numFmtId="0">
      <sharedItems/>
    </cacheField>
    <cacheField name="PA Matière2" numFmtId="0">
      <sharedItems containsSemiMixedTypes="0" containsString="0" containsNumber="1" containsInteger="1" minValue="0" maxValue="4200"/>
    </cacheField>
    <cacheField name="Marge Matière2" numFmtId="0">
      <sharedItems containsSemiMixedTypes="0" containsString="0" containsNumber="1" minValue="0" maxValue="1800"/>
    </cacheField>
    <cacheField name="Prix Vente Matière2" numFmtId="0">
      <sharedItems containsSemiMixedTypes="0" containsString="0" containsNumber="1" minValue="0" maxValue="6000"/>
    </cacheField>
    <cacheField name="% Marge Matière2" numFmtId="0">
      <sharedItems containsSemiMixedTypes="0" containsString="0" containsNumber="1" containsInteger="1" minValue="0" maxValue="30"/>
    </cacheField>
    <cacheField name="Heures2" numFmtId="0">
      <sharedItems containsSemiMixedTypes="0" containsString="0" containsNumber="1" containsInteger="1" minValue="0" maxValue="70"/>
    </cacheField>
    <cacheField name="Taux MO2" numFmtId="0">
      <sharedItems containsSemiMixedTypes="0" containsString="0" containsNumber="1" containsInteger="1" minValue="0" maxValue="140"/>
    </cacheField>
    <cacheField name="Prix Vente MO2" numFmtId="0">
      <sharedItems containsSemiMixedTypes="0" containsString="0" containsNumber="1" containsInteger="1" minValue="0" maxValue="9800"/>
    </cacheField>
    <cacheField name="Marge Brute2" numFmtId="0">
      <sharedItems containsSemiMixedTypes="0" containsString="0" containsNumber="1" minValue="0" maxValue="11600"/>
    </cacheField>
    <cacheField name="Indice Vision2" numFmtId="0">
      <sharedItems containsSemiMixedTypes="0" containsString="0" containsNumber="1" minValue="0" maxValue="165.71"/>
    </cacheField>
    <cacheField name="Hors Taxes2" numFmtId="0">
      <sharedItems containsSemiMixedTypes="0" containsString="0" containsNumber="1" minValue="0" maxValue="15800"/>
    </cacheField>
    <cacheField name="Taux TVA2" numFmtId="0">
      <sharedItems containsSemiMixedTypes="0" containsString="0" containsNumber="1" containsInteger="1" minValue="0" maxValue="20"/>
    </cacheField>
    <cacheField name="TVA2" numFmtId="0">
      <sharedItems containsSemiMixedTypes="0" containsString="0" containsNumber="1" minValue="0" maxValue="3160"/>
    </cacheField>
    <cacheField name="Activité 3" numFmtId="0">
      <sharedItems/>
    </cacheField>
    <cacheField name="PA Matière3" numFmtId="0">
      <sharedItems containsSemiMixedTypes="0" containsString="0" containsNumber="1" containsInteger="1" minValue="0" maxValue="1540"/>
    </cacheField>
    <cacheField name="Marge Matière3" numFmtId="0">
      <sharedItems containsSemiMixedTypes="0" containsString="0" containsNumber="1" minValue="0" maxValue="660"/>
    </cacheField>
    <cacheField name="Prix Vente Matière3" numFmtId="0">
      <sharedItems containsSemiMixedTypes="0" containsString="0" containsNumber="1" minValue="0" maxValue="2200"/>
    </cacheField>
    <cacheField name="% Marge Matière3" numFmtId="0">
      <sharedItems containsSemiMixedTypes="0" containsString="0" containsNumber="1" containsInteger="1" minValue="0" maxValue="30"/>
    </cacheField>
    <cacheField name="Heures3" numFmtId="0">
      <sharedItems containsSemiMixedTypes="0" containsString="0" containsNumber="1" containsInteger="1" minValue="0" maxValue="30"/>
    </cacheField>
    <cacheField name="Taux MO3" numFmtId="0">
      <sharedItems containsSemiMixedTypes="0" containsString="0" containsNumber="1" containsInteger="1" minValue="0" maxValue="80"/>
    </cacheField>
    <cacheField name="Prix Vente MO3" numFmtId="0">
      <sharedItems containsSemiMixedTypes="0" containsString="0" containsNumber="1" containsInteger="1" minValue="0" maxValue="1088"/>
    </cacheField>
    <cacheField name="Marge Brute3" numFmtId="0">
      <sharedItems containsSemiMixedTypes="0" containsString="0" containsNumber="1" minValue="0" maxValue="1560"/>
    </cacheField>
    <cacheField name="Indice Vision3" numFmtId="0">
      <sharedItems containsSemiMixedTypes="0" containsString="0" containsNumber="1" minValue="0" maxValue="144.29"/>
    </cacheField>
    <cacheField name="Hors Taxes3" numFmtId="0">
      <sharedItems containsSemiMixedTypes="0" containsString="0" containsNumber="1" minValue="0" maxValue="3100"/>
    </cacheField>
    <cacheField name="Taux TVA3" numFmtId="0">
      <sharedItems containsSemiMixedTypes="0" containsString="0" containsNumber="1" containsInteger="1" minValue="0" maxValue="30"/>
    </cacheField>
    <cacheField name="TVA3" numFmtId="0">
      <sharedItems containsSemiMixedTypes="0" containsString="0" containsNumber="1" minValue="0" maxValue="620"/>
    </cacheField>
    <cacheField name="Activité 4" numFmtId="0">
      <sharedItems/>
    </cacheField>
    <cacheField name="PA Matière4" numFmtId="0">
      <sharedItems containsSemiMixedTypes="0" containsString="0" containsNumber="1" containsInteger="1" minValue="0" maxValue="2500"/>
    </cacheField>
    <cacheField name="Marge Matière4" numFmtId="0">
      <sharedItems containsSemiMixedTypes="0" containsString="0" containsNumber="1" minValue="0" maxValue="1071.43"/>
    </cacheField>
    <cacheField name="Prix Vente Matière4" numFmtId="0">
      <sharedItems containsSemiMixedTypes="0" containsString="0" containsNumber="1" minValue="0" maxValue="3571.43"/>
    </cacheField>
    <cacheField name="% Marge Matière4" numFmtId="0">
      <sharedItems containsSemiMixedTypes="0" containsString="0" containsNumber="1" containsInteger="1" minValue="0" maxValue="40"/>
    </cacheField>
    <cacheField name="Heures4" numFmtId="0">
      <sharedItems containsSemiMixedTypes="0" containsString="0" containsNumber="1" containsInteger="1" minValue="0" maxValue="40"/>
    </cacheField>
    <cacheField name="Taux MO4" numFmtId="0">
      <sharedItems containsSemiMixedTypes="0" containsString="0" containsNumber="1" containsInteger="1" minValue="0" maxValue="70"/>
    </cacheField>
    <cacheField name="Prix Vente MO4" numFmtId="0">
      <sharedItems containsSemiMixedTypes="0" containsString="0" containsNumber="1" containsInteger="1" minValue="0" maxValue="2100"/>
    </cacheField>
    <cacheField name="Marge Brute4" numFmtId="0">
      <sharedItems containsSemiMixedTypes="0" containsString="0" containsNumber="1" minValue="0" maxValue="2357.14"/>
    </cacheField>
    <cacheField name="Indice Vision4" numFmtId="0">
      <sharedItems containsSemiMixedTypes="0" containsString="0" containsNumber="1" minValue="0" maxValue="167.14"/>
    </cacheField>
    <cacheField name="Hors Taxes4" numFmtId="0">
      <sharedItems containsSemiMixedTypes="0" containsString="0" containsNumber="1" minValue="0" maxValue="4171.43"/>
    </cacheField>
    <cacheField name="Taux TVA4" numFmtId="0">
      <sharedItems containsSemiMixedTypes="0" containsString="0" containsNumber="1" containsInteger="1" minValue="0" maxValue="40"/>
    </cacheField>
    <cacheField name="TVA4" numFmtId="0">
      <sharedItems containsSemiMixedTypes="0" containsString="0" containsNumber="1" minValue="0" maxValue="906.67"/>
    </cacheField>
    <cacheField name="Activité 5" numFmtId="0">
      <sharedItems/>
    </cacheField>
    <cacheField name="PA Matière5" numFmtId="0">
      <sharedItems containsSemiMixedTypes="0" containsString="0" containsNumber="1" containsInteger="1" minValue="0" maxValue="1000"/>
    </cacheField>
    <cacheField name="Marge Matière5" numFmtId="0">
      <sharedItems containsSemiMixedTypes="0" containsString="0" containsNumber="1" minValue="0" maxValue="500"/>
    </cacheField>
    <cacheField name="Prix Vente Matière5" numFmtId="0">
      <sharedItems containsSemiMixedTypes="0" containsString="0" containsNumber="1" minValue="0" maxValue="1428.57"/>
    </cacheField>
    <cacheField name="% Marge Matière5" numFmtId="0">
      <sharedItems containsSemiMixedTypes="0" containsString="0" containsNumber="1" containsInteger="1" minValue="0" maxValue="50"/>
    </cacheField>
    <cacheField name="Heures5" numFmtId="0">
      <sharedItems containsSemiMixedTypes="0" containsString="0" containsNumber="1" containsInteger="1" minValue="0" maxValue="50"/>
    </cacheField>
    <cacheField name="Taux MO5" numFmtId="0">
      <sharedItems containsSemiMixedTypes="0" containsString="0" containsNumber="1" containsInteger="1" minValue="0" maxValue="65"/>
    </cacheField>
    <cacheField name="Prix Vente MO5" numFmtId="0">
      <sharedItems containsSemiMixedTypes="0" containsString="0" containsNumber="1" containsInteger="1" minValue="0" maxValue="2500"/>
    </cacheField>
    <cacheField name="Marge Brute5" numFmtId="0">
      <sharedItems containsSemiMixedTypes="0" containsString="0" containsNumber="1" minValue="0" maxValue="3000"/>
    </cacheField>
    <cacheField name="Indice Vision5" numFmtId="0">
      <sharedItems containsSemiMixedTypes="0" containsString="0" containsNumber="1" minValue="0" maxValue="66.760000000000005"/>
    </cacheField>
    <cacheField name="Hors Taxes5" numFmtId="0">
      <sharedItems containsSemiMixedTypes="0" containsString="0" containsNumber="1" minValue="0" maxValue="3500"/>
    </cacheField>
    <cacheField name="Taux TVA5" numFmtId="0">
      <sharedItems containsSemiMixedTypes="0" containsString="0" containsNumber="1" containsInteger="1" minValue="0" maxValue="50"/>
    </cacheField>
    <cacheField name="TVA5" numFmtId="0">
      <sharedItems containsSemiMixedTypes="0" containsString="0" containsNumber="1" minValue="0" maxValue="1750"/>
    </cacheField>
    <cacheField name="Activité 6" numFmtId="0">
      <sharedItems/>
    </cacheField>
    <cacheField name="PA Matière6" numFmtId="0">
      <sharedItems containsSemiMixedTypes="0" containsString="0" containsNumber="1" containsInteger="1" minValue="0" maxValue="2500"/>
    </cacheField>
    <cacheField name="Marge Matière6" numFmtId="0">
      <sharedItems containsSemiMixedTypes="0" containsString="0" containsNumber="1" minValue="0" maxValue="1666.67"/>
    </cacheField>
    <cacheField name="Prix Vente Matière6" numFmtId="0">
      <sharedItems containsSemiMixedTypes="0" containsString="0" containsNumber="1" minValue="0" maxValue="4166.67"/>
    </cacheField>
    <cacheField name="% Marge Matière6" numFmtId="0">
      <sharedItems containsSemiMixedTypes="0" containsString="0" containsNumber="1" containsInteger="1" minValue="0" maxValue="60"/>
    </cacheField>
    <cacheField name="Heures6" numFmtId="0">
      <sharedItems containsSemiMixedTypes="0" containsString="0" containsNumber="1" containsInteger="1" minValue="0" maxValue="60"/>
    </cacheField>
    <cacheField name="Taux MO6" numFmtId="0">
      <sharedItems containsSemiMixedTypes="0" containsString="0" containsNumber="1" containsInteger="1" minValue="0" maxValue="70"/>
    </cacheField>
    <cacheField name="Prix Vente MO6" numFmtId="0">
      <sharedItems containsSemiMixedTypes="0" containsString="0" containsNumber="1" containsInteger="1" minValue="0" maxValue="3600"/>
    </cacheField>
    <cacheField name="Marge Brute6" numFmtId="0">
      <sharedItems containsSemiMixedTypes="0" containsString="0" containsNumber="1" minValue="0" maxValue="4500"/>
    </cacheField>
    <cacheField name="Indice Vision6" numFmtId="0">
      <sharedItems containsSemiMixedTypes="0" containsString="0" containsNumber="1" minValue="0" maxValue="486.67"/>
    </cacheField>
    <cacheField name="Hors Taxes6" numFmtId="0">
      <sharedItems containsSemiMixedTypes="0" containsString="0" containsNumber="1" minValue="0" maxValue="5100"/>
    </cacheField>
    <cacheField name="Taux TVA6" numFmtId="0">
      <sharedItems containsSemiMixedTypes="0" containsString="0" containsNumber="1" containsInteger="1" minValue="0" maxValue="60"/>
    </cacheField>
    <cacheField name="TVA6" numFmtId="0">
      <sharedItems containsSemiMixedTypes="0" containsString="0" containsNumber="1" minValue="0" maxValue="3060"/>
    </cacheField>
    <cacheField name="Activité 7" numFmtId="0">
      <sharedItems/>
    </cacheField>
    <cacheField name="PA Matière7" numFmtId="0">
      <sharedItems containsSemiMixedTypes="0" containsString="0" containsNumber="1" containsInteger="1" minValue="0" maxValue="1450"/>
    </cacheField>
    <cacheField name="Marge Matière7" numFmtId="0">
      <sharedItems containsSemiMixedTypes="0" containsString="0" containsNumber="1" minValue="0" maxValue="1633.33"/>
    </cacheField>
    <cacheField name="Prix Vente Matière7" numFmtId="0">
      <sharedItems containsSemiMixedTypes="0" containsString="0" containsNumber="1" minValue="0" maxValue="2333.33"/>
    </cacheField>
    <cacheField name="% Marge Matière7" numFmtId="0">
      <sharedItems containsSemiMixedTypes="0" containsString="0" containsNumber="1" containsInteger="1" minValue="0" maxValue="70"/>
    </cacheField>
    <cacheField name="Heures7" numFmtId="0">
      <sharedItems containsSemiMixedTypes="0" containsString="0" containsNumber="1" containsInteger="1" minValue="0" maxValue="70"/>
    </cacheField>
    <cacheField name="Taux MO7" numFmtId="0">
      <sharedItems containsSemiMixedTypes="0" containsString="0" containsNumber="1" containsInteger="1" minValue="0" maxValue="70"/>
    </cacheField>
    <cacheField name="Prix Vente MO7" numFmtId="0">
      <sharedItems containsSemiMixedTypes="0" containsString="0" containsNumber="1" containsInteger="1" minValue="0" maxValue="4900"/>
    </cacheField>
    <cacheField name="Marge Brute7" numFmtId="0">
      <sharedItems containsSemiMixedTypes="0" containsString="0" containsNumber="1" minValue="0" maxValue="6533.33"/>
    </cacheField>
    <cacheField name="Indice Vision7" numFmtId="0">
      <sharedItems containsSemiMixedTypes="0" containsString="0" containsNumber="1" minValue="0" maxValue="108.84"/>
    </cacheField>
    <cacheField name="Hors Taxes7" numFmtId="0">
      <sharedItems containsSemiMixedTypes="0" containsString="0" containsNumber="1" minValue="0" maxValue="7233.33"/>
    </cacheField>
    <cacheField name="Taux TVA7" numFmtId="0">
      <sharedItems containsSemiMixedTypes="0" containsString="0" containsNumber="1" containsInteger="1" minValue="0" maxValue="70"/>
    </cacheField>
    <cacheField name="TVA7" numFmtId="0">
      <sharedItems containsSemiMixedTypes="0" containsString="0" containsNumber="1" minValue="0" maxValue="5063.33"/>
    </cacheField>
    <cacheField name="Activité 8" numFmtId="0">
      <sharedItems/>
    </cacheField>
    <cacheField name="PA Matière8" numFmtId="0">
      <sharedItems containsSemiMixedTypes="0" containsString="0" containsNumber="1" containsInteger="1" minValue="0" maxValue="800"/>
    </cacheField>
    <cacheField name="Marge Matière8" numFmtId="0">
      <sharedItems containsSemiMixedTypes="0" containsString="0" containsNumber="1" minValue="0" maxValue="3200"/>
    </cacheField>
    <cacheField name="Prix Vente Matière8" numFmtId="0">
      <sharedItems containsSemiMixedTypes="0" containsString="0" containsNumber="1" minValue="0" maxValue="4000"/>
    </cacheField>
    <cacheField name="% Marge Matière8" numFmtId="0">
      <sharedItems containsSemiMixedTypes="0" containsString="0" containsNumber="1" containsInteger="1" minValue="0" maxValue="80"/>
    </cacheField>
    <cacheField name="Heures8" numFmtId="0">
      <sharedItems containsSemiMixedTypes="0" containsString="0" containsNumber="1" containsInteger="1" minValue="0" maxValue="80"/>
    </cacheField>
    <cacheField name="Taux MO8" numFmtId="0">
      <sharedItems containsSemiMixedTypes="0" containsString="0" containsNumber="1" containsInteger="1" minValue="0" maxValue="80"/>
    </cacheField>
    <cacheField name="Prix Vente MO8" numFmtId="0">
      <sharedItems containsSemiMixedTypes="0" containsString="0" containsNumber="1" containsInteger="1" minValue="0" maxValue="6400"/>
    </cacheField>
    <cacheField name="Marge Brute8" numFmtId="0">
      <sharedItems containsSemiMixedTypes="0" containsString="0" containsNumber="1" minValue="0" maxValue="9600"/>
    </cacheField>
    <cacheField name="Indice Vision8" numFmtId="0">
      <sharedItems containsSemiMixedTypes="0" containsString="0" containsNumber="1" minValue="0" maxValue="120"/>
    </cacheField>
    <cacheField name="Hors Taxes8" numFmtId="0">
      <sharedItems containsSemiMixedTypes="0" containsString="0" containsNumber="1" minValue="0" maxValue="10400"/>
    </cacheField>
    <cacheField name="Taux TVA8" numFmtId="0">
      <sharedItems containsSemiMixedTypes="0" containsString="0" containsNumber="1" containsInteger="1" minValue="0" maxValue="80"/>
    </cacheField>
    <cacheField name="TVA8" numFmtId="0">
      <sharedItems containsSemiMixedTypes="0" containsString="0" containsNumber="1" minValue="0" maxValue="8320"/>
    </cacheField>
    <cacheField name="Activité 9" numFmtId="0">
      <sharedItems/>
    </cacheField>
    <cacheField name="PA Matière9" numFmtId="0">
      <sharedItems containsSemiMixedTypes="0" containsString="0" containsNumber="1" containsInteger="1" minValue="0" maxValue="900"/>
    </cacheField>
    <cacheField name="Marge Matière9" numFmtId="0">
      <sharedItems containsSemiMixedTypes="0" containsString="0" containsNumber="1" minValue="0" maxValue="8100"/>
    </cacheField>
    <cacheField name="Prix Vente Matière9" numFmtId="0">
      <sharedItems containsSemiMixedTypes="0" containsString="0" containsNumber="1" minValue="0" maxValue="9000"/>
    </cacheField>
    <cacheField name="% Marge Matière9" numFmtId="0">
      <sharedItems containsSemiMixedTypes="0" containsString="0" containsNumber="1" containsInteger="1" minValue="0" maxValue="90"/>
    </cacheField>
    <cacheField name="Heures9" numFmtId="0">
      <sharedItems containsSemiMixedTypes="0" containsString="0" containsNumber="1" containsInteger="1" minValue="0" maxValue="90"/>
    </cacheField>
    <cacheField name="Taux MO9" numFmtId="0">
      <sharedItems containsSemiMixedTypes="0" containsString="0" containsNumber="1" containsInteger="1" minValue="0" maxValue="90"/>
    </cacheField>
    <cacheField name="Prix Vente MO9" numFmtId="0">
      <sharedItems containsSemiMixedTypes="0" containsString="0" containsNumber="1" containsInteger="1" minValue="0" maxValue="8100"/>
    </cacheField>
    <cacheField name="Marge Brute9" numFmtId="0">
      <sharedItems containsSemiMixedTypes="0" containsString="0" containsNumber="1" minValue="0" maxValue="16200"/>
    </cacheField>
    <cacheField name="Indice Vision9" numFmtId="0">
      <sharedItems containsSemiMixedTypes="0" containsString="0" containsNumber="1" minValue="0" maxValue="180"/>
    </cacheField>
    <cacheField name="Hors Taxes9" numFmtId="0">
      <sharedItems containsSemiMixedTypes="0" containsString="0" containsNumber="1" minValue="0" maxValue="17100"/>
    </cacheField>
    <cacheField name="Taux TVA9" numFmtId="0">
      <sharedItems containsSemiMixedTypes="0" containsString="0" containsNumber="1" containsInteger="1" minValue="0" maxValue="90"/>
    </cacheField>
    <cacheField name="TVA9" numFmtId="0">
      <sharedItems containsSemiMixedTypes="0" containsString="0" containsNumber="1" minValue="0" maxValue="15390"/>
    </cacheField>
    <cacheField name="Activité 10" numFmtId="0">
      <sharedItems/>
    </cacheField>
    <cacheField name="PA Matière10" numFmtId="0">
      <sharedItems containsSemiMixedTypes="0" containsString="0" containsNumber="1" containsInteger="1" minValue="0" maxValue="1000"/>
    </cacheField>
    <cacheField name="Marge Matière10" numFmtId="0">
      <sharedItems containsSemiMixedTypes="0" containsString="0" containsNumber="1" minValue="0" maxValue="111.11"/>
    </cacheField>
    <cacheField name="Prix Vente Matière10" numFmtId="0">
      <sharedItems containsSemiMixedTypes="0" containsString="0" containsNumber="1" minValue="0" maxValue="1111.1099999999999"/>
    </cacheField>
    <cacheField name="% Marge Matière10" numFmtId="0">
      <sharedItems containsSemiMixedTypes="0" containsString="0" containsNumber="1" containsInteger="1" minValue="0" maxValue="20"/>
    </cacheField>
    <cacheField name="Heures10" numFmtId="0">
      <sharedItems containsSemiMixedTypes="0" containsString="0" containsNumber="1" containsInteger="1" minValue="0" maxValue="20"/>
    </cacheField>
    <cacheField name="Taux MO10" numFmtId="0">
      <sharedItems containsSemiMixedTypes="0" containsString="0" containsNumber="1" containsInteger="1" minValue="0" maxValue="70"/>
    </cacheField>
    <cacheField name="Prix Vente MO10" numFmtId="0">
      <sharedItems containsSemiMixedTypes="0" containsString="0" containsNumber="1" containsInteger="1" minValue="0" maxValue="1400"/>
    </cacheField>
    <cacheField name="Marge Brute10" numFmtId="0">
      <sharedItems containsSemiMixedTypes="0" containsString="0" containsNumber="1" minValue="0" maxValue="1450"/>
    </cacheField>
    <cacheField name="Indice Vision10" numFmtId="0">
      <sharedItems containsSemiMixedTypes="0" containsString="0" containsNumber="1" minValue="0" maxValue="72.5"/>
    </cacheField>
    <cacheField name="Hors Taxes10" numFmtId="0">
      <sharedItems containsSemiMixedTypes="0" containsString="0" containsNumber="1" minValue="0" maxValue="1650"/>
    </cacheField>
    <cacheField name="Taux TVA10" numFmtId="0">
      <sharedItems containsSemiMixedTypes="0" containsString="0" containsNumber="1" containsInteger="1" minValue="0" maxValue="20"/>
    </cacheField>
    <cacheField name="TVA10" numFmtId="0">
      <sharedItems containsSemiMixedTypes="0" containsString="0" containsNumber="1" minValue="0" maxValue="330"/>
    </cacheField>
    <cacheField name="Activité 11" numFmtId="0">
      <sharedItems/>
    </cacheField>
    <cacheField name="PA Matière11" numFmtId="0">
      <sharedItems containsSemiMixedTypes="0" containsString="0" containsNumber="1" containsInteger="1" minValue="0" maxValue="1100"/>
    </cacheField>
    <cacheField name="Marge Matière11" numFmtId="0">
      <sharedItems containsSemiMixedTypes="0" containsString="0" containsNumber="1" minValue="0" maxValue="135.96"/>
    </cacheField>
    <cacheField name="Prix Vente Matière11" numFmtId="0">
      <sharedItems containsSemiMixedTypes="0" containsString="0" containsNumber="1" minValue="0" maxValue="1235.96"/>
    </cacheField>
    <cacheField name="% Marge Matière11" numFmtId="0">
      <sharedItems containsSemiMixedTypes="0" containsString="0" containsNumber="1" containsInteger="1" minValue="0" maxValue="21"/>
    </cacheField>
    <cacheField name="Heures11" numFmtId="0">
      <sharedItems containsSemiMixedTypes="0" containsString="0" containsNumber="1" containsInteger="1" minValue="0" maxValue="21"/>
    </cacheField>
    <cacheField name="Taux MO11" numFmtId="0">
      <sharedItems containsSemiMixedTypes="0" containsString="0" containsNumber="1" containsInteger="1" minValue="0" maxValue="71"/>
    </cacheField>
    <cacheField name="Prix Vente MO11" numFmtId="0">
      <sharedItems containsSemiMixedTypes="0" containsString="0" containsNumber="1" containsInteger="1" minValue="0" maxValue="1491"/>
    </cacheField>
    <cacheField name="Marge Brute11" numFmtId="0">
      <sharedItems containsSemiMixedTypes="0" containsString="0" containsNumber="1" minValue="0" maxValue="1546.82"/>
    </cacheField>
    <cacheField name="Indice Vision11" numFmtId="0">
      <sharedItems containsSemiMixedTypes="0" containsString="0" containsNumber="1" minValue="0" maxValue="73.66"/>
    </cacheField>
    <cacheField name="Hors Taxes11" numFmtId="0">
      <sharedItems containsSemiMixedTypes="0" containsString="0" containsNumber="1" minValue="0" maxValue="1756.82"/>
    </cacheField>
    <cacheField name="Taux TVA11" numFmtId="0">
      <sharedItems containsSemiMixedTypes="0" containsString="0" containsNumber="1" containsInteger="1" minValue="0" maxValue="20"/>
    </cacheField>
    <cacheField name="TVA11" numFmtId="0">
      <sharedItems containsSemiMixedTypes="0" containsString="0" containsNumber="1" minValue="0" maxValue="351.36"/>
    </cacheField>
    <cacheField name="Activité 12" numFmtId="0">
      <sharedItems/>
    </cacheField>
    <cacheField name="PA Matière12" numFmtId="0">
      <sharedItems containsSemiMixedTypes="0" containsString="0" containsNumber="1" containsInteger="1" minValue="0" maxValue="1200"/>
    </cacheField>
    <cacheField name="Marge Matière12" numFmtId="0">
      <sharedItems containsSemiMixedTypes="0" containsString="0" containsNumber="1" minValue="0" maxValue="163.63999999999999"/>
    </cacheField>
    <cacheField name="Prix Vente Matière12" numFmtId="0">
      <sharedItems containsSemiMixedTypes="0" containsString="0" containsNumber="1" minValue="0" maxValue="1363.64"/>
    </cacheField>
    <cacheField name="% Marge Matière12" numFmtId="0">
      <sharedItems containsSemiMixedTypes="0" containsString="0" containsNumber="1" containsInteger="1" minValue="0" maxValue="22"/>
    </cacheField>
    <cacheField name="Heures12" numFmtId="0">
      <sharedItems containsSemiMixedTypes="0" containsString="0" containsNumber="1" containsInteger="1" minValue="0" maxValue="22"/>
    </cacheField>
    <cacheField name="Taux MO12" numFmtId="0">
      <sharedItems containsSemiMixedTypes="0" containsString="0" containsNumber="1" containsInteger="1" minValue="0" maxValue="72"/>
    </cacheField>
    <cacheField name="Prix Vente MO12" numFmtId="0">
      <sharedItems containsSemiMixedTypes="0" containsString="0" containsNumber="1" containsInteger="1" minValue="0" maxValue="1584"/>
    </cacheField>
    <cacheField name="Marge Brute12" numFmtId="0">
      <sharedItems containsSemiMixedTypes="0" containsString="0" containsNumber="1" minValue="0" maxValue="1646.05"/>
    </cacheField>
    <cacheField name="Indice Vision12" numFmtId="0">
      <sharedItems containsSemiMixedTypes="0" containsString="0" containsNumber="1" minValue="0" maxValue="74.819999999999993"/>
    </cacheField>
    <cacheField name="Hors Taxes12" numFmtId="0">
      <sharedItems containsSemiMixedTypes="0" containsString="0" containsNumber="1" minValue="0" maxValue="1866.05"/>
    </cacheField>
    <cacheField name="Taux TVA12" numFmtId="0">
      <sharedItems containsSemiMixedTypes="0" containsString="0" containsNumber="1" containsInteger="1" minValue="0" maxValue="21"/>
    </cacheField>
    <cacheField name="TVA12" numFmtId="0">
      <sharedItems containsSemiMixedTypes="0" containsString="0" containsNumber="1" minValue="0" maxValue="373.21"/>
    </cacheField>
    <cacheField name="Activité 13" numFmtId="0">
      <sharedItems/>
    </cacheField>
    <cacheField name="PA Matière13" numFmtId="0">
      <sharedItems containsSemiMixedTypes="0" containsString="0" containsNumber="1" containsInteger="1" minValue="0" maxValue="1300"/>
    </cacheField>
    <cacheField name="Marge Matière13" numFmtId="0">
      <sharedItems containsSemiMixedTypes="0" containsString="0" containsNumber="1" minValue="0" maxValue="194.25"/>
    </cacheField>
    <cacheField name="Prix Vente Matière13" numFmtId="0">
      <sharedItems containsSemiMixedTypes="0" containsString="0" containsNumber="1" minValue="0" maxValue="1494.25"/>
    </cacheField>
    <cacheField name="% Marge Matière13" numFmtId="0">
      <sharedItems containsSemiMixedTypes="0" containsString="0" containsNumber="1" containsInteger="1" minValue="0" maxValue="23"/>
    </cacheField>
    <cacheField name="Heures13" numFmtId="0">
      <sharedItems containsSemiMixedTypes="0" containsString="0" containsNumber="1" containsInteger="1" minValue="0" maxValue="23"/>
    </cacheField>
    <cacheField name="Taux MO13" numFmtId="0">
      <sharedItems containsSemiMixedTypes="0" containsString="0" containsNumber="1" containsInteger="1" minValue="0" maxValue="73"/>
    </cacheField>
    <cacheField name="Prix Vente MO13" numFmtId="0">
      <sharedItems containsSemiMixedTypes="0" containsString="0" containsNumber="1" containsInteger="1" minValue="0" maxValue="1679"/>
    </cacheField>
    <cacheField name="Marge Brute13" numFmtId="0">
      <sharedItems containsSemiMixedTypes="0" containsString="0" containsNumber="1" minValue="0" maxValue="1747.7"/>
    </cacheField>
    <cacheField name="Indice Vision13" numFmtId="0">
      <sharedItems containsSemiMixedTypes="0" containsString="0" containsNumber="1" minValue="0" maxValue="75.989999999999995"/>
    </cacheField>
    <cacheField name="Hors Taxes13" numFmtId="0">
      <sharedItems containsSemiMixedTypes="0" containsString="0" containsNumber="1" minValue="0" maxValue="1977.7"/>
    </cacheField>
    <cacheField name="Taux TVA13" numFmtId="0">
      <sharedItems containsSemiMixedTypes="0" containsString="0" containsNumber="1" containsInteger="1" minValue="0" maxValue="22"/>
    </cacheField>
    <cacheField name="TVA13" numFmtId="0">
      <sharedItems containsSemiMixedTypes="0" containsString="0" containsNumber="1" minValue="0" maxValue="395.54"/>
    </cacheField>
    <cacheField name="Activité 14" numFmtId="0">
      <sharedItems/>
    </cacheField>
    <cacheField name="PA Matière14" numFmtId="0">
      <sharedItems containsSemiMixedTypes="0" containsString="0" containsNumber="1" containsInteger="1" minValue="0" maxValue="1400"/>
    </cacheField>
    <cacheField name="Marge Matière14" numFmtId="0">
      <sharedItems containsSemiMixedTypes="0" containsString="0" containsNumber="1" minValue="0" maxValue="227.91"/>
    </cacheField>
    <cacheField name="Prix Vente Matière14" numFmtId="0">
      <sharedItems containsSemiMixedTypes="0" containsString="0" containsNumber="1" minValue="0" maxValue="1627.91"/>
    </cacheField>
    <cacheField name="% Marge Matière14" numFmtId="0">
      <sharedItems containsSemiMixedTypes="0" containsString="0" containsNumber="1" containsInteger="1" minValue="0" maxValue="24"/>
    </cacheField>
    <cacheField name="Heures14" numFmtId="0">
      <sharedItems containsSemiMixedTypes="0" containsString="0" containsNumber="1" containsInteger="1" minValue="0" maxValue="24"/>
    </cacheField>
    <cacheField name="Taux MO14" numFmtId="0">
      <sharedItems containsSemiMixedTypes="0" containsString="0" containsNumber="1" containsInteger="1" minValue="0" maxValue="74"/>
    </cacheField>
    <cacheField name="Prix Vente MO14" numFmtId="0">
      <sharedItems containsSemiMixedTypes="0" containsString="0" containsNumber="1" containsInteger="1" minValue="0" maxValue="1776"/>
    </cacheField>
    <cacheField name="Marge Brute14" numFmtId="0">
      <sharedItems containsSemiMixedTypes="0" containsString="0" containsNumber="1" minValue="0" maxValue="1851.79"/>
    </cacheField>
    <cacheField name="Indice Vision14" numFmtId="0">
      <sharedItems containsSemiMixedTypes="0" containsString="0" containsNumber="1" minValue="0" maxValue="77.16"/>
    </cacheField>
    <cacheField name="Hors Taxes14" numFmtId="0">
      <sharedItems containsSemiMixedTypes="0" containsString="0" containsNumber="1" minValue="0" maxValue="2091.79"/>
    </cacheField>
    <cacheField name="Taux TVA14" numFmtId="0">
      <sharedItems containsSemiMixedTypes="0" containsString="0" containsNumber="1" containsInteger="1" minValue="0" maxValue="23"/>
    </cacheField>
    <cacheField name="TVA14" numFmtId="0">
      <sharedItems containsSemiMixedTypes="0" containsString="0" containsNumber="1" minValue="0" maxValue="418.36"/>
    </cacheField>
  </cacheFields>
  <extLst>
    <ext xmlns:x14="http://schemas.microsoft.com/office/spreadsheetml/2009/9/main" uri="{725AE2AE-9491-48be-B2B4-4EB974FC3084}">
      <x14:pivotCacheDefinition pivotCacheId="79889716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8">
  <r>
    <x v="0"/>
    <x v="0"/>
    <n v="9859.7957867767818"/>
    <n v="4014.2348472909966"/>
    <n v="339.72130535294758"/>
    <n v="0"/>
    <n v="0"/>
    <n v="268.69179772548478"/>
    <n v="423.18958141763846"/>
    <n v="3147.4639626994299"/>
    <n v="19421.313045916275"/>
    <n v="2233.9977450186789"/>
    <n v="0"/>
    <n v="320.67482889088649"/>
    <n v="405.89552924237955"/>
    <n v="32.355839445744458"/>
  </r>
  <r>
    <x v="1"/>
    <x v="0"/>
    <n v="9523.1968919114643"/>
    <n v="3877.1947865688362"/>
    <n v="328.12372073589478"/>
    <n v="0"/>
    <n v="0"/>
    <n v="259.51905580165442"/>
    <n v="408.7425128876057"/>
    <n v="3040.0141823607878"/>
    <n v="18758.298045457952"/>
    <n v="2157.7323549065054"/>
    <n v="0"/>
    <n v="309.7274629058266"/>
    <n v="392.03885416225393"/>
    <n v="31.251258779430529"/>
  </r>
  <r>
    <x v="2"/>
    <x v="0"/>
    <n v="11893.971057551287"/>
    <n v="4842.4119651570472"/>
    <n v="409.80923549354839"/>
    <n v="0"/>
    <n v="0"/>
    <n v="324.12562436986013"/>
    <n v="510.49785838252967"/>
    <n v="3796.8175088614767"/>
    <n v="23428.125720166197"/>
    <n v="2694.8940015088529"/>
    <n v="0"/>
    <n v="386.83327892334199"/>
    <n v="489.63586889627948"/>
    <n v="39.031175313648852"/>
  </r>
  <r>
    <x v="3"/>
    <x v="0"/>
    <n v="9842.7835682637306"/>
    <n v="4007.3086348357247"/>
    <n v="339.13514584161635"/>
    <n v="0"/>
    <n v="0"/>
    <n v="268.22819344052579"/>
    <n v="422.45940466882809"/>
    <n v="3142.0332878808699"/>
    <n v="19387.803262499605"/>
    <n v="2230.1431765653556"/>
    <n v="0"/>
    <n v="320.12153241510725"/>
    <n v="405.19519187370889"/>
    <n v="32.3000122640535"/>
  </r>
  <r>
    <x v="4"/>
    <x v="0"/>
    <n v="11772.455211029514"/>
    <n v="4792.9390190479644"/>
    <n v="405.6223818411828"/>
    <n v="0"/>
    <n v="0"/>
    <n v="320.81416519158205"/>
    <n v="505.28231017674176"/>
    <n v="3758.0269744431948"/>
    <n v="23188.77012433287"/>
    <n v="2667.3613696994043"/>
    <n v="0"/>
    <n v="382.88116123920491"/>
    <n v="484.63345912006088"/>
    <n v="38.632409730142022"/>
  </r>
  <r>
    <x v="5"/>
    <x v="0"/>
    <n v="14121.356524295412"/>
    <n v="5749.2510673365377"/>
    <n v="486.5542629414104"/>
    <n v="0"/>
    <n v="0"/>
    <n v="384.82467110769755"/>
    <n v="606.0988569946237"/>
    <n v="4507.8480047485918"/>
    <n v="27815.513791791102"/>
    <n v="3199.5671425760493"/>
    <n v="0"/>
    <n v="459.27559607357546"/>
    <n v="581.33004009436684"/>
    <n v="46.340548459329099"/>
  </r>
  <r>
    <x v="6"/>
    <x v="0"/>
    <n v="16428.94244974391"/>
    <n v="6688.7423139480252"/>
    <n v="566.0626137998338"/>
    <n v="0"/>
    <n v="0"/>
    <n v="447.70928090319865"/>
    <n v="705.14211742253792"/>
    <n v="5244.4802533517741"/>
    <n v="32360.876556666015"/>
    <n v="3722.4118206374833"/>
    <n v="0"/>
    <n v="534.32631089533959"/>
    <n v="676.32580174475868"/>
    <n v="53.913106890123871"/>
  </r>
  <r>
    <x v="7"/>
    <x v="0"/>
    <n v="11529.423517985962"/>
    <n v="4693.9931268297978"/>
    <n v="397.2486745364514"/>
    <n v="0"/>
    <n v="0"/>
    <n v="314.19124683502582"/>
    <n v="494.85121376516565"/>
    <n v="3680.4459056066294"/>
    <n v="22710.058932666208"/>
    <n v="2612.296106080506"/>
    <n v="0"/>
    <n v="374.97692587093059"/>
    <n v="474.62863956762351"/>
    <n v="37.834878563128349"/>
  </r>
  <r>
    <x v="8"/>
    <x v="0"/>
    <n v="16477.548788352622"/>
    <n v="6708.5314923916594"/>
    <n v="567.73735526078008"/>
    <n v="0"/>
    <n v="0"/>
    <n v="449.03386457450995"/>
    <n v="707.22833670485318"/>
    <n v="5259.9964671190874"/>
    <n v="32456.618794999347"/>
    <n v="3733.4248733612631"/>
    <n v="0"/>
    <n v="535.90715796899451"/>
    <n v="678.32676565524616"/>
    <n v="54.072613123526608"/>
  </r>
  <r>
    <x v="9"/>
    <x v="0"/>
    <n v="20045.254042231918"/>
    <n v="8161.0571901543353"/>
    <n v="690.66337849423508"/>
    <n v="0"/>
    <n v="0"/>
    <n v="546.25830604875478"/>
    <n v="860.35683202678877"/>
    <n v="6398.8865576398557"/>
    <n v="39484.099088665869"/>
    <n v="4541.7829432866802"/>
    <n v="0"/>
    <n v="651.94133317526041"/>
    <n v="825.19751668502499"/>
    <n v="65.780370655287228"/>
  </r>
  <r>
    <x v="10"/>
    <x v="0"/>
    <n v="19395.144263340426"/>
    <n v="7896.3769284707423"/>
    <n v="668.26371145407904"/>
    <n v="0"/>
    <n v="0"/>
    <n v="528.54199944496702"/>
    <n v="832.45364912582306"/>
    <n v="6191.3571985020462"/>
    <n v="38203.546650957564"/>
    <n v="4394.4833631061301"/>
    <n v="0"/>
    <n v="630.79750356512682"/>
    <n v="798.43462438225549"/>
    <n v="63.646974783525678"/>
  </r>
  <r>
    <x v="11"/>
    <x v="0"/>
    <n v="17209.074184413705"/>
    <n v="7006.3586279683395"/>
    <n v="592.94221424802129"/>
    <n v="0"/>
    <n v="0"/>
    <n v="468.96884882774413"/>
    <n v="738.62593690369704"/>
    <n v="5493.5154843171476"/>
    <n v="33897.539481915992"/>
    <n v="3899.1713168541455"/>
    <n v="0"/>
    <n v="559.69890642749999"/>
    <n v="708.44127250808242"/>
    <n v="56.473181936237751"/>
  </r>
  <r>
    <x v="0"/>
    <x v="1"/>
    <n v="1048.3805789942364"/>
    <n v="426.82890644305502"/>
    <n v="310.2585727690028"/>
    <n v="161.88701340947702"/>
    <n v="703.46006540595954"/>
    <n v="35.162689565044353"/>
    <n v="55.381236064944851"/>
    <n v="397.56780299473701"/>
    <n v="2541.5945233907228"/>
    <n v="237.53837300925869"/>
    <n v="1281.2748345789262"/>
    <n v="34.096980307885993"/>
    <n v="43.158397918239913"/>
    <n v="3.5227712005952982"/>
  </r>
  <r>
    <x v="1"/>
    <x v="1"/>
    <n v="1012.5904113356952"/>
    <n v="412.25759672100344"/>
    <n v="299.66680241442873"/>
    <n v="156.36042939241696"/>
    <n v="679.44497567001531"/>
    <n v="33.962287172942148"/>
    <n v="53.49060229738388"/>
    <n v="383.99542421367437"/>
    <n v="2454.8282326612143"/>
    <n v="229.4291630852305"/>
    <n v="1237.534000319823"/>
    <n v="32.93295965897245"/>
    <n v="41.68503382859825"/>
    <n v="3.4025089843560945"/>
  </r>
  <r>
    <x v="2"/>
    <x v="1"/>
    <n v="1264.6720615227493"/>
    <n v="514.88801284996589"/>
    <n v="374.26804415368491"/>
    <n v="195.28593631402035"/>
    <n v="848.59096871993256"/>
    <n v="42.417106909373203"/>
    <n v="66.806943382262787"/>
    <n v="479.59004876910109"/>
    <n v="3065.9510962470299"/>
    <n v="286.5449340663821"/>
    <n v="1545.614749920943"/>
    <n v="41.131531088684753"/>
    <n v="52.062410503294593"/>
    <n v="4.249554413535467"/>
  </r>
  <r>
    <x v="3"/>
    <x v="1"/>
    <n v="1046.5716896540935"/>
    <n v="426.09245035601987"/>
    <n v="309.72324863555855"/>
    <n v="161.6076914735967"/>
    <n v="702.24630635793335"/>
    <n v="35.102019408042793"/>
    <n v="55.285680567667399"/>
    <n v="396.88183439208399"/>
    <n v="2537.2092234982565"/>
    <n v="237.12852124414533"/>
    <n v="1279.0641064936285"/>
    <n v="34.038148939348837"/>
    <n v="43.083931863167763"/>
    <n v="3.5166929658395256"/>
  </r>
  <r>
    <x v="4"/>
    <x v="1"/>
    <n v="1251.7514233788718"/>
    <n v="509.62761222828664"/>
    <n v="370.44430034336943"/>
    <n v="193.29077962916116"/>
    <n v="839.92126123403227"/>
    <n v="41.983748645076382"/>
    <n v="66.124404115995304"/>
    <n v="474.69027303586557"/>
    <n v="3034.6275255865576"/>
    <n v="283.6174214584297"/>
    <n v="1529.8238350259601"/>
    <n v="40.711307027705146"/>
    <n v="51.530510109922155"/>
    <n v="4.2061384509942394"/>
  </r>
  <r>
    <x v="5"/>
    <x v="1"/>
    <n v="1501.5073587000275"/>
    <n v="611.31115624534652"/>
    <n v="444.35726819676864"/>
    <n v="231.85715834748981"/>
    <n v="1007.5067069364869"/>
    <n v="50.360563893933993"/>
    <n v="79.317888132946038"/>
    <n v="569.40293795930961"/>
    <n v="3640.1121464534863"/>
    <n v="340.20624017014973"/>
    <n v="1835.0622199459824"/>
    <n v="48.8342381264411"/>
    <n v="61.812144713811435"/>
    <n v="5.0453690069161885"/>
  </r>
  <r>
    <x v="6"/>
    <x v="1"/>
    <n v="1746.870277052265"/>
    <n v="711.20616405103567"/>
    <n v="516.97016315466078"/>
    <n v="269.74518379296637"/>
    <n v="1172.1444520937359"/>
    <n v="58.590037332930699"/>
    <n v="92.27930879936585"/>
    <n v="662.44967913345386"/>
    <n v="4234.9467532958561"/>
    <n v="395.79970459516608"/>
    <n v="2134.9316938017109"/>
    <n v="56.814293044444"/>
    <n v="71.912933183954109"/>
    <n v="5.8698381355741232"/>
  </r>
  <r>
    <x v="7"/>
    <x v="1"/>
    <n v="1225.9101470911162"/>
    <n v="499.10681098492802"/>
    <n v="362.79681272273825"/>
    <n v="189.30046625944269"/>
    <n v="822.58184626223124"/>
    <n v="41.117032116482726"/>
    <n v="64.759325583460296"/>
    <n v="464.89072156939426"/>
    <n v="2971.9803842656124"/>
    <n v="277.76239624252486"/>
    <n v="1498.2420052359937"/>
    <n v="39.870858905745905"/>
    <n v="50.466709323177263"/>
    <n v="4.1193065259117807"/>
  </r>
  <r>
    <x v="8"/>
    <x v="1"/>
    <n v="1752.0385323098162"/>
    <n v="713.31032429970753"/>
    <n v="518.499660678787"/>
    <n v="270.54324646691009"/>
    <n v="1175.6123350880962"/>
    <n v="58.76338063864943"/>
    <n v="92.552324505872846"/>
    <n v="664.4095894267482"/>
    <n v="4247.476181560045"/>
    <n v="396.9707096383471"/>
    <n v="2141.2480597597046"/>
    <n v="56.982382668835847"/>
    <n v="72.125693341303091"/>
    <n v="5.8872045205906147"/>
  </r>
  <r>
    <x v="9"/>
    <x v="1"/>
    <n v="2131.3884682140651"/>
    <n v="867.75568655221036"/>
    <n v="630.76477894965115"/>
    <n v="329.1210467343767"/>
    <n v="1430.1549468741321"/>
    <n v="71.4867792784042"/>
    <n v="112.5916773634866"/>
    <n v="808.26700495454543"/>
    <n v="5167.1362161515117"/>
    <n v="482.9224798078298"/>
    <n v="2604.8693210764072"/>
    <n v="69.32016109919735"/>
    <n v="87.742288890717958"/>
    <n v="7.1618971808010885"/>
  </r>
  <r>
    <x v="10"/>
    <x v="1"/>
    <n v="2062.26305414432"/>
    <n v="839.61254322622642"/>
    <n v="610.30774956446317"/>
    <n v="318.44695847037997"/>
    <n v="1383.7720118245652"/>
    <n v="69.168312564416198"/>
    <n v="108.9400922889555"/>
    <n v="782.05320478173508"/>
    <n v="4999.5551131179855"/>
    <n v="467.2602873552845"/>
    <n v="2520.3879263882482"/>
    <n v="67.07196237295642"/>
    <n v="84.896621786175416"/>
    <n v="6.9296217812055163"/>
  </r>
  <r>
    <x v="11"/>
    <x v="1"/>
    <n v="1829.8207739359602"/>
    <n v="744.9779360422167"/>
    <n v="541.51859841688668"/>
    <n v="282.55408970976265"/>
    <n v="1227.8039741532168"/>
    <n v="61.37219738971632"/>
    <n v="96.661210888803211"/>
    <n v="693.90623934082657"/>
    <n v="4436.0440769360894"/>
    <n v="414.59433553822066"/>
    <n v="2236.3093674275028"/>
    <n v="59.512131515933142"/>
    <n v="75.327733709405194"/>
    <n v="6.1485686150888128"/>
  </r>
  <r>
    <x v="0"/>
    <x v="2"/>
    <n v="5698.4025836851888"/>
    <n v="1632.9472656955943"/>
    <n v="91.661834705605969"/>
    <n v="0"/>
    <n v="0"/>
    <n v="109.30091364902593"/>
    <n v="172.14893899721582"/>
    <n v="1251.7221326436243"/>
    <n v="7900.3798335190331"/>
    <n v="908.76609069352901"/>
    <n v="0"/>
    <n v="130.4470478024366"/>
    <n v="165.11390584975459"/>
    <n v="13.162005104875712"/>
  </r>
  <r>
    <x v="1"/>
    <x v="2"/>
    <n v="5698.4025836851888"/>
    <n v="1577.2008530017711"/>
    <n v="88.532634777894259"/>
    <n v="0"/>
    <n v="0"/>
    <n v="105.56954156610995"/>
    <n v="166.27202796662314"/>
    <n v="1208.9901840680409"/>
    <n v="7630.6725111275155"/>
    <n v="877.74215587443757"/>
    <n v="0"/>
    <n v="125.9937778688311"/>
    <n v="159.47716048120859"/>
    <n v="12.712673651332382"/>
  </r>
  <r>
    <x v="2"/>
    <x v="2"/>
    <n v="5698.4025836851888"/>
    <n v="1969.8407489066401"/>
    <n v="110.57259527957498"/>
    <n v="0"/>
    <n v="0"/>
    <n v="131.85079403459034"/>
    <n v="207.66500060447973"/>
    <n v="1509.9650276455259"/>
    <n v="9530.3078395962912"/>
    <n v="1096.253696784356"/>
    <n v="0"/>
    <n v="157.35958884523657"/>
    <n v="199.1785691961299"/>
    <n v="15.877459448671861"/>
  </r>
  <r>
    <x v="3"/>
    <x v="2"/>
    <n v="5698.4025836851888"/>
    <n v="1630.1297574728014"/>
    <n v="91.503680196624146"/>
    <n v="0"/>
    <n v="0"/>
    <n v="109.11232444627926"/>
    <n v="171.85191100288981"/>
    <n v="1249.5623951704899"/>
    <n v="7886.7484165028545"/>
    <n v="907.19809398787095"/>
    <n v="0"/>
    <n v="130.22197278774172"/>
    <n v="164.82901619213851"/>
    <n v="13.139295211916842"/>
  </r>
  <r>
    <x v="4"/>
    <x v="2"/>
    <n v="5698.4025836851888"/>
    <n v="1949.7156901724081"/>
    <n v="109.44292021541914"/>
    <n v="0"/>
    <n v="0"/>
    <n v="130.50372830068565"/>
    <n v="205.54337207357989"/>
    <n v="1494.5383314088533"/>
    <n v="9432.9405751950235"/>
    <n v="1085.0537203153699"/>
    <n v="0"/>
    <n v="155.75191016884472"/>
    <n v="197.14364307030104"/>
    <n v="15.715245927537087"/>
  </r>
  <r>
    <x v="5"/>
    <x v="2"/>
    <n v="5698.4025836851888"/>
    <n v="2338.7330755051144"/>
    <n v="131.27953920555177"/>
    <n v="0"/>
    <n v="0"/>
    <n v="156.54250893706313"/>
    <n v="246.5544515758744"/>
    <n v="1792.7363696637365"/>
    <n v="11315.049796071566"/>
    <n v="1301.5492654608702"/>
    <n v="0"/>
    <n v="186.82833898349961"/>
    <n v="236.47876508257306"/>
    <n v="18.850833291072298"/>
  </r>
  <r>
    <x v="6"/>
    <x v="2"/>
    <n v="5698.4025836851888"/>
    <n v="2720.9079408681828"/>
    <n v="152.73206867387142"/>
    <n v="0"/>
    <n v="0"/>
    <n v="182.12328722391305"/>
    <n v="286.84417737766302"/>
    <n v="2085.6893311981516"/>
    <n v="13164.05414705168"/>
    <n v="1514.2368186069157"/>
    <n v="0"/>
    <n v="217.35815704818128"/>
    <n v="275.12201221206334"/>
    <n v="21.931268057421693"/>
  </r>
  <r>
    <x v="7"/>
    <x v="2"/>
    <n v="5698.4025836851888"/>
    <n v="1909.4655727039437"/>
    <n v="107.18357008710741"/>
    <n v="0"/>
    <n v="0"/>
    <n v="127.80959683287627"/>
    <n v="201.30011501178009"/>
    <n v="1463.6849389355075"/>
    <n v="9238.2060463924809"/>
    <n v="1062.6537673773976"/>
    <n v="0"/>
    <n v="152.53655281606095"/>
    <n v="193.07379081864326"/>
    <n v="15.390818885267532"/>
  </r>
  <r>
    <x v="8"/>
    <x v="2"/>
    <n v="5698.4025836851888"/>
    <n v="2728.9579643618758"/>
    <n v="153.1839386995338"/>
    <n v="0"/>
    <n v="0"/>
    <n v="182.66211351747495"/>
    <n v="287.69282879002299"/>
    <n v="2091.8600096928208"/>
    <n v="13203.001052812189"/>
    <n v="1518.7168091945102"/>
    <n v="0"/>
    <n v="218.00122851873806"/>
    <n v="275.93598266239491"/>
    <n v="21.996153465875608"/>
  </r>
  <r>
    <x v="9"/>
    <x v="2"/>
    <n v="5698.4025836851888"/>
    <n v="3319.8296887989304"/>
    <n v="186.35119858314962"/>
    <n v="0"/>
    <n v="0"/>
    <n v="222.21196346491638"/>
    <n v="349.98384245724327"/>
    <n v="2544.7878112015314"/>
    <n v="16061.70393563347"/>
    <n v="1847.5481183239406"/>
    <n v="0"/>
    <n v="265.20267445760339"/>
    <n v="335.6814137167305"/>
    <n v="26.75874244639262"/>
  </r>
  <r>
    <x v="10"/>
    <x v="2"/>
    <n v="5698.4025836851888"/>
    <n v="3212.160624570789"/>
    <n v="180.30743698991583"/>
    <n v="0"/>
    <n v="0"/>
    <n v="215.00516178852638"/>
    <n v="338.633129816929"/>
    <n v="2462.2549863353329"/>
    <n v="15540.789071086678"/>
    <n v="1787.6282442148656"/>
    <n v="0"/>
    <n v="256.60159353890691"/>
    <n v="324.79455894354612"/>
    <n v="25.890900108321574"/>
  </r>
  <r>
    <x v="11"/>
    <x v="2"/>
    <n v="5698.4025836851888"/>
    <n v="2850.1108179419534"/>
    <n v="159.98458258575204"/>
    <n v="0"/>
    <n v="0"/>
    <n v="190.77144923558117"/>
    <n v="300.46503254604028"/>
    <n v="2184.7287210375907"/>
    <n v="13789.151984507836"/>
    <n v="1586.1406675378064"/>
    <n v="0"/>
    <n v="227.67945415061715"/>
    <n v="288.18623793988473"/>
    <n v="22.97267886310696"/>
  </r>
  <r>
    <x v="0"/>
    <x v="3"/>
    <n v="39.097914440361848"/>
    <n v="15.917998100263857"/>
    <n v="3.2736369537716414"/>
    <n v="28.154263201648178"/>
    <n v="26.234577404933745"/>
    <n v="1.3113442347682658"/>
    <n v="2.0653671697600182"/>
    <n v="12.201808930426129"/>
    <n v="94.785278560724862"/>
    <n v="8.8586675204613954"/>
    <n v="18.894547859902399"/>
    <n v="1.2716000710651831"/>
    <n v="1.6095332010148879"/>
    <n v="0.13137691574368904"/>
  </r>
  <r>
    <x v="1"/>
    <x v="3"/>
    <n v="37.763169271520304"/>
    <n v="15.374581108179424"/>
    <n v="3.1618798134962232"/>
    <n v="27.193118155202953"/>
    <n v="25.338967601980002"/>
    <n v="1.2665768755088609"/>
    <n v="1.9948585789264555"/>
    <n v="11.785257158953607"/>
    <n v="91.549448863741759"/>
    <n v="8.5562456689494635"/>
    <n v="18.249515846445046"/>
    <n v="1.2281895189718808"/>
    <n v="1.5545861099770368"/>
    <n v="0.12689190148919041"/>
  </r>
  <r>
    <x v="2"/>
    <x v="3"/>
    <n v="47.164208348812153"/>
    <n v="19.202041583113463"/>
    <n v="3.9490212599848205"/>
    <n v="33.962771532873106"/>
    <n v="31.647035203289565"/>
    <n v="1.5818877705092169"/>
    <n v="2.491473238552016"/>
    <n v="14.719165123368372"/>
    <n v="114.34043709050715"/>
    <n v="10.686299937179708"/>
    <n v="22.792683565778248"/>
    <n v="1.5339439851597256"/>
    <n v="1.9415961266371364"/>
    <n v="0.1584812979170851"/>
  </r>
  <r>
    <x v="3"/>
    <x v="3"/>
    <n v="39.030454395727254"/>
    <n v="15.890532981530345"/>
    <n v="3.2679885784508618"/>
    <n v="28.105685473668991"/>
    <n v="26.189311927528138"/>
    <n v="1.3090816245529888"/>
    <n v="2.0618035586709569"/>
    <n v="12.180755772301163"/>
    <n v="94.621734821527141"/>
    <n v="8.8433826615402147"/>
    <n v="18.861946963915383"/>
    <n v="1.2694060359413337"/>
    <n v="1.6067560917205561"/>
    <n v="0.13115023632288406"/>
  </r>
  <r>
    <x v="4"/>
    <x v="3"/>
    <n v="46.682350887136508"/>
    <n v="19.0058621635884"/>
    <n v="3.9086757219792543"/>
    <n v="33.615787761593246"/>
    <n v="31.32371036467811"/>
    <n v="1.5657262689715259"/>
    <n v="2.4660188736301527"/>
    <n v="14.568785422475766"/>
    <n v="113.1722675248093"/>
    <n v="10.577122373456991"/>
    <n v="22.559820023013863"/>
    <n v="1.51827230570366"/>
    <n v="1.9217596316776238"/>
    <n v="0.15686215919704952"/>
  </r>
  <r>
    <x v="5"/>
    <x v="3"/>
    <n v="55.996655621326717"/>
    <n v="22.79801034300792"/>
    <n v="4.6885549716268482"/>
    <n v="40.322984060433008"/>
    <n v="37.573579495037592"/>
    <n v="1.8781280936950968"/>
    <n v="2.9580517475697765"/>
    <n v="17.475625040729856"/>
    <n v="135.75298522974902"/>
    <n v="12.687524680217139"/>
    <n v="27.061072304649468"/>
    <n v="1.8212058695894124"/>
    <n v="2.3051990792450101"/>
    <n v="0.18816011065533772"/>
  </r>
  <r>
    <x v="6"/>
    <x v="3"/>
    <n v="65.14712881854723"/>
    <n v="26.523457519788927"/>
    <n v="5.454716738352551"/>
    <n v="46.912205877037636"/>
    <n v="43.713518180269197"/>
    <n v="2.1850350078958534"/>
    <n v="3.4414301374359679"/>
    <n v="20.331335560680461"/>
    <n v="157.93652528235151"/>
    <n v="14.760806615311569"/>
    <n v="31.483150981745187"/>
    <n v="2.1188110624601033"/>
    <n v="2.6818941185261629"/>
    <n v="0.21890755494881389"/>
  </r>
  <r>
    <x v="7"/>
    <x v="3"/>
    <n v="45.718635963785211"/>
    <n v="18.613503324538264"/>
    <n v="3.8279846459681215"/>
    <n v="32.921820219033513"/>
    <n v="30.677060687455185"/>
    <n v="1.5334032658961432"/>
    <n v="2.4151101437864249"/>
    <n v="14.268026020690549"/>
    <n v="110.83592839341354"/>
    <n v="10.358767246011551"/>
    <n v="22.094092937485083"/>
    <n v="1.4869289467915281"/>
    <n v="1.8820866417585973"/>
    <n v="0.15362388175697828"/>
  </r>
  <r>
    <x v="8"/>
    <x v="3"/>
    <n v="65.339871803217491"/>
    <n v="26.601929287598956"/>
    <n v="5.4708549535547775"/>
    <n v="47.050999385549581"/>
    <n v="43.842848115713785"/>
    <n v="2.19149960851093"/>
    <n v="3.451611883404714"/>
    <n v="20.391487441037508"/>
    <n v="158.40379310863065"/>
    <n v="14.804477640800657"/>
    <n v="31.576296398850946"/>
    <n v="2.1250797342425298"/>
    <n v="2.6898287165099686"/>
    <n v="0.21955521043682816"/>
  </r>
  <r>
    <x v="9"/>
    <x v="3"/>
    <n v="79.487206878014419"/>
    <n v="32.36175704485489"/>
    <n v="6.6553999493982001"/>
    <n v="57.238442910326384"/>
    <n v="53.335665377346196"/>
    <n v="2.6660012936575437"/>
    <n v="4.1989520375106304"/>
    <n v="24.806635459244443"/>
    <n v="192.70125155751998"/>
    <n v="18.009930911699676"/>
    <n v="38.413170014413353"/>
    <n v="2.5852002430726229"/>
    <n v="3.2722282085212706"/>
    <n v="0.26709312325707352"/>
  </r>
  <r>
    <x v="10"/>
    <x v="3"/>
    <n v="76.909269458049735"/>
    <n v="31.312197150395789"/>
    <n v="6.4395513210684223"/>
    <n v="55.382079733979118"/>
    <n v="51.605877490774901"/>
    <n v="2.5795372604308962"/>
    <n v="4.0627711851786605"/>
    <n v="24.002104059469001"/>
    <n v="186.45154438103643"/>
    <n v="17.425830945783133"/>
    <n v="37.167350060623889"/>
    <n v="2.5013567579826708"/>
    <n v="3.1661029604878768"/>
    <n v="0.25843073110488307"/>
  </r>
  <r>
    <x v="11"/>
    <x v="3"/>
    <n v="68.240653722504874"/>
    <n v="27.782929393139856"/>
    <n v="5.713735092348287"/>
    <n v="49.139841688654371"/>
    <n v="45.789263644154765"/>
    <n v="2.2887918477678313"/>
    <n v="3.6048471602343337"/>
    <n v="21.296773240411003"/>
    <n v="165.43617389413183"/>
    <n v="15.461726574411426"/>
    <n v="32.978134926292562"/>
    <n v="2.2194232445680462"/>
    <n v="2.8092444161662371"/>
    <n v="0.22930242553144253"/>
  </r>
  <r>
    <x v="0"/>
    <x v="4"/>
    <n v="127.97576502948365"/>
    <n v="52.102983337550164"/>
    <n v="0"/>
    <n v="0"/>
    <n v="21.578496141193558"/>
    <n v="0"/>
    <n v="0"/>
    <n v="39.939108133165639"/>
    <n v="0"/>
    <n v="28.996297354995036"/>
    <n v="0"/>
    <n v="4.1622166868859365"/>
    <n v="5.2683434829862437"/>
    <n v="0.37637065785670698"/>
  </r>
  <r>
    <x v="1"/>
    <x v="4"/>
    <n v="123.60686104708692"/>
    <n v="50.324264285972468"/>
    <n v="0"/>
    <n v="0"/>
    <n v="20.841838089540779"/>
    <n v="0"/>
    <n v="0"/>
    <n v="38.57564585156755"/>
    <n v="0"/>
    <n v="28.006406503709155"/>
    <n v="0"/>
    <n v="4.0201247442845807"/>
    <n v="5.088490001992013"/>
    <n v="0.36352191836615882"/>
  </r>
  <r>
    <x v="2"/>
    <x v="4"/>
    <n v="154.37845552237937"/>
    <n v="62.852354068023295"/>
    <n v="0"/>
    <n v="0"/>
    <n v="26.030357435297333"/>
    <n v="0"/>
    <n v="0"/>
    <n v="48.17894878080174"/>
    <n v="0"/>
    <n v="34.97852582088877"/>
    <n v="0"/>
    <n v="5.0209239501157938"/>
    <n v="6.3552558554928966"/>
    <n v="0.45401971889344939"/>
  </r>
  <r>
    <x v="3"/>
    <x v="4"/>
    <n v="127.75495399788237"/>
    <n v="52.013084179708684"/>
    <n v="0"/>
    <n v="0"/>
    <n v="21.541264326308575"/>
    <n v="0"/>
    <n v="0"/>
    <n v="39.870196682110134"/>
    <n v="0"/>
    <n v="28.946266770453509"/>
    <n v="0"/>
    <n v="4.1550351446605971"/>
    <n v="5.2592534153547659"/>
    <n v="0.37572126308101139"/>
  </r>
  <r>
    <x v="4"/>
    <x v="4"/>
    <n v="152.80123386808452"/>
    <n v="62.210217226298504"/>
    <n v="0"/>
    <n v="0"/>
    <n v="25.764415900404636"/>
    <n v="0"/>
    <n v="0"/>
    <n v="47.686724130405324"/>
    <n v="0"/>
    <n v="34.62116450273502"/>
    <n v="0"/>
    <n v="4.9696272199347993"/>
    <n v="6.2903268009823448"/>
    <n v="0.44938118478133821"/>
  </r>
  <r>
    <x v="5"/>
    <x v="4"/>
    <n v="183.28892844560383"/>
    <n v="74.622722376838837"/>
    <n v="0"/>
    <n v="0"/>
    <n v="30.90506576988049"/>
    <n v="0"/>
    <n v="0"/>
    <n v="57.201426622568135"/>
    <n v="0"/>
    <n v="41.528958782646946"/>
    <n v="0"/>
    <n v="5.961193014333432"/>
    <n v="7.5454054246713254"/>
    <n v="0.53904404916844861"/>
  </r>
  <r>
    <x v="6"/>
    <x v="4"/>
    <n v="213.24036766066294"/>
    <n v="86.816901001192775"/>
    <n v="0"/>
    <n v="0"/>
    <n v="35.955295517492836"/>
    <n v="0"/>
    <n v="0"/>
    <n v="66.548772733596195"/>
    <n v="0"/>
    <n v="48.315250214386602"/>
    <n v="0"/>
    <n v="6.9353179204705286"/>
    <n v="8.7784081698267222"/>
    <n v="0.62712981195744133"/>
  </r>
  <r>
    <x v="7"/>
    <x v="4"/>
    <n v="149.64679055949483"/>
    <n v="60.925943542848898"/>
    <n v="0"/>
    <n v="0"/>
    <n v="25.232532830619235"/>
    <n v="0"/>
    <n v="0"/>
    <n v="46.70227482961247"/>
    <n v="0"/>
    <n v="33.906441866427521"/>
    <n v="0"/>
    <n v="4.8670337595728084"/>
    <n v="6.1604686919612375"/>
    <n v="0.44010411655711562"/>
  </r>
  <r>
    <x v="8"/>
    <x v="4"/>
    <n v="213.8712563223809"/>
    <n v="87.073755737882706"/>
    <n v="0"/>
    <n v="0"/>
    <n v="36.061672131449917"/>
    <n v="0"/>
    <n v="0"/>
    <n v="66.745662593754759"/>
    <n v="0"/>
    <n v="48.458194741648107"/>
    <n v="0"/>
    <n v="6.9558366125429272"/>
    <n v="8.804379791630943"/>
    <n v="0.62898522560228587"/>
  </r>
  <r>
    <x v="9"/>
    <x v="4"/>
    <n v="260.1784840924775"/>
    <n v="105.92689341092277"/>
    <n v="0"/>
    <n v="0"/>
    <n v="43.869715595899542"/>
    <n v="0"/>
    <n v="0"/>
    <n v="81.197378329393686"/>
    <n v="0"/>
    <n v="58.950323042642111"/>
    <n v="0"/>
    <n v="8.4619086106569394"/>
    <n v="10.710696832060769"/>
    <n v="0.76517258713387215"/>
  </r>
  <r>
    <x v="10"/>
    <x v="4"/>
    <n v="251.7403482420001"/>
    <n v="102.49146130769512"/>
    <n v="0"/>
    <n v="0"/>
    <n v="42.446928384223611"/>
    <n v="0"/>
    <n v="0"/>
    <n v="78.563976449772838"/>
    <n v="0"/>
    <n v="57.038439990519578"/>
    <n v="0"/>
    <n v="8.1874711041886172"/>
    <n v="10.363326390429313"/>
    <n v="0.740356429634077"/>
  </r>
  <r>
    <x v="11"/>
    <x v="4"/>
    <n v="223.36613068123589"/>
    <n v="90.939419525066"/>
    <n v="0"/>
    <n v="0"/>
    <n v="37.662640171503966"/>
    <n v="0"/>
    <n v="0"/>
    <n v="69.70885498914123"/>
    <n v="0"/>
    <n v="50.609509876933672"/>
    <n v="0"/>
    <n v="7.2646429282325178"/>
    <n v="9.1952526997844721"/>
    <n v="0.65690920095719563"/>
  </r>
  <r>
    <x v="0"/>
    <x v="5"/>
    <n v="0"/>
    <n v="0"/>
    <n v="0"/>
    <n v="0"/>
    <n v="0"/>
    <n v="0"/>
    <n v="0"/>
    <n v="0"/>
    <n v="0"/>
    <n v="0"/>
    <n v="0"/>
    <n v="0"/>
    <n v="0"/>
    <n v="0"/>
  </r>
  <r>
    <x v="1"/>
    <x v="5"/>
    <n v="0"/>
    <n v="0"/>
    <n v="0"/>
    <n v="0"/>
    <n v="0"/>
    <n v="0"/>
    <n v="0"/>
    <n v="0"/>
    <n v="0"/>
    <n v="0"/>
    <n v="0"/>
    <n v="0"/>
    <n v="0"/>
    <n v="0"/>
  </r>
  <r>
    <x v="2"/>
    <x v="5"/>
    <n v="0"/>
    <n v="0"/>
    <n v="0"/>
    <n v="0"/>
    <n v="0"/>
    <n v="0"/>
    <n v="0"/>
    <n v="0"/>
    <n v="0"/>
    <n v="0"/>
    <n v="0"/>
    <n v="0"/>
    <n v="0"/>
    <n v="0"/>
  </r>
  <r>
    <x v="3"/>
    <x v="5"/>
    <n v="0"/>
    <n v="0"/>
    <n v="0"/>
    <n v="0"/>
    <n v="0"/>
    <n v="0"/>
    <n v="0"/>
    <n v="0"/>
    <n v="0"/>
    <n v="0"/>
    <n v="0"/>
    <n v="0"/>
    <n v="0"/>
    <n v="0"/>
  </r>
  <r>
    <x v="4"/>
    <x v="5"/>
    <n v="0"/>
    <n v="0"/>
    <n v="0"/>
    <n v="0"/>
    <n v="0"/>
    <n v="0"/>
    <n v="0"/>
    <n v="0"/>
    <n v="0"/>
    <n v="0"/>
    <n v="0"/>
    <n v="0"/>
    <n v="0"/>
    <n v="0"/>
  </r>
  <r>
    <x v="5"/>
    <x v="5"/>
    <n v="0"/>
    <n v="0"/>
    <n v="0"/>
    <n v="0"/>
    <n v="0"/>
    <n v="0"/>
    <n v="0"/>
    <n v="0"/>
    <n v="0"/>
    <n v="0"/>
    <n v="0"/>
    <n v="0"/>
    <n v="0"/>
    <n v="0"/>
  </r>
  <r>
    <x v="6"/>
    <x v="5"/>
    <n v="0"/>
    <n v="0"/>
    <n v="0"/>
    <n v="0"/>
    <n v="0"/>
    <n v="0"/>
    <n v="0"/>
    <n v="0"/>
    <n v="0"/>
    <n v="0"/>
    <n v="0"/>
    <n v="0"/>
    <n v="0"/>
    <n v="0"/>
  </r>
  <r>
    <x v="7"/>
    <x v="5"/>
    <n v="0"/>
    <n v="0"/>
    <n v="0"/>
    <n v="0"/>
    <n v="0"/>
    <n v="0"/>
    <n v="0"/>
    <n v="0"/>
    <n v="0"/>
    <n v="0"/>
    <n v="0"/>
    <n v="0"/>
    <n v="0"/>
    <n v="0"/>
  </r>
  <r>
    <x v="8"/>
    <x v="5"/>
    <n v="0"/>
    <n v="0"/>
    <n v="0"/>
    <n v="0"/>
    <n v="0"/>
    <n v="0"/>
    <n v="0"/>
    <n v="0"/>
    <n v="0"/>
    <n v="0"/>
    <n v="0"/>
    <n v="0"/>
    <n v="0"/>
    <n v="0"/>
  </r>
  <r>
    <x v="9"/>
    <x v="5"/>
    <n v="0"/>
    <n v="0"/>
    <n v="0"/>
    <n v="0"/>
    <n v="0"/>
    <n v="0"/>
    <n v="0"/>
    <n v="0"/>
    <n v="0"/>
    <n v="0"/>
    <n v="0"/>
    <n v="0"/>
    <n v="0"/>
    <n v="0"/>
  </r>
  <r>
    <x v="10"/>
    <x v="5"/>
    <n v="0"/>
    <n v="0"/>
    <n v="0"/>
    <n v="0"/>
    <n v="0"/>
    <n v="0"/>
    <n v="0"/>
    <n v="0"/>
    <n v="0"/>
    <n v="0"/>
    <n v="0"/>
    <n v="0"/>
    <n v="0"/>
    <n v="0"/>
  </r>
  <r>
    <x v="11"/>
    <x v="5"/>
    <n v="0"/>
    <n v="0"/>
    <n v="0"/>
    <n v="0"/>
    <n v="0"/>
    <n v="0"/>
    <n v="0"/>
    <n v="0"/>
    <n v="0"/>
    <n v="0"/>
    <n v="0"/>
    <n v="0"/>
    <n v="0"/>
    <n v="0"/>
  </r>
  <r>
    <x v="0"/>
    <x v="6"/>
    <n v="0"/>
    <n v="0"/>
    <n v="0"/>
    <n v="0"/>
    <n v="0"/>
    <n v="0"/>
    <n v="0"/>
    <n v="0"/>
    <n v="0"/>
    <n v="0"/>
    <n v="0"/>
    <n v="0"/>
    <n v="0"/>
    <n v="0"/>
  </r>
  <r>
    <x v="1"/>
    <x v="6"/>
    <n v="0"/>
    <n v="0"/>
    <n v="0"/>
    <n v="0"/>
    <n v="0"/>
    <n v="0"/>
    <n v="0"/>
    <n v="0"/>
    <n v="0"/>
    <n v="0"/>
    <n v="0"/>
    <n v="0"/>
    <n v="0"/>
    <n v="0"/>
  </r>
  <r>
    <x v="2"/>
    <x v="6"/>
    <n v="0"/>
    <n v="0"/>
    <n v="0"/>
    <n v="0"/>
    <n v="0"/>
    <n v="0"/>
    <n v="0"/>
    <n v="0"/>
    <n v="0"/>
    <n v="0"/>
    <n v="0"/>
    <n v="0"/>
    <n v="0"/>
    <n v="0"/>
  </r>
  <r>
    <x v="3"/>
    <x v="6"/>
    <n v="0"/>
    <n v="0"/>
    <n v="0"/>
    <n v="0"/>
    <n v="0"/>
    <n v="0"/>
    <n v="0"/>
    <n v="0"/>
    <n v="0"/>
    <n v="0"/>
    <n v="0"/>
    <n v="0"/>
    <n v="0"/>
    <n v="0"/>
  </r>
  <r>
    <x v="4"/>
    <x v="6"/>
    <n v="0"/>
    <n v="0"/>
    <n v="0"/>
    <n v="0"/>
    <n v="0"/>
    <n v="0"/>
    <n v="0"/>
    <n v="0"/>
    <n v="0"/>
    <n v="0"/>
    <n v="0"/>
    <n v="0"/>
    <n v="0"/>
    <n v="0"/>
  </r>
  <r>
    <x v="5"/>
    <x v="6"/>
    <n v="0"/>
    <n v="0"/>
    <n v="0"/>
    <n v="0"/>
    <n v="0"/>
    <n v="0"/>
    <n v="0"/>
    <n v="0"/>
    <n v="0"/>
    <n v="0"/>
    <n v="0"/>
    <n v="0"/>
    <n v="0"/>
    <n v="0"/>
  </r>
  <r>
    <x v="6"/>
    <x v="6"/>
    <n v="0"/>
    <n v="0"/>
    <n v="0"/>
    <n v="0"/>
    <n v="0"/>
    <n v="0"/>
    <n v="0"/>
    <n v="0"/>
    <n v="0"/>
    <n v="0"/>
    <n v="0"/>
    <n v="0"/>
    <n v="0"/>
    <n v="0"/>
  </r>
  <r>
    <x v="7"/>
    <x v="6"/>
    <n v="0"/>
    <n v="0"/>
    <n v="0"/>
    <n v="0"/>
    <n v="0"/>
    <n v="0"/>
    <n v="0"/>
    <n v="0"/>
    <n v="0"/>
    <n v="0"/>
    <n v="0"/>
    <n v="0"/>
    <n v="0"/>
    <n v="0"/>
  </r>
  <r>
    <x v="8"/>
    <x v="6"/>
    <n v="0"/>
    <n v="0"/>
    <n v="0"/>
    <n v="0"/>
    <n v="0"/>
    <n v="0"/>
    <n v="0"/>
    <n v="0"/>
    <n v="0"/>
    <n v="0"/>
    <n v="0"/>
    <n v="0"/>
    <n v="0"/>
    <n v="0"/>
  </r>
  <r>
    <x v="9"/>
    <x v="6"/>
    <n v="0"/>
    <n v="0"/>
    <n v="0"/>
    <n v="0"/>
    <n v="0"/>
    <n v="0"/>
    <n v="0"/>
    <n v="0"/>
    <n v="0"/>
    <n v="0"/>
    <n v="0"/>
    <n v="0"/>
    <n v="0"/>
    <n v="0"/>
  </r>
  <r>
    <x v="10"/>
    <x v="6"/>
    <n v="0"/>
    <n v="0"/>
    <n v="0"/>
    <n v="0"/>
    <n v="0"/>
    <n v="0"/>
    <n v="0"/>
    <n v="0"/>
    <n v="0"/>
    <n v="0"/>
    <n v="0"/>
    <n v="0"/>
    <n v="0"/>
    <n v="0"/>
  </r>
  <r>
    <x v="11"/>
    <x v="6"/>
    <n v="0"/>
    <n v="0"/>
    <n v="0"/>
    <n v="0"/>
    <n v="0"/>
    <n v="0"/>
    <n v="0"/>
    <n v="0"/>
    <n v="0"/>
    <n v="0"/>
    <n v="0"/>
    <n v="0"/>
    <n v="0"/>
    <n v="0"/>
  </r>
  <r>
    <x v="0"/>
    <x v="7"/>
    <n v="1244.7490823536407"/>
    <n v="506.7767376296672"/>
    <n v="19.641821722629849"/>
    <n v="0"/>
    <n v="136.78923436807742"/>
    <n v="33.920973201421837"/>
    <n v="53.425532792239395"/>
    <n v="388.46548944112476"/>
    <n v="2451.8420172990104"/>
    <n v="282.03085573247449"/>
    <n v="0"/>
    <n v="40.483566559376889"/>
    <n v="51.242246643027293"/>
    <n v="4.0847602049614276"/>
  </r>
  <r>
    <x v="1"/>
    <x v="7"/>
    <n v="1202.2551834367121"/>
    <n v="489.47612679365312"/>
    <n v="18.971278880977337"/>
    <n v="0"/>
    <n v="132.11945153347583"/>
    <n v="32.762961175689291"/>
    <n v="51.60166385171064"/>
    <n v="375.20385022801264"/>
    <n v="2368.139744832677"/>
    <n v="272.40273802999786"/>
    <n v="0"/>
    <n v="39.101517269637249"/>
    <n v="49.49291187347854"/>
    <n v="3.9453125124824631"/>
  </r>
  <r>
    <x v="2"/>
    <x v="7"/>
    <n v="1501.5533667830216"/>
    <n v="611.32988759171587"/>
    <n v="23.694127559908921"/>
    <n v="0"/>
    <n v="165.01023243711387"/>
    <n v="40.919211941769412"/>
    <n v="64.447758808286821"/>
    <n v="468.60983616585281"/>
    <n v="2957.6817433229871"/>
    <n v="340.21666451928286"/>
    <n v="0"/>
    <n v="48.835734469211367"/>
    <n v="61.814038716040322"/>
    <n v="4.9274874151050598"/>
  </r>
  <r>
    <x v="3"/>
    <x v="7"/>
    <n v="1242.6013762711966"/>
    <n v="505.90233852604183"/>
    <n v="19.607931470705172"/>
    <n v="0"/>
    <n v="136.55321646307951"/>
    <n v="33.862445517810805"/>
    <n v="53.333351690552014"/>
    <n v="387.79522608739342"/>
    <n v="2447.6115775353687"/>
    <n v="281.54423606520129"/>
    <n v="0"/>
    <n v="40.413715692747445"/>
    <n v="51.153832611353337"/>
    <n v="4.0777123071466059"/>
  </r>
  <r>
    <x v="4"/>
    <x v="7"/>
    <n v="1486.2126090512786"/>
    <n v="605.08417970867845"/>
    <n v="23.452054331875523"/>
    <n v="0"/>
    <n v="163.32439025855737"/>
    <n v="40.501157058833478"/>
    <n v="63.789322367662727"/>
    <n v="463.82224078205786"/>
    <n v="2927.4643164398344"/>
    <n v="336.74080975304582"/>
    <n v="0"/>
    <n v="48.336799707572517"/>
    <n v="61.182509918369298"/>
    <n v="4.8771452878563366"/>
  </r>
  <r>
    <x v="5"/>
    <x v="7"/>
    <n v="1782.7494560058735"/>
    <n v="725.81371308779421"/>
    <n v="28.131329829761086"/>
    <n v="0"/>
    <n v="195.91171957005517"/>
    <n v="48.582157945985109"/>
    <n v="76.516898764926538"/>
    <n v="556.36645955081474"/>
    <n v="3511.5671780911753"/>
    <n v="403.92908238440793"/>
    <n v="0"/>
    <n v="57.981208650051613"/>
    <n v="73.389961577350277"/>
    <n v="5.8502586075741618"/>
  </r>
  <r>
    <x v="6"/>
    <x v="7"/>
    <n v="2074.0704453316766"/>
    <n v="844.41970578667735"/>
    <n v="32.728300430115304"/>
    <n v="0"/>
    <n v="227.92586254084384"/>
    <n v="56.521020172938535"/>
    <n v="89.020606772378187"/>
    <n v="647.28289588908149"/>
    <n v="4085.3961146022457"/>
    <n v="469.93556439524963"/>
    <n v="0"/>
    <n v="67.455979773573517"/>
    <n v="85.382693445123124"/>
    <n v="6.806255604027422"/>
  </r>
  <r>
    <x v="7"/>
    <x v="7"/>
    <n v="1455.5310935877919"/>
    <n v="592.59276394260314"/>
    <n v="22.967907875808727"/>
    <n v="0"/>
    <n v="159.95270590144426"/>
    <n v="39.665047292961596"/>
    <n v="62.472449486414519"/>
    <n v="454.24705001446785"/>
    <n v="2867.0294626735285"/>
    <n v="329.78910022057164"/>
    <n v="0"/>
    <n v="47.338930184294789"/>
    <n v="59.91945232302723"/>
    <n v="4.7764610333588893"/>
  </r>
  <r>
    <x v="8"/>
    <x v="7"/>
    <n v="2080.2067484243739"/>
    <n v="846.91798893989255"/>
    <n v="32.825129721328665"/>
    <n v="0"/>
    <n v="228.60019941226648"/>
    <n v="56.688242126112911"/>
    <n v="89.283981348627833"/>
    <n v="649.19793404259951"/>
    <n v="4097.4830853555068"/>
    <n v="471.32590630174451"/>
    <n v="0"/>
    <n v="67.655553678229069"/>
    <n v="85.635304964191533"/>
    <n v="6.8263924549269124"/>
  </r>
  <r>
    <x v="9"/>
    <x v="7"/>
    <n v="2530.6113954283528"/>
    <n v="1030.2919723858749"/>
    <n v="39.932399696389197"/>
    <n v="0"/>
    <n v="278.09652577468637"/>
    <n v="68.962333489111984"/>
    <n v="108.61567524535137"/>
    <n v="789.76173451082002"/>
    <n v="4984.6667386448698"/>
    <n v="573.37700223846434"/>
    <n v="0"/>
    <n v="82.304278279945919"/>
    <n v="104.17699046381293"/>
    <n v="8.3044373109494334"/>
  </r>
  <r>
    <x v="10"/>
    <x v="7"/>
    <n v="2448.5383415635274"/>
    <n v="996.87743521162417"/>
    <n v="38.637307926410529"/>
    <n v="0"/>
    <n v="269.07727011940892"/>
    <n v="66.725739865404734"/>
    <n v="105.09304028801246"/>
    <n v="764.14809920751702"/>
    <n v="4823.0035048200034"/>
    <n v="554.78117923909622"/>
    <n v="0"/>
    <n v="79.63497730517804"/>
    <n v="100.79831139627295"/>
    <n v="8.0351069301687641"/>
  </r>
  <r>
    <x v="11"/>
    <x v="7"/>
    <n v="2172.5581099694682"/>
    <n v="884.51715039577869"/>
    <n v="34.282410554089715"/>
    <n v="0"/>
    <n v="238.74896932717687"/>
    <n v="59.204932521387256"/>
    <n v="93.247768721184926"/>
    <n v="678.01925825304534"/>
    <n v="4279.3919951920871"/>
    <n v="492.25055199449162"/>
    <n v="0"/>
    <n v="70.659140943295"/>
    <n v="89.437108326171142"/>
    <n v="7.1294520609642289"/>
  </r>
  <r>
    <x v="0"/>
    <x v="8"/>
    <n v="282.76195579742051"/>
    <n v="115.12133932555031"/>
    <n v="19.641821722629849"/>
    <n v="64.754805363790808"/>
    <n v="189.73238145101493"/>
    <n v="9.4838373313324666"/>
    <n v="14.937043796848634"/>
    <n v="88.245304303801419"/>
    <n v="685.50128901417213"/>
    <n v="64.067206389374007"/>
    <n v="316.48367665336519"/>
    <n v="9.1964016043614407"/>
    <n v="11.64038446434434"/>
    <n v="0.95013747341902"/>
  </r>
  <r>
    <x v="1"/>
    <x v="8"/>
    <n v="273.10887941636486"/>
    <n v="111.19126648931942"/>
    <n v="18.971278880977337"/>
    <n v="62.54417175696679"/>
    <n v="183.25519761296573"/>
    <n v="9.1600731039749252"/>
    <n v="14.427115138760504"/>
    <n v="85.23273968805664"/>
    <n v="662.09928543308683"/>
    <n v="61.880046398018735"/>
    <n v="305.6793904279545"/>
    <n v="8.8824500090437031"/>
    <n v="11.242998896606679"/>
    <n v="0.9177011805749149"/>
  </r>
  <r>
    <x v="2"/>
    <x v="8"/>
    <n v="341.09859789809616"/>
    <n v="138.87203220587708"/>
    <n v="23.694127559908921"/>
    <n v="78.114374525608142"/>
    <n v="228.87608450117506"/>
    <n v="11.440448582583461"/>
    <n v="18.018706517568948"/>
    <n v="106.45120021267049"/>
    <n v="826.92711570997255"/>
    <n v="77.284916950849492"/>
    <n v="381.77744972678568"/>
    <n v="11.093711967400763"/>
    <n v="14.041913130022481"/>
    <n v="1.1461604128451279"/>
  </r>
  <r>
    <x v="3"/>
    <x v="8"/>
    <n v="282.27407468068844"/>
    <n v="114.92270748545198"/>
    <n v="19.607931470705172"/>
    <n v="64.643076589438678"/>
    <n v="189.40501475883914"/>
    <n v="9.4674737963757671"/>
    <n v="14.911271229291831"/>
    <n v="88.093044720334163"/>
    <n v="684.31851627000162"/>
    <n v="63.95666400713943"/>
    <n v="315.93761164558271"/>
    <n v="9.1805340147063905"/>
    <n v="11.620299995216802"/>
    <n v="0.94849809399729612"/>
  </r>
  <r>
    <x v="4"/>
    <x v="8"/>
    <n v="337.61373277858155"/>
    <n v="137.453233348032"/>
    <n v="23.452054331875523"/>
    <n v="77.316311851664466"/>
    <n v="226.53775098563386"/>
    <n v="11.323566190035612"/>
    <n v="17.834616749306086"/>
    <n v="105.36363175933303"/>
    <n v="818.47873896589863"/>
    <n v="76.495328506316923"/>
    <n v="377.87698538548221"/>
    <n v="10.980372041293277"/>
    <n v="13.898452636254374"/>
    <n v="1.1344505598328158"/>
  </r>
  <r>
    <x v="5"/>
    <x v="8"/>
    <n v="404.97617553880002"/>
    <n v="164.87861527017748"/>
    <n v="28.131329829761086"/>
    <n v="92.742863338995917"/>
    <n v="271.73773784104566"/>
    <n v="13.582902837985531"/>
    <n v="21.393071969827208"/>
    <n v="126.38632996234608"/>
    <n v="981.78586142885058"/>
    <n v="91.758073139131781"/>
    <n v="453.27296110287858"/>
    <n v="13.171232812950985"/>
    <n v="16.67154398079191"/>
    <n v="1.3608020185608123"/>
  </r>
  <r>
    <x v="6"/>
    <x v="8"/>
    <n v="471.15376415838369"/>
    <n v="191.8216055806557"/>
    <n v="32.728300430115304"/>
    <n v="107.89807351718656"/>
    <n v="316.14269130117356"/>
    <n v="15.802499472469183"/>
    <n v="24.88893666913896"/>
    <n v="147.03925489122443"/>
    <n v="1142.2205357988178"/>
    <n v="106.75235770080559"/>
    <n v="527.3427789442319"/>
    <n v="15.323558009732151"/>
    <n v="19.395858757448298"/>
    <n v="1.5831721272646229"/>
  </r>
  <r>
    <x v="7"/>
    <x v="8"/>
    <n v="330.6440025395521"/>
    <n v="134.61563563234179"/>
    <n v="22.967907875808727"/>
    <n v="75.720186503777072"/>
    <n v="221.86108395455136"/>
    <n v="11.089801404939912"/>
    <n v="17.46643721278036"/>
    <n v="103.1884948526581"/>
    <n v="801.58198547775021"/>
    <n v="74.916151617251728"/>
    <n v="370.07605670287518"/>
    <n v="10.753692189078302"/>
    <n v="13.611531648718154"/>
    <n v="1.111030853808191"/>
  </r>
  <r>
    <x v="8"/>
    <x v="8"/>
    <n v="472.54771020618961"/>
    <n v="192.38912512379375"/>
    <n v="32.825129721328665"/>
    <n v="108.21729858676404"/>
    <n v="317.07802470739006"/>
    <n v="15.849252429488324"/>
    <n v="24.96257257644411"/>
    <n v="147.47428227255944"/>
    <n v="1145.5998864964474"/>
    <n v="107.06819307861863"/>
    <n v="528.90296468075337"/>
    <n v="15.368893980175148"/>
    <n v="19.453242954955542"/>
    <n v="1.587856068469548"/>
  </r>
  <r>
    <x v="9"/>
    <x v="8"/>
    <n v="574.86335011514029"/>
    <n v="234.04505959012545"/>
    <n v="39.932399696389197"/>
    <n v="131.6484186937507"/>
    <n v="385.73149672368032"/>
    <n v="19.280919474693167"/>
    <n v="30.367448172641737"/>
    <n v="179.4052920625472"/>
    <n v="1393.6442277024628"/>
    <n v="130.25050981009534"/>
    <n v="643.42059774142376"/>
    <n v="18.696554210690941"/>
    <n v="23.665243051987211"/>
    <n v="1.9316573529110368"/>
  </r>
  <r>
    <x v="10"/>
    <x v="8"/>
    <n v="556.2193217257369"/>
    <n v="226.45448570065426"/>
    <n v="38.637307926410529"/>
    <n v="127.37878338815197"/>
    <n v="373.22141241553487"/>
    <n v="18.655598674562178"/>
    <n v="29.382567912435427"/>
    <n v="173.58680083719182"/>
    <n v="1348.4454121216665"/>
    <n v="126.02621163184601"/>
    <n v="622.55311351545015"/>
    <n v="18.090185606015893"/>
    <n v="22.89772941032783"/>
    <n v="1.8690096392951663"/>
  </r>
  <r>
    <x v="11"/>
    <x v="8"/>
    <n v="493.52659822566801"/>
    <n v="200.9302942480212"/>
    <n v="34.282410554089715"/>
    <n v="113.02163588390505"/>
    <n v="331.15479247094828"/>
    <n v="16.552884432626378"/>
    <n v="26.070792981386543"/>
    <n v="154.02144436165096"/>
    <n v="1196.4591144957737"/>
    <n v="111.82151551470481"/>
    <n v="552.38376001540041"/>
    <n v="16.051200335342216"/>
    <n v="20.316875127439559"/>
    <n v="1.6583493836036682"/>
  </r>
  <r>
    <x v="0"/>
    <x v="9"/>
    <n v="0"/>
    <n v="0"/>
    <n v="0"/>
    <n v="0"/>
    <n v="0"/>
    <n v="0"/>
    <n v="0"/>
    <n v="0"/>
    <n v="0"/>
    <n v="0"/>
    <n v="0"/>
    <n v="0"/>
    <n v="0"/>
    <n v="0"/>
  </r>
  <r>
    <x v="1"/>
    <x v="9"/>
    <n v="0"/>
    <n v="0"/>
    <n v="0"/>
    <n v="0"/>
    <n v="0"/>
    <n v="0"/>
    <n v="0"/>
    <n v="0"/>
    <n v="0"/>
    <n v="0"/>
    <n v="0"/>
    <n v="0"/>
    <n v="0"/>
    <n v="0"/>
  </r>
  <r>
    <x v="2"/>
    <x v="9"/>
    <n v="0"/>
    <n v="0"/>
    <n v="0"/>
    <n v="0"/>
    <n v="0"/>
    <n v="0"/>
    <n v="0"/>
    <n v="0"/>
    <n v="0"/>
    <n v="0"/>
    <n v="0"/>
    <n v="0"/>
    <n v="0"/>
    <n v="0"/>
  </r>
  <r>
    <x v="3"/>
    <x v="9"/>
    <n v="0"/>
    <n v="0"/>
    <n v="0"/>
    <n v="0"/>
    <n v="0"/>
    <n v="0"/>
    <n v="0"/>
    <n v="0"/>
    <n v="0"/>
    <n v="0"/>
    <n v="0"/>
    <n v="0"/>
    <n v="0"/>
    <n v="0"/>
  </r>
  <r>
    <x v="4"/>
    <x v="9"/>
    <n v="0"/>
    <n v="0"/>
    <n v="0"/>
    <n v="0"/>
    <n v="0"/>
    <n v="0"/>
    <n v="0"/>
    <n v="0"/>
    <n v="0"/>
    <n v="0"/>
    <n v="0"/>
    <n v="0"/>
    <n v="0"/>
    <n v="0"/>
  </r>
  <r>
    <x v="5"/>
    <x v="9"/>
    <n v="0"/>
    <n v="0"/>
    <n v="0"/>
    <n v="0"/>
    <n v="0"/>
    <n v="0"/>
    <n v="0"/>
    <n v="0"/>
    <n v="0"/>
    <n v="0"/>
    <n v="0"/>
    <n v="0"/>
    <n v="0"/>
    <n v="0"/>
  </r>
  <r>
    <x v="6"/>
    <x v="9"/>
    <n v="0"/>
    <n v="0"/>
    <n v="0"/>
    <n v="0"/>
    <n v="0"/>
    <n v="0"/>
    <n v="0"/>
    <n v="0"/>
    <n v="0"/>
    <n v="0"/>
    <n v="0"/>
    <n v="0"/>
    <n v="0"/>
    <n v="0"/>
  </r>
  <r>
    <x v="7"/>
    <x v="9"/>
    <n v="0"/>
    <n v="0"/>
    <n v="0"/>
    <n v="0"/>
    <n v="0"/>
    <n v="0"/>
    <n v="0"/>
    <n v="0"/>
    <n v="0"/>
    <n v="0"/>
    <n v="0"/>
    <n v="0"/>
    <n v="0"/>
    <n v="0"/>
  </r>
  <r>
    <x v="8"/>
    <x v="9"/>
    <n v="0"/>
    <n v="0"/>
    <n v="0"/>
    <n v="0"/>
    <n v="0"/>
    <n v="0"/>
    <n v="0"/>
    <n v="0"/>
    <n v="0"/>
    <n v="0"/>
    <n v="0"/>
    <n v="0"/>
    <n v="0"/>
    <n v="0"/>
  </r>
  <r>
    <x v="9"/>
    <x v="9"/>
    <n v="0"/>
    <n v="0"/>
    <n v="0"/>
    <n v="0"/>
    <n v="0"/>
    <n v="0"/>
    <n v="0"/>
    <n v="0"/>
    <n v="0"/>
    <n v="0"/>
    <n v="0"/>
    <n v="0"/>
    <n v="0"/>
    <n v="0"/>
  </r>
  <r>
    <x v="10"/>
    <x v="9"/>
    <n v="0"/>
    <n v="0"/>
    <n v="0"/>
    <n v="0"/>
    <n v="0"/>
    <n v="0"/>
    <n v="0"/>
    <n v="0"/>
    <n v="0"/>
    <n v="0"/>
    <n v="0"/>
    <n v="0"/>
    <n v="0"/>
    <n v="0"/>
  </r>
  <r>
    <x v="11"/>
    <x v="9"/>
    <n v="0"/>
    <n v="0"/>
    <n v="0"/>
    <n v="0"/>
    <n v="0"/>
    <n v="0"/>
    <n v="0"/>
    <n v="0"/>
    <n v="0"/>
    <n v="0"/>
    <n v="0"/>
    <n v="0"/>
    <n v="0"/>
    <n v="0"/>
  </r>
  <r>
    <x v="0"/>
    <x v="10"/>
    <n v="0"/>
    <n v="0"/>
    <n v="0"/>
    <n v="0"/>
    <n v="0"/>
    <n v="0"/>
    <n v="0"/>
    <n v="0"/>
    <n v="0"/>
    <n v="0"/>
    <n v="0"/>
    <n v="0"/>
    <n v="0"/>
    <n v="0"/>
  </r>
  <r>
    <x v="1"/>
    <x v="10"/>
    <n v="0"/>
    <n v="0"/>
    <n v="0"/>
    <n v="0"/>
    <n v="0"/>
    <n v="0"/>
    <n v="0"/>
    <n v="0"/>
    <n v="0"/>
    <n v="0"/>
    <n v="0"/>
    <n v="0"/>
    <n v="0"/>
    <n v="0"/>
  </r>
  <r>
    <x v="2"/>
    <x v="10"/>
    <n v="0"/>
    <n v="0"/>
    <n v="0"/>
    <n v="0"/>
    <n v="0"/>
    <n v="0"/>
    <n v="0"/>
    <n v="0"/>
    <n v="0"/>
    <n v="0"/>
    <n v="0"/>
    <n v="0"/>
    <n v="0"/>
    <n v="0"/>
  </r>
  <r>
    <x v="3"/>
    <x v="10"/>
    <n v="0"/>
    <n v="0"/>
    <n v="0"/>
    <n v="0"/>
    <n v="0"/>
    <n v="0"/>
    <n v="0"/>
    <n v="0"/>
    <n v="0"/>
    <n v="0"/>
    <n v="0"/>
    <n v="0"/>
    <n v="0"/>
    <n v="0"/>
  </r>
  <r>
    <x v="4"/>
    <x v="10"/>
    <n v="0"/>
    <n v="0"/>
    <n v="0"/>
    <n v="0"/>
    <n v="0"/>
    <n v="0"/>
    <n v="0"/>
    <n v="0"/>
    <n v="0"/>
    <n v="0"/>
    <n v="0"/>
    <n v="0"/>
    <n v="0"/>
    <n v="0"/>
  </r>
  <r>
    <x v="5"/>
    <x v="10"/>
    <n v="0"/>
    <n v="0"/>
    <n v="0"/>
    <n v="0"/>
    <n v="0"/>
    <n v="0"/>
    <n v="0"/>
    <n v="0"/>
    <n v="0"/>
    <n v="0"/>
    <n v="0"/>
    <n v="0"/>
    <n v="0"/>
    <n v="0"/>
  </r>
  <r>
    <x v="6"/>
    <x v="10"/>
    <n v="0"/>
    <n v="0"/>
    <n v="0"/>
    <n v="0"/>
    <n v="0"/>
    <n v="0"/>
    <n v="0"/>
    <n v="0"/>
    <n v="0"/>
    <n v="0"/>
    <n v="0"/>
    <n v="0"/>
    <n v="0"/>
    <n v="0"/>
  </r>
  <r>
    <x v="7"/>
    <x v="10"/>
    <n v="0"/>
    <n v="0"/>
    <n v="0"/>
    <n v="0"/>
    <n v="0"/>
    <n v="0"/>
    <n v="0"/>
    <n v="0"/>
    <n v="0"/>
    <n v="0"/>
    <n v="0"/>
    <n v="0"/>
    <n v="0"/>
    <n v="0"/>
  </r>
  <r>
    <x v="8"/>
    <x v="10"/>
    <n v="0"/>
    <n v="0"/>
    <n v="0"/>
    <n v="0"/>
    <n v="0"/>
    <n v="0"/>
    <n v="0"/>
    <n v="0"/>
    <n v="0"/>
    <n v="0"/>
    <n v="0"/>
    <n v="0"/>
    <n v="0"/>
    <n v="0"/>
  </r>
  <r>
    <x v="9"/>
    <x v="10"/>
    <n v="0"/>
    <n v="0"/>
    <n v="0"/>
    <n v="0"/>
    <n v="0"/>
    <n v="0"/>
    <n v="0"/>
    <n v="0"/>
    <n v="0"/>
    <n v="0"/>
    <n v="0"/>
    <n v="0"/>
    <n v="0"/>
    <n v="0"/>
  </r>
  <r>
    <x v="10"/>
    <x v="10"/>
    <n v="0"/>
    <n v="0"/>
    <n v="0"/>
    <n v="0"/>
    <n v="0"/>
    <n v="0"/>
    <n v="0"/>
    <n v="0"/>
    <n v="0"/>
    <n v="0"/>
    <n v="0"/>
    <n v="0"/>
    <n v="0"/>
    <n v="0"/>
  </r>
  <r>
    <x v="11"/>
    <x v="10"/>
    <n v="0"/>
    <n v="0"/>
    <n v="0"/>
    <n v="0"/>
    <n v="0"/>
    <n v="0"/>
    <n v="0"/>
    <n v="0"/>
    <n v="0"/>
    <n v="0"/>
    <n v="0"/>
    <n v="0"/>
    <n v="0"/>
    <n v="0"/>
  </r>
  <r>
    <x v="0"/>
    <x v="11"/>
    <n v="338.88380207986381"/>
    <n v="137.9703187479669"/>
    <n v="13.094547815086566"/>
    <n v="68.977944844038035"/>
    <n v="227.3899634852275"/>
    <n v="11.366164320391979"/>
    <n v="17.901708804617368"/>
    <n v="105.7599992680472"/>
    <n v="821.55777461873618"/>
    <n v="76.783096327927097"/>
    <n v="389.58312790343308"/>
    <n v="11.021679109378246"/>
    <n v="13.95073723345768"/>
    <n v="1.1387182500656983"/>
  </r>
  <r>
    <x v="1"/>
    <x v="11"/>
    <n v="327.31480859007792"/>
    <n v="133.26021543354898"/>
    <n v="12.647519253984893"/>
    <n v="66.623139480247232"/>
    <n v="219.62720530363913"/>
    <n v="10.978140224169575"/>
    <n v="17.290570853067081"/>
    <n v="102.14950878280575"/>
    <n v="793.51100316576719"/>
    <n v="74.161834597234986"/>
    <n v="376.2833341606119"/>
    <n v="10.645415230490178"/>
    <n v="13.474479627632219"/>
    <n v="1.0998440874741036"/>
  </r>
  <r>
    <x v="2"/>
    <x v="11"/>
    <n v="408.79894685207137"/>
    <n v="166.4349864314888"/>
    <n v="15.796085039939282"/>
    <n v="83.208790255539114"/>
    <n v="274.30280534796736"/>
    <n v="13.711118605865998"/>
    <n v="21.595011804238947"/>
    <n v="127.57935331965074"/>
    <n v="991.05342592657018"/>
    <n v="92.624223176947325"/>
    <n v="469.95805471022965"/>
    <n v="13.295562622947285"/>
    <n v="16.828914966857749"/>
    <n v="1.3736473048611111"/>
  </r>
  <r>
    <x v="3"/>
    <x v="11"/>
    <n v="338.29908760745582"/>
    <n v="137.73226298478329"/>
    <n v="13.071954313803447"/>
    <n v="68.858929410489026"/>
    <n v="226.99762191648293"/>
    <n v="11.346552994229112"/>
    <n v="17.870820965910852"/>
    <n v="105.57751960453318"/>
    <n v="820.14024826371235"/>
    <n v="76.650613785581641"/>
    <n v="388.91093616191858"/>
    <n v="11.002662162430832"/>
    <n v="13.926666451935814"/>
    <n v="1.1367534909455455"/>
  </r>
  <r>
    <x v="4"/>
    <x v="11"/>
    <n v="404.62241490630038"/>
    <n v="164.73458812303468"/>
    <n v="15.634702887917017"/>
    <n v="82.358680015903445"/>
    <n v="271.5003655712207"/>
    <n v="13.571037704702677"/>
    <n v="21.374384384906715"/>
    <n v="126.27592715169355"/>
    <n v="980.92823767640095"/>
    <n v="91.677919303051254"/>
    <n v="465.15668512798379"/>
    <n v="13.159727287608634"/>
    <n v="16.656980813130147"/>
    <n v="1.3596133111457342"/>
  </r>
  <r>
    <x v="5"/>
    <x v="11"/>
    <n v="485.35477741805482"/>
    <n v="197.60328742545269"/>
    <n v="18.754219886507393"/>
    <n v="98.791310948060868"/>
    <n v="325.67152645573435"/>
    <n v="16.278801524189696"/>
    <n v="25.639112400598769"/>
    <n v="151.47115497830617"/>
    <n v="1176.6481265521732"/>
    <n v="109.96997318546227"/>
    <n v="557.96715915279708"/>
    <n v="15.785424319704779"/>
    <n v="19.980468004684703"/>
    <n v="1.6308904096639731"/>
  </r>
  <r>
    <x v="6"/>
    <x v="11"/>
    <n v="564.6671190682473"/>
    <n v="229.89385130299635"/>
    <n v="21.818866953410204"/>
    <n v="114.9349043987422"/>
    <n v="378.88985781615429"/>
    <n v="18.938937837281188"/>
    <n v="29.828827093717869"/>
    <n v="176.22321790781342"/>
    <n v="1368.925451422888"/>
    <n v="127.94028375074863"/>
    <n v="649.14516751964698"/>
    <n v="18.364937337785786"/>
    <n v="23.245497583971879"/>
    <n v="1.8973959503189846"/>
  </r>
  <r>
    <x v="7"/>
    <x v="11"/>
    <n v="396.26935101475817"/>
    <n v="161.33379150612643"/>
    <n v="15.311938583872486"/>
    <n v="80.658459536632108"/>
    <n v="265.89548601772719"/>
    <n v="13.29087590237603"/>
    <n v="20.933129546242245"/>
    <n v="123.66907481577913"/>
    <n v="960.67786117606215"/>
    <n v="89.785311555259099"/>
    <n v="455.55394596349191"/>
    <n v="12.888056616931328"/>
    <n v="16.31311250567494"/>
    <n v="1.3315453237149797"/>
  </r>
  <r>
    <x v="8"/>
    <x v="11"/>
    <n v="566.33773184655581"/>
    <n v="230.57401062637803"/>
    <n v="21.88341981421911"/>
    <n v="115.27494849459647"/>
    <n v="380.01083372685304"/>
    <n v="18.994970197746518"/>
    <n v="29.917078061450766"/>
    <n v="176.74458837499631"/>
    <n v="1372.9755267229559"/>
    <n v="128.31880530030708"/>
    <n v="651.06571535254534"/>
    <n v="18.419271471921249"/>
    <n v="23.314271245462923"/>
    <n v="1.9030095478051356"/>
  </r>
  <r>
    <x v="9"/>
    <x v="11"/>
    <n v="688.96070977439399"/>
    <n v="280.49770496259077"/>
    <n v="26.6215997975928"/>
    <n v="140.23418513029964"/>
    <n v="462.29046557213616"/>
    <n v="23.107745455901661"/>
    <n v="36.394699093045112"/>
    <n v="215.01318066621968"/>
    <n v="1670.2510537479259"/>
    <n v="156.10228703789565"/>
    <n v="792.03392628728511"/>
    <n v="22.407396917464077"/>
    <n v="28.362257998905331"/>
    <n v="2.3150476032886069"/>
  </r>
  <r>
    <x v="10"/>
    <x v="11"/>
    <n v="666.61626386451894"/>
    <n v="271.40057401236135"/>
    <n v="25.758205284273689"/>
    <n v="135.68609534824884"/>
    <n v="447.29741276654136"/>
    <n v="22.35831263467789"/>
    <n v="35.214342399617678"/>
    <n v="208.03985066764869"/>
    <n v="1616.0812966095205"/>
    <n v="151.03956131255171"/>
    <n v="766.34659902226963"/>
    <n v="21.680677873402292"/>
    <n v="27.442410276462663"/>
    <n v="2.2399657369113397"/>
  </r>
  <r>
    <x v="11"/>
    <x v="11"/>
    <n v="591.48045416009768"/>
    <n v="240.81040844327183"/>
    <n v="22.854940369393148"/>
    <n v="120.39261213720322"/>
    <n v="396.8815211828682"/>
    <n v="19.838257222749721"/>
    <n v="31.245255125830813"/>
    <n v="184.59121390609869"/>
    <n v="1433.929159988975"/>
    <n v="134.01555462116144"/>
    <n v="679.96996023766587"/>
    <n v="19.237000190659938"/>
    <n v="24.349314850903092"/>
    <n v="1.987494189971706"/>
  </r>
  <r>
    <x v="0"/>
    <x v="12"/>
    <n v="0"/>
    <n v="0"/>
    <n v="0"/>
    <n v="0"/>
    <n v="0"/>
    <n v="0"/>
    <n v="0"/>
    <n v="0"/>
    <n v="0"/>
    <n v="0"/>
    <n v="0"/>
    <n v="0"/>
    <n v="0"/>
    <n v="0"/>
  </r>
  <r>
    <x v="1"/>
    <x v="12"/>
    <n v="0"/>
    <n v="0"/>
    <n v="0"/>
    <n v="0"/>
    <n v="0"/>
    <n v="0"/>
    <n v="0"/>
    <n v="0"/>
    <n v="0"/>
    <n v="0"/>
    <n v="0"/>
    <n v="0"/>
    <n v="0"/>
    <n v="0"/>
  </r>
  <r>
    <x v="2"/>
    <x v="12"/>
    <n v="0"/>
    <n v="0"/>
    <n v="0"/>
    <n v="0"/>
    <n v="0"/>
    <n v="0"/>
    <n v="0"/>
    <n v="0"/>
    <n v="0"/>
    <n v="0"/>
    <n v="0"/>
    <n v="0"/>
    <n v="0"/>
    <n v="0"/>
  </r>
  <r>
    <x v="3"/>
    <x v="12"/>
    <n v="0"/>
    <n v="0"/>
    <n v="0"/>
    <n v="0"/>
    <n v="0"/>
    <n v="0"/>
    <n v="0"/>
    <n v="0"/>
    <n v="0"/>
    <n v="0"/>
    <n v="0"/>
    <n v="0"/>
    <n v="0"/>
    <n v="0"/>
  </r>
  <r>
    <x v="4"/>
    <x v="12"/>
    <n v="0"/>
    <n v="0"/>
    <n v="0"/>
    <n v="0"/>
    <n v="0"/>
    <n v="0"/>
    <n v="0"/>
    <n v="0"/>
    <n v="0"/>
    <n v="0"/>
    <n v="0"/>
    <n v="0"/>
    <n v="0"/>
    <n v="0"/>
  </r>
  <r>
    <x v="5"/>
    <x v="12"/>
    <n v="0"/>
    <n v="0"/>
    <n v="0"/>
    <n v="0"/>
    <n v="0"/>
    <n v="0"/>
    <n v="0"/>
    <n v="0"/>
    <n v="0"/>
    <n v="0"/>
    <n v="0"/>
    <n v="0"/>
    <n v="0"/>
    <n v="0"/>
  </r>
  <r>
    <x v="6"/>
    <x v="12"/>
    <n v="0"/>
    <n v="0"/>
    <n v="0"/>
    <n v="0"/>
    <n v="0"/>
    <n v="0"/>
    <n v="0"/>
    <n v="0"/>
    <n v="0"/>
    <n v="0"/>
    <n v="0"/>
    <n v="0"/>
    <n v="0"/>
    <n v="0"/>
  </r>
  <r>
    <x v="7"/>
    <x v="12"/>
    <n v="0"/>
    <n v="0"/>
    <n v="0"/>
    <n v="0"/>
    <n v="0"/>
    <n v="0"/>
    <n v="0"/>
    <n v="0"/>
    <n v="0"/>
    <n v="0"/>
    <n v="0"/>
    <n v="0"/>
    <n v="0"/>
    <n v="0"/>
  </r>
  <r>
    <x v="8"/>
    <x v="12"/>
    <n v="0"/>
    <n v="0"/>
    <n v="0"/>
    <n v="0"/>
    <n v="0"/>
    <n v="0"/>
    <n v="0"/>
    <n v="0"/>
    <n v="0"/>
    <n v="0"/>
    <n v="0"/>
    <n v="0"/>
    <n v="0"/>
    <n v="0"/>
  </r>
  <r>
    <x v="9"/>
    <x v="12"/>
    <n v="0"/>
    <n v="0"/>
    <n v="0"/>
    <n v="0"/>
    <n v="0"/>
    <n v="0"/>
    <n v="0"/>
    <n v="0"/>
    <n v="0"/>
    <n v="0"/>
    <n v="0"/>
    <n v="0"/>
    <n v="0"/>
    <n v="0"/>
  </r>
  <r>
    <x v="10"/>
    <x v="12"/>
    <n v="0"/>
    <n v="0"/>
    <n v="0"/>
    <n v="0"/>
    <n v="0"/>
    <n v="0"/>
    <n v="0"/>
    <n v="0"/>
    <n v="0"/>
    <n v="0"/>
    <n v="0"/>
    <n v="0"/>
    <n v="0"/>
    <n v="0"/>
  </r>
  <r>
    <x v="11"/>
    <x v="12"/>
    <n v="0"/>
    <n v="0"/>
    <n v="0"/>
    <n v="0"/>
    <n v="0"/>
    <n v="0"/>
    <n v="0"/>
    <n v="0"/>
    <n v="0"/>
    <n v="0"/>
    <n v="0"/>
    <n v="0"/>
    <n v="0"/>
    <n v="0"/>
  </r>
  <r>
    <x v="0"/>
    <x v="13"/>
    <n v="0"/>
    <n v="0"/>
    <n v="0"/>
    <n v="0"/>
    <n v="0"/>
    <n v="0"/>
    <n v="0"/>
    <n v="0"/>
    <n v="0"/>
    <n v="0"/>
    <n v="0"/>
    <n v="0"/>
    <n v="0"/>
    <n v="0"/>
  </r>
  <r>
    <x v="1"/>
    <x v="13"/>
    <n v="0"/>
    <n v="0"/>
    <n v="0"/>
    <n v="0"/>
    <n v="0"/>
    <n v="0"/>
    <n v="0"/>
    <n v="0"/>
    <n v="0"/>
    <n v="0"/>
    <n v="0"/>
    <n v="0"/>
    <n v="0"/>
    <n v="0"/>
  </r>
  <r>
    <x v="2"/>
    <x v="13"/>
    <n v="0"/>
    <n v="0"/>
    <n v="0"/>
    <n v="0"/>
    <n v="0"/>
    <n v="0"/>
    <n v="0"/>
    <n v="0"/>
    <n v="0"/>
    <n v="0"/>
    <n v="0"/>
    <n v="0"/>
    <n v="0"/>
    <n v="0"/>
  </r>
  <r>
    <x v="3"/>
    <x v="13"/>
    <n v="0"/>
    <n v="0"/>
    <n v="0"/>
    <n v="0"/>
    <n v="0"/>
    <n v="0"/>
    <n v="0"/>
    <n v="0"/>
    <n v="0"/>
    <n v="0"/>
    <n v="0"/>
    <n v="0"/>
    <n v="0"/>
    <n v="0"/>
  </r>
  <r>
    <x v="4"/>
    <x v="13"/>
    <n v="0"/>
    <n v="0"/>
    <n v="0"/>
    <n v="0"/>
    <n v="0"/>
    <n v="0"/>
    <n v="0"/>
    <n v="0"/>
    <n v="0"/>
    <n v="0"/>
    <n v="0"/>
    <n v="0"/>
    <n v="0"/>
    <n v="0"/>
  </r>
  <r>
    <x v="5"/>
    <x v="13"/>
    <n v="0"/>
    <n v="0"/>
    <n v="0"/>
    <n v="0"/>
    <n v="0"/>
    <n v="0"/>
    <n v="0"/>
    <n v="0"/>
    <n v="0"/>
    <n v="0"/>
    <n v="0"/>
    <n v="0"/>
    <n v="0"/>
    <n v="0"/>
  </r>
  <r>
    <x v="6"/>
    <x v="13"/>
    <n v="0"/>
    <n v="0"/>
    <n v="0"/>
    <n v="0"/>
    <n v="0"/>
    <n v="0"/>
    <n v="0"/>
    <n v="0"/>
    <n v="0"/>
    <n v="0"/>
    <n v="0"/>
    <n v="0"/>
    <n v="0"/>
    <n v="0"/>
  </r>
  <r>
    <x v="7"/>
    <x v="13"/>
    <n v="0"/>
    <n v="0"/>
    <n v="0"/>
    <n v="0"/>
    <n v="0"/>
    <n v="0"/>
    <n v="0"/>
    <n v="0"/>
    <n v="0"/>
    <n v="0"/>
    <n v="0"/>
    <n v="0"/>
    <n v="0"/>
    <n v="0"/>
  </r>
  <r>
    <x v="8"/>
    <x v="13"/>
    <n v="0"/>
    <n v="0"/>
    <n v="0"/>
    <n v="0"/>
    <n v="0"/>
    <n v="0"/>
    <n v="0"/>
    <n v="0"/>
    <n v="0"/>
    <n v="0"/>
    <n v="0"/>
    <n v="0"/>
    <n v="0"/>
    <n v="0"/>
  </r>
  <r>
    <x v="9"/>
    <x v="13"/>
    <n v="0"/>
    <n v="0"/>
    <n v="0"/>
    <n v="0"/>
    <n v="0"/>
    <n v="0"/>
    <n v="0"/>
    <n v="0"/>
    <n v="0"/>
    <n v="0"/>
    <n v="0"/>
    <n v="0"/>
    <n v="0"/>
    <n v="0"/>
  </r>
  <r>
    <x v="10"/>
    <x v="13"/>
    <n v="0"/>
    <n v="0"/>
    <n v="0"/>
    <n v="0"/>
    <n v="0"/>
    <n v="0"/>
    <n v="0"/>
    <n v="0"/>
    <n v="0"/>
    <n v="0"/>
    <n v="0"/>
    <n v="0"/>
    <n v="0"/>
    <n v="0"/>
  </r>
  <r>
    <x v="11"/>
    <x v="13"/>
    <n v="0"/>
    <n v="0"/>
    <n v="0"/>
    <n v="0"/>
    <n v="0"/>
    <n v="0"/>
    <n v="0"/>
    <n v="0"/>
    <n v="0"/>
    <n v="0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6">
  <r>
    <n v="1"/>
    <x v="0"/>
    <s v="SARL"/>
    <s v="GARAGE JEAN PERRIN"/>
    <s v="GAVIGNEY"/>
    <s v="Paul"/>
    <m/>
    <s v="66, avenue Marechal Leclerc"/>
    <n v="39100"/>
    <s v="DOLE"/>
    <s v="03 85 45 65 98"/>
    <n v="4586"/>
    <s v="1456 - Réhabilitation d'une maison de campagne"/>
    <x v="0"/>
    <s v="DEV 568"/>
    <n v="4457.1400000000003"/>
    <n v="3714.29"/>
    <n v="742.86"/>
    <s v="1-Mousse Directe"/>
    <n v="500"/>
    <n v="214.29"/>
    <n v="714.29"/>
    <n v="30"/>
    <n v="50"/>
    <n v="60"/>
    <n v="3000"/>
    <n v="3214.29"/>
    <n v="64.290000000000006"/>
    <n v="3714.29"/>
    <n v="20"/>
    <n v="74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2"/>
    <x v="1"/>
    <s v="Monsieur"/>
    <s v="PANLOUP"/>
    <s v="Jean-Michel"/>
    <m/>
    <m/>
    <s v="18, route de Longvic"/>
    <n v="21000"/>
    <s v="DIJON"/>
    <s v="03 80 41 52 69"/>
    <n v="85475"/>
    <s v="Rénovation appartement 4 pièces"/>
    <x v="0"/>
    <s v="2018-5624"/>
    <n v="2400"/>
    <n v="2000"/>
    <n v="400"/>
    <s v="1-Mousse Directe"/>
    <n v="800"/>
    <n v="200"/>
    <n v="1000"/>
    <n v="20"/>
    <n v="20"/>
    <n v="50"/>
    <n v="1000"/>
    <n v="1200"/>
    <n v="60"/>
    <n v="2000"/>
    <n v="20"/>
    <n v="4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3"/>
    <x v="2"/>
    <s v="SARL"/>
    <s v="SAITOUFAIRE"/>
    <s v="BRICOLE"/>
    <m/>
    <m/>
    <s v="24, rue du Parc"/>
    <n v="39100"/>
    <s v="DOLE"/>
    <n v="385456598"/>
    <s v="AF 12313"/>
    <s v="REF 546456"/>
    <x v="0"/>
    <s v="FAC 45676"/>
    <n v="2100"/>
    <n v="1750"/>
    <n v="350"/>
    <s v="1-Mousse Directe"/>
    <n v="1000"/>
    <n v="250"/>
    <n v="1250"/>
    <n v="20"/>
    <n v="10"/>
    <n v="50"/>
    <n v="500"/>
    <n v="750"/>
    <n v="75"/>
    <n v="1750"/>
    <n v="20"/>
    <n v="35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"/>
    <x v="3"/>
    <s v="Monsieur"/>
    <s v="MALIN"/>
    <s v="Christophe"/>
    <m/>
    <m/>
    <s v="65, rue de la Poste"/>
    <n v="21130"/>
    <s v="VILLERS LES POTS"/>
    <m/>
    <n v="78954"/>
    <s v="AF 6578"/>
    <x v="0"/>
    <n v="56879"/>
    <n v="825"/>
    <n v="687.5"/>
    <n v="137.5"/>
    <s v="1-Mousse Directe"/>
    <n v="150"/>
    <n v="37.5"/>
    <n v="187.5"/>
    <n v="20"/>
    <n v="10"/>
    <n v="50"/>
    <n v="500"/>
    <n v="537.5"/>
    <n v="53.75"/>
    <n v="687.5"/>
    <n v="20"/>
    <n v="137.5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"/>
    <x v="4"/>
    <s v="Madame"/>
    <s v="LEGALLAIS"/>
    <s v="Jean-François"/>
    <m/>
    <m/>
    <s v="24, rue du Bourg"/>
    <n v="2500"/>
    <s v="BESANCON"/>
    <s v="03 85 65 45 78"/>
    <n v="546"/>
    <n v="46166"/>
    <x v="0"/>
    <n v="180254"/>
    <n v="1760"/>
    <n v="1466.67"/>
    <n v="293.33"/>
    <s v="1-Mousse Directe"/>
    <n v="500"/>
    <n v="166.67"/>
    <n v="666.67"/>
    <n v="25"/>
    <n v="16"/>
    <n v="50"/>
    <n v="800"/>
    <n v="966.67"/>
    <n v="60.42"/>
    <n v="1466.67"/>
    <n v="20"/>
    <n v="293.33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"/>
    <x v="5"/>
    <s v="Monsieur"/>
    <s v="GUICHARD"/>
    <s v="François"/>
    <m/>
    <m/>
    <s v="24, Avenue du Marechal de Lattre de Tassigny"/>
    <n v="21000"/>
    <s v="DIJON"/>
    <s v="03 80 31 40 69"/>
    <n v="8546"/>
    <n v="58565"/>
    <x v="1"/>
    <n v="182546"/>
    <n v="1941"/>
    <n v="1617.5"/>
    <n v="323.5"/>
    <s v="1-Mousse Directe"/>
    <n v="150"/>
    <n v="37.5"/>
    <n v="187.5"/>
    <n v="20"/>
    <n v="10"/>
    <n v="50"/>
    <n v="500"/>
    <n v="537.5"/>
    <n v="53.75"/>
    <n v="687.5"/>
    <n v="20"/>
    <n v="137.5"/>
    <s v="2-Mousse commer."/>
    <n v="50"/>
    <n v="0"/>
    <n v="50"/>
    <n v="0"/>
    <n v="0"/>
    <n v="0"/>
    <n v="0"/>
    <n v="0"/>
    <n v="0"/>
    <n v="50"/>
    <n v="20"/>
    <n v="10"/>
    <s v="3-Chape directe"/>
    <n v="280"/>
    <n v="120"/>
    <n v="400"/>
    <n v="30"/>
    <n v="8"/>
    <n v="60"/>
    <n v="480"/>
    <n v="600"/>
    <n v="75"/>
    <n v="880"/>
    <n v="20"/>
    <n v="176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"/>
    <x v="6"/>
    <s v="Madame"/>
    <s v="LEGALLAIS"/>
    <s v="Jean-François"/>
    <m/>
    <m/>
    <s v="24, rue du Bourg"/>
    <n v="2500"/>
    <s v="BESANCON"/>
    <s v="03 85 65 45 78"/>
    <m/>
    <m/>
    <x v="1"/>
    <m/>
    <n v="3788.57"/>
    <n v="3157.14"/>
    <n v="631.42999999999995"/>
    <s v="1-Mousse Directe"/>
    <n v="150"/>
    <n v="50"/>
    <n v="200"/>
    <n v="25"/>
    <n v="0"/>
    <n v="0"/>
    <n v="0"/>
    <n v="50"/>
    <n v="0"/>
    <n v="200"/>
    <n v="20"/>
    <n v="4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600"/>
    <n v="257.14"/>
    <n v="857.14"/>
    <n v="30"/>
    <n v="30"/>
    <n v="70"/>
    <n v="2100"/>
    <n v="2357.14"/>
    <n v="78.569999999999993"/>
    <n v="2957.14"/>
    <n v="20"/>
    <n v="591.42999999999995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"/>
    <x v="6"/>
    <s v="Madame"/>
    <s v="LEGALLAIS"/>
    <s v="Jean-François"/>
    <s v="DUMONT"/>
    <s v="Pascal"/>
    <s v="24, rue du Bourg"/>
    <n v="2500"/>
    <s v="BESANCON"/>
    <s v="03 85 65 45 78"/>
    <n v="8646"/>
    <n v="25675"/>
    <x v="0"/>
    <n v="8546"/>
    <n v="5805.71"/>
    <n v="4838.1000000000004"/>
    <n v="967.62"/>
    <s v="1-Mousse Directe"/>
    <n v="500"/>
    <n v="166.67"/>
    <n v="666.67"/>
    <n v="25"/>
    <n v="0"/>
    <n v="0"/>
    <n v="0"/>
    <n v="166.67"/>
    <n v="0"/>
    <n v="666.67"/>
    <n v="20"/>
    <n v="133.33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2500"/>
    <n v="1071.43"/>
    <n v="3571.43"/>
    <n v="30"/>
    <n v="10"/>
    <n v="60"/>
    <n v="600"/>
    <n v="1671.43"/>
    <n v="167.14"/>
    <n v="4171.43"/>
    <n v="20"/>
    <n v="834.29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0"/>
    <x v="6"/>
    <s v="Madame"/>
    <s v="LEGALLAIS"/>
    <s v="Jean-François"/>
    <m/>
    <m/>
    <s v="24, rue du Bourg"/>
    <n v="2500"/>
    <s v="BESANCON"/>
    <s v="03 85 65 45 78"/>
    <n v="57546"/>
    <n v="85236"/>
    <x v="1"/>
    <m/>
    <n v="1700"/>
    <n v="1416.67"/>
    <n v="283.33"/>
    <s v="1-Mousse Directe"/>
    <n v="500"/>
    <n v="166.67"/>
    <n v="666.67"/>
    <n v="25"/>
    <n v="15"/>
    <n v="50"/>
    <n v="750"/>
    <n v="916.67"/>
    <n v="61.11"/>
    <n v="1416.67"/>
    <n v="20"/>
    <n v="283.33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1"/>
    <x v="6"/>
    <s v="SAS"/>
    <s v="DYNAMIQUE-VISION"/>
    <m/>
    <s v="CAFFIN"/>
    <s v="André"/>
    <s v="25, rue d'Amont"/>
    <n v="21130"/>
    <s v="Labergement les Auxonne"/>
    <n v="373739820"/>
    <m/>
    <m/>
    <x v="1"/>
    <m/>
    <n v="8000"/>
    <n v="6666.67"/>
    <n v="1333.33"/>
    <s v="1-Mousse Directe"/>
    <n v="500"/>
    <n v="166.67"/>
    <n v="666.67"/>
    <n v="25"/>
    <n v="120"/>
    <n v="50"/>
    <n v="6000"/>
    <n v="6166.67"/>
    <n v="51.39"/>
    <n v="6666.67"/>
    <n v="20"/>
    <n v="1333.33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2"/>
    <x v="6"/>
    <s v="SAS"/>
    <s v="DYNAMIQUE-VISION"/>
    <s v="Groupe GRG"/>
    <s v="CAFFIN"/>
    <s v="André"/>
    <s v="25, rue d'Amont"/>
    <n v="21130"/>
    <s v="Labergement les Auxonne"/>
    <s v="03 73 73 98 20"/>
    <n v="6645"/>
    <n v="984"/>
    <x v="1"/>
    <s v="Situation n° 1"/>
    <n v="1080"/>
    <n v="900"/>
    <n v="180"/>
    <s v="1-Mousse Directe"/>
    <n v="300"/>
    <n v="100"/>
    <n v="400"/>
    <n v="25"/>
    <n v="10"/>
    <n v="50"/>
    <n v="500"/>
    <n v="600"/>
    <n v="60"/>
    <n v="900"/>
    <n v="20"/>
    <n v="18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3"/>
    <x v="6"/>
    <s v="Monsieur"/>
    <s v="MARLOUP"/>
    <s v="Paul"/>
    <s v="FIDJI"/>
    <s v="Marc"/>
    <s v="24, rue Lafayette"/>
    <n v="21300"/>
    <s v="CHENOVE"/>
    <n v="380456545"/>
    <m/>
    <m/>
    <x v="1"/>
    <m/>
    <n v="1082.95"/>
    <n v="902.46"/>
    <n v="180.49"/>
    <s v="1-Mousse Directe"/>
    <n v="250"/>
    <n v="83.33"/>
    <n v="333.33"/>
    <n v="25"/>
    <n v="12.5"/>
    <n v="45.53"/>
    <n v="569.13"/>
    <n v="652.46"/>
    <n v="52.2"/>
    <n v="902.46"/>
    <n v="20"/>
    <n v="180.49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4"/>
    <x v="6"/>
    <s v="SAS"/>
    <s v="DYNAMIQUE-VISION"/>
    <m/>
    <s v="CAFFIN"/>
    <s v="André"/>
    <s v="25, rue d'Amont"/>
    <n v="21130"/>
    <s v="Labergement les Auxonne"/>
    <n v="373739820"/>
    <n v="124832"/>
    <s v="AF 8565 Rennovation bâtiment industriel"/>
    <x v="1"/>
    <s v="dev 58654"/>
    <n v="160.03"/>
    <n v="133.36000000000001"/>
    <n v="26.67"/>
    <s v="1-Mousse Directe"/>
    <n v="11"/>
    <n v="1.36"/>
    <n v="12.36"/>
    <n v="11"/>
    <n v="11"/>
    <n v="11"/>
    <n v="121"/>
    <n v="122.36"/>
    <n v="11.12"/>
    <n v="133.36000000000001"/>
    <n v="20"/>
    <n v="26.67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5"/>
    <x v="6"/>
    <s v="SAS"/>
    <s v="DYNAMIQUE-VISION"/>
    <m/>
    <s v="CAFFIN"/>
    <s v="André"/>
    <s v="25, rue d'Amont"/>
    <n v="21130"/>
    <s v="Labergement les Auxonne"/>
    <n v="373739820"/>
    <n v="321"/>
    <s v="AF 654"/>
    <x v="1"/>
    <n v="321"/>
    <n v="5336"/>
    <n v="4446.67"/>
    <n v="889.33"/>
    <s v="1-Mousse Directe"/>
    <n v="0"/>
    <n v="0"/>
    <n v="0"/>
    <n v="0"/>
    <n v="0"/>
    <n v="0"/>
    <n v="0"/>
    <n v="0"/>
    <n v="0"/>
    <n v="0"/>
    <n v="20"/>
    <n v="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2500"/>
    <n v="1666.67"/>
    <n v="4166.67"/>
    <n v="40"/>
    <n v="4"/>
    <n v="70"/>
    <n v="280"/>
    <n v="1946.67"/>
    <n v="486.67"/>
    <n v="4446.67"/>
    <n v="20"/>
    <n v="889.33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16"/>
    <x v="6"/>
    <s v="SARL"/>
    <s v="DYNAMIQUE-VISION"/>
    <s v="Groupe GRG"/>
    <s v="CAFFIN"/>
    <s v="André"/>
    <s v="36, rue du Port"/>
    <n v="39100"/>
    <s v="DOLE"/>
    <s v="03 80 31 40 69"/>
    <s v="AF 999"/>
    <s v="REF AF 888"/>
    <x v="0"/>
    <n v="456"/>
    <n v="3"/>
    <n v="3"/>
    <n v="622"/>
    <s v="1-Mousse Directe"/>
    <n v="60"/>
    <n v="8.9700000000000006"/>
    <n v="68.97"/>
    <n v="13"/>
    <n v="10"/>
    <n v="50"/>
    <n v="500"/>
    <n v="508.97"/>
    <n v="50.9"/>
    <n v="568.97"/>
    <n v="20"/>
    <n v="113.79"/>
    <s v="2-Mousse commer."/>
    <n v="12"/>
    <n v="1.64"/>
    <n v="13.64"/>
    <n v="12"/>
    <n v="13"/>
    <n v="14"/>
    <n v="182"/>
    <n v="183.64"/>
    <n v="14.13"/>
    <n v="195.64"/>
    <n v="20"/>
    <n v="39.130000000000003"/>
    <s v="3-Chape directe"/>
    <n v="12"/>
    <n v="1.64"/>
    <n v="13.64"/>
    <n v="12"/>
    <n v="13"/>
    <n v="14"/>
    <n v="182"/>
    <n v="183.64"/>
    <n v="14.13"/>
    <n v="195.64"/>
    <n v="20"/>
    <n v="39.130000000000003"/>
    <s v="4-Chape Commer."/>
    <n v="12"/>
    <n v="1.64"/>
    <n v="13.64"/>
    <n v="12"/>
    <n v="13"/>
    <n v="14"/>
    <n v="182"/>
    <n v="183.64"/>
    <n v="14.13"/>
    <n v="195.64"/>
    <n v="20"/>
    <n v="39.130000000000003"/>
    <s v="5-DUOVAC directe"/>
    <n v="12"/>
    <n v="1.64"/>
    <n v="13.64"/>
    <n v="12"/>
    <n v="13"/>
    <n v="14"/>
    <n v="182"/>
    <n v="183.64"/>
    <n v="14.13"/>
    <n v="195.64"/>
    <n v="20"/>
    <n v="39.130000000000003"/>
    <s v="6-DUOVAC Commerciaux"/>
    <n v="12"/>
    <n v="1.64"/>
    <n v="13.64"/>
    <n v="12"/>
    <n v="13"/>
    <n v="14"/>
    <n v="182"/>
    <n v="183.64"/>
    <n v="14.13"/>
    <n v="195.64"/>
    <n v="20"/>
    <n v="39.130000000000003"/>
    <s v="7-Carrelage"/>
    <n v="12"/>
    <n v="1.64"/>
    <n v="13.64"/>
    <n v="12"/>
    <n v="13"/>
    <n v="14"/>
    <n v="182"/>
    <n v="183.64"/>
    <n v="14.13"/>
    <n v="195.64"/>
    <n v="20"/>
    <n v="39.130000000000003"/>
    <s v="8-Etude Thermique"/>
    <n v="12"/>
    <n v="1.64"/>
    <n v="13.64"/>
    <n v="12"/>
    <n v="13"/>
    <n v="14"/>
    <n v="182"/>
    <n v="183.64"/>
    <n v="14.13"/>
    <n v="195.64"/>
    <n v="20"/>
    <n v="39.130000000000003"/>
    <s v="9-Chaudière Commer."/>
    <n v="12"/>
    <n v="1.64"/>
    <n v="13.64"/>
    <n v="12"/>
    <n v="13"/>
    <n v="14"/>
    <n v="182"/>
    <n v="183.64"/>
    <n v="14.13"/>
    <n v="195.64"/>
    <n v="20"/>
    <n v="39.130000000000003"/>
    <s v="10-Chaudière Instal. "/>
    <n v="12"/>
    <n v="1.64"/>
    <n v="13.64"/>
    <n v="12"/>
    <n v="13"/>
    <n v="14"/>
    <n v="182"/>
    <n v="183.64"/>
    <n v="14.13"/>
    <n v="195.64"/>
    <n v="20"/>
    <n v="39.130000000000003"/>
    <s v="11-Réparation Plomberie"/>
    <n v="12"/>
    <n v="1.64"/>
    <n v="13.64"/>
    <n v="12"/>
    <n v="13"/>
    <n v="14"/>
    <n v="182"/>
    <n v="183.64"/>
    <n v="14.13"/>
    <n v="195.64"/>
    <n v="20"/>
    <n v="39.130000000000003"/>
    <s v="12-Activité 12"/>
    <n v="12"/>
    <n v="1.64"/>
    <n v="13.64"/>
    <n v="12"/>
    <n v="13"/>
    <n v="14"/>
    <n v="182"/>
    <n v="183.64"/>
    <n v="14.13"/>
    <n v="195.64"/>
    <n v="20"/>
    <n v="39.130000000000003"/>
    <s v="13-Activité 13"/>
    <n v="12"/>
    <n v="1.64"/>
    <n v="13.64"/>
    <n v="12"/>
    <n v="13"/>
    <n v="14"/>
    <n v="182"/>
    <n v="183.64"/>
    <n v="14.13"/>
    <n v="195.64"/>
    <n v="20"/>
    <n v="39.130000000000003"/>
    <s v="14-Activité 14"/>
    <n v="12"/>
    <n v="1.64"/>
    <n v="13.64"/>
    <n v="12"/>
    <n v="13"/>
    <n v="14"/>
    <n v="182"/>
    <n v="183.64"/>
    <n v="14.13"/>
    <n v="195.64"/>
    <n v="20"/>
    <n v="39.130000000000003"/>
  </r>
  <r>
    <n v="17"/>
    <x v="6"/>
    <s v="SAS"/>
    <s v="DYNAMIQUE-VISION"/>
    <s v="Groupe GRG"/>
    <s v="CAFFIN"/>
    <s v="André"/>
    <s v="25, rue d'Amont"/>
    <n v="21130"/>
    <s v="Labergement les Auxonne"/>
    <n v="373739820"/>
    <s v="AF 789"/>
    <s v="Ref Af 987"/>
    <x v="0"/>
    <n v="456"/>
    <n v="566"/>
    <n v="511"/>
    <n v="55"/>
    <s v="1-Mousse Directe"/>
    <n v="10"/>
    <n v="1.1100000000000001"/>
    <n v="11.11"/>
    <n v="10"/>
    <n v="10"/>
    <n v="10"/>
    <n v="100"/>
    <n v="101.11"/>
    <n v="10.11"/>
    <n v="111.11"/>
    <n v="10"/>
    <n v="11.11"/>
    <s v="2-Mousse commer."/>
    <n v="11"/>
    <n v="1.36"/>
    <n v="12.36"/>
    <n v="11"/>
    <n v="11"/>
    <n v="11"/>
    <n v="121"/>
    <n v="122.36"/>
    <n v="11.12"/>
    <n v="133.36000000000001"/>
    <n v="11"/>
    <n v="14.67"/>
    <s v="3-Chape directe"/>
    <n v="11"/>
    <n v="1.36"/>
    <n v="12.36"/>
    <n v="11"/>
    <n v="11"/>
    <n v="11"/>
    <n v="121"/>
    <n v="122.36"/>
    <n v="11.12"/>
    <n v="133.36000000000001"/>
    <n v="11"/>
    <n v="14.67"/>
    <s v="4-Chape Commer."/>
    <n v="11"/>
    <n v="1.36"/>
    <n v="12.36"/>
    <n v="11"/>
    <n v="11"/>
    <n v="11"/>
    <n v="121"/>
    <n v="122.36"/>
    <n v="11.12"/>
    <n v="133.36000000000001"/>
    <n v="11"/>
    <n v="14.67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18"/>
    <x v="6"/>
    <s v="SAS"/>
    <s v="DYNAMIQUE-VISION"/>
    <s v="Groupe GRG"/>
    <s v="CAFFIN"/>
    <s v="André"/>
    <s v="25, rue d'Amont"/>
    <n v="21130"/>
    <s v="Labergement les Auxonne"/>
    <s v="03 73 73 98 20"/>
    <s v="Af 123456"/>
    <s v="Ref af 789456"/>
    <x v="0"/>
    <n v="456987"/>
    <n v="133"/>
    <n v="111"/>
    <n v="22"/>
    <s v="1-Mousse Directe"/>
    <n v="10"/>
    <n v="1.1100000000000001"/>
    <n v="11.11"/>
    <n v="10"/>
    <n v="10"/>
    <n v="10"/>
    <n v="100"/>
    <n v="101.11"/>
    <n v="10.11"/>
    <n v="111.11"/>
    <n v="20"/>
    <n v="22.22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19"/>
    <x v="6"/>
    <s v="SAS"/>
    <s v="DYNAMIQUE-VISION"/>
    <s v="Groupe GRG"/>
    <s v="CAFFIN"/>
    <s v="André"/>
    <s v="25, rue d'Amont"/>
    <n v="21130"/>
    <s v="Labergement les Auxonne"/>
    <s v="03 73 73 98 20"/>
    <n v="567"/>
    <n v="180015"/>
    <x v="2"/>
    <m/>
    <n v="3068"/>
    <n v="2556.67"/>
    <n v="511.33"/>
    <s v="1-Mousse Directe"/>
    <n v="51"/>
    <n v="5.67"/>
    <n v="56.67"/>
    <n v="10"/>
    <n v="50"/>
    <n v="50"/>
    <n v="2500"/>
    <n v="2505.67"/>
    <n v="50.11"/>
    <n v="2556.67"/>
    <n v="20"/>
    <n v="511.33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20"/>
    <x v="6"/>
    <s v="SAS"/>
    <s v="DYNAMIQUE-VISION"/>
    <s v="Groupe GRG"/>
    <s v="CAFFIN"/>
    <s v="André"/>
    <s v="25, rue d'Amont"/>
    <n v="21130"/>
    <s v="Labergement les Auxonne"/>
    <s v="03 73 73 98 20"/>
    <n v="65785"/>
    <n v="85625"/>
    <x v="0"/>
    <n v="180054"/>
    <n v="786.67"/>
    <n v="655.56"/>
    <n v="131.11000000000001"/>
    <s v="1-Mousse Directe"/>
    <n v="500"/>
    <n v="55.56"/>
    <n v="555.55999999999995"/>
    <n v="10"/>
    <n v="10"/>
    <n v="10"/>
    <n v="100"/>
    <n v="155.56"/>
    <n v="15.56"/>
    <n v="655.56"/>
    <n v="20"/>
    <n v="131.11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21"/>
    <x v="6"/>
    <s v="SAS"/>
    <s v="DYNAMIQUE-VISION"/>
    <s v="Groupe GRG"/>
    <s v="CAFFIN"/>
    <s v="André"/>
    <s v="25, rue d'Amont"/>
    <n v="21130"/>
    <s v="Labergement les Auxonne"/>
    <s v="03 73 73 98 20"/>
    <n v="8546"/>
    <n v="56856"/>
    <x v="3"/>
    <n v="180054"/>
    <n v="3453.33"/>
    <n v="2877.78"/>
    <n v="575.55999999999995"/>
    <s v="1-Mousse Directe"/>
    <n v="2500"/>
    <n v="277.77999999999997"/>
    <n v="2777.78"/>
    <n v="10"/>
    <n v="10"/>
    <n v="10"/>
    <n v="100"/>
    <n v="377.78"/>
    <n v="37.78"/>
    <n v="2877.78"/>
    <n v="20"/>
    <n v="575.55999999999995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22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786.67"/>
    <n v="655.56"/>
    <n v="131.11000000000001"/>
    <s v="1-Mousse Directe"/>
    <n v="500"/>
    <n v="55.56"/>
    <n v="555.55999999999995"/>
    <n v="10"/>
    <n v="10"/>
    <n v="10"/>
    <n v="100"/>
    <n v="155.56"/>
    <n v="15.56"/>
    <n v="655.56"/>
    <n v="20"/>
    <n v="131.11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23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786.67"/>
    <n v="655.56"/>
    <n v="131.11000000000001"/>
    <s v="1-Mousse Directe"/>
    <n v="500"/>
    <n v="55.56"/>
    <n v="555.55999999999995"/>
    <n v="10"/>
    <n v="10"/>
    <n v="10"/>
    <n v="100"/>
    <n v="155.56"/>
    <n v="15.56"/>
    <n v="655.56"/>
    <n v="20"/>
    <n v="131.11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24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1"/>
    <n v="1"/>
    <n v="121"/>
    <s v="1-Mousse Directe"/>
    <n v="1000"/>
    <n v="111.11"/>
    <n v="1111.1099999999999"/>
    <n v="10"/>
    <n v="10"/>
    <n v="10"/>
    <n v="100"/>
    <n v="211.11"/>
    <n v="21.11"/>
    <n v="1211.1099999999999"/>
    <n v="10"/>
    <n v="121.11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25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721"/>
    <n v="655"/>
    <n v="65"/>
    <s v="1-Mousse Directe"/>
    <n v="500"/>
    <n v="55.56"/>
    <n v="555.55999999999995"/>
    <n v="10"/>
    <n v="10"/>
    <n v="10"/>
    <n v="100"/>
    <n v="155.56"/>
    <n v="15.56"/>
    <n v="655.56"/>
    <n v="10"/>
    <n v="65.56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26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1"/>
    <n v="833"/>
    <n v="166"/>
    <s v="1-Mousse Directe"/>
    <n v="250"/>
    <n v="83.33"/>
    <n v="333.33"/>
    <n v="25"/>
    <n v="10"/>
    <n v="50"/>
    <n v="500"/>
    <n v="583.33000000000004"/>
    <n v="58.33"/>
    <n v="833.33"/>
    <n v="20"/>
    <n v="166.67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27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1"/>
    <n v="1"/>
    <n v="205"/>
    <s v="1-Mousse Directe"/>
    <n v="500"/>
    <n v="125"/>
    <n v="625"/>
    <n v="20"/>
    <n v="20"/>
    <n v="20"/>
    <n v="400"/>
    <n v="525"/>
    <n v="26.25"/>
    <n v="1025"/>
    <n v="20"/>
    <n v="205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28"/>
    <x v="6"/>
    <s v="Madame"/>
    <s v="LEGALLAIS"/>
    <s v="Jean-François"/>
    <m/>
    <m/>
    <s v="24, rue du Bourg"/>
    <n v="25000"/>
    <s v="BESANCON"/>
    <s v="03 85 65 45 78"/>
    <m/>
    <m/>
    <x v="1"/>
    <m/>
    <n v="232"/>
    <n v="211"/>
    <n v="21"/>
    <s v="1-Mousse Directe"/>
    <n v="100"/>
    <n v="11.11"/>
    <n v="111.11"/>
    <n v="10"/>
    <n v="10"/>
    <n v="10"/>
    <n v="100"/>
    <n v="111.11"/>
    <n v="11.11"/>
    <n v="211.11"/>
    <n v="10"/>
    <n v="21.11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29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721"/>
    <n v="655"/>
    <n v="65"/>
    <s v="1-Mousse Directe"/>
    <n v="500"/>
    <n v="55.56"/>
    <n v="555.55999999999995"/>
    <n v="10"/>
    <n v="10"/>
    <n v="10"/>
    <n v="100"/>
    <n v="155.56"/>
    <n v="15.56"/>
    <n v="655.56"/>
    <n v="10"/>
    <n v="65.56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0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721"/>
    <n v="655"/>
    <n v="65"/>
    <s v="1-Mousse Directe"/>
    <n v="500"/>
    <n v="55.56"/>
    <n v="555.55999999999995"/>
    <n v="10"/>
    <n v="10"/>
    <n v="10"/>
    <n v="100"/>
    <n v="155.56"/>
    <n v="15.56"/>
    <n v="655.56"/>
    <n v="10"/>
    <n v="65.56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1"/>
    <x v="6"/>
    <s v="Monsieur"/>
    <s v="MARLOUP"/>
    <s v="Paul"/>
    <s v="etezt"/>
    <s v="etrez"/>
    <s v="24, rue Lafayette"/>
    <n v="21300"/>
    <s v="CHENOVE"/>
    <n v="380456545"/>
    <s v="eztrez"/>
    <s v="eztezt"/>
    <x v="0"/>
    <n v="12354"/>
    <n v="1"/>
    <n v="1"/>
    <n v="110"/>
    <s v="1-Mousse Directe"/>
    <n v="500"/>
    <n v="500"/>
    <n v="1000"/>
    <n v="50"/>
    <n v="10"/>
    <n v="10"/>
    <n v="100"/>
    <n v="600"/>
    <n v="60"/>
    <n v="1100"/>
    <n v="10"/>
    <n v="110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2"/>
    <x v="6"/>
    <s v="SAS"/>
    <s v="DYNAMIQUE-VISION"/>
    <s v="Groupe GRG"/>
    <s v="CAFFIN"/>
    <s v="André"/>
    <s v="25, rue d'Amont"/>
    <n v="21130"/>
    <s v="Labergement les Auxonne"/>
    <s v="03 73 73 98 20"/>
    <s v="AF 78945"/>
    <s v="Ref AF 654"/>
    <x v="4"/>
    <n v="852369"/>
    <n v="8"/>
    <n v="6"/>
    <n v="1"/>
    <s v="1-Mousse Directe"/>
    <n v="110"/>
    <n v="12.22"/>
    <n v="122.22"/>
    <n v="10"/>
    <n v="10"/>
    <n v="10"/>
    <n v="100"/>
    <n v="112.22"/>
    <n v="11.22"/>
    <n v="222.22"/>
    <n v="10"/>
    <n v="22.22"/>
    <s v="2-Mousse commer."/>
    <n v="110"/>
    <n v="13.6"/>
    <n v="123.6"/>
    <n v="11"/>
    <n v="11"/>
    <n v="11"/>
    <n v="121"/>
    <n v="134.6"/>
    <n v="12.24"/>
    <n v="244.6"/>
    <n v="11"/>
    <n v="26.91"/>
    <s v="3-Chape directe"/>
    <n v="120"/>
    <n v="16.36"/>
    <n v="136.36000000000001"/>
    <n v="12"/>
    <n v="12"/>
    <n v="12"/>
    <n v="144"/>
    <n v="160.36000000000001"/>
    <n v="13.36"/>
    <n v="280.36"/>
    <n v="12"/>
    <n v="33.64"/>
    <s v="4-Chape Commer."/>
    <n v="130"/>
    <n v="19.43"/>
    <n v="149.43"/>
    <n v="13"/>
    <n v="13"/>
    <n v="13"/>
    <n v="169"/>
    <n v="188.43"/>
    <n v="14.49"/>
    <n v="318.43"/>
    <n v="13"/>
    <n v="41.4"/>
    <s v="5-DUOVAC directe"/>
    <n v="140"/>
    <n v="22.79"/>
    <n v="162.79"/>
    <n v="14"/>
    <n v="14"/>
    <n v="14"/>
    <n v="196"/>
    <n v="218.79"/>
    <n v="15.63"/>
    <n v="358.79"/>
    <n v="14"/>
    <n v="50.23"/>
    <s v="6-DUOVAC Commerciaux"/>
    <n v="150"/>
    <n v="26.47"/>
    <n v="176.47"/>
    <n v="15"/>
    <n v="15"/>
    <n v="15"/>
    <n v="225"/>
    <n v="251.47"/>
    <n v="16.760000000000002"/>
    <n v="401.47"/>
    <n v="15"/>
    <n v="60.22"/>
    <s v="7-Carrelage"/>
    <n v="160"/>
    <n v="30.48"/>
    <n v="190.48"/>
    <n v="16"/>
    <n v="16"/>
    <n v="16"/>
    <n v="256"/>
    <n v="286.48"/>
    <n v="17.91"/>
    <n v="446.48"/>
    <n v="16"/>
    <n v="71.44"/>
    <s v="8-Etude Thermique"/>
    <n v="170"/>
    <n v="34.82"/>
    <n v="204.82"/>
    <n v="17"/>
    <n v="17"/>
    <n v="17"/>
    <n v="289"/>
    <n v="323.82"/>
    <n v="19.05"/>
    <n v="493.82"/>
    <n v="17"/>
    <n v="83.95"/>
    <s v="9-Chaudière Commer."/>
    <n v="180"/>
    <n v="39.51"/>
    <n v="219.51"/>
    <n v="18"/>
    <n v="18"/>
    <n v="18"/>
    <n v="324"/>
    <n v="363.51"/>
    <n v="20.2"/>
    <n v="543.51"/>
    <n v="18"/>
    <n v="97.83"/>
    <s v="10-Chaudière Instal. "/>
    <n v="190"/>
    <n v="44.57"/>
    <n v="234.57"/>
    <n v="19"/>
    <n v="19"/>
    <n v="19"/>
    <n v="361"/>
    <n v="405.57"/>
    <n v="21.35"/>
    <n v="595.57000000000005"/>
    <n v="19"/>
    <n v="113.16"/>
    <s v="11-Réparation Plomberie"/>
    <n v="200"/>
    <n v="50"/>
    <n v="250"/>
    <n v="20"/>
    <n v="20"/>
    <n v="20"/>
    <n v="400"/>
    <n v="450"/>
    <n v="22.5"/>
    <n v="650"/>
    <n v="20"/>
    <n v="130"/>
    <s v="12-Activité 12"/>
    <n v="210"/>
    <n v="55.82"/>
    <n v="265.82"/>
    <n v="21"/>
    <n v="21"/>
    <n v="21"/>
    <n v="441"/>
    <n v="496.82"/>
    <n v="23.66"/>
    <n v="706.82"/>
    <n v="21"/>
    <n v="148.43"/>
    <s v="13-Activité 13"/>
    <n v="220"/>
    <n v="62.05"/>
    <n v="282.05"/>
    <n v="22"/>
    <n v="22"/>
    <n v="22"/>
    <n v="484"/>
    <n v="546.04999999999995"/>
    <n v="24.82"/>
    <n v="766.05"/>
    <n v="22"/>
    <n v="168.53"/>
    <s v="14-Activité 14"/>
    <n v="230"/>
    <n v="68.7"/>
    <n v="298.7"/>
    <n v="23"/>
    <n v="23"/>
    <n v="23"/>
    <n v="529"/>
    <n v="597.70000000000005"/>
    <n v="25.99"/>
    <n v="827.7"/>
    <n v="23"/>
    <n v="190.37"/>
  </r>
  <r>
    <n v="33"/>
    <x v="6"/>
    <s v="SAS"/>
    <s v="DYNAMIQUE-VISION"/>
    <s v="Groupe GRG"/>
    <s v="CAFFIN"/>
    <s v="André"/>
    <s v="25, rue d'Amont"/>
    <n v="21130"/>
    <s v="Labergement les Auxonne"/>
    <s v="03 73 73 98 20"/>
    <s v="SDFQS"/>
    <s v="SQDFQS"/>
    <x v="4"/>
    <s v="SDFQSF"/>
    <n v="91315.09"/>
    <n v="55352.54"/>
    <n v="35962.54"/>
    <s v="1-Mousse Directe"/>
    <n v="100"/>
    <n v="11.11"/>
    <n v="111.11"/>
    <n v="10"/>
    <n v="10"/>
    <n v="10"/>
    <n v="100"/>
    <n v="111.11"/>
    <n v="11.11"/>
    <n v="211.11"/>
    <n v="10"/>
    <n v="21.11"/>
    <s v="2-Mousse commer."/>
    <n v="200"/>
    <n v="50"/>
    <n v="250"/>
    <n v="20"/>
    <n v="20"/>
    <n v="20"/>
    <n v="400"/>
    <n v="450"/>
    <n v="22.5"/>
    <n v="650"/>
    <n v="20"/>
    <n v="130"/>
    <s v="3-Chape directe"/>
    <n v="300"/>
    <n v="128.57"/>
    <n v="428.57"/>
    <n v="30"/>
    <n v="30"/>
    <n v="30"/>
    <n v="900"/>
    <n v="1028.57"/>
    <n v="34.29"/>
    <n v="1328.57"/>
    <n v="30"/>
    <n v="398.57"/>
    <s v="4-Chape Commer."/>
    <n v="400"/>
    <n v="266.67"/>
    <n v="666.67"/>
    <n v="40"/>
    <n v="40"/>
    <n v="40"/>
    <n v="1600"/>
    <n v="1866.67"/>
    <n v="46.67"/>
    <n v="2266.67"/>
    <n v="40"/>
    <n v="906.67"/>
    <s v="5-DUOVAC directe"/>
    <n v="500"/>
    <n v="500"/>
    <n v="1000"/>
    <n v="50"/>
    <n v="50"/>
    <n v="50"/>
    <n v="2500"/>
    <n v="3000"/>
    <n v="60"/>
    <n v="3500"/>
    <n v="50"/>
    <n v="1750"/>
    <s v="6-DUOVAC Commerciaux"/>
    <n v="600"/>
    <n v="900"/>
    <n v="1500"/>
    <n v="60"/>
    <n v="60"/>
    <n v="60"/>
    <n v="3600"/>
    <n v="4500"/>
    <n v="75"/>
    <n v="5100"/>
    <n v="60"/>
    <n v="3060"/>
    <s v="7-Carrelage"/>
    <n v="700"/>
    <n v="1633.33"/>
    <n v="2333.33"/>
    <n v="70"/>
    <n v="70"/>
    <n v="70"/>
    <n v="4900"/>
    <n v="6533.33"/>
    <n v="93.33"/>
    <n v="7233.33"/>
    <n v="70"/>
    <n v="5063.33"/>
    <s v="8-Etude Thermique"/>
    <n v="800"/>
    <n v="3200"/>
    <n v="4000"/>
    <n v="80"/>
    <n v="80"/>
    <n v="80"/>
    <n v="6400"/>
    <n v="9600"/>
    <n v="120"/>
    <n v="10400"/>
    <n v="80"/>
    <n v="8320"/>
    <s v="9-Chaudière Commer."/>
    <n v="900"/>
    <n v="8100"/>
    <n v="9000"/>
    <n v="90"/>
    <n v="90"/>
    <n v="90"/>
    <n v="8100"/>
    <n v="16200"/>
    <n v="180"/>
    <n v="17100"/>
    <n v="90"/>
    <n v="15390"/>
    <s v="10-Chaudière Instal. "/>
    <n v="1000"/>
    <n v="111.11"/>
    <n v="1111.1099999999999"/>
    <n v="10"/>
    <n v="10"/>
    <n v="10"/>
    <n v="100"/>
    <n v="211.11"/>
    <n v="21.11"/>
    <n v="1211.1099999999999"/>
    <n v="10"/>
    <n v="121.11"/>
    <s v="11-Réparation Plomberie"/>
    <n v="1100"/>
    <n v="135.96"/>
    <n v="1235.96"/>
    <n v="11"/>
    <n v="11"/>
    <n v="11"/>
    <n v="121"/>
    <n v="256.95999999999998"/>
    <n v="23.36"/>
    <n v="1356.96"/>
    <n v="11"/>
    <n v="149.27000000000001"/>
    <s v="12-Activité 12"/>
    <n v="1200"/>
    <n v="163.63999999999999"/>
    <n v="1363.64"/>
    <n v="12"/>
    <n v="12"/>
    <n v="12"/>
    <n v="144"/>
    <n v="307.64"/>
    <n v="25.64"/>
    <n v="1507.64"/>
    <n v="12"/>
    <n v="180.92"/>
    <s v="13-Activité 13"/>
    <n v="1300"/>
    <n v="194.25"/>
    <n v="1494.25"/>
    <n v="13"/>
    <n v="13"/>
    <n v="13"/>
    <n v="169"/>
    <n v="363.25"/>
    <n v="27.94"/>
    <n v="1663.25"/>
    <n v="13"/>
    <n v="216.22"/>
    <s v="14-Activité 14"/>
    <n v="1400"/>
    <n v="227.91"/>
    <n v="1627.91"/>
    <n v="14"/>
    <n v="14"/>
    <n v="14"/>
    <n v="196"/>
    <n v="423.91"/>
    <n v="30.28"/>
    <n v="1823.91"/>
    <n v="14"/>
    <n v="255.35"/>
  </r>
  <r>
    <n v="34"/>
    <x v="6"/>
    <s v="SAS"/>
    <s v="DYNAMIQUE-VISION"/>
    <s v="Groupe GRG"/>
    <s v="CAFFIN"/>
    <s v="André"/>
    <s v="25, rue d'Amont"/>
    <n v="21130"/>
    <s v="Labergement les Auxonne"/>
    <s v="03 73 73 98 20"/>
    <n v="1254"/>
    <n v="564313"/>
    <x v="1"/>
    <n v="456"/>
    <n v="1457.14"/>
    <n v="1214.29"/>
    <n v="242.86"/>
    <s v="1-Mousse Directe"/>
    <n v="0"/>
    <n v="0"/>
    <n v="0"/>
    <n v="0"/>
    <n v="0"/>
    <n v="0"/>
    <n v="0"/>
    <n v="0"/>
    <n v="0"/>
    <n v="0"/>
    <n v="0"/>
    <n v="0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500"/>
    <n v="214.29"/>
    <n v="714.29"/>
    <n v="30"/>
    <n v="10"/>
    <n v="50"/>
    <n v="500"/>
    <n v="714.29"/>
    <n v="71.430000000000007"/>
    <n v="1214.29"/>
    <n v="20"/>
    <n v="242.86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5"/>
    <x v="6"/>
    <s v="Monsieur"/>
    <s v="MARTIN"/>
    <s v="Jacques"/>
    <s v="CAFFIN"/>
    <s v="André"/>
    <s v="24, rue de l'Arquebuse"/>
    <n v="21000"/>
    <s v="DIJON"/>
    <s v="03 80 31 40 69"/>
    <m/>
    <m/>
    <x v="1"/>
    <m/>
    <n v="1266.67"/>
    <n v="1055.56"/>
    <n v="211.11"/>
    <s v="1-Mousse Directe"/>
    <n v="500"/>
    <n v="55.56"/>
    <n v="555.55999999999995"/>
    <n v="10"/>
    <n v="10"/>
    <n v="50"/>
    <n v="500"/>
    <n v="555.55999999999995"/>
    <n v="55.56"/>
    <n v="1055.56"/>
    <n v="20"/>
    <n v="211.11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6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1266.67"/>
    <n v="1055.56"/>
    <n v="211.11"/>
    <s v="1-Mousse Directe"/>
    <n v="500"/>
    <n v="55.56"/>
    <n v="555.55999999999995"/>
    <n v="10"/>
    <n v="10"/>
    <n v="50"/>
    <n v="500"/>
    <n v="555.55999999999995"/>
    <n v="55.56"/>
    <n v="1055.56"/>
    <n v="20"/>
    <n v="211.11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7"/>
    <x v="6"/>
    <s v="SAS"/>
    <s v="DYNAMIQUE-VISION"/>
    <s v="Groupe GRG"/>
    <s v="CAFFIN"/>
    <s v="André"/>
    <s v="25, rue d'Amont"/>
    <n v="21130"/>
    <s v="Labergement les Auxonne"/>
    <s v="03 73 73 98 20"/>
    <s v="AF 432"/>
    <s v="Ref AF 456"/>
    <x v="0"/>
    <n v="180015"/>
    <n v="1350"/>
    <n v="1125"/>
    <n v="225"/>
    <s v="1-Mousse Directe"/>
    <n v="500"/>
    <n v="125"/>
    <n v="625"/>
    <n v="20"/>
    <n v="10"/>
    <n v="50"/>
    <n v="500"/>
    <n v="625"/>
    <n v="62.5"/>
    <n v="1125"/>
    <n v="20"/>
    <n v="225"/>
    <s v="2-Mousse commer."/>
    <n v="0"/>
    <n v="0"/>
    <n v="0"/>
    <n v="0"/>
    <n v="0"/>
    <n v="0"/>
    <n v="0"/>
    <n v="0"/>
    <n v="0"/>
    <n v="0"/>
    <n v="0"/>
    <n v="0"/>
    <s v="3-Chape directe"/>
    <n v="0"/>
    <n v="0"/>
    <n v="0"/>
    <n v="0"/>
    <n v="0"/>
    <n v="0"/>
    <n v="0"/>
    <n v="0"/>
    <n v="0"/>
    <n v="0"/>
    <n v="0"/>
    <n v="0"/>
    <s v="4-Chape Commer."/>
    <n v="0"/>
    <n v="0"/>
    <n v="0"/>
    <n v="0"/>
    <n v="0"/>
    <n v="0"/>
    <n v="0"/>
    <n v="0"/>
    <n v="0"/>
    <n v="0"/>
    <n v="0"/>
    <n v="0"/>
    <s v="5-DUOVAC directe"/>
    <n v="0"/>
    <n v="0"/>
    <n v="0"/>
    <n v="0"/>
    <n v="0"/>
    <n v="0"/>
    <n v="0"/>
    <n v="0"/>
    <n v="0"/>
    <n v="0"/>
    <n v="0"/>
    <n v="0"/>
    <s v="6-DUOVAC Commerciaux"/>
    <n v="0"/>
    <n v="0"/>
    <n v="0"/>
    <n v="0"/>
    <n v="0"/>
    <n v="0"/>
    <n v="0"/>
    <n v="0"/>
    <n v="0"/>
    <n v="0"/>
    <n v="0"/>
    <n v="0"/>
    <s v="7-Carrelage"/>
    <n v="0"/>
    <n v="0"/>
    <n v="0"/>
    <n v="0"/>
    <n v="0"/>
    <n v="0"/>
    <n v="0"/>
    <n v="0"/>
    <n v="0"/>
    <n v="0"/>
    <n v="0"/>
    <n v="0"/>
    <s v="8-Etude Thermique"/>
    <n v="0"/>
    <n v="0"/>
    <n v="0"/>
    <n v="0"/>
    <n v="0"/>
    <n v="0"/>
    <n v="0"/>
    <n v="0"/>
    <n v="0"/>
    <n v="0"/>
    <n v="0"/>
    <n v="0"/>
    <s v="9-Chaudière Commer."/>
    <n v="0"/>
    <n v="0"/>
    <n v="0"/>
    <n v="0"/>
    <n v="0"/>
    <n v="0"/>
    <n v="0"/>
    <n v="0"/>
    <n v="0"/>
    <n v="0"/>
    <n v="0"/>
    <n v="0"/>
    <s v="10-Chaudière Instal. "/>
    <n v="0"/>
    <n v="0"/>
    <n v="0"/>
    <n v="0"/>
    <n v="0"/>
    <n v="0"/>
    <n v="0"/>
    <n v="0"/>
    <n v="0"/>
    <n v="0"/>
    <n v="0"/>
    <n v="0"/>
    <s v="11-Réparation Plomberie"/>
    <n v="0"/>
    <n v="0"/>
    <n v="0"/>
    <n v="0"/>
    <n v="0"/>
    <n v="0"/>
    <n v="0"/>
    <n v="0"/>
    <n v="0"/>
    <n v="0"/>
    <n v="0"/>
    <n v="0"/>
    <s v="12-Activité 12"/>
    <n v="0"/>
    <n v="0"/>
    <n v="0"/>
    <n v="0"/>
    <n v="0"/>
    <n v="0"/>
    <n v="0"/>
    <n v="0"/>
    <n v="0"/>
    <n v="0"/>
    <n v="0"/>
    <n v="0"/>
    <s v="13-Activité 13"/>
    <n v="0"/>
    <n v="0"/>
    <n v="0"/>
    <n v="0"/>
    <n v="0"/>
    <n v="0"/>
    <n v="0"/>
    <n v="0"/>
    <n v="0"/>
    <n v="0"/>
    <n v="0"/>
    <n v="0"/>
    <s v="14-Activité 14"/>
    <n v="0"/>
    <n v="0"/>
    <n v="0"/>
    <n v="0"/>
    <n v="0"/>
    <n v="0"/>
    <n v="0"/>
    <n v="0"/>
    <n v="0"/>
    <n v="0"/>
    <n v="0"/>
    <n v="0"/>
  </r>
  <r>
    <n v="38"/>
    <x v="6"/>
    <s v="Madame"/>
    <s v="LEGALLAIS"/>
    <s v="Jean-François"/>
    <m/>
    <m/>
    <s v="24, rue du Bourg"/>
    <n v="25000"/>
    <s v="BESANCON"/>
    <s v="03 85 65 45 78"/>
    <m/>
    <m/>
    <x v="1"/>
    <m/>
    <n v="857.14"/>
    <n v="714.29"/>
    <n v="142.86000000000001"/>
    <s v="1-Mousse Directe"/>
    <n v="500"/>
    <n v="214.29"/>
    <n v="714.29"/>
    <n v="30"/>
    <n v="0"/>
    <n v="0"/>
    <n v="0"/>
    <n v="214.29"/>
    <n v="0"/>
    <n v="714.29"/>
    <n v="20"/>
    <n v="142.86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39"/>
    <x v="6"/>
    <s v="Madame"/>
    <s v="LEGALLAIS"/>
    <s v="Jean-François"/>
    <m/>
    <m/>
    <s v="24, rue du Bourg"/>
    <n v="25000"/>
    <s v="BESANCON"/>
    <s v="03 85 65 45 78"/>
    <m/>
    <m/>
    <x v="0"/>
    <m/>
    <n v="1577.14"/>
    <n v="1314.29"/>
    <n v="262.86"/>
    <s v="1-Mousse Directe"/>
    <n v="500"/>
    <n v="214.29"/>
    <n v="714.29"/>
    <n v="30"/>
    <n v="10"/>
    <n v="60"/>
    <n v="600"/>
    <n v="814.29"/>
    <n v="81.430000000000007"/>
    <n v="1314.29"/>
    <n v="20"/>
    <n v="26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0"/>
    <x v="6"/>
    <s v="Madame"/>
    <s v="LEGALLAIS"/>
    <s v="Jean-François"/>
    <m/>
    <m/>
    <s v="24, rue du Bourg"/>
    <n v="25000"/>
    <s v="BESANCON"/>
    <s v="03 85 65 45 78"/>
    <m/>
    <m/>
    <x v="1"/>
    <m/>
    <n v="1457.14"/>
    <n v="1214.29"/>
    <n v="242.86"/>
    <s v="1-Mousse Directe"/>
    <n v="500"/>
    <n v="214.29"/>
    <n v="714.29"/>
    <n v="30"/>
    <n v="10"/>
    <n v="50"/>
    <n v="500"/>
    <n v="714.29"/>
    <n v="71.430000000000007"/>
    <n v="1214.29"/>
    <n v="20"/>
    <n v="24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1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2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3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4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5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6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7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8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49"/>
    <x v="6"/>
    <s v="Madame"/>
    <s v="LEGALLAIS"/>
    <s v="Jean-François"/>
    <m/>
    <m/>
    <s v="24, rue du Bourg"/>
    <n v="25000"/>
    <s v="BESANCON"/>
    <s v="03 85 65 45 7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0"/>
    <x v="6"/>
    <s v="Madame"/>
    <s v="LEGALLAIS"/>
    <s v="Jean-François"/>
    <m/>
    <m/>
    <s v="24, rue du Bourg"/>
    <n v="25000"/>
    <s v="BESANCON"/>
    <s v="03 85 65 45 78"/>
    <m/>
    <m/>
    <x v="1"/>
    <m/>
    <n v="857.14"/>
    <n v="714.29"/>
    <n v="142.86000000000001"/>
    <s v="1-Mousse Directe"/>
    <n v="500"/>
    <n v="214.29"/>
    <n v="714.29"/>
    <n v="30"/>
    <n v="0"/>
    <n v="0"/>
    <n v="0"/>
    <n v="214.29"/>
    <n v="0"/>
    <n v="714.29"/>
    <n v="20"/>
    <n v="142.86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1"/>
    <x v="6"/>
    <s v="Individ."/>
    <s v="AKTIS 21"/>
    <s v="CAFFIN"/>
    <s v="Bruce"/>
    <m/>
    <s v="24 rue de la Paix"/>
    <n v="21130"/>
    <s v="AUXONNE"/>
    <s v="03 73 73 98 20 "/>
    <m/>
    <m/>
    <x v="1"/>
    <m/>
    <n v="7969.89"/>
    <n v="6641.57"/>
    <n v="1328.31"/>
    <s v="1-Mousse Directe"/>
    <n v="500"/>
    <n v="214.29"/>
    <n v="714.29"/>
    <n v="30"/>
    <n v="10"/>
    <n v="65"/>
    <n v="650"/>
    <n v="864.29"/>
    <n v="86.43"/>
    <n v="1364.29"/>
    <n v="20"/>
    <n v="272.86"/>
    <s v="2-Mousse commer."/>
    <n v="1500"/>
    <n v="642.86"/>
    <n v="2142.86"/>
    <n v="30"/>
    <n v="15"/>
    <n v="65"/>
    <n v="975"/>
    <n v="1617.86"/>
    <n v="107.86"/>
    <n v="3117.86"/>
    <n v="20"/>
    <n v="623.57000000000005"/>
    <s v="3-Chape directe"/>
    <n v="750"/>
    <n v="321.43"/>
    <n v="1071.43"/>
    <n v="30"/>
    <n v="17"/>
    <n v="64"/>
    <n v="1088"/>
    <n v="1409.43"/>
    <n v="82.91"/>
    <n v="2159.4299999999998"/>
    <n v="20"/>
    <n v="431.89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2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1337.14"/>
    <n v="1114.29"/>
    <n v="222.86"/>
    <s v="1-Mousse Directe"/>
    <n v="500"/>
    <n v="214.29"/>
    <n v="714.29"/>
    <n v="30"/>
    <n v="8"/>
    <n v="50"/>
    <n v="400"/>
    <n v="614.29"/>
    <n v="76.790000000000006"/>
    <n v="1114.29"/>
    <n v="20"/>
    <n v="22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3"/>
    <x v="6"/>
    <s v="SARL"/>
    <s v="GARAGE JEAN PERRIN"/>
    <s v="GAVIGNEY"/>
    <s v="Paul"/>
    <m/>
    <s v="66, avenue Marechal Leclerc"/>
    <n v="39100"/>
    <s v="DOLE"/>
    <s v="03 85 45 65 98"/>
    <m/>
    <m/>
    <x v="1"/>
    <m/>
    <n v="1457.14"/>
    <n v="1214.29"/>
    <n v="242.86"/>
    <s v="1-Mousse Directe"/>
    <n v="500"/>
    <n v="214.29"/>
    <n v="714.29"/>
    <n v="30"/>
    <n v="10"/>
    <n v="50"/>
    <n v="500"/>
    <n v="714.29"/>
    <n v="71.430000000000007"/>
    <n v="1214.29"/>
    <n v="20"/>
    <n v="24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4"/>
    <x v="6"/>
    <s v="SAS"/>
    <s v="DYNAMIQUE-VISION"/>
    <s v="Groupe GRG"/>
    <s v="CAFFIN"/>
    <s v="André"/>
    <s v="25, rue d'Amont"/>
    <n v="21130"/>
    <s v="Labergement les Auxonne"/>
    <s v="03 73 73 98 20"/>
    <m/>
    <m/>
    <x v="1"/>
    <m/>
    <n v="3632.37"/>
    <n v="3026.97"/>
    <n v="605.39"/>
    <s v="1-Mousse Directe"/>
    <n v="611"/>
    <n v="75.52"/>
    <n v="686.52"/>
    <n v="11"/>
    <n v="11"/>
    <n v="71"/>
    <n v="781"/>
    <n v="856.52"/>
    <n v="77.87"/>
    <n v="1467.52"/>
    <n v="20"/>
    <n v="293.5"/>
    <s v="2-Mousse commer."/>
    <n v="612"/>
    <n v="83.45"/>
    <n v="695.45"/>
    <n v="12"/>
    <n v="12"/>
    <n v="72"/>
    <n v="864"/>
    <n v="947.45"/>
    <n v="78.95"/>
    <n v="1559.45"/>
    <n v="20"/>
    <n v="311.89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5"/>
    <x v="6"/>
    <s v="Madame"/>
    <s v="LEGALLAIS"/>
    <s v="Jean-François"/>
    <m/>
    <m/>
    <s v="24, rue du Bourg"/>
    <n v="25000"/>
    <s v="BESANCON"/>
    <s v="03 85 65 45 78"/>
    <m/>
    <m/>
    <x v="1"/>
    <m/>
    <n v="336.44"/>
    <n v="280.36"/>
    <n v="56.07"/>
    <s v="1-Mousse Directe"/>
    <n v="120"/>
    <n v="16.36"/>
    <n v="136.36000000000001"/>
    <n v="12"/>
    <n v="12"/>
    <n v="12"/>
    <n v="144"/>
    <n v="160.36000000000001"/>
    <n v="13.36"/>
    <n v="280.36"/>
    <n v="20"/>
    <n v="56.07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6"/>
    <x v="6"/>
    <s v="Madame"/>
    <s v="LEGALLAIS"/>
    <s v="Jean-François"/>
    <m/>
    <m/>
    <s v="24, rue du Bourg"/>
    <n v="25000"/>
    <s v="BESANCON"/>
    <s v="03 85 65 45 78"/>
    <m/>
    <m/>
    <x v="1"/>
    <m/>
    <n v="1326.67"/>
    <n v="1105.56"/>
    <n v="221.11"/>
    <s v="1-Mousse Directe"/>
    <n v="500"/>
    <n v="55.56"/>
    <n v="555.55999999999995"/>
    <n v="10"/>
    <n v="10"/>
    <n v="55"/>
    <n v="550"/>
    <n v="605.55999999999995"/>
    <n v="60.56"/>
    <n v="1105.56"/>
    <n v="20"/>
    <n v="221.1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7"/>
    <x v="6"/>
    <s v="Madame"/>
    <s v="LEGALLAIS"/>
    <s v="Jean-François"/>
    <m/>
    <m/>
    <s v="24, rue du Bourg"/>
    <n v="25000"/>
    <s v="BESANCON"/>
    <s v="03 85 65 45 78"/>
    <m/>
    <m/>
    <x v="1"/>
    <m/>
    <n v="1457.14"/>
    <n v="1214.29"/>
    <n v="242.86"/>
    <s v="1-Mousse Directe"/>
    <n v="500"/>
    <n v="214.29"/>
    <n v="714.29"/>
    <n v="30"/>
    <n v="10"/>
    <n v="50"/>
    <n v="500"/>
    <n v="714.29"/>
    <n v="71.430000000000007"/>
    <n v="1214.29"/>
    <n v="20"/>
    <n v="24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8"/>
    <x v="6"/>
    <s v="Madame"/>
    <s v="LEGALLAIS"/>
    <s v="Jean-François"/>
    <m/>
    <m/>
    <s v="24, rue du Bourg"/>
    <n v="25000"/>
    <s v="BESANCON"/>
    <s v="03 85 65 45 78"/>
    <m/>
    <m/>
    <x v="1"/>
    <m/>
    <n v="1577.14"/>
    <n v="1314.29"/>
    <n v="262.86"/>
    <s v="1-Mousse Directe"/>
    <n v="500"/>
    <n v="214.29"/>
    <n v="714.29"/>
    <n v="30"/>
    <n v="10"/>
    <n v="60"/>
    <n v="600"/>
    <n v="814.29"/>
    <n v="81.430000000000007"/>
    <n v="1314.29"/>
    <n v="20"/>
    <n v="26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59"/>
    <x v="6"/>
    <s v="Madame"/>
    <s v="LEGALLAIS"/>
    <s v="Jean-François"/>
    <m/>
    <m/>
    <s v="24, rue du Bourg"/>
    <n v="25000"/>
    <s v="BESANCON"/>
    <s v="03 85 65 45 78"/>
    <s v="AF 45635"/>
    <s v="Ref af 8932"/>
    <x v="0"/>
    <s v="FAC 180025"/>
    <n v="23655.62"/>
    <n v="19713.009999999998"/>
    <n v="3942.6"/>
    <s v="1-Mousse Directe"/>
    <n v="110"/>
    <n v="12.22"/>
    <n v="122.22"/>
    <n v="10"/>
    <n v="10"/>
    <n v="61"/>
    <n v="610"/>
    <n v="622.22"/>
    <n v="62.22"/>
    <n v="732.22"/>
    <n v="20"/>
    <n v="146.44"/>
    <s v="2-Mousse commer."/>
    <n v="120"/>
    <n v="16.36"/>
    <n v="136.36000000000001"/>
    <n v="12"/>
    <n v="12"/>
    <n v="62"/>
    <n v="744"/>
    <n v="760.36"/>
    <n v="63.36"/>
    <n v="880.36"/>
    <n v="20"/>
    <n v="176.07"/>
    <s v="3-Chape directe"/>
    <n v="130"/>
    <n v="19.43"/>
    <n v="149.43"/>
    <n v="13"/>
    <n v="13"/>
    <n v="63"/>
    <n v="819"/>
    <n v="838.43"/>
    <n v="64.489999999999995"/>
    <n v="968.43"/>
    <n v="20"/>
    <n v="193.69"/>
    <s v="4-Chape Commer."/>
    <n v="140"/>
    <n v="22.79"/>
    <n v="162.79"/>
    <n v="14"/>
    <n v="14"/>
    <n v="64"/>
    <n v="896"/>
    <n v="918.79"/>
    <n v="65.63"/>
    <n v="1058.79"/>
    <n v="20"/>
    <n v="211.76"/>
    <s v="5-DUOVAC directe"/>
    <n v="150"/>
    <n v="26.47"/>
    <n v="176.47"/>
    <n v="15"/>
    <n v="15"/>
    <n v="65"/>
    <n v="975"/>
    <n v="1001.47"/>
    <n v="66.760000000000005"/>
    <n v="1151.47"/>
    <n v="20"/>
    <n v="230.29"/>
    <s v="6-DUOVAC Commerciaux"/>
    <n v="160"/>
    <n v="30.48"/>
    <n v="190.48"/>
    <n v="16"/>
    <n v="16"/>
    <n v="66"/>
    <n v="1056"/>
    <n v="1086.48"/>
    <n v="67.91"/>
    <n v="1246.48"/>
    <n v="20"/>
    <n v="249.3"/>
    <s v="7-Carrelage"/>
    <n v="170"/>
    <n v="34.82"/>
    <n v="204.82"/>
    <n v="17"/>
    <n v="17"/>
    <n v="67"/>
    <n v="1139"/>
    <n v="1173.82"/>
    <n v="69.05"/>
    <n v="1343.82"/>
    <n v="20"/>
    <n v="268.76"/>
    <s v="8-Etude Thermique"/>
    <n v="180"/>
    <n v="39.51"/>
    <n v="219.51"/>
    <n v="18"/>
    <n v="18"/>
    <n v="68"/>
    <n v="1224"/>
    <n v="1263.51"/>
    <n v="70.2"/>
    <n v="1443.51"/>
    <n v="20"/>
    <n v="288.7"/>
    <s v="9-Chaudière Commer."/>
    <n v="190"/>
    <n v="44.57"/>
    <n v="234.57"/>
    <n v="19"/>
    <n v="19"/>
    <n v="69"/>
    <n v="1311"/>
    <n v="1355.57"/>
    <n v="71.349999999999994"/>
    <n v="1545.57"/>
    <n v="20"/>
    <n v="309.11"/>
    <s v="10-Chaudière Instal. "/>
    <n v="200"/>
    <n v="50"/>
    <n v="250"/>
    <n v="20"/>
    <n v="20"/>
    <n v="70"/>
    <n v="1400"/>
    <n v="1450"/>
    <n v="72.5"/>
    <n v="1650"/>
    <n v="20"/>
    <n v="330"/>
    <s v="11-Réparation Plomberie"/>
    <n v="210"/>
    <n v="55.82"/>
    <n v="265.82"/>
    <n v="21"/>
    <n v="21"/>
    <n v="71"/>
    <n v="1491"/>
    <n v="1546.82"/>
    <n v="73.66"/>
    <n v="1756.82"/>
    <n v="20"/>
    <n v="351.36"/>
    <s v="12-Activité 12"/>
    <n v="220"/>
    <n v="62.05"/>
    <n v="282.05"/>
    <n v="22"/>
    <n v="22"/>
    <n v="72"/>
    <n v="1584"/>
    <n v="1646.05"/>
    <n v="74.819999999999993"/>
    <n v="1866.05"/>
    <n v="20"/>
    <n v="373.21"/>
    <s v="13-Activité 13"/>
    <n v="230"/>
    <n v="68.7"/>
    <n v="298.7"/>
    <n v="23"/>
    <n v="23"/>
    <n v="73"/>
    <n v="1679"/>
    <n v="1747.7"/>
    <n v="75.989999999999995"/>
    <n v="1977.7"/>
    <n v="20"/>
    <n v="395.54"/>
    <s v="14-Activité 14"/>
    <n v="240"/>
    <n v="75.790000000000006"/>
    <n v="315.79000000000002"/>
    <n v="24"/>
    <n v="24"/>
    <n v="74"/>
    <n v="1776"/>
    <n v="1851.79"/>
    <n v="77.16"/>
    <n v="2091.79"/>
    <n v="20"/>
    <n v="418.36"/>
  </r>
  <r>
    <n v="60"/>
    <x v="6"/>
    <s v="SAS"/>
    <s v="CARROSSERIE DE LA GARE"/>
    <m/>
    <s v="DETRASSE"/>
    <s v="Philippe"/>
    <s v="56, rue de La Gare"/>
    <n v="25000"/>
    <s v="BESANCON"/>
    <s v="03 85 45 6 587"/>
    <n v="5852"/>
    <n v="3840"/>
    <x v="0"/>
    <s v="fac 180052"/>
    <n v="24980.57"/>
    <n v="20817.14"/>
    <n v="4163.43"/>
    <s v="1-Mousse Directe"/>
    <n v="2532"/>
    <n v="1085.1400000000001"/>
    <n v="3617.14"/>
    <n v="30"/>
    <n v="50"/>
    <n v="120"/>
    <n v="6000"/>
    <n v="7085.14"/>
    <n v="141.69999999999999"/>
    <n v="9617.14"/>
    <n v="20"/>
    <n v="1923.43"/>
    <s v="2-Mousse commer."/>
    <n v="3850"/>
    <n v="1650"/>
    <n v="5500"/>
    <n v="30"/>
    <n v="60"/>
    <n v="95"/>
    <n v="5700"/>
    <n v="7350"/>
    <n v="122.5"/>
    <n v="11200"/>
    <n v="20"/>
    <n v="224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1"/>
    <x v="6"/>
    <s v="SAS"/>
    <s v="CARROSSERIE DE LA GARE"/>
    <m/>
    <s v="DETRASSE"/>
    <s v="Philippe"/>
    <s v="56, rue de La Gare"/>
    <n v="25000"/>
    <s v="BESANCON"/>
    <s v="03 85 45 6 587"/>
    <n v="5646"/>
    <s v="Amenagement bureaux"/>
    <x v="0"/>
    <s v="fac 123456"/>
    <n v="31885.71"/>
    <n v="26571.43"/>
    <n v="5314.29"/>
    <s v="1-Mousse Directe"/>
    <n v="2500"/>
    <n v="1071.43"/>
    <n v="3571.43"/>
    <n v="30"/>
    <n v="60"/>
    <n v="120"/>
    <n v="7200"/>
    <n v="8271.43"/>
    <n v="137.86000000000001"/>
    <n v="10771.43"/>
    <n v="20"/>
    <n v="2154.29"/>
    <s v="2-Mousse commer."/>
    <n v="4200"/>
    <n v="1800"/>
    <n v="6000"/>
    <n v="30"/>
    <n v="70"/>
    <n v="140"/>
    <n v="9800"/>
    <n v="11600"/>
    <n v="165.71"/>
    <n v="15800"/>
    <n v="20"/>
    <n v="316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2"/>
    <x v="6"/>
    <s v="SAS"/>
    <s v="CARROSSERIE DE LA GARE"/>
    <m/>
    <s v="DETRASSE"/>
    <s v="Philippe"/>
    <s v="56, rue de La Gare"/>
    <n v="25000"/>
    <s v="BESANCON"/>
    <s v="03 85 45 6 587"/>
    <n v="24532"/>
    <s v="Les hirondelles"/>
    <x v="1"/>
    <n v="24232"/>
    <n v="1577.14"/>
    <n v="1314.29"/>
    <n v="262.86"/>
    <s v="1-Mousse Directe"/>
    <n v="0"/>
    <n v="0"/>
    <n v="0"/>
    <n v="0"/>
    <n v="0"/>
    <n v="0"/>
    <n v="0"/>
    <n v="0"/>
    <n v="0"/>
    <n v="0"/>
    <n v="20"/>
    <n v="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500"/>
    <n v="214.29"/>
    <n v="714.29"/>
    <n v="30"/>
    <n v="10"/>
    <n v="60"/>
    <n v="600"/>
    <n v="814.29"/>
    <n v="81.430000000000007"/>
    <n v="1314.29"/>
    <n v="20"/>
    <n v="262.86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3"/>
    <x v="6"/>
    <s v="SARL"/>
    <s v="GARAGE JEAN PERRIN"/>
    <s v="GAVIGNEY"/>
    <s v="Paul"/>
    <m/>
    <s v="66, avenue Marechal Leclerc"/>
    <n v="39100"/>
    <s v="DOLE"/>
    <s v="03 85 45 65 98"/>
    <m/>
    <m/>
    <x v="1"/>
    <m/>
    <n v="11827.56"/>
    <n v="9856.2999999999993"/>
    <n v="1971.26"/>
    <s v="1-Mousse Directe"/>
    <n v="1250"/>
    <n v="535.71"/>
    <n v="1785.71"/>
    <n v="30"/>
    <n v="40"/>
    <n v="70"/>
    <n v="2800"/>
    <n v="3335.71"/>
    <n v="83.39"/>
    <n v="4585.71"/>
    <n v="20"/>
    <n v="917.14"/>
    <s v="2-Mousse commer."/>
    <n v="3800"/>
    <n v="670.59"/>
    <n v="4470.59"/>
    <n v="15"/>
    <n v="10"/>
    <n v="80"/>
    <n v="800"/>
    <n v="1470.59"/>
    <n v="147.06"/>
    <n v="5270.59"/>
    <n v="20"/>
    <n v="1054.1199999999999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4"/>
    <x v="6"/>
    <s v="SARL"/>
    <s v="GARAGE JEAN PERRIN"/>
    <s v="GAVIGNEY"/>
    <s v="Paul"/>
    <m/>
    <s v="66, avenue Marechal Leclerc"/>
    <n v="39100"/>
    <s v="DOLE"/>
    <s v="03 85 45 65 98"/>
    <m/>
    <m/>
    <x v="1"/>
    <m/>
    <n v="1697.14"/>
    <n v="1414.29"/>
    <n v="282.86"/>
    <s v="1-Mousse Directe"/>
    <n v="500"/>
    <n v="214.29"/>
    <n v="714.29"/>
    <n v="30"/>
    <n v="10"/>
    <n v="70"/>
    <n v="700"/>
    <n v="914.29"/>
    <n v="91.43"/>
    <n v="1414.29"/>
    <n v="20"/>
    <n v="28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5"/>
    <x v="6"/>
    <s v="SARL"/>
    <s v="GARAGE JEAN PERRIN"/>
    <s v="GAVIGNEY"/>
    <s v="Paul"/>
    <m/>
    <s v="66, avenue Marechal Leclerc"/>
    <n v="39100"/>
    <s v="DOLE"/>
    <s v="03 85 45 65 98"/>
    <m/>
    <m/>
    <x v="1"/>
    <m/>
    <n v="600"/>
    <n v="500"/>
    <n v="100"/>
    <s v="1-Mousse Directe"/>
    <n v="500"/>
    <n v="0"/>
    <n v="500"/>
    <n v="0"/>
    <n v="0"/>
    <n v="0"/>
    <n v="0"/>
    <n v="0"/>
    <n v="0"/>
    <n v="500"/>
    <n v="20"/>
    <n v="1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6"/>
    <x v="6"/>
    <s v="SARL"/>
    <s v="GARAGE JEAN PERRIN"/>
    <s v="GAVIGNEY"/>
    <s v="Paul"/>
    <m/>
    <s v="66, avenue Marechal Leclerc"/>
    <n v="39100"/>
    <s v="DOLE"/>
    <s v="03 85 45 65 98"/>
    <m/>
    <m/>
    <x v="0"/>
    <m/>
    <n v="857.14"/>
    <n v="714.29"/>
    <n v="142.86000000000001"/>
    <s v="1-Mousse Directe"/>
    <n v="500"/>
    <n v="214.29"/>
    <n v="714.29"/>
    <n v="30"/>
    <n v="0"/>
    <n v="0"/>
    <n v="0"/>
    <n v="214.29"/>
    <n v="0"/>
    <n v="714.29"/>
    <n v="20"/>
    <n v="142.8600000000000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7"/>
    <x v="6"/>
    <s v="SARL"/>
    <s v="GARAGE JEAN PERRIN"/>
    <s v="GAVIGNEY"/>
    <s v="Paul"/>
    <m/>
    <s v="66, avenue Marechal Leclerc"/>
    <n v="39100"/>
    <s v="DOLE"/>
    <s v="03 85 45 65 98"/>
    <m/>
    <m/>
    <x v="1"/>
    <m/>
    <n v="1697.14"/>
    <n v="1414.29"/>
    <n v="282.86"/>
    <s v="1-Mousse Directe"/>
    <n v="500"/>
    <n v="214.29"/>
    <n v="714.29"/>
    <n v="30"/>
    <n v="10"/>
    <n v="70"/>
    <n v="700"/>
    <n v="914.29"/>
    <n v="91.43"/>
    <n v="1414.29"/>
    <n v="20"/>
    <n v="28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8"/>
    <x v="6"/>
    <s v="SARL"/>
    <s v="GARAGE JEAN PERRIN"/>
    <s v="GAVIGNEY"/>
    <s v="Paul"/>
    <m/>
    <s v="66, avenue Marechal Leclerc"/>
    <n v="39100"/>
    <s v="DOLE"/>
    <s v="03 85 45 65 98"/>
    <m/>
    <m/>
    <x v="0"/>
    <m/>
    <n v="1577.14"/>
    <n v="1314.29"/>
    <n v="262.86"/>
    <s v="1-Mousse Directe"/>
    <n v="500"/>
    <n v="214.29"/>
    <n v="714.29"/>
    <n v="30"/>
    <n v="10"/>
    <n v="60"/>
    <n v="600"/>
    <n v="814.29"/>
    <n v="81.430000000000007"/>
    <n v="1314.29"/>
    <n v="20"/>
    <n v="26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69"/>
    <x v="6"/>
    <s v="SARL"/>
    <s v="GARAGE JEAN PERRIN"/>
    <s v="GAVIGNEY"/>
    <s v="Paul"/>
    <m/>
    <s v="66, avenue Marechal Leclerc"/>
    <n v="39100"/>
    <s v="DOLE"/>
    <s v="03 85 45 65 98"/>
    <m/>
    <m/>
    <x v="0"/>
    <m/>
    <n v="1577.14"/>
    <n v="1314.29"/>
    <n v="262.86"/>
    <s v="1-Mousse Directe"/>
    <n v="500"/>
    <n v="214.29"/>
    <n v="714.29"/>
    <n v="30"/>
    <n v="10"/>
    <n v="60"/>
    <n v="600"/>
    <n v="814.29"/>
    <n v="81.430000000000007"/>
    <n v="1314.29"/>
    <n v="20"/>
    <n v="26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0"/>
    <x v="6"/>
    <s v="SARL"/>
    <s v="GARAGE JEAN PERRIN"/>
    <s v="GAVIGNEY"/>
    <s v="Paul"/>
    <m/>
    <s v="66, avenue Marechal Leclerc"/>
    <n v="39100"/>
    <s v="DOLE"/>
    <s v="03 85 45 65 98"/>
    <m/>
    <m/>
    <x v="0"/>
    <m/>
    <n v="7714.29"/>
    <n v="6428.57"/>
    <n v="1285.71"/>
    <s v="1-Mousse Directe"/>
    <n v="4500"/>
    <n v="1928.57"/>
    <n v="6428.57"/>
    <n v="30"/>
    <n v="0"/>
    <n v="0"/>
    <n v="0"/>
    <n v="1928.57"/>
    <n v="0"/>
    <n v="6428.57"/>
    <n v="20"/>
    <n v="1285.71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1"/>
    <x v="6"/>
    <s v="SARL"/>
    <s v="GARAGE JEAN PERRIN"/>
    <s v="GAVIGNEY"/>
    <s v="Paul"/>
    <m/>
    <s v="66, avenue Marechal Leclerc"/>
    <n v="39100"/>
    <s v="DOLE"/>
    <s v="03 85 45 65 98"/>
    <m/>
    <m/>
    <x v="0"/>
    <m/>
    <n v="4457.1400000000003"/>
    <n v="3714.29"/>
    <n v="742.86"/>
    <s v="1-Mousse Directe"/>
    <n v="500"/>
    <n v="214.29"/>
    <n v="714.29"/>
    <n v="30"/>
    <n v="50"/>
    <n v="60"/>
    <n v="3000"/>
    <n v="3214.29"/>
    <n v="64.290000000000006"/>
    <n v="3714.29"/>
    <n v="20"/>
    <n v="74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2"/>
    <x v="6"/>
    <s v="SARL"/>
    <s v="GARAGE JEAN PERRIN"/>
    <s v="GAVIGNEY"/>
    <s v="Paul"/>
    <m/>
    <s v="66, avenue Marechal Leclerc"/>
    <n v="39100"/>
    <s v="DOLE"/>
    <s v="03 85 45 65 98"/>
    <m/>
    <m/>
    <x v="4"/>
    <m/>
    <n v="1097.1400000000001"/>
    <n v="914.29"/>
    <n v="182.86"/>
    <s v="1-Mousse Directe"/>
    <n v="500"/>
    <n v="214.29"/>
    <n v="714.29"/>
    <n v="30"/>
    <n v="10"/>
    <n v="20"/>
    <n v="200"/>
    <n v="414.29"/>
    <n v="41.43"/>
    <n v="914.29"/>
    <n v="20"/>
    <n v="18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3"/>
    <x v="6"/>
    <s v="Monsieur"/>
    <s v="MARLOUP"/>
    <s v="Paul"/>
    <s v="MARTINEZ"/>
    <s v="Marc"/>
    <s v="24, rue Lafayette"/>
    <n v="21300"/>
    <s v="CHENOVE"/>
    <n v="380456545"/>
    <m/>
    <m/>
    <x v="1"/>
    <n v="180084"/>
    <n v="3829.71"/>
    <n v="3191.43"/>
    <n v="638.29"/>
    <s v="1-Mousse Directe"/>
    <n v="0"/>
    <n v="0"/>
    <n v="0"/>
    <n v="0"/>
    <n v="0"/>
    <n v="0"/>
    <n v="0"/>
    <n v="0"/>
    <n v="0"/>
    <n v="0"/>
    <n v="20"/>
    <n v="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1450"/>
    <n v="621.42999999999995"/>
    <n v="2071.4299999999998"/>
    <n v="30"/>
    <n v="16"/>
    <n v="70"/>
    <n v="1120"/>
    <n v="1741.43"/>
    <n v="108.84"/>
    <n v="3191.43"/>
    <n v="20"/>
    <n v="638.29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4"/>
    <x v="6"/>
    <s v="Monsieur"/>
    <s v="MARLOUP"/>
    <s v="Paul"/>
    <s v="FIDJI"/>
    <s v="Marc"/>
    <s v="24, rue Lafayette"/>
    <n v="21300"/>
    <s v="CHENOVE"/>
    <n v="380456545"/>
    <m/>
    <m/>
    <x v="1"/>
    <n v="180047"/>
    <n v="7165.71"/>
    <n v="5971.43"/>
    <n v="1194.29"/>
    <s v="1-Mousse Directe"/>
    <n v="2500"/>
    <n v="1071.43"/>
    <n v="3571.43"/>
    <n v="30"/>
    <n v="40"/>
    <n v="60"/>
    <n v="2400"/>
    <n v="3471.43"/>
    <n v="86.79"/>
    <n v="5971.43"/>
    <n v="20"/>
    <n v="1194.29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5"/>
    <x v="6"/>
    <s v="SARL"/>
    <s v="TRANSPORTS CARMIN"/>
    <s v="Groupe GRG"/>
    <s v="DUFOIS"/>
    <s v="Pascal"/>
    <s v="24, route de Beaune"/>
    <n v="21220"/>
    <s v="FIXIN"/>
    <n v="380586547"/>
    <m/>
    <m/>
    <x v="1"/>
    <n v="180524"/>
    <n v="1714.29"/>
    <n v="1428.57"/>
    <n v="285.70999999999998"/>
    <s v="1-Mousse Directe"/>
    <n v="0"/>
    <n v="0"/>
    <n v="0"/>
    <n v="0"/>
    <n v="0"/>
    <n v="0"/>
    <n v="0"/>
    <n v="0"/>
    <n v="0"/>
    <n v="0"/>
    <n v="20"/>
    <n v="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1000"/>
    <n v="428.57"/>
    <n v="1428.57"/>
    <n v="30"/>
    <n v="0"/>
    <n v="0"/>
    <n v="0"/>
    <n v="428.57"/>
    <n v="0"/>
    <n v="1428.57"/>
    <n v="20"/>
    <n v="285.70999999999998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6"/>
    <x v="6"/>
    <s v="SARL"/>
    <s v="TRANSPORTS CARMIN"/>
    <s v="Groupe GRG"/>
    <s v="DUFOIS"/>
    <s v="Pascal"/>
    <s v="24, route de Beaune"/>
    <n v="21220"/>
    <s v="FIXIN"/>
    <n v="380586547"/>
    <m/>
    <m/>
    <x v="1"/>
    <n v="1800252"/>
    <n v="1217.1400000000001"/>
    <n v="1014.29"/>
    <n v="202.86"/>
    <s v="1-Mousse Directe"/>
    <n v="500"/>
    <n v="214.29"/>
    <n v="714.29"/>
    <n v="30"/>
    <n v="5"/>
    <n v="60"/>
    <n v="300"/>
    <n v="514.29"/>
    <n v="102.86"/>
    <n v="1014.29"/>
    <n v="20"/>
    <n v="20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7"/>
    <x v="6"/>
    <s v="SARL"/>
    <s v="MENUISERIE DU GALLAIS"/>
    <s v="Filiale du Groupe LVI"/>
    <s v="JASMIN"/>
    <s v="Paul"/>
    <s v="24, rue du Perigourdin"/>
    <n v="39100"/>
    <s v="DOLE"/>
    <s v="03 85 38 42 26"/>
    <m/>
    <m/>
    <x v="1"/>
    <n v="18056"/>
    <n v="7868.57"/>
    <n v="6557.14"/>
    <n v="1311.43"/>
    <s v="1-Mousse Directe"/>
    <n v="0"/>
    <n v="0"/>
    <n v="0"/>
    <n v="0"/>
    <n v="0"/>
    <n v="0"/>
    <n v="0"/>
    <n v="0"/>
    <n v="0"/>
    <n v="0"/>
    <n v="20"/>
    <n v="0"/>
    <s v="2-Mousse commer."/>
    <n v="3890"/>
    <n v="1667.14"/>
    <n v="5557.14"/>
    <n v="30"/>
    <n v="20"/>
    <n v="50"/>
    <n v="1000"/>
    <n v="2667.14"/>
    <n v="133.36000000000001"/>
    <n v="6557.14"/>
    <n v="20"/>
    <n v="1311.43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8"/>
    <x v="6"/>
    <s v="SAS"/>
    <s v="CARROSSERIE DE LA GARE"/>
    <m/>
    <s v="DETRASSE"/>
    <s v="Philippe"/>
    <s v="56, rue de La Gare"/>
    <n v="25000"/>
    <s v="BESANCON"/>
    <s v="03 85 45 6 587"/>
    <m/>
    <m/>
    <x v="1"/>
    <n v="18052"/>
    <n v="2862.86"/>
    <n v="2385.71"/>
    <n v="477.14"/>
    <s v="1-Mousse Directe"/>
    <n v="0"/>
    <n v="0"/>
    <n v="0"/>
    <n v="0"/>
    <n v="0"/>
    <n v="0"/>
    <n v="0"/>
    <n v="0"/>
    <n v="0"/>
    <n v="0"/>
    <n v="20"/>
    <n v="0"/>
    <s v="2-Mousse commer."/>
    <n v="0"/>
    <n v="0"/>
    <n v="0"/>
    <n v="0"/>
    <n v="0"/>
    <n v="0"/>
    <n v="0"/>
    <n v="0"/>
    <n v="0"/>
    <n v="0"/>
    <n v="20"/>
    <n v="0"/>
    <s v="3-Chape directe"/>
    <n v="1250"/>
    <n v="535.71"/>
    <n v="1785.71"/>
    <n v="30"/>
    <n v="10"/>
    <n v="60"/>
    <n v="600"/>
    <n v="1135.71"/>
    <n v="113.57"/>
    <n v="2385.71"/>
    <n v="20"/>
    <n v="477.14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79"/>
    <x v="6"/>
    <s v="SAS"/>
    <s v="CARROSSERIE DE LA GARE"/>
    <m/>
    <s v="DETRASSE"/>
    <s v="Philippe"/>
    <s v="56, rue de La Gare"/>
    <n v="25000"/>
    <s v="BESANCON"/>
    <s v="03 85 45 6 587"/>
    <m/>
    <m/>
    <x v="1"/>
    <n v="35645"/>
    <n v="1577.14"/>
    <n v="1314.29"/>
    <n v="262.86"/>
    <s v="1-Mousse Directe"/>
    <n v="500"/>
    <n v="214.29"/>
    <n v="714.29"/>
    <n v="30"/>
    <n v="10"/>
    <n v="60"/>
    <n v="600"/>
    <n v="814.29"/>
    <n v="81.430000000000007"/>
    <n v="1314.29"/>
    <n v="20"/>
    <n v="26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0"/>
    <x v="6"/>
    <s v="Monsieur"/>
    <s v="MARTIN"/>
    <s v="Jacques"/>
    <s v="DUCELLE"/>
    <s v="Martine"/>
    <s v="24, rue de l'Arquebuse"/>
    <n v="21000"/>
    <s v="DIJON"/>
    <s v="03 80 31 40 69"/>
    <m/>
    <m/>
    <x v="0"/>
    <n v="3123131"/>
    <n v="3805.71"/>
    <n v="3171.43"/>
    <n v="634.29"/>
    <s v="1-Mousse Directe"/>
    <n v="1800"/>
    <n v="771.43"/>
    <n v="2571.4299999999998"/>
    <n v="30"/>
    <n v="10"/>
    <n v="60"/>
    <n v="600"/>
    <n v="1371.43"/>
    <n v="137.13999999999999"/>
    <n v="3171.43"/>
    <n v="20"/>
    <n v="634.29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1"/>
    <x v="6"/>
    <s v="Monsieur"/>
    <s v="GUICHARD"/>
    <s v="François"/>
    <m/>
    <m/>
    <s v="24, Avenue du Marechal de Lattre de Tassigny"/>
    <n v="21000"/>
    <s v="DIJON"/>
    <s v="03 80 31 40 69"/>
    <m/>
    <m/>
    <x v="1"/>
    <n v="1246"/>
    <n v="9990.86"/>
    <n v="8325.7099999999991"/>
    <n v="1665.14"/>
    <s v="1-Mousse Directe"/>
    <n v="0"/>
    <n v="0"/>
    <n v="0"/>
    <n v="0"/>
    <n v="0"/>
    <n v="0"/>
    <n v="0"/>
    <n v="0"/>
    <n v="0"/>
    <n v="0"/>
    <n v="20"/>
    <n v="0"/>
    <s v="2-Mousse commer."/>
    <n v="2200"/>
    <n v="942.86"/>
    <n v="3142.86"/>
    <n v="30"/>
    <n v="32"/>
    <n v="70"/>
    <n v="2240"/>
    <n v="3182.86"/>
    <n v="99.46"/>
    <n v="5382.86"/>
    <n v="20"/>
    <n v="1076.57"/>
    <s v="3-Chape directe"/>
    <n v="1500"/>
    <n v="642.86"/>
    <n v="2142.86"/>
    <n v="30"/>
    <n v="10"/>
    <n v="80"/>
    <n v="800"/>
    <n v="1442.86"/>
    <n v="144.29"/>
    <n v="2942.86"/>
    <n v="20"/>
    <n v="588.57000000000005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ciaux"/>
    <n v="0"/>
    <n v="0"/>
    <n v="0"/>
    <n v="0"/>
    <n v="0"/>
    <n v="0"/>
    <n v="0"/>
    <n v="0"/>
    <n v="0"/>
    <n v="0"/>
    <n v="20"/>
    <n v="0"/>
    <s v="7-Carrelage"/>
    <n v="0"/>
    <n v="0"/>
    <n v="0"/>
    <n v="0"/>
    <n v="0"/>
    <n v="0"/>
    <n v="0"/>
    <n v="0"/>
    <n v="0"/>
    <n v="0"/>
    <n v="20"/>
    <n v="0"/>
    <s v="8-Etude Thermiqu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Instal. 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Activité 12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2"/>
    <x v="6"/>
    <s v="Madame"/>
    <s v="LEGALLAIS"/>
    <s v="Groupe GRG"/>
    <s v="ROBARDET"/>
    <s v="Jean-luc"/>
    <s v="24, rue du Bourg"/>
    <n v="25000"/>
    <s v="BESANCON"/>
    <s v="03 85 65 45 78"/>
    <n v="1254"/>
    <s v="Ref af 24365"/>
    <x v="0"/>
    <n v="18082"/>
    <n v="9954.86"/>
    <n v="8295.7099999999991"/>
    <n v="1659.14"/>
    <s v="1-Mousse Directe"/>
    <n v="2125"/>
    <n v="910.71"/>
    <n v="3035.71"/>
    <n v="30"/>
    <n v="40"/>
    <n v="54"/>
    <n v="2160"/>
    <n v="3070.71"/>
    <n v="76.77"/>
    <n v="5195.71"/>
    <n v="20"/>
    <n v="1039.1400000000001"/>
    <s v="2-Mousse commer."/>
    <n v="0"/>
    <n v="0"/>
    <n v="0"/>
    <n v="0"/>
    <n v="0"/>
    <n v="0"/>
    <n v="0"/>
    <n v="0"/>
    <n v="0"/>
    <n v="0"/>
    <n v="20"/>
    <n v="0"/>
    <s v="3-Chape directe"/>
    <n v="1540"/>
    <n v="660"/>
    <n v="2200"/>
    <n v="30"/>
    <n v="15"/>
    <n v="60"/>
    <n v="900"/>
    <n v="1560"/>
    <n v="104"/>
    <n v="3100"/>
    <n v="20"/>
    <n v="62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3"/>
    <x v="6"/>
    <s v="SARL"/>
    <s v="TRANSPORTS CARMIN"/>
    <s v="Groupe GRG"/>
    <s v="DUFOIS"/>
    <s v="Pascal"/>
    <s v="24, route de Beaune"/>
    <n v="21220"/>
    <s v="FIXIN"/>
    <n v="380586547"/>
    <n v="18456"/>
    <n v="2546"/>
    <x v="0"/>
    <n v="18546"/>
    <n v="1337.14"/>
    <n v="1114.29"/>
    <n v="222.86"/>
    <s v="1-Mousse Directe"/>
    <n v="500"/>
    <n v="214.29"/>
    <n v="714.29"/>
    <n v="30"/>
    <n v="10"/>
    <n v="40"/>
    <n v="400"/>
    <n v="614.29"/>
    <n v="61.43"/>
    <n v="1114.29"/>
    <n v="20"/>
    <n v="22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4"/>
    <x v="6"/>
    <s v="Madame"/>
    <s v="LEGALLAIS"/>
    <s v="Groupe GRG"/>
    <s v="ROBARDET"/>
    <s v="Jean-luc"/>
    <s v="24, rue du Bourg"/>
    <n v="25000"/>
    <s v="BESANCON"/>
    <s v="03 85 65 45 78"/>
    <n v="18432"/>
    <s v="LE PONT DU PUIT"/>
    <x v="1"/>
    <n v="18154"/>
    <n v="1577.14"/>
    <n v="1314.29"/>
    <n v="262.86"/>
    <s v="1-Mousse Directe"/>
    <n v="500"/>
    <n v="214.29"/>
    <n v="714.29"/>
    <n v="30"/>
    <n v="10"/>
    <n v="60"/>
    <n v="600"/>
    <n v="814.29"/>
    <n v="81.430000000000007"/>
    <n v="1314.29"/>
    <n v="20"/>
    <n v="26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5"/>
    <x v="6"/>
    <s v="SARL"/>
    <s v="TRANSPORTS CARMIN"/>
    <s v="Groupe GRG"/>
    <s v="DUFOIS"/>
    <s v="Pascal"/>
    <s v="24, route de Beaune"/>
    <n v="21220"/>
    <s v="FIXIN"/>
    <n v="380586547"/>
    <n v="18654"/>
    <n v="1233132131"/>
    <x v="1"/>
    <n v="18546"/>
    <n v="13611.43"/>
    <n v="11342.86"/>
    <n v="2268.5700000000002"/>
    <s v="1-Mousse Directe"/>
    <n v="5000"/>
    <n v="2142.86"/>
    <n v="7142.86"/>
    <n v="30"/>
    <n v="60"/>
    <n v="70"/>
    <n v="4200"/>
    <n v="6342.86"/>
    <n v="105.71"/>
    <n v="11342.86"/>
    <n v="20"/>
    <n v="2268.5700000000002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6"/>
    <x v="7"/>
    <s v="SARL"/>
    <s v="TRANSPORTS CARMIN"/>
    <s v="Groupe GRG"/>
    <s v="DUFOIS"/>
    <s v="Pascal"/>
    <s v="24, route de Beaune"/>
    <n v="21220"/>
    <s v="FIXIN"/>
    <n v="380586547"/>
    <n v="18021"/>
    <n v="7865"/>
    <x v="0"/>
    <n v="1846"/>
    <n v="1817.14"/>
    <n v="1514.29"/>
    <n v="302.86"/>
    <s v="1-Mousse Directe"/>
    <n v="500"/>
    <n v="214.29"/>
    <n v="714.29"/>
    <n v="30"/>
    <n v="10"/>
    <n v="80"/>
    <n v="800"/>
    <n v="1014.29"/>
    <n v="101.43"/>
    <n v="1514.29"/>
    <n v="20"/>
    <n v="30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7"/>
    <x v="8"/>
    <s v="Mr &amp; Mme"/>
    <s v="FROMENT"/>
    <s v="Pascal"/>
    <m/>
    <m/>
    <s v="56, AVENUE DU GÉNÉRAL DE GAULLE"/>
    <n v="21300"/>
    <s v="CHENOVE"/>
    <n v="385456896"/>
    <n v="8232"/>
    <n v="45632"/>
    <x v="0"/>
    <n v="181856"/>
    <n v="1817.14"/>
    <n v="1514.29"/>
    <n v="302.86"/>
    <s v="1-Mousse Directe"/>
    <n v="500"/>
    <n v="214.29"/>
    <n v="714.29"/>
    <n v="30"/>
    <n v="10"/>
    <n v="80"/>
    <n v="800"/>
    <n v="1014.29"/>
    <n v="101.43"/>
    <n v="1514.29"/>
    <n v="20"/>
    <n v="30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8"/>
    <x v="8"/>
    <s v="Mr &amp; Mme"/>
    <s v="FROMENT"/>
    <s v="Pascal"/>
    <m/>
    <m/>
    <s v="56, AVENUE DU GÉNÉRAL DE GAULLE"/>
    <n v="21300"/>
    <s v="CHENOVE"/>
    <n v="385456896"/>
    <n v="185265"/>
    <n v="46464646"/>
    <x v="1"/>
    <n v="1346467"/>
    <n v="2331.4299999999998"/>
    <n v="1942.86"/>
    <n v="388.57"/>
    <s v="1-Mousse Directe"/>
    <n v="800"/>
    <n v="342.86"/>
    <n v="1142.8599999999999"/>
    <n v="30"/>
    <n v="10"/>
    <n v="80"/>
    <n v="800"/>
    <n v="1142.8599999999999"/>
    <n v="114.29"/>
    <n v="1942.86"/>
    <n v="20"/>
    <n v="388.57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89"/>
    <x v="9"/>
    <s v="Mr &amp; Mme"/>
    <s v="FROMENT"/>
    <s v="Pascal"/>
    <m/>
    <m/>
    <s v="56, AVENUE DU GÉNÉRAL DE GAULLE"/>
    <n v="21300"/>
    <s v="CHENOVE"/>
    <n v="385456896"/>
    <n v="18546"/>
    <n v="456464"/>
    <x v="1"/>
    <n v="33464"/>
    <n v="1877.14"/>
    <n v="1564.29"/>
    <n v="312.86"/>
    <s v="1-Mousse Directe"/>
    <n v="500"/>
    <n v="214.29"/>
    <n v="714.29"/>
    <n v="30"/>
    <n v="10"/>
    <n v="85"/>
    <n v="850"/>
    <n v="1064.29"/>
    <n v="106.43"/>
    <n v="1564.29"/>
    <n v="20"/>
    <n v="31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0"/>
    <x v="10"/>
    <s v="Mr &amp; Mme"/>
    <s v="FROMENT"/>
    <s v="Pascal"/>
    <m/>
    <m/>
    <s v="56, AVENUE DU GÉNÉRAL DE GAULLE"/>
    <n v="21300"/>
    <s v="CHENOVE"/>
    <n v="385456896"/>
    <n v="1818654"/>
    <n v="245678"/>
    <x v="0"/>
    <n v="181564"/>
    <n v="6000"/>
    <n v="5000"/>
    <n v="1000"/>
    <s v="1-Mousse Directe"/>
    <n v="2450"/>
    <n v="1050"/>
    <n v="3500"/>
    <n v="30"/>
    <n v="20"/>
    <n v="75"/>
    <n v="1500"/>
    <n v="2550"/>
    <n v="127.5"/>
    <n v="5000"/>
    <n v="20"/>
    <n v="1000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1"/>
    <x v="11"/>
    <s v="Mr &amp; Mme"/>
    <s v="FROMENT"/>
    <s v="Pascal"/>
    <m/>
    <m/>
    <s v="56, AVENUE DU GÉNÉRAL DE GAULLE"/>
    <n v="21300"/>
    <s v="CHENOVE"/>
    <n v="385456896"/>
    <n v="121532"/>
    <n v="56464"/>
    <x v="0"/>
    <n v="18113"/>
    <n v="1988.57"/>
    <n v="1657.14"/>
    <n v="331.43"/>
    <s v="1-Mousse Directe"/>
    <n v="600"/>
    <n v="257.14"/>
    <n v="857.14"/>
    <n v="30"/>
    <n v="10"/>
    <n v="80"/>
    <n v="800"/>
    <n v="1057.1400000000001"/>
    <n v="105.71"/>
    <n v="1657.14"/>
    <n v="20"/>
    <n v="331.43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2"/>
    <x v="11"/>
    <s v="Monsieur"/>
    <s v="MARLOUP"/>
    <s v="Paul"/>
    <s v="FIDJI"/>
    <s v="Marc"/>
    <s v="24, rue Lafayette"/>
    <n v="21300"/>
    <s v="CHENOVE"/>
    <n v="380456545"/>
    <n v="1234"/>
    <n v="363464"/>
    <x v="0"/>
    <n v="8325"/>
    <n v="1817.14"/>
    <n v="1514.29"/>
    <n v="302.86"/>
    <s v="1-Mousse Directe"/>
    <n v="500"/>
    <n v="214.29"/>
    <n v="714.29"/>
    <n v="30"/>
    <n v="10"/>
    <n v="80"/>
    <n v="800"/>
    <n v="1014.29"/>
    <n v="101.43"/>
    <n v="1514.29"/>
    <n v="20"/>
    <n v="30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3"/>
    <x v="11"/>
    <s v="Monsieur"/>
    <s v="MARLOUP"/>
    <s v="Paul"/>
    <s v="FIDJI"/>
    <s v="Marc"/>
    <s v="24, rue Lafayette"/>
    <n v="21300"/>
    <s v="CHENOVE"/>
    <n v="380456545"/>
    <n v="64654"/>
    <n v="656546"/>
    <x v="0"/>
    <n v="645645"/>
    <n v="1877.14"/>
    <n v="1564.29"/>
    <n v="312.86"/>
    <s v="1-Mousse Directe"/>
    <n v="500"/>
    <n v="214.29"/>
    <n v="714.29"/>
    <n v="30"/>
    <n v="10"/>
    <n v="85"/>
    <n v="850"/>
    <n v="1064.29"/>
    <n v="106.43"/>
    <n v="1564.29"/>
    <n v="20"/>
    <n v="31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4"/>
    <x v="12"/>
    <s v="Monsieur"/>
    <s v="MARLOUP"/>
    <s v="Paul"/>
    <s v="FIDJI"/>
    <s v="Marc"/>
    <s v="24, rue Lafayette"/>
    <n v="21300"/>
    <s v="CHENOVE"/>
    <n v="380456545"/>
    <n v="331316"/>
    <n v="646456"/>
    <x v="0"/>
    <n v="3131"/>
    <n v="1817.14"/>
    <n v="1514.29"/>
    <n v="302.86"/>
    <s v="1-Mousse Directe"/>
    <n v="500"/>
    <n v="214.29"/>
    <n v="714.29"/>
    <n v="30"/>
    <n v="10"/>
    <n v="80"/>
    <n v="800"/>
    <n v="1014.29"/>
    <n v="101.43"/>
    <n v="1514.29"/>
    <n v="20"/>
    <n v="30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5"/>
    <x v="11"/>
    <s v="Madame"/>
    <s v="LEGALLAIS"/>
    <s v="Groupe GRG"/>
    <s v="ROBARDET"/>
    <s v="Jean-luc"/>
    <s v="24, rue du Bourg"/>
    <n v="25000"/>
    <s v="BESANCON"/>
    <s v="03 85 65 45 78"/>
    <n v="646456"/>
    <n v="654645"/>
    <x v="0"/>
    <n v="67656"/>
    <n v="1877.14"/>
    <n v="1564.29"/>
    <n v="312.86"/>
    <s v="1-Mousse Directe"/>
    <n v="500"/>
    <n v="214.29"/>
    <n v="714.29"/>
    <n v="30"/>
    <n v="10"/>
    <n v="85"/>
    <n v="850"/>
    <n v="1064.29"/>
    <n v="106.43"/>
    <n v="1564.29"/>
    <n v="20"/>
    <n v="31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6"/>
    <x v="11"/>
    <s v="Monsieur"/>
    <s v="MARLOUP"/>
    <s v="Paul"/>
    <s v="FIDJI"/>
    <s v="Marc"/>
    <s v="24, rue Lafayette"/>
    <n v="21300"/>
    <s v="CHENOVE"/>
    <n v="380456545"/>
    <n v="646456"/>
    <n v="66546456"/>
    <x v="0"/>
    <n v="52.131300000000003"/>
    <n v="2621.14"/>
    <n v="2184.29"/>
    <n v="436.86"/>
    <s v="1-Mousse Directe"/>
    <n v="500"/>
    <n v="214.29"/>
    <n v="714.29"/>
    <n v="30"/>
    <n v="15"/>
    <n v="98"/>
    <n v="1470"/>
    <n v="1684.29"/>
    <n v="112.29"/>
    <n v="2184.29"/>
    <n v="20"/>
    <n v="436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  <r>
    <n v="97"/>
    <x v="13"/>
    <s v="SAS"/>
    <s v="CARROSSERIE DE LA GARE"/>
    <m/>
    <s v="DETRASSE"/>
    <s v="Philippe"/>
    <s v="56, rue de La Gare"/>
    <n v="25000"/>
    <s v="BESANCON"/>
    <s v="03 85 45 6 587"/>
    <n v="1254"/>
    <n v="654646"/>
    <x v="0"/>
    <n v="1564646"/>
    <n v="3497.14"/>
    <n v="2914.29"/>
    <n v="582.86"/>
    <s v="1-Mousse Directe"/>
    <n v="1200"/>
    <n v="514.29"/>
    <n v="1714.29"/>
    <n v="30"/>
    <n v="15"/>
    <n v="80"/>
    <n v="1200"/>
    <n v="1714.29"/>
    <n v="114.29"/>
    <n v="2914.29"/>
    <n v="20"/>
    <n v="582.86"/>
    <s v="2-Mousse commer."/>
    <n v="0"/>
    <n v="0"/>
    <n v="0"/>
    <n v="0"/>
    <n v="0"/>
    <n v="0"/>
    <n v="0"/>
    <n v="0"/>
    <n v="0"/>
    <n v="0"/>
    <n v="20"/>
    <n v="0"/>
    <s v="3-Chape directe"/>
    <n v="0"/>
    <n v="0"/>
    <n v="0"/>
    <n v="0"/>
    <n v="0"/>
    <n v="0"/>
    <n v="0"/>
    <n v="0"/>
    <n v="0"/>
    <n v="0"/>
    <n v="20"/>
    <n v="0"/>
    <s v="4-Chape Commer."/>
    <n v="0"/>
    <n v="0"/>
    <n v="0"/>
    <n v="0"/>
    <n v="0"/>
    <n v="0"/>
    <n v="0"/>
    <n v="0"/>
    <n v="0"/>
    <n v="0"/>
    <n v="20"/>
    <n v="0"/>
    <s v="5-DUOVAC directe"/>
    <n v="0"/>
    <n v="0"/>
    <n v="0"/>
    <n v="0"/>
    <n v="0"/>
    <n v="0"/>
    <n v="0"/>
    <n v="0"/>
    <n v="0"/>
    <n v="0"/>
    <n v="20"/>
    <n v="0"/>
    <s v="6-DUOVAC Commer."/>
    <n v="0"/>
    <n v="0"/>
    <n v="0"/>
    <n v="0"/>
    <n v="0"/>
    <n v="0"/>
    <n v="0"/>
    <n v="0"/>
    <n v="0"/>
    <n v="0"/>
    <n v="20"/>
    <n v="0"/>
    <s v="7-Carrelage Directe"/>
    <n v="0"/>
    <n v="0"/>
    <n v="0"/>
    <n v="0"/>
    <n v="0"/>
    <n v="0"/>
    <n v="0"/>
    <n v="0"/>
    <n v="0"/>
    <n v="0"/>
    <n v="20"/>
    <n v="0"/>
    <s v="8-Etude Thermique Directe"/>
    <n v="0"/>
    <n v="0"/>
    <n v="0"/>
    <n v="0"/>
    <n v="0"/>
    <n v="0"/>
    <n v="0"/>
    <n v="0"/>
    <n v="0"/>
    <n v="0"/>
    <n v="20"/>
    <n v="0"/>
    <s v="9-Chaudière Commer."/>
    <n v="0"/>
    <n v="0"/>
    <n v="0"/>
    <n v="0"/>
    <n v="0"/>
    <n v="0"/>
    <n v="0"/>
    <n v="0"/>
    <n v="0"/>
    <n v="0"/>
    <n v="20"/>
    <n v="0"/>
    <s v="10-Chaudière Directe"/>
    <n v="0"/>
    <n v="0"/>
    <n v="0"/>
    <n v="0"/>
    <n v="0"/>
    <n v="0"/>
    <n v="0"/>
    <n v="0"/>
    <n v="0"/>
    <n v="0"/>
    <n v="20"/>
    <n v="0"/>
    <s v="11-Réparation Plomberie"/>
    <n v="0"/>
    <n v="0"/>
    <n v="0"/>
    <n v="0"/>
    <n v="0"/>
    <n v="0"/>
    <n v="0"/>
    <n v="0"/>
    <n v="0"/>
    <n v="0"/>
    <n v="20"/>
    <n v="0"/>
    <s v="12-Carrelage Commer."/>
    <n v="0"/>
    <n v="0"/>
    <n v="0"/>
    <n v="0"/>
    <n v="0"/>
    <n v="0"/>
    <n v="0"/>
    <n v="0"/>
    <n v="0"/>
    <n v="0"/>
    <n v="20"/>
    <n v="0"/>
    <s v="13-Activité 13"/>
    <n v="0"/>
    <n v="0"/>
    <n v="0"/>
    <n v="0"/>
    <n v="0"/>
    <n v="0"/>
    <n v="0"/>
    <n v="0"/>
    <n v="0"/>
    <n v="0"/>
    <n v="20"/>
    <n v="0"/>
    <s v="14-Activité 14"/>
    <n v="0"/>
    <n v="0"/>
    <n v="0"/>
    <n v="0"/>
    <n v="0"/>
    <n v="0"/>
    <n v="0"/>
    <n v="0"/>
    <n v="0"/>
    <n v="0"/>
    <n v="2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4FFDF8-13E1-403F-9B8B-2E4489A375CA}" name="Tableau croisé dynamique3" cacheId="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A3:O60" firstHeaderRow="0" firstDataRow="1" firstDataCol="1"/>
  <pivotFields count="17">
    <pivotField axis="axisRow" numFmtId="169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dataField="1" numFmtId="166"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0"/>
  </rowFields>
  <rowItems count="57">
    <i>
      <x/>
    </i>
    <i r="1">
      <x v="120"/>
    </i>
    <i r="1">
      <x v="151"/>
    </i>
    <i r="1">
      <x v="181"/>
    </i>
    <i>
      <x v="1"/>
    </i>
    <i r="1">
      <x v="120"/>
    </i>
    <i r="1">
      <x v="151"/>
    </i>
    <i r="1">
      <x v="181"/>
    </i>
    <i>
      <x v="2"/>
    </i>
    <i r="1">
      <x v="120"/>
    </i>
    <i r="1">
      <x v="151"/>
    </i>
    <i r="1">
      <x v="181"/>
    </i>
    <i>
      <x v="3"/>
    </i>
    <i r="1">
      <x v="120"/>
    </i>
    <i r="1">
      <x v="151"/>
    </i>
    <i r="1">
      <x v="181"/>
    </i>
    <i>
      <x v="4"/>
    </i>
    <i r="1">
      <x v="120"/>
    </i>
    <i r="1">
      <x v="151"/>
    </i>
    <i r="1">
      <x v="181"/>
    </i>
    <i>
      <x v="5"/>
    </i>
    <i r="1">
      <x v="120"/>
    </i>
    <i r="1">
      <x v="151"/>
    </i>
    <i r="1">
      <x v="181"/>
    </i>
    <i>
      <x v="6"/>
    </i>
    <i r="1">
      <x v="120"/>
    </i>
    <i r="1">
      <x v="151"/>
    </i>
    <i r="1">
      <x v="181"/>
    </i>
    <i>
      <x v="7"/>
    </i>
    <i r="1">
      <x v="120"/>
    </i>
    <i r="1">
      <x v="151"/>
    </i>
    <i r="1">
      <x v="181"/>
    </i>
    <i>
      <x v="8"/>
    </i>
    <i r="1">
      <x v="120"/>
    </i>
    <i r="1">
      <x v="151"/>
    </i>
    <i r="1">
      <x v="181"/>
    </i>
    <i>
      <x v="9"/>
    </i>
    <i r="1">
      <x v="120"/>
    </i>
    <i r="1">
      <x v="151"/>
    </i>
    <i r="1">
      <x v="181"/>
    </i>
    <i>
      <x v="10"/>
    </i>
    <i r="1">
      <x v="120"/>
    </i>
    <i r="1">
      <x v="151"/>
    </i>
    <i r="1">
      <x v="181"/>
    </i>
    <i>
      <x v="11"/>
    </i>
    <i r="1">
      <x v="120"/>
    </i>
    <i r="1">
      <x v="151"/>
    </i>
    <i r="1">
      <x v="181"/>
    </i>
    <i>
      <x v="12"/>
    </i>
    <i r="1">
      <x v="120"/>
    </i>
    <i r="1">
      <x v="151"/>
    </i>
    <i r="1">
      <x v="181"/>
    </i>
    <i>
      <x v="13"/>
    </i>
    <i r="1">
      <x v="120"/>
    </i>
    <i r="1">
      <x v="151"/>
    </i>
    <i r="1">
      <x v="181"/>
    </i>
    <i t="grand">
      <x/>
    </i>
  </rowItems>
  <colFields count="1">
    <field x="-2"/>
  </colFields>
  <colItems count="1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</colItems>
  <dataFields count="14">
    <dataField name=" Frais fixes" fld="2" baseField="1" baseItem="0"/>
    <dataField name=" Frais variables" fld="3" baseField="1" baseItem="0"/>
    <dataField name=" Crédits bails" fld="4" baseField="1" baseItem="0"/>
    <dataField name=" Agents commerciaux" fld="5" baseField="1" baseItem="0"/>
    <dataField name=" Frais commerciaux" fld="6" baseField="1" baseItem="0"/>
    <dataField name=" Sous-traitance MO" fld="7" baseField="1" baseItem="0"/>
    <dataField name=" Intérimaires" fld="8" baseField="1" baseItem="0"/>
    <dataField name="Dotations" fld="9" baseField="1" baseItem="0"/>
    <dataField name=" Productifs" fld="10" baseField="1" baseItem="0"/>
    <dataField name=" Administratifs et autres" fld="11" baseField="1" baseItem="0"/>
    <dataField name=" Salaires commerciaux" fld="12" baseField="1" baseItem="0"/>
    <dataField name=" Autres charges du personnel" fld="13" baseField="1" baseItem="0"/>
    <dataField name=" Frais financiers" fld="14" baseField="1" baseItem="0"/>
    <dataField name=" Charges exceptionnelles" fld="15" baseField="1" baseItem="0"/>
  </dataFields>
  <formats count="2">
    <format dxfId="58">
      <pivotArea outline="0" collapsedLevelsAreSubtotals="1" fieldPosition="0"/>
    </format>
    <format dxfId="59">
      <pivotArea dataOnly="0" labelOnly="1" outline="0" fieldPosition="0">
        <references count="1">
          <reference field="4294967294" count="1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</reference>
        </references>
      </pivotArea>
    </format>
  </formats>
  <pivotTableStyleInfo name="PivotStyleMedium5" showRowHeaders="1" showColHeaders="1" showRowStripes="0" showColStripes="0" showLastColumn="1"/>
  <filters count="1">
    <filter fld="0" type="dateBetween" evalOrder="-1" id="61" name="Mois">
      <autoFilter ref="A1">
        <filterColumn colId="0">
          <customFilters and="1">
            <customFilter operator="greaterThanOrEqual" val="43101"/>
            <customFilter operator="lessThanOrEqual" val="4328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032F4E-486F-482D-BE53-A2EC60889F76}" name="Tableau croisé dynamique2" cacheId="2" dataPosition="0" applyNumberFormats="0" applyBorderFormats="0" applyFontFormats="0" applyPatternFormats="0" applyAlignmentFormats="0" applyWidthHeightFormats="1" dataCaption="Valeurs" updatedVersion="6" minRefreshableVersion="5" itemPrintTitles="1" createdVersion="6" indent="0" outline="1" outlineData="1" multipleFieldFilters="0">
  <location ref="A3:CV8" firstHeaderRow="0" firstDataRow="1" firstDataCol="1"/>
  <pivotFields count="200"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4" showAll="0">
      <items count="15">
        <item x="0"/>
        <item x="1"/>
        <item x="10"/>
        <item x="2"/>
        <item x="3"/>
        <item x="4"/>
        <item x="9"/>
        <item x="5"/>
        <item x="6"/>
        <item x="7"/>
        <item x="8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8">
        <item x="2"/>
        <item h="1" m="1" x="6"/>
        <item h="1" m="1" x="5"/>
        <item h="1" x="1"/>
        <item x="0"/>
        <item x="4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  <pivotField numFmtId="166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3"/>
  </rowFields>
  <rowItems count="5">
    <i>
      <x/>
    </i>
    <i>
      <x v="4"/>
    </i>
    <i>
      <x v="5"/>
    </i>
    <i>
      <x v="6"/>
    </i>
    <i t="grand">
      <x/>
    </i>
  </rowItems>
  <colFields count="1">
    <field x="-2"/>
  </colFields>
  <colItems count="9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  <i i="65">
      <x v="65"/>
    </i>
    <i i="66">
      <x v="66"/>
    </i>
    <i i="67">
      <x v="67"/>
    </i>
    <i i="68">
      <x v="68"/>
    </i>
    <i i="69">
      <x v="69"/>
    </i>
    <i i="70">
      <x v="70"/>
    </i>
    <i i="71">
      <x v="71"/>
    </i>
    <i i="72">
      <x v="72"/>
    </i>
    <i i="73">
      <x v="73"/>
    </i>
    <i i="74">
      <x v="74"/>
    </i>
    <i i="75">
      <x v="75"/>
    </i>
    <i i="76">
      <x v="76"/>
    </i>
    <i i="77">
      <x v="77"/>
    </i>
    <i i="78">
      <x v="78"/>
    </i>
    <i i="79">
      <x v="79"/>
    </i>
    <i i="80">
      <x v="80"/>
    </i>
    <i i="81">
      <x v="81"/>
    </i>
    <i i="82">
      <x v="82"/>
    </i>
    <i i="83">
      <x v="83"/>
    </i>
    <i i="84">
      <x v="84"/>
    </i>
    <i i="85">
      <x v="85"/>
    </i>
    <i i="86">
      <x v="86"/>
    </i>
    <i i="87">
      <x v="87"/>
    </i>
    <i i="88">
      <x v="88"/>
    </i>
    <i i="89">
      <x v="89"/>
    </i>
    <i i="90">
      <x v="90"/>
    </i>
    <i i="91">
      <x v="91"/>
    </i>
    <i i="92">
      <x v="92"/>
    </i>
    <i i="93">
      <x v="93"/>
    </i>
    <i i="94">
      <x v="94"/>
    </i>
    <i i="95">
      <x v="95"/>
    </i>
    <i i="96">
      <x v="96"/>
    </i>
    <i i="97">
      <x v="97"/>
    </i>
    <i i="98">
      <x v="98"/>
    </i>
  </colItems>
  <dataFields count="99">
    <dataField name="Total HT" fld="16" baseField="13" baseItem="0"/>
    <dataField name="Hors taxes 1" fld="28" baseField="13" baseItem="0"/>
    <dataField name=" Prix Vente MO1" fld="25" baseField="13" baseItem="0"/>
    <dataField name=" Heures1" fld="23" baseField="0" baseItem="0"/>
    <dataField name=" Prix Vente Matière1" fld="21" baseField="13" baseItem="0"/>
    <dataField name=" PA Matière1" fld="19" baseField="13" baseItem="0"/>
    <dataField name="Somme de Marge Matière1" fld="20" baseField="0" baseItem="0"/>
    <dataField name="Somme de Marge Brute1" fld="26" baseField="0" baseItem="0"/>
    <dataField name="Somme de Hors Taxes2" fld="41" baseField="0" baseItem="0"/>
    <dataField name="Somme de Prix Vente MO2" fld="38" baseField="0" baseItem="0"/>
    <dataField name="Somme de Heures2" fld="36" baseField="0" baseItem="0"/>
    <dataField name="Somme de Prix Vente Matière2" fld="34" baseField="0" baseItem="0"/>
    <dataField name="Somme de PA Matière2" fld="32" baseField="0" baseItem="0"/>
    <dataField name="Somme de Marge Matière2" fld="33" baseField="0" baseItem="0"/>
    <dataField name="Somme de Marge Brute2" fld="39" baseField="0" baseItem="0"/>
    <dataField name="Somme de Hors Taxes3" fld="54" baseField="0" baseItem="0"/>
    <dataField name="Somme de Prix Vente MO3" fld="51" baseField="0" baseItem="0"/>
    <dataField name="Somme de Heures3" fld="49" baseField="0" baseItem="0"/>
    <dataField name="Somme de Prix Vente Matière3" fld="47" baseField="0" baseItem="0"/>
    <dataField name="Somme de PA Matière3" fld="45" baseField="0" baseItem="0"/>
    <dataField name="Somme de Marge Matière3" fld="46" baseField="0" baseItem="0"/>
    <dataField name="Somme de Marge Brute3" fld="52" baseField="0" baseItem="0"/>
    <dataField name="Somme de Hors Taxes4" fld="67" baseField="0" baseItem="0"/>
    <dataField name="Somme de Prix Vente MO4" fld="64" baseField="0" baseItem="0"/>
    <dataField name="Somme de Heures4" fld="62" baseField="0" baseItem="0"/>
    <dataField name="Somme de Prix Vente Matière4" fld="60" baseField="0" baseItem="0"/>
    <dataField name="Somme de PA Matière4" fld="58" baseField="0" baseItem="0"/>
    <dataField name="Somme de Marge Matière4" fld="59" baseField="0" baseItem="0"/>
    <dataField name="Somme de Marge Brute4" fld="65" baseField="0" baseItem="0"/>
    <dataField name="Somme de Hors Taxes5" fld="80" baseField="0" baseItem="0"/>
    <dataField name="Somme de Prix Vente MO5" fld="77" baseField="0" baseItem="0"/>
    <dataField name="Somme de Heures5" fld="75" baseField="0" baseItem="0"/>
    <dataField name="Somme de Prix Vente Matière5" fld="73" baseField="0" baseItem="0"/>
    <dataField name="Somme de PA Matière5" fld="71" baseField="0" baseItem="0"/>
    <dataField name="Somme de Marge Matière5" fld="72" baseField="0" baseItem="0"/>
    <dataField name="Somme de Marge Brute5" fld="78" baseField="0" baseItem="0"/>
    <dataField name="Somme de Hors Taxes6" fld="93" baseField="0" baseItem="0"/>
    <dataField name="Somme de Prix Vente MO6" fld="90" baseField="0" baseItem="0"/>
    <dataField name="Somme de Heures6" fld="88" baseField="0" baseItem="0"/>
    <dataField name="Somme de Prix Vente Matière6" fld="86" baseField="0" baseItem="0"/>
    <dataField name="Somme de PA Matière6" fld="84" baseField="0" baseItem="0"/>
    <dataField name="Somme de Marge Matière6" fld="85" baseField="0" baseItem="0"/>
    <dataField name="Somme de Marge Brute6" fld="91" baseField="0" baseItem="0"/>
    <dataField name="Somme de Hors Taxes7" fld="106" baseField="0" baseItem="0"/>
    <dataField name="Somme de Prix Vente MO7" fld="103" baseField="0" baseItem="0"/>
    <dataField name="Somme de Heures7" fld="101" baseField="0" baseItem="0"/>
    <dataField name="Somme de Prix Vente Matière7" fld="99" baseField="0" baseItem="0"/>
    <dataField name="Somme de PA Matière7" fld="97" baseField="0" baseItem="0"/>
    <dataField name="Somme de Marge Matière7" fld="98" baseField="0" baseItem="0"/>
    <dataField name="Somme de Marge Brute7" fld="104" baseField="0" baseItem="0"/>
    <dataField name="Somme de Hors Taxes8" fld="119" baseField="0" baseItem="0"/>
    <dataField name="Somme de Prix Vente MO8" fld="116" baseField="0" baseItem="0"/>
    <dataField name="Somme de Heures8" fld="114" baseField="0" baseItem="0"/>
    <dataField name="Somme de Prix Vente Matière8" fld="112" baseField="0" baseItem="0"/>
    <dataField name="Somme de PA Matière8" fld="110" baseField="0" baseItem="0"/>
    <dataField name="Somme de Marge Matière8" fld="111" baseField="0" baseItem="0"/>
    <dataField name="Somme de Marge Brute8" fld="117" baseField="0" baseItem="0"/>
    <dataField name="Somme de Hors Taxes9" fld="132" baseField="0" baseItem="0"/>
    <dataField name="Somme de Prix Vente MO9" fld="129" baseField="0" baseItem="0"/>
    <dataField name="Somme de Heures9" fld="127" baseField="0" baseItem="0"/>
    <dataField name="Somme de Prix Vente Matière9" fld="125" baseField="0" baseItem="0"/>
    <dataField name="Somme de PA Matière9" fld="123" baseField="0" baseItem="0"/>
    <dataField name="Somme de Marge Matière9" fld="124" baseField="0" baseItem="0"/>
    <dataField name="Somme de Marge Brute9" fld="130" baseField="0" baseItem="0"/>
    <dataField name="Somme de Hors Taxes10" fld="145" baseField="0" baseItem="0"/>
    <dataField name="Somme de Prix Vente MO10" fld="142" baseField="0" baseItem="0"/>
    <dataField name="Somme de Heures10" fld="140" baseField="0" baseItem="0"/>
    <dataField name="Somme de Prix Vente Matière10" fld="138" baseField="0" baseItem="0"/>
    <dataField name="Somme de PA Matière10" fld="136" baseField="0" baseItem="0"/>
    <dataField name="Somme de Marge Matière10" fld="137" baseField="0" baseItem="0"/>
    <dataField name="Somme de Marge Brute10" fld="143" baseField="0" baseItem="0"/>
    <dataField name="Somme de Hors Taxes11" fld="158" baseField="0" baseItem="0"/>
    <dataField name="Somme de Prix Vente MO11" fld="155" baseField="0" baseItem="0"/>
    <dataField name="Somme de Heures11" fld="153" baseField="0" baseItem="0"/>
    <dataField name="Somme de Prix Vente Matière11" fld="151" baseField="0" baseItem="0"/>
    <dataField name="Somme de PA Matière11" fld="149" baseField="0" baseItem="0"/>
    <dataField name="Somme de Marge Matière11" fld="150" baseField="0" baseItem="0"/>
    <dataField name="Somme de Marge Brute11" fld="156" baseField="0" baseItem="0"/>
    <dataField name="Somme de Hors Taxes12" fld="171" baseField="0" baseItem="0"/>
    <dataField name="Somme de Prix Vente MO12" fld="168" baseField="0" baseItem="0"/>
    <dataField name="Somme de Heures12" fld="166" baseField="0" baseItem="0"/>
    <dataField name="Somme de Prix Vente Matière12" fld="164" baseField="0" baseItem="0"/>
    <dataField name="Somme de PA Matière12" fld="162" baseField="0" baseItem="0"/>
    <dataField name="Somme de Marge Matière12" fld="163" baseField="0" baseItem="0"/>
    <dataField name="Somme de Marge Brute12" fld="169" baseField="0" baseItem="0"/>
    <dataField name="Somme de Hors Taxes13" fld="184" baseField="0" baseItem="0"/>
    <dataField name="Somme de Prix Vente MO13" fld="181" baseField="0" baseItem="0"/>
    <dataField name="Somme de Heures13" fld="179" baseField="0" baseItem="0"/>
    <dataField name="Somme de Prix Vente Matière13" fld="177" baseField="0" baseItem="0"/>
    <dataField name="Somme de PA Matière13" fld="175" baseField="0" baseItem="0"/>
    <dataField name="Somme de Marge Matière13" fld="176" baseField="0" baseItem="0"/>
    <dataField name="Somme de Marge Brute13" fld="182" baseField="0" baseItem="0"/>
    <dataField name="Somme de Hors Taxes14" fld="197" baseField="0" baseItem="0"/>
    <dataField name="Somme de Prix Vente MO14" fld="194" baseField="0" baseItem="0"/>
    <dataField name="Somme de Heures14" fld="192" baseField="0" baseItem="0"/>
    <dataField name="Somme de Prix Vente Matière14" fld="190" baseField="0" baseItem="0"/>
    <dataField name="Somme de PA Matière14" fld="188" baseField="0" baseItem="0"/>
    <dataField name="Somme de Marge Matière14" fld="189" baseField="0" baseItem="0"/>
    <dataField name="Somme de Marge Brute14" fld="195" baseField="0" baseItem="0"/>
  </dataFields>
  <formats count="10">
    <format dxfId="403">
      <pivotArea field="13" type="button" dataOnly="0" labelOnly="1" outline="0" axis="axisRow" fieldPosition="0"/>
    </format>
    <format dxfId="404">
      <pivotArea dataOnly="0" labelOnly="1" outline="0" fieldPosition="0">
        <references count="1">
          <reference field="4294967294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05">
      <pivotArea dataOnly="0" labelOnly="1" outline="0" fieldPosition="0">
        <references count="1">
          <reference field="4294967294" count="48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90"/>
            <x v="91"/>
            <x v="92"/>
            <x v="93"/>
            <x v="94"/>
            <x v="95"/>
            <x v="96"/>
            <x v="97"/>
            <x v="98"/>
          </reference>
        </references>
      </pivotArea>
    </format>
    <format dxfId="406">
      <pivotArea field="13" type="button" dataOnly="0" labelOnly="1" outline="0" axis="axisRow" fieldPosition="0"/>
    </format>
    <format dxfId="407">
      <pivotArea dataOnly="0" labelOnly="1" outline="0" fieldPosition="0">
        <references count="1">
          <reference field="4294967294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08">
      <pivotArea dataOnly="0" labelOnly="1" outline="0" fieldPosition="0">
        <references count="1">
          <reference field="4294967294" count="48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90"/>
            <x v="91"/>
            <x v="92"/>
            <x v="93"/>
            <x v="94"/>
            <x v="95"/>
            <x v="96"/>
            <x v="97"/>
            <x v="98"/>
          </reference>
        </references>
      </pivotArea>
    </format>
    <format dxfId="409">
      <pivotArea field="13" type="button" dataOnly="0" labelOnly="1" outline="0" axis="axisRow" fieldPosition="0"/>
    </format>
    <format dxfId="410">
      <pivotArea dataOnly="0" labelOnly="1" outline="0" fieldPosition="0">
        <references count="1">
          <reference field="4294967294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411">
      <pivotArea dataOnly="0" labelOnly="1" outline="0" fieldPosition="0">
        <references count="1">
          <reference field="4294967294" count="48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90"/>
            <x v="91"/>
            <x v="92"/>
            <x v="93"/>
            <x v="94"/>
            <x v="95"/>
            <x v="96"/>
            <x v="97"/>
            <x v="98"/>
          </reference>
        </references>
      </pivotArea>
    </format>
    <format dxfId="412">
      <pivotArea dataOnly="0" labelOnly="1" outline="0" fieldPosition="0">
        <references count="1">
          <reference field="4294967294" count="1">
            <x v="89"/>
          </reference>
        </references>
      </pivotArea>
    </format>
  </formats>
  <pivotTableStyleInfo name="PivotStyleLight17" showRowHeaders="1" showColHeaders="1" showRowStripes="0" showColStripes="0" showLastColumn="1"/>
  <filters count="1">
    <filter fld="1" type="dateBetween" evalOrder="-1" id="256" name="Date">
      <autoFilter ref="A1">
        <filterColumn colId="0">
          <customFilters and="1">
            <customFilter operator="greaterThanOrEqual" val="43101"/>
            <customFilter operator="lessThanOrEqual" val="4331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oc" xr10:uid="{BA02217B-C29C-4C59-9D2F-C05672F578EA}" sourceName="Type Doc">
  <data>
    <tabular pivotCacheId="798897167">
      <items count="7">
        <i x="2" s="1"/>
        <i x="6"/>
        <i x="5"/>
        <i x="1"/>
        <i x="0" s="1"/>
        <i x="4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oc1" xr10:uid="{10792756-77C6-4AE9-A9E9-BB3586F8E799}" sourceName="Type Doc">
  <pivotTables>
    <pivotTable tabId="2" name="Tableau croisé dynamique2"/>
  </pivotTables>
  <data>
    <tabular pivotCacheId="798897167">
      <items count="7">
        <i x="2" s="1"/>
        <i x="1"/>
        <i x="0" s="1"/>
        <i x="4" s="1"/>
        <i x="3" s="1"/>
        <i x="6" nd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Doc 1" xr10:uid="{71589881-879E-4385-B5D5-6AE71402F156}" cache="Segment_Type_Doc" caption="Type de documents à prendre en compte" columnCount="3" style="SlicerStyleDark3" rowHeight="241300"/>
  <slicer name="Type Doc 2" xr10:uid="{1E7BD6CD-F41F-470A-8AFC-56B63F390E66}" cache="Segment_Type_Doc" caption="Type de documents à prendre en compte" columnCount="3" style="SlicerStyleDark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Doc" xr10:uid="{D9BA2907-E880-4BD3-A9A8-EF83A9959FCC}" cache="Segment_Type_Doc1" caption="Type Doc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5DEF35-6646-425D-A89C-1CEF9F2A0113}" name="TDATA_DOC" displayName="TDATA_DOC" ref="A1:GR97" totalsRowShown="0" headerRowDxfId="402">
  <tableColumns count="200">
    <tableColumn id="1" xr3:uid="{1BF54505-8703-43F7-9F83-A07663C02137}" name="Index"/>
    <tableColumn id="2" xr3:uid="{9B535A3F-DFB0-4887-B648-7646BD754888}" name="Date" dataDxfId="400" totalsRowDxfId="401"/>
    <tableColumn id="3" xr3:uid="{D9C4A854-C063-4D1B-9D18-26CCEBF68BC2}" name="Statut"/>
    <tableColumn id="4" xr3:uid="{57A2C702-0C1C-4746-8ADD-9A2FBD835F75}" name="Nom client"/>
    <tableColumn id="5" xr3:uid="{042C95BF-0822-49D7-AD38-C1EC92E9797C}" name="Prénom"/>
    <tableColumn id="6" xr3:uid="{65752508-4974-4CB2-BBE0-9B452A984086}" name="Nom Représentant"/>
    <tableColumn id="7" xr3:uid="{DC662665-763A-42DE-BD83-9EC144E61FC0}" name="Prénom Respresentant"/>
    <tableColumn id="8" xr3:uid="{C909A3FA-D17A-4855-9A12-3A0A672D79FE}" name="Adresse"/>
    <tableColumn id="9" xr3:uid="{BE49AD6C-9428-462F-8ADB-DD88C6A32F31}" name="Code Postal" dataDxfId="398" totalsRowDxfId="399"/>
    <tableColumn id="10" xr3:uid="{C472A8A2-7BFA-4298-A234-737271C2A1A7}" name="Ville"/>
    <tableColumn id="11" xr3:uid="{3BDFCAB3-9180-4B56-9E0C-86ACD5566B06}" name="Tel" dataDxfId="396" totalsRowDxfId="397"/>
    <tableColumn id="12" xr3:uid="{31BE2D08-5A49-4F98-B4EB-A16E5294919E}" name="N° Affaire"/>
    <tableColumn id="13" xr3:uid="{174D31CC-25C3-423C-8FC2-6FCB00234606}" name="Ref Affaire"/>
    <tableColumn id="14" xr3:uid="{D530ECCD-1C2A-4104-9EBC-96728DF66701}" name="Type Doc"/>
    <tableColumn id="15" xr3:uid="{7640314E-0FE6-4D10-BB88-420E8892920F}" name="Numéro Doc"/>
    <tableColumn id="16" xr3:uid="{740E0DCE-1A44-440D-97FD-D1AC4186FE78}" name="TTC"/>
    <tableColumn id="17" xr3:uid="{3E770B5D-D0F9-4D13-82BC-EEB96D50F2B6}" name="HT"/>
    <tableColumn id="18" xr3:uid="{1DF6C083-721A-46B5-9D8A-3474E269BC6D}" name="TVA"/>
    <tableColumn id="19" xr3:uid="{6FC3692A-A7BA-42C5-9009-70CE45594A98}" name="Activité 1"/>
    <tableColumn id="20" xr3:uid="{AC8FD38E-6F70-4903-81BB-ECEC27088E00}" name="PA Matière1" dataDxfId="394" totalsRowDxfId="395"/>
    <tableColumn id="21" xr3:uid="{8D34A9F0-C4AA-49EE-8799-22B7AE1E7F83}" name="Marge Matière1" dataDxfId="392" totalsRowDxfId="393"/>
    <tableColumn id="22" xr3:uid="{3DEF5F6C-D8E5-469F-95F8-369A4529DFC7}" name="Prix Vente Matière1" dataDxfId="390" totalsRowDxfId="391"/>
    <tableColumn id="23" xr3:uid="{6C70CD88-F0CD-469E-AFEB-549FAD1A0107}" name="% Marge Matière1" dataDxfId="388" totalsRowDxfId="389"/>
    <tableColumn id="24" xr3:uid="{68C33833-B282-4E18-900B-7D8597459AC8}" name="Heures1" dataDxfId="386" totalsRowDxfId="387"/>
    <tableColumn id="25" xr3:uid="{D0914CC8-F498-447B-A05D-AD590C6F9A07}" name="Taux MO1" dataDxfId="384" totalsRowDxfId="385"/>
    <tableColumn id="26" xr3:uid="{2B1A503B-EE9A-43BB-B8AD-DB1ECB4C95C8}" name="Prix Vente MO1" dataDxfId="382" totalsRowDxfId="383"/>
    <tableColumn id="27" xr3:uid="{4984D074-6F02-41C7-954D-609CDBE4EE1A}" name="Marge Brute1" dataDxfId="380" totalsRowDxfId="381"/>
    <tableColumn id="28" xr3:uid="{1F7DF727-F68A-4327-89F7-9AFC7A2AEFAD}" name="Indice Vision1" dataDxfId="378" totalsRowDxfId="379"/>
    <tableColumn id="29" xr3:uid="{23BB6C79-AC5E-4136-86B9-A5D080AEBF28}" name="Hors Taxes1" dataDxfId="376" totalsRowDxfId="377"/>
    <tableColumn id="30" xr3:uid="{9512F7E4-300F-497E-B700-53037905999C}" name="Taux TVA1" dataDxfId="374" totalsRowDxfId="375"/>
    <tableColumn id="31" xr3:uid="{7DDB7C4B-5705-4D8A-8D45-0DA861D84224}" name="TVA1" dataDxfId="372" totalsRowDxfId="373"/>
    <tableColumn id="32" xr3:uid="{2409A362-1E7C-4315-A05C-D2418077E8B1}" name="Activité 2"/>
    <tableColumn id="33" xr3:uid="{E525D43D-D87B-4F28-8398-40D5B8C0A08D}" name="PA Matière2" dataDxfId="370" totalsRowDxfId="371"/>
    <tableColumn id="34" xr3:uid="{C0744166-F17D-4991-8060-1F6822D3C249}" name="Marge Matière2" dataDxfId="368" totalsRowDxfId="369"/>
    <tableColumn id="35" xr3:uid="{5582D814-3CA4-456F-A965-4F0B8F2442D3}" name="Prix Vente Matière2" dataDxfId="366" totalsRowDxfId="367"/>
    <tableColumn id="36" xr3:uid="{64488A38-7314-4073-B0D3-26E4B959D3E2}" name="% Marge Matière2" dataDxfId="364" totalsRowDxfId="365"/>
    <tableColumn id="37" xr3:uid="{DAC3F549-AA37-4FC5-ACFF-38B57631577F}" name="Heures2" dataDxfId="362" totalsRowDxfId="363"/>
    <tableColumn id="38" xr3:uid="{4233D327-85B3-409E-A6CA-C3BEA009FF19}" name="Taux MO2" dataDxfId="360" totalsRowDxfId="361"/>
    <tableColumn id="39" xr3:uid="{7630AA2A-B1A1-424A-AF7F-1D8D05690278}" name="Prix Vente MO2" dataDxfId="358" totalsRowDxfId="359"/>
    <tableColumn id="40" xr3:uid="{19082165-0CFB-4D85-B39E-309FBFACECDA}" name="Marge Brute2" dataDxfId="356" totalsRowDxfId="357"/>
    <tableColumn id="41" xr3:uid="{083F6FDB-7963-4D10-82A7-CF4F67AE6897}" name="Indice Vision2" dataDxfId="354" totalsRowDxfId="355"/>
    <tableColumn id="42" xr3:uid="{DD4832F7-B216-40FA-BA32-E48814E269B8}" name="Hors Taxes2" dataDxfId="352" totalsRowDxfId="353"/>
    <tableColumn id="43" xr3:uid="{59A30184-0B92-4B22-AFEC-3ABA9A4FEC53}" name="Taux TVA2" dataDxfId="350" totalsRowDxfId="351"/>
    <tableColumn id="44" xr3:uid="{DA884F92-DE75-40CA-91C6-740D60A64AF2}" name="TVA2" dataDxfId="348" totalsRowDxfId="349"/>
    <tableColumn id="45" xr3:uid="{0315C3F9-0502-42E1-B21D-AB957100B3B1}" name="Activité 3"/>
    <tableColumn id="46" xr3:uid="{4964E5A6-7B6E-44F8-9880-10BE82EDCC83}" name="PA Matière3" dataDxfId="346" totalsRowDxfId="347"/>
    <tableColumn id="47" xr3:uid="{ED9A5772-C784-4D95-BB1A-E544E9483D88}" name="Marge Matière3" dataDxfId="344" totalsRowDxfId="345"/>
    <tableColumn id="48" xr3:uid="{8A7A5516-E121-4A49-A28E-4940D920F918}" name="Prix Vente Matière3" dataDxfId="342" totalsRowDxfId="343"/>
    <tableColumn id="49" xr3:uid="{165CB541-FCE0-480A-AB52-96F506EB1510}" name="% Marge Matière3" dataDxfId="340" totalsRowDxfId="341"/>
    <tableColumn id="50" xr3:uid="{EFCB3D79-6B00-4585-89DB-20DBAE2BAABB}" name="Heures3" dataDxfId="338" totalsRowDxfId="339"/>
    <tableColumn id="51" xr3:uid="{5FCAA238-15CA-417A-B658-0925F7E431D8}" name="Taux MO3" dataDxfId="336" totalsRowDxfId="337"/>
    <tableColumn id="52" xr3:uid="{7495D59E-1C4A-43E3-83AF-D004A412D6E4}" name="Prix Vente MO3" dataDxfId="334" totalsRowDxfId="335"/>
    <tableColumn id="53" xr3:uid="{29380F00-83DE-428A-ADDC-6B9155159087}" name="Marge Brute3" dataDxfId="332" totalsRowDxfId="333"/>
    <tableColumn id="54" xr3:uid="{6B3C33E6-A832-46E8-906E-3FED26024008}" name="Indice Vision3" dataDxfId="330" totalsRowDxfId="331"/>
    <tableColumn id="55" xr3:uid="{F1716BD2-83F3-4797-B9C7-BC814072C9BA}" name="Hors Taxes3" dataDxfId="328" totalsRowDxfId="329"/>
    <tableColumn id="56" xr3:uid="{600DCF1B-76FC-499E-AF9A-66D1DE04FEC7}" name="Taux TVA3" dataDxfId="326" totalsRowDxfId="327"/>
    <tableColumn id="57" xr3:uid="{54D7DC50-8DE2-4545-A47C-FAE227040B3E}" name="TVA3" dataDxfId="324" totalsRowDxfId="325"/>
    <tableColumn id="58" xr3:uid="{9DB104FE-5BE9-4ACA-BEC8-7AC86B8F0E7A}" name="Activité 4"/>
    <tableColumn id="59" xr3:uid="{D9A00243-0505-4C5F-B5C1-63AD7B3A682F}" name="PA Matière4" dataDxfId="322" totalsRowDxfId="323"/>
    <tableColumn id="60" xr3:uid="{8D1713C7-4A88-4B55-AE3F-4D30A9AD0D15}" name="Marge Matière4" dataDxfId="320" totalsRowDxfId="321"/>
    <tableColumn id="61" xr3:uid="{63CEC294-7392-466D-954B-A15D278270A0}" name="Prix Vente Matière4" dataDxfId="318" totalsRowDxfId="319"/>
    <tableColumn id="62" xr3:uid="{F0099629-44F2-45AC-814B-27172847389E}" name="% Marge Matière4" dataDxfId="316" totalsRowDxfId="317"/>
    <tableColumn id="63" xr3:uid="{D35D8385-4A26-4AAE-9754-596FAFFC4108}" name="Heures4" dataDxfId="314" totalsRowDxfId="315"/>
    <tableColumn id="64" xr3:uid="{E516999B-51D7-497A-A916-70D815C148FA}" name="Taux MO4" dataDxfId="312" totalsRowDxfId="313"/>
    <tableColumn id="65" xr3:uid="{5191F845-38A0-4667-829B-B007C8D0C432}" name="Prix Vente MO4" dataDxfId="310" totalsRowDxfId="311"/>
    <tableColumn id="66" xr3:uid="{10FC5EC8-0143-474C-B018-D6D3E240B040}" name="Marge Brute4" dataDxfId="308" totalsRowDxfId="309"/>
    <tableColumn id="67" xr3:uid="{C87C48DC-78F8-46E2-9774-05F23DAB3398}" name="Indice Vision4" dataDxfId="306" totalsRowDxfId="307"/>
    <tableColumn id="68" xr3:uid="{66E67FE4-2312-41DC-AB65-75C15AB2790F}" name="Hors Taxes4" dataDxfId="304" totalsRowDxfId="305"/>
    <tableColumn id="69" xr3:uid="{BD8A7798-3307-4199-9ECD-572B611052FE}" name="Taux TVA4" dataDxfId="302" totalsRowDxfId="303"/>
    <tableColumn id="70" xr3:uid="{34A34EDB-A5E3-4357-8B11-F4B05E1D70BB}" name="TVA4" dataDxfId="300" totalsRowDxfId="301"/>
    <tableColumn id="71" xr3:uid="{A457CED0-6C32-4169-B47F-26DEFBA4286C}" name="Activité 5"/>
    <tableColumn id="72" xr3:uid="{F2C23D96-065D-454F-A928-B2CC8CE360EF}" name="PA Matière5" dataDxfId="298" totalsRowDxfId="299"/>
    <tableColumn id="73" xr3:uid="{E85443DE-A911-4E00-AD79-179AC2869338}" name="Marge Matière5" dataDxfId="296" totalsRowDxfId="297"/>
    <tableColumn id="74" xr3:uid="{3E892C3E-CFD3-460B-B23D-C52E65D93CEF}" name="Prix Vente Matière5" dataDxfId="294" totalsRowDxfId="295"/>
    <tableColumn id="75" xr3:uid="{20324BBC-25D2-484D-BCF7-400642915B94}" name="% Marge Matière5" dataDxfId="292" totalsRowDxfId="293"/>
    <tableColumn id="76" xr3:uid="{52042FDB-483E-4C39-BE6A-EF3F8D1DDCCF}" name="Heures5" dataDxfId="290" totalsRowDxfId="291"/>
    <tableColumn id="77" xr3:uid="{078E00A2-00AC-454D-B82A-84C0904F01DF}" name="Taux MO5" dataDxfId="288" totalsRowDxfId="289"/>
    <tableColumn id="78" xr3:uid="{E257F99C-1A91-46D2-9B98-1F4F1CEEE8E2}" name="Prix Vente MO5" dataDxfId="286" totalsRowDxfId="287"/>
    <tableColumn id="79" xr3:uid="{021FB05E-04FC-4936-AD7C-189646EBE56E}" name="Marge Brute5" dataDxfId="284" totalsRowDxfId="285"/>
    <tableColumn id="80" xr3:uid="{7AF43853-4556-476A-AF44-002C3BC914D9}" name="Indice Vision5" dataDxfId="282" totalsRowDxfId="283"/>
    <tableColumn id="81" xr3:uid="{5B6D8027-9408-427A-8162-42AA177F3657}" name="Hors Taxes5" dataDxfId="280" totalsRowDxfId="281"/>
    <tableColumn id="82" xr3:uid="{82285F74-4305-4678-B5EC-645B7700064B}" name="Taux TVA5" dataDxfId="278" totalsRowDxfId="279"/>
    <tableColumn id="83" xr3:uid="{33D58522-2A30-4570-A35B-3CB3C373AEC0}" name="TVA5" dataDxfId="276" totalsRowDxfId="277"/>
    <tableColumn id="84" xr3:uid="{90B9EF3D-B2E5-498D-9F2B-C22A2304B85E}" name="Activité 6"/>
    <tableColumn id="85" xr3:uid="{37B6C9F3-529B-4816-B1CD-851FA0E09E6D}" name="PA Matière6" dataDxfId="274" totalsRowDxfId="275"/>
    <tableColumn id="86" xr3:uid="{ADD73174-24A6-4F8F-A7E9-56BEC11BB1B6}" name="Marge Matière6" dataDxfId="272" totalsRowDxfId="273"/>
    <tableColumn id="87" xr3:uid="{26A2345A-0249-427F-BD7C-43BFF19E713D}" name="Prix Vente Matière6" dataDxfId="270" totalsRowDxfId="271"/>
    <tableColumn id="88" xr3:uid="{1406035B-6251-4F09-A6D8-49DD145643FF}" name="% Marge Matière6" dataDxfId="268" totalsRowDxfId="269"/>
    <tableColumn id="89" xr3:uid="{1F96C8A4-2EDE-46DE-80EE-AB410CC4C222}" name="Heures6" dataDxfId="266" totalsRowDxfId="267"/>
    <tableColumn id="90" xr3:uid="{4B61997A-9ABB-4B16-A23A-400E4956810C}" name="Taux MO6" dataDxfId="264" totalsRowDxfId="265"/>
    <tableColumn id="91" xr3:uid="{280ACF49-4849-4EF8-8C6F-875576F81EC2}" name="Prix Vente MO6" dataDxfId="262" totalsRowDxfId="263"/>
    <tableColumn id="92" xr3:uid="{4F85F1BA-FE3F-4C50-9C3D-6058EB6D65FF}" name="Marge Brute6" dataDxfId="260" totalsRowDxfId="261"/>
    <tableColumn id="93" xr3:uid="{7D56BC64-02CA-4C1B-A331-6368E3C85046}" name="Indice Vision6" dataDxfId="258" totalsRowDxfId="259"/>
    <tableColumn id="94" xr3:uid="{9116CC22-6100-4C59-8473-D189EDE987DB}" name="Hors Taxes6" dataDxfId="256" totalsRowDxfId="257"/>
    <tableColumn id="95" xr3:uid="{5D781760-F944-42E2-85F4-7647534F7AA1}" name="Taux TVA6" dataDxfId="254" totalsRowDxfId="255"/>
    <tableColumn id="96" xr3:uid="{C4A1C3A1-0804-4172-B7B0-F1F299E4A8A8}" name="TVA6" dataDxfId="252" totalsRowDxfId="253"/>
    <tableColumn id="97" xr3:uid="{3C5571D2-963E-481E-88BD-E05D8E7372DD}" name="Activité 7"/>
    <tableColumn id="98" xr3:uid="{692C5DF1-E406-41A7-AA6F-EC813D273803}" name="PA Matière7" dataDxfId="250" totalsRowDxfId="251"/>
    <tableColumn id="99" xr3:uid="{AE63AD5E-5670-4F0E-8F80-FC7F947F9D08}" name="Marge Matière7" dataDxfId="248" totalsRowDxfId="249"/>
    <tableColumn id="100" xr3:uid="{7470E90A-A749-4E04-8779-8BFEC1EFEA4B}" name="Prix Vente Matière7" dataDxfId="246" totalsRowDxfId="247"/>
    <tableColumn id="101" xr3:uid="{D6A307B3-037D-4C8D-88F1-547BCD6C7360}" name="% Marge Matière7" dataDxfId="244" totalsRowDxfId="245"/>
    <tableColumn id="102" xr3:uid="{B821432B-07C6-4DC9-A2A1-1640C14ED9ED}" name="Heures7" dataDxfId="242" totalsRowDxfId="243"/>
    <tableColumn id="103" xr3:uid="{65282850-47C8-4110-A1D3-59E8B413420C}" name="Taux MO7" dataDxfId="240" totalsRowDxfId="241"/>
    <tableColumn id="104" xr3:uid="{D7990B85-3EF8-41D5-8A3C-99E642E9E848}" name="Prix Vente MO7" dataDxfId="238" totalsRowDxfId="239"/>
    <tableColumn id="105" xr3:uid="{0E9CC702-372A-461B-B788-0621F554DE73}" name="Marge Brute7" dataDxfId="236" totalsRowDxfId="237"/>
    <tableColumn id="106" xr3:uid="{4168AF7C-AB99-462C-8C32-A73E8BD00A93}" name="Indice Vision7" dataDxfId="234" totalsRowDxfId="235"/>
    <tableColumn id="107" xr3:uid="{ECDCBE4D-DC35-4F62-9CFF-DC1F4400E4F8}" name="Hors Taxes7" dataDxfId="232" totalsRowDxfId="233"/>
    <tableColumn id="108" xr3:uid="{4444700B-BCC5-4D3B-B1FD-334D7A9B84B3}" name="Taux TVA7" dataDxfId="230" totalsRowDxfId="231"/>
    <tableColumn id="109" xr3:uid="{2E091267-5356-4A78-97FF-AC3A3497D06F}" name="TVA7" dataDxfId="228" totalsRowDxfId="229"/>
    <tableColumn id="110" xr3:uid="{881703F0-5D57-4E19-8640-79CBFF74250F}" name="Activité 8"/>
    <tableColumn id="111" xr3:uid="{2987240D-FDC9-4049-B2CE-354BEC2CA9D9}" name="PA Matière8" dataDxfId="226" totalsRowDxfId="227"/>
    <tableColumn id="112" xr3:uid="{FF7E8B6D-4A5E-4545-B92E-8E448E5B5695}" name="Marge Matière8" dataDxfId="224" totalsRowDxfId="225"/>
    <tableColumn id="113" xr3:uid="{4FC35802-E564-4F29-B348-7D2E9A547BC7}" name="Prix Vente Matière8" dataDxfId="222" totalsRowDxfId="223"/>
    <tableColumn id="114" xr3:uid="{469666F4-2230-404E-839E-FB8D4326602D}" name="% Marge Matière8" dataDxfId="220" totalsRowDxfId="221"/>
    <tableColumn id="115" xr3:uid="{AFD948A6-766E-41A3-AF08-AD8B4DF34531}" name="Heures8" dataDxfId="218" totalsRowDxfId="219"/>
    <tableColumn id="116" xr3:uid="{AE8C65BF-C0E6-4B65-88D7-545ED679CDDF}" name="Taux MO8" dataDxfId="216" totalsRowDxfId="217"/>
    <tableColumn id="117" xr3:uid="{1357B4E2-1BE7-480C-B037-FB51C43387CD}" name="Prix Vente MO8" dataDxfId="214" totalsRowDxfId="215"/>
    <tableColumn id="118" xr3:uid="{2EAAEABA-D412-4ECE-936A-D7194E11B70A}" name="Marge Brute8" dataDxfId="212" totalsRowDxfId="213"/>
    <tableColumn id="119" xr3:uid="{307B5B6F-F2AF-4D9D-AFC8-5B72BD98F025}" name="Indice Vision8" dataDxfId="210" totalsRowDxfId="211"/>
    <tableColumn id="120" xr3:uid="{BDCF05DF-189B-40D3-88BA-534443CE794E}" name="Hors Taxes8" dataDxfId="208" totalsRowDxfId="209"/>
    <tableColumn id="121" xr3:uid="{3B08D961-C5F1-444E-A61C-0278D344E47E}" name="Taux TVA8" dataDxfId="206" totalsRowDxfId="207"/>
    <tableColumn id="122" xr3:uid="{CD054ECC-CC92-428B-A1DB-71EDDD87D072}" name="TVA8" dataDxfId="204" totalsRowDxfId="205"/>
    <tableColumn id="123" xr3:uid="{6E8158D6-300C-4354-BFD1-1FB2317D00A8}" name="Activité 9"/>
    <tableColumn id="124" xr3:uid="{F6DDECC7-7B55-44FA-9497-987F4FE27821}" name="PA Matière9" dataDxfId="202" totalsRowDxfId="203"/>
    <tableColumn id="125" xr3:uid="{8A4DB0C6-2365-42D2-BEBA-3C48EFBDA7BB}" name="Marge Matière9" dataDxfId="200" totalsRowDxfId="201"/>
    <tableColumn id="126" xr3:uid="{D2039F7F-90EF-4550-BC76-61849BB93B8C}" name="Prix Vente Matière9" dataDxfId="198" totalsRowDxfId="199"/>
    <tableColumn id="127" xr3:uid="{C5F3553B-7794-4882-B195-320A6129D57F}" name="% Marge Matière9" dataDxfId="196" totalsRowDxfId="197"/>
    <tableColumn id="128" xr3:uid="{E91D6F2C-B835-4183-8F40-44370E61407B}" name="Heures9" dataDxfId="194" totalsRowDxfId="195"/>
    <tableColumn id="129" xr3:uid="{11D7076A-27E8-4775-94E3-9DE5C9B32C00}" name="Taux MO9" dataDxfId="192" totalsRowDxfId="193"/>
    <tableColumn id="130" xr3:uid="{E0DC2F0A-E029-4DB5-84C9-8C86AE6AA590}" name="Prix Vente MO9" dataDxfId="190" totalsRowDxfId="191"/>
    <tableColumn id="131" xr3:uid="{96EBC538-CC59-4309-88A5-DC52BE92EB53}" name="Marge Brute9" dataDxfId="188" totalsRowDxfId="189"/>
    <tableColumn id="132" xr3:uid="{74EEDD09-1B35-410F-AD67-C3EB8CE36869}" name="Indice Vision9" dataDxfId="186" totalsRowDxfId="187"/>
    <tableColumn id="133" xr3:uid="{BF762E66-7573-4997-8331-3CFD56634262}" name="Hors Taxes9" dataDxfId="184" totalsRowDxfId="185"/>
    <tableColumn id="134" xr3:uid="{939783F0-5279-46A8-BFF9-073527DAAAED}" name="Taux TVA9" dataDxfId="182" totalsRowDxfId="183"/>
    <tableColumn id="135" xr3:uid="{1CAC858E-9A83-4CCB-AF94-8C4DD12190B8}" name="TVA9" dataDxfId="180" totalsRowDxfId="181"/>
    <tableColumn id="136" xr3:uid="{F3710EE1-9CA9-4F3C-88BB-73A8CECBA857}" name="Activité 10"/>
    <tableColumn id="137" xr3:uid="{35D30D8B-18E5-4166-8BFF-2F8F71693DC4}" name="PA Matière10" dataDxfId="178" totalsRowDxfId="179"/>
    <tableColumn id="138" xr3:uid="{AF1ECAF8-26C8-4B41-A87D-AA6196391D4D}" name="Marge Matière10" dataDxfId="176" totalsRowDxfId="177"/>
    <tableColumn id="139" xr3:uid="{FBED5B6E-789E-4337-A4C3-34B2AFF9FBF8}" name="Prix Vente Matière10" dataDxfId="174" totalsRowDxfId="175"/>
    <tableColumn id="140" xr3:uid="{90D1B6B6-5C29-4A72-993E-4B375DD04AB1}" name="% Marge Matière10" dataDxfId="172" totalsRowDxfId="173"/>
    <tableColumn id="141" xr3:uid="{E5D8DABD-FD0B-4E59-A4EA-36BFF6BDF62F}" name="Heures10" dataDxfId="170" totalsRowDxfId="171"/>
    <tableColumn id="142" xr3:uid="{0A58E6AD-4D7F-4ECC-9139-26CB303CC49B}" name="Taux MO10" dataDxfId="168" totalsRowDxfId="169"/>
    <tableColumn id="143" xr3:uid="{6B599CFD-BA99-4042-8751-1F2823ABF4B5}" name="Prix Vente MO10" dataDxfId="166" totalsRowDxfId="167"/>
    <tableColumn id="144" xr3:uid="{091844C1-FA5A-4074-9CFF-1AB9A6637F74}" name="Marge Brute10" dataDxfId="164" totalsRowDxfId="165"/>
    <tableColumn id="145" xr3:uid="{AB9A4F72-17D7-4DF7-8D2D-55D42B146912}" name="Indice Vision10" dataDxfId="162" totalsRowDxfId="163"/>
    <tableColumn id="146" xr3:uid="{30BD14BE-292E-4D6F-A99D-E4D1FF3ABDD1}" name="Hors Taxes10" dataDxfId="160" totalsRowDxfId="161"/>
    <tableColumn id="147" xr3:uid="{9905D18C-35C0-4D39-AA1C-8CEE24D9BA5B}" name="Taux TVA10" dataDxfId="158" totalsRowDxfId="159"/>
    <tableColumn id="148" xr3:uid="{3D4D2650-8BAA-477D-A99B-D72234767DCC}" name="TVA10" dataDxfId="156" totalsRowDxfId="157"/>
    <tableColumn id="149" xr3:uid="{D482BDB8-BAF1-4ECB-B086-55903028D64A}" name="Activité 11"/>
    <tableColumn id="150" xr3:uid="{F84F70D9-5941-4880-94B2-D6F9F3821F02}" name="PA Matière11" dataDxfId="154" totalsRowDxfId="155"/>
    <tableColumn id="151" xr3:uid="{2434811E-C1E9-40CF-8B85-DF3ABC9B63E1}" name="Marge Matière11" dataDxfId="152" totalsRowDxfId="153"/>
    <tableColumn id="152" xr3:uid="{8FCFD034-C7B2-4196-BC38-57CC33C1C155}" name="Prix Vente Matière11" dataDxfId="150" totalsRowDxfId="151"/>
    <tableColumn id="153" xr3:uid="{D0D1C337-A0E4-4687-B0FC-CD8F25A89B36}" name="% Marge Matière11" dataDxfId="148" totalsRowDxfId="149"/>
    <tableColumn id="154" xr3:uid="{E93C8E54-9A3C-4D8E-ABEE-363D3864E635}" name="Heures11" dataDxfId="146" totalsRowDxfId="147"/>
    <tableColumn id="155" xr3:uid="{F71CDE1D-9E2A-4542-81C8-2FAB3CE85699}" name="Taux MO11" dataDxfId="144" totalsRowDxfId="145"/>
    <tableColumn id="156" xr3:uid="{A99F94E4-77A6-4B13-B47B-4F01ADB17DEE}" name="Prix Vente MO11" dataDxfId="142" totalsRowDxfId="143"/>
    <tableColumn id="157" xr3:uid="{24A04482-214E-4AFD-B3D6-7274AA8A6C1A}" name="Marge Brute11" dataDxfId="140" totalsRowDxfId="141"/>
    <tableColumn id="158" xr3:uid="{21E17D1C-8AFE-4E25-A04E-3C0B0818F9CC}" name="Indice Vision11" dataDxfId="138" totalsRowDxfId="139"/>
    <tableColumn id="159" xr3:uid="{9557A8AB-8BA9-4686-926E-E38FDD047B3D}" name="Hors Taxes11" dataDxfId="136" totalsRowDxfId="137"/>
    <tableColumn id="160" xr3:uid="{29709B6F-5FA9-4727-A8D6-1F61676E5E2B}" name="Taux TVA11" dataDxfId="134" totalsRowDxfId="135"/>
    <tableColumn id="161" xr3:uid="{8E46BF58-C219-49DF-B8C9-A5E1A2B111E1}" name="TVA11" dataDxfId="132" totalsRowDxfId="133"/>
    <tableColumn id="162" xr3:uid="{2A87A404-A4A8-4F90-9D18-DBA106F7BC7E}" name="Activité 12"/>
    <tableColumn id="163" xr3:uid="{3FC2E109-5C3C-4322-8845-56EFDA87CB5A}" name="PA Matière12" dataDxfId="130" totalsRowDxfId="131"/>
    <tableColumn id="164" xr3:uid="{3DA60115-9107-474F-9477-68F37D33050B}" name="Marge Matière12" dataDxfId="128" totalsRowDxfId="129"/>
    <tableColumn id="165" xr3:uid="{A01FA797-EE85-49CD-ABDE-E2E0023CFFB6}" name="Prix Vente Matière12" dataDxfId="126" totalsRowDxfId="127"/>
    <tableColumn id="166" xr3:uid="{45ADA480-869B-450B-96CC-931D57731503}" name="% Marge Matière12" dataDxfId="124" totalsRowDxfId="125"/>
    <tableColumn id="167" xr3:uid="{BD983135-3254-425C-A9D8-154B04CF75F0}" name="Heures12" dataDxfId="122" totalsRowDxfId="123"/>
    <tableColumn id="168" xr3:uid="{DD81F2FB-9282-4567-923A-2C5828D2306D}" name="Taux MO12" dataDxfId="120" totalsRowDxfId="121"/>
    <tableColumn id="169" xr3:uid="{4E67150A-729A-4E26-B7C3-B97BB01EFC94}" name="Prix Vente MO12" dataDxfId="118" totalsRowDxfId="119"/>
    <tableColumn id="170" xr3:uid="{577DE6C5-2585-470A-A06D-035D923FFF37}" name="Marge Brute12" dataDxfId="116" totalsRowDxfId="117"/>
    <tableColumn id="171" xr3:uid="{12A56E9F-E544-42C6-BB20-F0B5C6E8E164}" name="Indice Vision12" dataDxfId="114" totalsRowDxfId="115"/>
    <tableColumn id="172" xr3:uid="{AB683B5E-8A88-4D50-ABA9-7F873A342904}" name="Hors Taxes12" dataDxfId="112" totalsRowDxfId="113"/>
    <tableColumn id="173" xr3:uid="{4AA7509A-92EC-4262-B48E-56E4EF54C19D}" name="Taux TVA12" dataDxfId="110" totalsRowDxfId="111"/>
    <tableColumn id="174" xr3:uid="{A3663FFB-63E6-4EA7-AE84-745920484C00}" name="TVA12" dataDxfId="108" totalsRowDxfId="109"/>
    <tableColumn id="175" xr3:uid="{984F6B50-4B0D-41DB-A5C7-F8ADBA7E171D}" name="Activité 13"/>
    <tableColumn id="176" xr3:uid="{5D467A44-5691-48F3-A390-E92B16AADF16}" name="PA Matière13" dataDxfId="106" totalsRowDxfId="107"/>
    <tableColumn id="177" xr3:uid="{A08E6791-7C13-4DD3-95A6-7C912AA0B663}" name="Marge Matière13" dataDxfId="104" totalsRowDxfId="105"/>
    <tableColumn id="178" xr3:uid="{D9EEE6F9-7716-4079-A9B8-E358015EE522}" name="Prix Vente Matière13" dataDxfId="102" totalsRowDxfId="103"/>
    <tableColumn id="179" xr3:uid="{DE6B2198-5ED8-4832-9AF7-B28B97037E79}" name="% Marge Matière13" dataDxfId="100" totalsRowDxfId="101"/>
    <tableColumn id="180" xr3:uid="{586CF81B-2FEC-4280-8487-9345109CE73D}" name="Heures13" dataDxfId="98" totalsRowDxfId="99"/>
    <tableColumn id="181" xr3:uid="{1E3B1F00-3001-46EA-8A78-E500E5528F7C}" name="Taux MO13" dataDxfId="96" totalsRowDxfId="97"/>
    <tableColumn id="182" xr3:uid="{67FD1579-76F0-4754-96CC-6B112528C14E}" name="Prix Vente MO13" dataDxfId="94" totalsRowDxfId="95"/>
    <tableColumn id="183" xr3:uid="{AA264078-9EFA-408A-AAFE-A98F2CAC3F0E}" name="Marge Brute13" dataDxfId="92" totalsRowDxfId="93"/>
    <tableColumn id="184" xr3:uid="{8441D5CB-BCF9-46D5-AA95-DD4A4E31123A}" name="Indice Vision13" dataDxfId="90" totalsRowDxfId="91"/>
    <tableColumn id="185" xr3:uid="{83132FBC-2457-4DF5-8C3D-8241DB69B708}" name="Hors Taxes13" dataDxfId="88" totalsRowDxfId="89"/>
    <tableColumn id="186" xr3:uid="{22998F5D-89A8-47B1-BA2C-163F209F6A84}" name="Taux TVA13" dataDxfId="86" totalsRowDxfId="87"/>
    <tableColumn id="187" xr3:uid="{4C70C747-5892-4939-937F-10E43CA44E6A}" name="TVA13" dataDxfId="84" totalsRowDxfId="85"/>
    <tableColumn id="188" xr3:uid="{F784B11F-A9B3-4D46-A322-B639B441ED2C}" name="Activité 14"/>
    <tableColumn id="189" xr3:uid="{40162FE4-AA3B-4232-A3E5-478EE425AA42}" name="PA Matière14" dataDxfId="82" totalsRowDxfId="83"/>
    <tableColumn id="190" xr3:uid="{57C28BC9-CCD2-46E0-B2C3-9F5330D4091D}" name="Marge Matière14" dataDxfId="80" totalsRowDxfId="81"/>
    <tableColumn id="191" xr3:uid="{B797D492-46E7-449E-A984-B1998DFAA4FA}" name="Prix Vente Matière14" dataDxfId="78" totalsRowDxfId="79"/>
    <tableColumn id="192" xr3:uid="{9C21AAEC-9352-47C0-874A-EB9DA0318F75}" name="% Marge Matière14" dataDxfId="76" totalsRowDxfId="77"/>
    <tableColumn id="193" xr3:uid="{2D83A4A5-58EB-4C7B-88B1-7DDAA59656F5}" name="Heures14" dataDxfId="74" totalsRowDxfId="75"/>
    <tableColumn id="194" xr3:uid="{E797C2F3-015A-4FDE-B812-F06AB7EED53D}" name="Taux MO14" dataDxfId="72" totalsRowDxfId="73"/>
    <tableColumn id="195" xr3:uid="{8729F73C-A685-40BC-9D91-98C11DCA08CF}" name="Prix Vente MO14" dataDxfId="70" totalsRowDxfId="71"/>
    <tableColumn id="196" xr3:uid="{A179F40C-AE8B-45BA-B35D-BB1BAEB37770}" name="Marge Brute14" dataDxfId="68" totalsRowDxfId="69"/>
    <tableColumn id="197" xr3:uid="{360EA7F9-87D3-4D3C-8F50-923180BB4847}" name="Indice Vision14" dataDxfId="66" totalsRowDxfId="67"/>
    <tableColumn id="198" xr3:uid="{4BD17802-83F4-43D1-B5D7-9D851F6EA604}" name="Hors Taxes14" dataDxfId="64" totalsRowDxfId="65"/>
    <tableColumn id="199" xr3:uid="{1BE9C937-4252-44D6-B859-F3E4269DD1B6}" name="Taux TVA14" dataDxfId="62" totalsRowDxfId="63"/>
    <tableColumn id="200" xr3:uid="{731A7C9B-7C9D-4443-9A49-327E2AE52826}" name="TVA14" dataDxfId="60" totalsRowDxfId="6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" xr10:uid="{411DC467-9F83-48ED-B5F2-A6D99F1B253D}" sourceName="Mois">
  <state minimalRefreshVersion="6" lastRefreshVersion="6" pivotCacheId="1148190190" filterType="dateBetween">
    <selection startDate="2018-01-01T00:00:00" endDate="2018-06-30T00:00:00"/>
    <bounds startDate="2018-01-01T00:00:00" endDate="2020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32C943C1-5EBC-42A9-844D-6B1FE494C2D2}" sourceName="Date">
  <state minimalRefreshVersion="6" lastRefreshVersion="6" pivotCacheId="798897167" filterType="dateBetween">
    <selection startDate="2018-01-01T00:00:00" endDate="2018-07-31T00:00:00"/>
    <bounds startDate="2018-01-01T00:00:00" endDate="2019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F80F14BD-1D00-4541-B5BF-C0B8BB6AAA7A}" sourceName="Date">
  <pivotTables>
    <pivotTable tabId="2" name="Tableau croisé dynamique2"/>
  </pivotTables>
  <state minimalRefreshVersion="6" lastRefreshVersion="6" pivotCacheId="798897167" filterType="dateBetween">
    <selection startDate="2018-01-01T00:00:00" endDate="2018-07-31T00:00:00"/>
    <bounds startDate="2018-01-01T00:00:00" endDate="2019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Mois1" xr10:uid="{579BEED7-7E01-4EA0-833F-12FDD4EDFA78}" sourceName="Mois">
  <pivotTables>
    <pivotTable tabId="4" name="Tableau croisé dynamique3"/>
  </pivotTables>
  <state minimalRefreshVersion="6" lastRefreshVersion="6" pivotCacheId="1148190190" filterType="dateBetween">
    <selection startDate="2018-01-01T00:00:00" endDate="2018-06-30T00:00:00"/>
    <bounds startDate="2018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Mois 2" xr10:uid="{AA2BE8FA-7C77-4123-905E-336C3EBF614E}" cache="ChronologieNative_Mois" caption="Période de ventilation des charges" level="2" selectionLevel="1" scrollPosition="2018-05-09T00:00:00" style="TimeSlicerStyleLight6"/>
  <timeline name="Mois 3" xr10:uid="{0F46C0E8-1FDB-43BD-92A0-8D21922B00DA}" cache="ChronologieNative_Mois" caption="Période de ventilation des charges" level="2" selectionLevel="1" scrollPosition="2018-01-01T00:00:00" style="TimeSlicerStyleLight6"/>
  <timeline name="Date 1" xr10:uid="{DC862AA0-18B5-479B-BBF9-58121616BF37}" cache="ChronologieNative_Date" caption="Période de ventilation des produits" level="2" selectionLevel="2" scrollPosition="2018-04-01T00:00:00" style="TimeSlicerStyleDark3"/>
  <timeline name="Date 2" xr10:uid="{11A6F9AA-DEC5-4DB1-B0A5-1897005C5352}" cache="ChronologieNative_Date" caption="Période de ventilation des produits" level="2" selectionLevel="2" scrollPosition="2018-04-01T00:00:00" style="TimeSlicerStyleDark3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Mois" xr10:uid="{63D4D367-5C6F-4A01-BAB3-7DE3135E494F}" cache="ChronologieNative_Mois1" caption="Mois" level="2" selectionLevel="1" scrollPosition="2018-01-01T00:00:00" style="TimeSlicerStyleLight4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129B1BA4-FDBF-4D56-8E1A-EB53AFE5DFD9}" cache="ChronologieNative_Date1" caption="Date" level="2" selectionLevel="2" scrollPosition="2018-04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4" Type="http://schemas.microsoft.com/office/2011/relationships/timeline" Target="../timelines/timelin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92C8EE-5C1D-42E9-B5F8-2937AB22D1A4}">
  <dimension ref="A1:DT138"/>
  <sheetViews>
    <sheetView tabSelected="1" workbookViewId="0">
      <selection activeCell="W30" sqref="W30"/>
    </sheetView>
  </sheetViews>
  <sheetFormatPr baseColWidth="10" defaultRowHeight="23.25" outlineLevelCol="1" x14ac:dyDescent="0.35"/>
  <cols>
    <col min="1" max="1" width="4.7109375" style="1" customWidth="1" outlineLevel="1"/>
    <col min="2" max="5" width="11.42578125" style="2" outlineLevel="1"/>
    <col min="6" max="6" width="6.140625" style="3" customWidth="1"/>
    <col min="7" max="7" width="5.7109375" style="3" customWidth="1"/>
    <col min="8" max="8" width="5.5703125" style="3" customWidth="1"/>
    <col min="9" max="9" width="11.42578125" style="3"/>
    <col min="10" max="10" width="21.42578125" style="3" customWidth="1"/>
    <col min="11" max="18" width="11.140625" style="3" customWidth="1"/>
    <col min="19" max="19" width="4.7109375" style="3" customWidth="1"/>
    <col min="20" max="20" width="5.7109375" style="3" customWidth="1"/>
    <col min="21" max="21" width="13.85546875" style="3" bestFit="1" customWidth="1"/>
    <col min="22" max="22" width="11.85546875" style="3" bestFit="1" customWidth="1"/>
    <col min="23" max="24" width="11.42578125" style="3"/>
    <col min="25" max="25" width="12.85546875" style="3" bestFit="1" customWidth="1"/>
    <col min="26" max="26" width="4.7109375" style="3" customWidth="1"/>
    <col min="27" max="27" width="5.7109375" style="3" customWidth="1"/>
    <col min="28" max="32" width="11.42578125" style="3"/>
    <col min="33" max="33" width="4.7109375" style="3" customWidth="1"/>
    <col min="34" max="34" width="5.7109375" style="3" customWidth="1"/>
    <col min="35" max="39" width="11.42578125" style="3"/>
    <col min="40" max="40" width="4.7109375" style="3" customWidth="1"/>
    <col min="41" max="41" width="5.7109375" style="3" customWidth="1"/>
    <col min="42" max="46" width="11.42578125" style="3"/>
    <col min="47" max="47" width="4.7109375" style="3" customWidth="1"/>
    <col min="48" max="48" width="5.7109375" style="3" customWidth="1"/>
    <col min="49" max="53" width="11.42578125" style="3"/>
    <col min="54" max="54" width="4.7109375" style="3" customWidth="1"/>
    <col min="55" max="55" width="5.7109375" style="3" customWidth="1"/>
    <col min="56" max="60" width="11.42578125" style="3"/>
    <col min="61" max="61" width="4.7109375" style="3" customWidth="1"/>
    <col min="62" max="62" width="5.7109375" style="3" customWidth="1"/>
    <col min="63" max="67" width="11.42578125" style="3"/>
    <col min="68" max="68" width="4.7109375" style="3" customWidth="1"/>
    <col min="69" max="69" width="5.7109375" style="3" customWidth="1"/>
    <col min="70" max="74" width="11.42578125" style="3"/>
    <col min="75" max="75" width="4.7109375" style="3" customWidth="1"/>
    <col min="76" max="76" width="5.7109375" style="3" customWidth="1"/>
    <col min="77" max="81" width="11.42578125" style="3"/>
    <col min="82" max="82" width="4.7109375" style="3" customWidth="1"/>
    <col min="83" max="83" width="5.7109375" style="3" customWidth="1"/>
    <col min="84" max="88" width="11.42578125" style="3"/>
    <col min="89" max="89" width="4.7109375" style="3" customWidth="1"/>
    <col min="90" max="90" width="5.7109375" style="3" customWidth="1"/>
    <col min="91" max="95" width="11.42578125" style="3"/>
    <col min="96" max="96" width="4.7109375" style="3" customWidth="1"/>
    <col min="97" max="97" width="5.7109375" style="3" customWidth="1"/>
    <col min="98" max="102" width="11.42578125" style="3"/>
    <col min="103" max="103" width="4.7109375" style="3" customWidth="1"/>
    <col min="104" max="104" width="5.7109375" style="3" customWidth="1"/>
    <col min="105" max="109" width="11.42578125" style="3"/>
    <col min="110" max="110" width="4.7109375" style="3" customWidth="1"/>
    <col min="111" max="111" width="5.7109375" style="3" customWidth="1"/>
    <col min="112" max="116" width="11.42578125" style="3"/>
    <col min="117" max="117" width="4.7109375" style="3" customWidth="1"/>
    <col min="118" max="118" width="5.7109375" style="3" customWidth="1"/>
    <col min="119" max="123" width="11.42578125" style="3"/>
    <col min="124" max="124" width="13.85546875" style="3" bestFit="1" customWidth="1"/>
    <col min="125" max="16384" width="11.42578125" style="3"/>
  </cols>
  <sheetData>
    <row r="1" spans="2:123" ht="15" customHeight="1" x14ac:dyDescent="0.35"/>
    <row r="2" spans="2:123" ht="15" customHeight="1" x14ac:dyDescent="0.35"/>
    <row r="3" spans="2:123" ht="15" customHeight="1" x14ac:dyDescent="0.35"/>
    <row r="4" spans="2:123" ht="15" customHeight="1" x14ac:dyDescent="0.35"/>
    <row r="5" spans="2:123" ht="15" customHeight="1" x14ac:dyDescent="0.35"/>
    <row r="6" spans="2:123" ht="15" customHeight="1" x14ac:dyDescent="0.35"/>
    <row r="7" spans="2:123" ht="15" customHeight="1" x14ac:dyDescent="0.35"/>
    <row r="8" spans="2:123" ht="23.1" customHeight="1" x14ac:dyDescent="0.35">
      <c r="B8" s="1"/>
      <c r="D8" s="4"/>
      <c r="E8" s="4"/>
      <c r="G8" s="5" t="s">
        <v>0</v>
      </c>
      <c r="H8" s="6"/>
      <c r="I8" s="6"/>
      <c r="J8" s="6"/>
      <c r="K8" s="6"/>
      <c r="L8" s="6"/>
      <c r="M8" s="6"/>
      <c r="N8" s="6"/>
      <c r="O8" s="6"/>
      <c r="P8" s="6"/>
      <c r="Q8" s="6"/>
      <c r="R8" s="7"/>
      <c r="AH8" s="5" t="str">
        <f>CONCATENATE("Prévisions "&amp;Categorie_Ventes_lbl3)</f>
        <v>Prévisions 3-Chape directe</v>
      </c>
      <c r="AI8" s="6"/>
      <c r="AJ8" s="6"/>
      <c r="AK8" s="6"/>
      <c r="AL8" s="6"/>
      <c r="AM8" s="7"/>
      <c r="AO8" s="5" t="str">
        <f>CONCATENATE("Prévisions "&amp;Categorie_Ventes_lbl4)</f>
        <v>Prévisions 4-Chape Commer.</v>
      </c>
      <c r="AP8" s="6"/>
      <c r="AQ8" s="6"/>
      <c r="AR8" s="6"/>
      <c r="AS8" s="6"/>
      <c r="AT8" s="7"/>
      <c r="AV8" s="5" t="str">
        <f>CONCATENATE("Prévisions "&amp;Categorie_Ventes_lbl5)</f>
        <v>Prévisions 5-DUOVAC directe</v>
      </c>
      <c r="AW8" s="6"/>
      <c r="AX8" s="6"/>
      <c r="AY8" s="6"/>
      <c r="AZ8" s="6"/>
      <c r="BA8" s="7"/>
      <c r="BC8" s="5" t="str">
        <f>CONCATENATE("Prévisions "&amp;Categorie_Ventes_lbl6)</f>
        <v>Prévisions 6-DUOVAC Commer.</v>
      </c>
      <c r="BD8" s="6"/>
      <c r="BE8" s="6"/>
      <c r="BF8" s="6"/>
      <c r="BG8" s="6"/>
      <c r="BH8" s="7"/>
      <c r="BJ8" s="5" t="str">
        <f>CONCATENATE("Prévisions "&amp;Categorie_Ventes_lbl7)</f>
        <v>Prévisions 7-Carrelage Directe</v>
      </c>
      <c r="BK8" s="6"/>
      <c r="BL8" s="6"/>
      <c r="BM8" s="6"/>
      <c r="BN8" s="6"/>
      <c r="BO8" s="7"/>
      <c r="BQ8" s="5" t="str">
        <f>CONCATENATE("Prévisions "&amp;Categorie_Ventes_lbl8)</f>
        <v>Prévisions 8-Etude Thermique Directe</v>
      </c>
      <c r="BR8" s="6"/>
      <c r="BS8" s="6"/>
      <c r="BT8" s="6"/>
      <c r="BU8" s="6"/>
      <c r="BV8" s="7"/>
      <c r="BX8" s="5" t="str">
        <f>CONCATENATE("Prévisions "&amp;Categorie_Ventes_lbl9)</f>
        <v>Prévisions 9-Chaudière Commer.</v>
      </c>
      <c r="BY8" s="6"/>
      <c r="BZ8" s="6"/>
      <c r="CA8" s="6"/>
      <c r="CB8" s="6"/>
      <c r="CC8" s="7"/>
      <c r="CE8" s="5" t="str">
        <f>CONCATENATE("Prévisions "&amp;Categorie_Ventes_lbl10)</f>
        <v>Prévisions 10-Chaudière Directe</v>
      </c>
      <c r="CF8" s="6"/>
      <c r="CG8" s="6"/>
      <c r="CH8" s="6"/>
      <c r="CI8" s="6"/>
      <c r="CJ8" s="7"/>
      <c r="CL8" s="5" t="str">
        <f>CONCATENATE("Prévisions "&amp;Categorie_Ventes_lbl11)</f>
        <v>Prévisions 11-Réparation Plomberie</v>
      </c>
      <c r="CM8" s="6"/>
      <c r="CN8" s="6"/>
      <c r="CO8" s="6"/>
      <c r="CP8" s="6"/>
      <c r="CQ8" s="7"/>
      <c r="CS8" s="5" t="str">
        <f>CONCATENATE("Prévisions "&amp;Categorie_Ventes_lbl12)</f>
        <v>Prévisions 12-Carrelage Commer.</v>
      </c>
      <c r="CT8" s="6"/>
      <c r="CU8" s="6"/>
      <c r="CV8" s="6"/>
      <c r="CW8" s="6"/>
      <c r="CX8" s="7"/>
      <c r="CZ8" s="5" t="str">
        <f>CONCATENATE("Prévisions "&amp;Categorie_Ventes_lbl13)</f>
        <v>Prévisions 13-Activité 13</v>
      </c>
      <c r="DA8" s="6"/>
      <c r="DB8" s="6"/>
      <c r="DC8" s="6"/>
      <c r="DD8" s="6"/>
      <c r="DE8" s="7"/>
      <c r="DG8" s="5" t="str">
        <f>CONCATENATE("Prévisions "&amp;Categorie_Ventes_lbl14)</f>
        <v>Prévisions 14-Activité 14</v>
      </c>
      <c r="DH8" s="6"/>
      <c r="DI8" s="6"/>
      <c r="DJ8" s="6"/>
      <c r="DK8" s="6"/>
      <c r="DL8" s="7"/>
      <c r="DN8" s="5" t="s">
        <v>1</v>
      </c>
      <c r="DO8" s="6"/>
      <c r="DP8" s="6"/>
      <c r="DQ8" s="6"/>
      <c r="DR8" s="6"/>
      <c r="DS8" s="7"/>
    </row>
    <row r="9" spans="2:123" ht="23.25" customHeight="1" x14ac:dyDescent="0.35">
      <c r="G9" s="8" t="s">
        <v>2</v>
      </c>
      <c r="H9" s="8"/>
      <c r="I9" s="8"/>
      <c r="J9" s="8"/>
      <c r="K9" s="8" t="s">
        <v>3</v>
      </c>
      <c r="L9" s="8"/>
      <c r="M9" s="9" t="s">
        <v>4</v>
      </c>
      <c r="N9" s="8"/>
      <c r="O9" s="10" t="s">
        <v>5</v>
      </c>
      <c r="P9" s="10"/>
      <c r="Q9" s="10" t="s">
        <v>6</v>
      </c>
      <c r="R9" s="10"/>
      <c r="AH9" s="10" t="s">
        <v>2</v>
      </c>
      <c r="AI9" s="10"/>
      <c r="AJ9" s="10"/>
      <c r="AK9" s="10"/>
      <c r="AL9" s="10" t="s">
        <v>7</v>
      </c>
      <c r="AM9" s="10"/>
      <c r="AO9" s="10" t="s">
        <v>2</v>
      </c>
      <c r="AP9" s="10"/>
      <c r="AQ9" s="10"/>
      <c r="AR9" s="10"/>
      <c r="AS9" s="10" t="s">
        <v>7</v>
      </c>
      <c r="AT9" s="10"/>
      <c r="AV9" s="10" t="s">
        <v>2</v>
      </c>
      <c r="AW9" s="10"/>
      <c r="AX9" s="10"/>
      <c r="AY9" s="10"/>
      <c r="AZ9" s="10" t="s">
        <v>7</v>
      </c>
      <c r="BA9" s="10"/>
      <c r="BC9" s="10" t="s">
        <v>2</v>
      </c>
      <c r="BD9" s="10"/>
      <c r="BE9" s="10"/>
      <c r="BF9" s="10"/>
      <c r="BG9" s="10" t="s">
        <v>7</v>
      </c>
      <c r="BH9" s="10"/>
      <c r="BJ9" s="10" t="s">
        <v>2</v>
      </c>
      <c r="BK9" s="10"/>
      <c r="BL9" s="10"/>
      <c r="BM9" s="10"/>
      <c r="BN9" s="10" t="s">
        <v>7</v>
      </c>
      <c r="BO9" s="10"/>
      <c r="BQ9" s="10" t="s">
        <v>2</v>
      </c>
      <c r="BR9" s="10"/>
      <c r="BS9" s="10"/>
      <c r="BT9" s="10"/>
      <c r="BU9" s="10" t="s">
        <v>7</v>
      </c>
      <c r="BV9" s="10"/>
      <c r="BX9" s="10" t="s">
        <v>2</v>
      </c>
      <c r="BY9" s="10"/>
      <c r="BZ9" s="10"/>
      <c r="CA9" s="10"/>
      <c r="CB9" s="10" t="s">
        <v>7</v>
      </c>
      <c r="CC9" s="10"/>
      <c r="CE9" s="10" t="s">
        <v>2</v>
      </c>
      <c r="CF9" s="10"/>
      <c r="CG9" s="10"/>
      <c r="CH9" s="10"/>
      <c r="CI9" s="10" t="s">
        <v>7</v>
      </c>
      <c r="CJ9" s="10"/>
      <c r="CL9" s="10" t="s">
        <v>2</v>
      </c>
      <c r="CM9" s="10"/>
      <c r="CN9" s="10"/>
      <c r="CO9" s="10"/>
      <c r="CP9" s="10" t="s">
        <v>7</v>
      </c>
      <c r="CQ9" s="10"/>
      <c r="CS9" s="10" t="s">
        <v>2</v>
      </c>
      <c r="CT9" s="10"/>
      <c r="CU9" s="10"/>
      <c r="CV9" s="10"/>
      <c r="CW9" s="10" t="s">
        <v>7</v>
      </c>
      <c r="CX9" s="10"/>
      <c r="CZ9" s="10" t="s">
        <v>2</v>
      </c>
      <c r="DA9" s="10"/>
      <c r="DB9" s="10"/>
      <c r="DC9" s="10"/>
      <c r="DD9" s="10" t="s">
        <v>7</v>
      </c>
      <c r="DE9" s="10"/>
      <c r="DG9" s="10" t="s">
        <v>2</v>
      </c>
      <c r="DH9" s="10"/>
      <c r="DI9" s="10"/>
      <c r="DJ9" s="10"/>
      <c r="DK9" s="10" t="s">
        <v>7</v>
      </c>
      <c r="DL9" s="10"/>
      <c r="DN9" s="10" t="s">
        <v>2</v>
      </c>
      <c r="DO9" s="10"/>
      <c r="DP9" s="10"/>
      <c r="DQ9" s="10"/>
      <c r="DR9" s="10" t="s">
        <v>7</v>
      </c>
      <c r="DS9" s="10"/>
    </row>
    <row r="10" spans="2:123" ht="23.25" customHeight="1" x14ac:dyDescent="0.35">
      <c r="B10" s="1"/>
      <c r="D10" s="4"/>
      <c r="E10" s="4"/>
      <c r="G10" s="11" t="s">
        <v>8</v>
      </c>
      <c r="H10" s="12"/>
      <c r="I10" s="12"/>
      <c r="J10" s="13"/>
      <c r="K10" s="14">
        <f>+[1]Ventes!V38</f>
        <v>3922333.3800000004</v>
      </c>
      <c r="L10" s="15"/>
      <c r="M10" s="16"/>
      <c r="N10" s="17"/>
      <c r="O10" s="18">
        <f>+[1]Ventes!V38</f>
        <v>3922333.3800000004</v>
      </c>
      <c r="P10" s="19"/>
      <c r="Q10" s="18"/>
      <c r="R10" s="19"/>
      <c r="U10" s="20"/>
      <c r="V10" s="21"/>
      <c r="AH10" s="11" t="s">
        <v>8</v>
      </c>
      <c r="AI10" s="12"/>
      <c r="AJ10" s="12"/>
      <c r="AK10" s="13"/>
      <c r="AL10" s="14">
        <f>IF(ISNA(VLOOKUP(Categorie_Ventes_lbl3,CA_Prev,15,FALSE)),0,VLOOKUP(Categorie_Ventes_lbl3,CA_Prev,15,FALSE))</f>
        <v>928000</v>
      </c>
      <c r="AM10" s="15"/>
      <c r="AO10" s="11" t="s">
        <v>8</v>
      </c>
      <c r="AP10" s="12"/>
      <c r="AQ10" s="12"/>
      <c r="AR10" s="13"/>
      <c r="AS10" s="14">
        <f>IF(ISNA(VLOOKUP(Categorie_Ventes_lbl4,CA_Prev,15,FALSE)),0,VLOOKUP(Categorie_Ventes_lbl4,CA_Prev,15,FALSE))</f>
        <v>9046.16</v>
      </c>
      <c r="AT10" s="15"/>
      <c r="AV10" s="11" t="s">
        <v>8</v>
      </c>
      <c r="AW10" s="12"/>
      <c r="AX10" s="12"/>
      <c r="AY10" s="13"/>
      <c r="AZ10" s="14">
        <f>IF(ISNA(VLOOKUP(Categorie_Ventes_lbl5,CA_Prev,15,FALSE)),0,VLOOKUP(Categorie_Ventes_lbl5,CA_Prev,15,FALSE))</f>
        <v>29610</v>
      </c>
      <c r="BA10" s="15"/>
      <c r="BC10" s="11" t="s">
        <v>8</v>
      </c>
      <c r="BD10" s="12"/>
      <c r="BE10" s="12"/>
      <c r="BF10" s="13"/>
      <c r="BG10" s="14">
        <f>IF(ISNA(VLOOKUP(Categorie_Ventes_lbl6,CA_Prev,15,FALSE)),0,VLOOKUP(Categorie_Ventes_lbl6,CA_Prev,15,FALSE))</f>
        <v>0</v>
      </c>
      <c r="BH10" s="15"/>
      <c r="BJ10" s="11" t="s">
        <v>8</v>
      </c>
      <c r="BK10" s="12"/>
      <c r="BL10" s="12"/>
      <c r="BM10" s="13"/>
      <c r="BN10" s="14">
        <f>IF(ISNA(VLOOKUP(Categorie_Ventes_lbl7,CA_Prev,15,FALSE)),0,VLOOKUP(Categorie_Ventes_lbl7,CA_Prev,15,FALSE))</f>
        <v>0</v>
      </c>
      <c r="BO10" s="15"/>
      <c r="BQ10" s="11" t="s">
        <v>8</v>
      </c>
      <c r="BR10" s="12"/>
      <c r="BS10" s="12"/>
      <c r="BT10" s="13"/>
      <c r="BU10" s="14">
        <f>IF(ISNA(VLOOKUP(Categorie_Ventes_lbl8,CA_Prev,15,FALSE)),0,VLOOKUP(Categorie_Ventes_lbl8,CA_Prev,15,FALSE))</f>
        <v>288000</v>
      </c>
      <c r="BV10" s="15"/>
      <c r="BX10" s="11" t="s">
        <v>8</v>
      </c>
      <c r="BY10" s="12"/>
      <c r="BZ10" s="12"/>
      <c r="CA10" s="13"/>
      <c r="CB10" s="14">
        <f>IF(ISNA(VLOOKUP(Categorie_Ventes_lbl9,CA_Prev,15,FALSE)),0,VLOOKUP(Categorie_Ventes_lbl9,CA_Prev,15,FALSE))</f>
        <v>65423.18</v>
      </c>
      <c r="CC10" s="15"/>
      <c r="CE10" s="11" t="s">
        <v>8</v>
      </c>
      <c r="CF10" s="12"/>
      <c r="CG10" s="12"/>
      <c r="CH10" s="13"/>
      <c r="CI10" s="14">
        <f>IF(ISNA(VLOOKUP(Categorie_Ventes_lbl10,CA_Prev,15,FALSE)),0,VLOOKUP(Categorie_Ventes_lbl10,CA_Prev,15,FALSE))</f>
        <v>0</v>
      </c>
      <c r="CJ10" s="15"/>
      <c r="CL10" s="11" t="s">
        <v>8</v>
      </c>
      <c r="CM10" s="12"/>
      <c r="CN10" s="12"/>
      <c r="CO10" s="13"/>
      <c r="CP10" s="14">
        <f>IF(ISNA(VLOOKUP(Categorie_Ventes_lbl11,CA_Prev,15,FALSE)),0,VLOOKUP(Categorie_Ventes_lbl11,CA_Prev,15,FALSE))</f>
        <v>0</v>
      </c>
      <c r="CQ10" s="15"/>
      <c r="CS10" s="11" t="s">
        <v>8</v>
      </c>
      <c r="CT10" s="12"/>
      <c r="CU10" s="12"/>
      <c r="CV10" s="13"/>
      <c r="CW10" s="14">
        <f>IF(ISNA(VLOOKUP(Categorie_Ventes_lbl12,CA_Prev,15,FALSE)),0,VLOOKUP(Categorie_Ventes_lbl12,CA_Prev,15,FALSE))</f>
        <v>78408.199999999983</v>
      </c>
      <c r="CX10" s="15"/>
      <c r="CZ10" s="11" t="s">
        <v>8</v>
      </c>
      <c r="DA10" s="12"/>
      <c r="DB10" s="12"/>
      <c r="DC10" s="13"/>
      <c r="DD10" s="14">
        <f>IF(ISNA(VLOOKUP(Categorie_Ventes_lbl13,CA_Prev,15,FALSE)),0,VLOOKUP(Categorie_Ventes_lbl13,CA_Prev,15,FALSE))</f>
        <v>0</v>
      </c>
      <c r="DE10" s="15"/>
      <c r="DG10" s="11" t="s">
        <v>8</v>
      </c>
      <c r="DH10" s="12"/>
      <c r="DI10" s="12"/>
      <c r="DJ10" s="13"/>
      <c r="DK10" s="14">
        <f>IF(ISNA(VLOOKUP(Categorie_Ventes_lbl14,CA_Prev,15,FALSE)),0,VLOOKUP(Categorie_Ventes_lbl14,CA_Prev,15,FALSE))</f>
        <v>0</v>
      </c>
      <c r="DL10" s="15"/>
      <c r="DN10" s="11" t="s">
        <v>8</v>
      </c>
      <c r="DO10" s="12"/>
      <c r="DP10" s="12"/>
      <c r="DQ10" s="13"/>
      <c r="DR10" s="14">
        <f t="shared" ref="DR10:DR20" si="0">+O10-(+DK10+DD10+CW10+CP10+CI10+CB10+BU10+BN10+BG10+AZ10+AS10+AL10+K98+O54)</f>
        <v>2208624.5200000005</v>
      </c>
      <c r="DS10" s="22"/>
    </row>
    <row r="11" spans="2:123" ht="20.100000000000001" customHeight="1" x14ac:dyDescent="0.35">
      <c r="G11" s="23"/>
      <c r="H11" s="24" t="s">
        <v>9</v>
      </c>
      <c r="I11" s="24"/>
      <c r="J11" s="25"/>
      <c r="K11" s="26">
        <f>+'[1]Ventes MO'!R27</f>
        <v>1327494.2469230772</v>
      </c>
      <c r="L11" s="27"/>
      <c r="M11" s="28"/>
      <c r="N11" s="29"/>
      <c r="O11" s="26">
        <f>+'[1]Ventes MO'!R27</f>
        <v>1327494.2469230772</v>
      </c>
      <c r="P11" s="27"/>
      <c r="Q11" s="26"/>
      <c r="R11" s="27"/>
      <c r="AH11" s="23"/>
      <c r="AI11" s="24" t="s">
        <v>9</v>
      </c>
      <c r="AJ11" s="24"/>
      <c r="AK11" s="25"/>
      <c r="AL11" s="26">
        <f>IF(ISNA(VLOOKUP(Categorie_Ventes_lbl3,Maindoeuvre_Objectifs,12,FALSE)),0,VLOOKUP(Categorie_Ventes_lbl3,Maindoeuvre_Objectifs,12,FALSE))</f>
        <v>261000</v>
      </c>
      <c r="AM11" s="30"/>
      <c r="AO11" s="23"/>
      <c r="AP11" s="24" t="s">
        <v>9</v>
      </c>
      <c r="AQ11" s="24"/>
      <c r="AR11" s="25"/>
      <c r="AS11" s="26">
        <f>IF(ISNA(VLOOKUP(Categorie_Ventes_lbl4,Maindoeuvre_Objectifs,12,FALSE)),0,VLOOKUP(Categorie_Ventes_lbl4,Maindoeuvre_Objectifs,12,FALSE))</f>
        <v>3131.3630769230767</v>
      </c>
      <c r="AT11" s="30"/>
      <c r="AV11" s="23"/>
      <c r="AW11" s="24" t="s">
        <v>9</v>
      </c>
      <c r="AX11" s="24"/>
      <c r="AY11" s="25"/>
      <c r="AZ11" s="26">
        <f>IF(ISNA(VLOOKUP(Categorie_Ventes_lbl5,Maindoeuvre_Objectifs,12,FALSE)),0,VLOOKUP(Categorie_Ventes_lbl5,Maindoeuvre_Objectifs,12,FALSE))</f>
        <v>0</v>
      </c>
      <c r="BA11" s="30"/>
      <c r="BC11" s="23"/>
      <c r="BD11" s="24" t="s">
        <v>9</v>
      </c>
      <c r="BE11" s="24"/>
      <c r="BF11" s="25"/>
      <c r="BG11" s="26">
        <f>IF(ISNA(VLOOKUP(Categorie_Ventes_lbl6,Maindoeuvre_Objectifs,12,FALSE)),0,VLOOKUP(Categorie_Ventes_lbl6,Maindoeuvre_Objectifs,12,FALSE))</f>
        <v>0</v>
      </c>
      <c r="BH11" s="30"/>
      <c r="BJ11" s="23"/>
      <c r="BK11" s="24" t="s">
        <v>9</v>
      </c>
      <c r="BL11" s="24"/>
      <c r="BM11" s="25"/>
      <c r="BN11" s="26">
        <f>IF(ISNA(VLOOKUP(Categorie_Ventes_lbl7,Maindoeuvre_Objectifs,12,FALSE)),0,VLOOKUP(Categorie_Ventes_lbl1,Maindoeuvre_Objectifs,12,FALSE))</f>
        <v>0</v>
      </c>
      <c r="BO11" s="30"/>
      <c r="BQ11" s="23"/>
      <c r="BR11" s="24" t="s">
        <v>9</v>
      </c>
      <c r="BS11" s="24"/>
      <c r="BT11" s="25"/>
      <c r="BU11" s="26">
        <f>IF(ISNA(VLOOKUP(Categorie_Ventes_lbl8,Maindoeuvre_Objectifs,12,FALSE)),0,VLOOKUP(Categorie_Ventes_lbl8,Maindoeuvre_Objectifs,12,FALSE))</f>
        <v>288000</v>
      </c>
      <c r="BV11" s="30"/>
      <c r="BX11" s="23"/>
      <c r="BY11" s="24" t="s">
        <v>9</v>
      </c>
      <c r="BZ11" s="24"/>
      <c r="CA11" s="25"/>
      <c r="CB11" s="26">
        <f>IF(ISNA(VLOOKUP(Categorie_Ventes_lbl9,Maindoeuvre_Objectifs,12,FALSE)),0,VLOOKUP(Categorie_Ventes_lbl9,Maindoeuvre_Objectifs,12,FALSE))</f>
        <v>22646.485384615386</v>
      </c>
      <c r="CC11" s="30"/>
      <c r="CE11" s="23"/>
      <c r="CF11" s="24" t="s">
        <v>9</v>
      </c>
      <c r="CG11" s="24"/>
      <c r="CH11" s="25"/>
      <c r="CI11" s="26">
        <f>IF(ISNA(VLOOKUP(Categorie_Ventes_lbl10,Maindoeuvre_Objectifs,12,FALSE)),0,VLOOKUP(Categorie_Ventes_lbl10,Maindoeuvre_Objectifs,12,FALSE))</f>
        <v>0</v>
      </c>
      <c r="CJ11" s="30"/>
      <c r="CL11" s="23"/>
      <c r="CM11" s="24" t="s">
        <v>9</v>
      </c>
      <c r="CN11" s="24"/>
      <c r="CO11" s="25"/>
      <c r="CP11" s="26">
        <f>IF(ISNA(VLOOKUP(Categorie_Ventes_lbl11,Maindoeuvre_Objectifs,12,FALSE)),0,VLOOKUP(Categorie_Ventes_lbl11,Maindoeuvre_Objectifs,12,FALSE))</f>
        <v>0</v>
      </c>
      <c r="CQ11" s="30"/>
      <c r="CS11" s="23"/>
      <c r="CT11" s="24" t="s">
        <v>9</v>
      </c>
      <c r="CU11" s="24"/>
      <c r="CV11" s="25"/>
      <c r="CW11" s="26">
        <f>IF(ISNA(VLOOKUP(Categorie_Ventes_lbl12,Maindoeuvre_Objectifs,12,FALSE)),0,VLOOKUP(Categorie_Ventes_lbl12,Maindoeuvre_Objectifs,12,FALSE))</f>
        <v>27141.299999999996</v>
      </c>
      <c r="CX11" s="30"/>
      <c r="CZ11" s="23"/>
      <c r="DA11" s="24" t="s">
        <v>9</v>
      </c>
      <c r="DB11" s="24"/>
      <c r="DC11" s="25"/>
      <c r="DD11" s="26">
        <f>IF(ISNA(VLOOKUP(Categorie_Ventes_lbl13,Maindoeuvre_Objectifs,12,FALSE)),0,VLOOKUP(Categorie_Ventes_lbl13,Maindoeuvre_Objectifs,12,FALSE))</f>
        <v>0</v>
      </c>
      <c r="DE11" s="30"/>
      <c r="DG11" s="23"/>
      <c r="DH11" s="24" t="s">
        <v>9</v>
      </c>
      <c r="DI11" s="24"/>
      <c r="DJ11" s="25"/>
      <c r="DK11" s="26">
        <f>IF(ISNA(VLOOKUP(Categorie_Ventes_lbl14,Maindoeuvre_Objectifs,12,FALSE)),0,VLOOKUP(Categorie_Ventes_lbl14,Maindoeuvre_Objectifs,12,FALSE))</f>
        <v>0</v>
      </c>
      <c r="DL11" s="30"/>
      <c r="DN11" s="23"/>
      <c r="DO11" s="24" t="s">
        <v>9</v>
      </c>
      <c r="DP11" s="24"/>
      <c r="DQ11" s="25"/>
      <c r="DR11" s="26">
        <f t="shared" si="0"/>
        <v>607340.00000000035</v>
      </c>
      <c r="DS11" s="27"/>
    </row>
    <row r="12" spans="2:123" ht="20.100000000000001" customHeight="1" x14ac:dyDescent="0.35">
      <c r="G12" s="23"/>
      <c r="H12" s="31" t="s">
        <v>10</v>
      </c>
      <c r="I12" s="31"/>
      <c r="J12" s="32"/>
      <c r="K12" s="26">
        <f>+SUMIF([1]Ventes!O10:O37,"Négoce",[1]Ventes!V10:V37)</f>
        <v>29610</v>
      </c>
      <c r="L12" s="30"/>
      <c r="M12" s="28"/>
      <c r="N12" s="29"/>
      <c r="O12" s="26">
        <f>+SUMIF([1]Ventes!O10:O37,"Négoce",[1]Ventes!V10:V37)</f>
        <v>29610</v>
      </c>
      <c r="P12" s="30"/>
      <c r="Q12" s="26"/>
      <c r="R12" s="30"/>
      <c r="AH12" s="23"/>
      <c r="AI12" s="31" t="s">
        <v>10</v>
      </c>
      <c r="AJ12" s="31"/>
      <c r="AK12" s="32"/>
      <c r="AL12" s="26">
        <f>IF(ISNA(VLOOKUP(Categorie_Ventes_lbl3,ACHATS,4,FALSE)),0,IF(VLOOKUP(Categorie_Ventes_lbl3,ACHATS,4,FALSE)="Négoce",IF(ISNA(VLOOKUP(Categorie_Ventes_lbl3,ACHATS,3,FALSE)),0,VLOOKUP(Categorie_Ventes_lbl3,ACHATS,3,FALSE)),0))</f>
        <v>0</v>
      </c>
      <c r="AM12" s="30"/>
      <c r="AO12" s="23"/>
      <c r="AP12" s="31" t="s">
        <v>10</v>
      </c>
      <c r="AQ12" s="31"/>
      <c r="AR12" s="32"/>
      <c r="AS12" s="26">
        <f>IF(ISNA(VLOOKUP(Categorie_Ventes_lbl4,ACHATS,4,FALSE)),0,IF(VLOOKUP(Categorie_Ventes_lbl4,ACHATS,4,FALSE)="Négoce",IF(ISNA(VLOOKUP(Categorie_Ventes_lbl4,ACHATS,3,FALSE)),0,VLOOKUP(Categorie_Ventes_lbl4,ACHATS,3,FALSE)),0))</f>
        <v>0</v>
      </c>
      <c r="AT12" s="30"/>
      <c r="AV12" s="23"/>
      <c r="AW12" s="31" t="s">
        <v>10</v>
      </c>
      <c r="AX12" s="31"/>
      <c r="AY12" s="32"/>
      <c r="AZ12" s="26">
        <f>IF(ISNA(VLOOKUP(Categorie_Ventes_lbl5,ACHATS,4,FALSE)),0,IF(VLOOKUP(Categorie_Ventes_lbl5,ACHATS,4,FALSE)="Négoce",IF(ISNA(VLOOKUP(Categorie_Ventes_lbl5,ACHATS,3,FALSE)),0,VLOOKUP(Categorie_Ventes_lbl5,ACHATS,3,FALSE)),0))</f>
        <v>29610</v>
      </c>
      <c r="BA12" s="30"/>
      <c r="BC12" s="23"/>
      <c r="BD12" s="31" t="s">
        <v>10</v>
      </c>
      <c r="BE12" s="31"/>
      <c r="BF12" s="32"/>
      <c r="BG12" s="26">
        <f>IF(ISNA(VLOOKUP(Categorie_Ventes_lbl6,ACHATS,4,FALSE)),0,IF(VLOOKUP(Categorie_Ventes_lbl6,ACHATS,4,FALSE)="Négoce",IF(ISNA(VLOOKUP(Categorie_Ventes_lbl6,ACHATS,3,FALSE)),0,VLOOKUP(Categorie_Ventes_lbl6,ACHATS,3,FALSE)),0))</f>
        <v>0</v>
      </c>
      <c r="BH12" s="30"/>
      <c r="BJ12" s="23"/>
      <c r="BK12" s="31" t="s">
        <v>10</v>
      </c>
      <c r="BL12" s="31"/>
      <c r="BM12" s="32"/>
      <c r="BN12" s="26">
        <f>IF(ISNA(VLOOKUP(Categorie_Ventes_lbl7,ACHATS,4,FALSE)),0,IF(VLOOKUP(Categorie_Ventes_lbl7,ACHATS,4,FALSE)="Négoce",IF(ISNA(VLOOKUP(Categorie_Ventes_lbl7,ACHATS,3,FALSE)),0,VLOOKUP(Categorie_Ventes_lbl7,ACHATS,3,FALSE)),0))</f>
        <v>0</v>
      </c>
      <c r="BO12" s="30"/>
      <c r="BQ12" s="23"/>
      <c r="BR12" s="31" t="s">
        <v>10</v>
      </c>
      <c r="BS12" s="31"/>
      <c r="BT12" s="32"/>
      <c r="BU12" s="26">
        <f>IF(ISNA(VLOOKUP(Categorie_Ventes_lbl8,ACHATS,4,FALSE)),0,IF(VLOOKUP(Categorie_Ventes_lbl8,ACHATS,4,FALSE)="Négoce",IF(ISNA(VLOOKUP(Categorie_Ventes_lbl8,ACHATS,3,FALSE)),0,VLOOKUP(Categorie_Ventes_lbl8,ACHATS,3,FALSE)),0))</f>
        <v>0</v>
      </c>
      <c r="BV12" s="30"/>
      <c r="BX12" s="23"/>
      <c r="BY12" s="31" t="s">
        <v>10</v>
      </c>
      <c r="BZ12" s="31"/>
      <c r="CA12" s="32"/>
      <c r="CB12" s="26">
        <f>IF(ISNA(VLOOKUP(Categorie_Ventes_lbl9,ACHATS,4,FALSE)),0,IF(VLOOKUP(Categorie_Ventes_lbl9,ACHATS,4,FALSE)="Négoce",IF(ISNA(VLOOKUP(Categorie_Ventes_lbl9,ACHATS,3,FALSE)),0,VLOOKUP(Categorie_Ventes_lbl9,ACHATS,3,FALSE)),0))</f>
        <v>0</v>
      </c>
      <c r="CC12" s="30"/>
      <c r="CE12" s="23"/>
      <c r="CF12" s="31" t="s">
        <v>10</v>
      </c>
      <c r="CG12" s="31"/>
      <c r="CH12" s="32"/>
      <c r="CI12" s="26">
        <f>IF(ISNA(VLOOKUP(Categorie_Ventes_lbl10,ACHATS,4,FALSE)),0,IF(VLOOKUP(Categorie_Ventes_lbl10,ACHATS,4,FALSE)="Négoce",IF(ISNA(VLOOKUP(Categorie_Ventes_lbl10,ACHATS,3,FALSE)),0,VLOOKUP(Categorie_Ventes_lbl10,ACHATS,3,FALSE)),0))</f>
        <v>0</v>
      </c>
      <c r="CJ12" s="30"/>
      <c r="CL12" s="23"/>
      <c r="CM12" s="31" t="s">
        <v>10</v>
      </c>
      <c r="CN12" s="31"/>
      <c r="CO12" s="32"/>
      <c r="CP12" s="26">
        <f>IF(ISNA(VLOOKUP(Categorie_Ventes_lbl11,ACHATS,4,FALSE)),0,IF(VLOOKUP(Categorie_Ventes_lbl11,ACHATS,4,FALSE)="Négoce",IF(ISNA(VLOOKUP(Categorie_Ventes_lbl11,ACHATS,3,FALSE)),0,VLOOKUP(Categorie_Ventes_lbl11,ACHATS,3,FALSE)),0))</f>
        <v>0</v>
      </c>
      <c r="CQ12" s="30"/>
      <c r="CS12" s="23"/>
      <c r="CT12" s="31" t="s">
        <v>10</v>
      </c>
      <c r="CU12" s="31"/>
      <c r="CV12" s="32"/>
      <c r="CW12" s="26">
        <f>IF(ISNA(VLOOKUP(Categorie_Ventes_lbl12,ACHATS,4,FALSE)),0,IF(VLOOKUP(Categorie_Ventes_lbl12,ACHATS,4,FALSE)="Négoce",IF(ISNA(VLOOKUP(Categorie_Ventes_lbl12,ACHATS,3,FALSE)),0,VLOOKUP(Categorie_Ventes_lbl12,ACHATS,3,FALSE)),0))</f>
        <v>0</v>
      </c>
      <c r="CX12" s="30"/>
      <c r="CZ12" s="23"/>
      <c r="DA12" s="31" t="s">
        <v>10</v>
      </c>
      <c r="DB12" s="31"/>
      <c r="DC12" s="32"/>
      <c r="DD12" s="26">
        <f>IF(ISNA(VLOOKUP(Categorie_Ventes_lbl13,ACHATS,4,FALSE)),0,IF(VLOOKUP(Categorie_Ventes_lbl13,ACHATS,4,FALSE)="Négoce",IF(ISNA(VLOOKUP(Categorie_Ventes_lbl13,ACHATS,3,FALSE)),0,VLOOKUP(Categorie_Ventes_lbl13,ACHATS,3,FALSE)),0))</f>
        <v>0</v>
      </c>
      <c r="DE12" s="30"/>
      <c r="DG12" s="23"/>
      <c r="DH12" s="31" t="s">
        <v>10</v>
      </c>
      <c r="DI12" s="31"/>
      <c r="DJ12" s="32"/>
      <c r="DK12" s="26">
        <f>IF(ISNA(VLOOKUP(Categorie_Ventes_lbl14,ACHATS,4,FALSE)),0,IF(VLOOKUP(Categorie_Ventes_lbl14,ACHATS,4,FALSE)="Négoce",IF(ISNA(VLOOKUP(Categorie_Ventes_lbl14,ACHATS,3,FALSE)),0,VLOOKUP(Categorie_Ventes_lbl14,ACHATS,3,FALSE)),0))</f>
        <v>0</v>
      </c>
      <c r="DL12" s="30"/>
      <c r="DN12" s="23"/>
      <c r="DO12" s="31" t="s">
        <v>10</v>
      </c>
      <c r="DP12" s="31"/>
      <c r="DQ12" s="32"/>
      <c r="DR12" s="26">
        <f t="shared" si="0"/>
        <v>0</v>
      </c>
      <c r="DS12" s="27"/>
    </row>
    <row r="13" spans="2:123" ht="20.100000000000001" customHeight="1" x14ac:dyDescent="0.35">
      <c r="B13" s="1"/>
      <c r="D13" s="4"/>
      <c r="E13" s="4"/>
      <c r="G13" s="23"/>
      <c r="H13" s="24" t="s">
        <v>11</v>
      </c>
      <c r="I13" s="24"/>
      <c r="J13" s="25"/>
      <c r="K13" s="26">
        <f>+SUMIF([1]Ventes!O10:O37,"Production",[1]Ventes!V10:V37)-SUMIF('[1]Ventes MO'!L10:L26,"Production",'[1]Ventes MO'!R10:R26)</f>
        <v>2565229.1330769234</v>
      </c>
      <c r="L13" s="30"/>
      <c r="M13" s="28"/>
      <c r="N13" s="29"/>
      <c r="O13" s="26">
        <f>+SUMIF([1]Ventes!O10:O37,"Production",[1]Ventes!V10:V37)-SUMIF('[1]Ventes MO'!L10:L26,"Production",'[1]Ventes MO'!R10:R26)</f>
        <v>2565229.1330769234</v>
      </c>
      <c r="P13" s="30"/>
      <c r="Q13" s="26"/>
      <c r="R13" s="30"/>
      <c r="AH13" s="23"/>
      <c r="AI13" s="24" t="s">
        <v>12</v>
      </c>
      <c r="AJ13" s="24"/>
      <c r="AK13" s="25"/>
      <c r="AL13" s="26">
        <f>IF(ISNA(VLOOKUP(Categorie_Ventes_lbl3,ACHATS,4,FALSE)),0,IF(VLOOKUP(Categorie_Ventes_lbl3,ACHATS,4,FALSE)="Services",0,IF(VLOOKUP(Categorie_Ventes_lbl3,ACHATS,4,FALSE)&lt;&gt;"Négoce",IF(ISNA(VLOOKUP(Categorie_Ventes_lbl3,ACHATS,3,FALSE)),0,VLOOKUP(Categorie_Ventes_lbl3,ACHATS,3,FALSE)),0))-AL11)</f>
        <v>667000</v>
      </c>
      <c r="AM13" s="30"/>
      <c r="AO13" s="23"/>
      <c r="AP13" s="24" t="s">
        <v>12</v>
      </c>
      <c r="AQ13" s="24"/>
      <c r="AR13" s="25"/>
      <c r="AS13" s="26">
        <f>IF(ISNA(VLOOKUP(Categorie_Ventes_lbl4,ACHATS,4,FALSE)),0,IF(VLOOKUP(Categorie_Ventes_lbl4,ACHATS,4,FALSE)="Services",0,IF(VLOOKUP(Categorie_Ventes_lbl4,ACHATS,4,FALSE)&lt;&gt;"Négoce",IF(ISNA(VLOOKUP(Categorie_Ventes_lbl4,ACHATS,3,FALSE)),0,VLOOKUP(Categorie_Ventes_lbl4,ACHATS,3,FALSE)),0))-AS11)</f>
        <v>5914.7969230769231</v>
      </c>
      <c r="AT13" s="30"/>
      <c r="AV13" s="23"/>
      <c r="AW13" s="24" t="s">
        <v>12</v>
      </c>
      <c r="AX13" s="24"/>
      <c r="AY13" s="25"/>
      <c r="AZ13" s="26">
        <f>IF(ISNA(VLOOKUP(Categorie_Ventes_lbl5,ACHATS,4,FALSE)),0,IF(VLOOKUP(Categorie_Ventes_lbl5,ACHATS,4,FALSE)="Services",0,IF(VLOOKUP(Categorie_Ventes_lbl5,ACHATS,4,FALSE)&lt;&gt;"Négoce",IF(ISNA(VLOOKUP(Categorie_Ventes_lbl5,ACHATS,3,FALSE)),0,VLOOKUP(Categorie_Ventes_lbl5,ACHATS,3,FALSE)),0))-AZ11)</f>
        <v>0</v>
      </c>
      <c r="BA13" s="30"/>
      <c r="BC13" s="23"/>
      <c r="BD13" s="24" t="s">
        <v>12</v>
      </c>
      <c r="BE13" s="24"/>
      <c r="BF13" s="25"/>
      <c r="BG13" s="26">
        <f>IF(ISNA(VLOOKUP(Categorie_Ventes_lbl6,ACHATS,4,FALSE)),0,IF(VLOOKUP(Categorie_Ventes_lbl6,ACHATS,4,FALSE)="Services",0,IF(VLOOKUP(Categorie_Ventes_lbl6,ACHATS,4,FALSE)&lt;&gt;"Négoce",IF(ISNA(VLOOKUP(Categorie_Ventes_lbl6,ACHATS,3,FALSE)),0,VLOOKUP(Categorie_Ventes_lbl6,ACHATS,3,FALSE)),0))-BG11)</f>
        <v>0</v>
      </c>
      <c r="BH13" s="30"/>
      <c r="BJ13" s="23"/>
      <c r="BK13" s="24" t="s">
        <v>12</v>
      </c>
      <c r="BL13" s="24"/>
      <c r="BM13" s="25"/>
      <c r="BN13" s="26">
        <f>IF(ISNA(VLOOKUP(Categorie_Ventes_lbl7,ACHATS,4,FALSE)),0,IF(VLOOKUP(Categorie_Ventes_lbl7,ACHATS,4,FALSE)="Services",0,IF(VLOOKUP(Categorie_Ventes_lbl7,ACHATS,4,FALSE)&lt;&gt;"Négoce",IF(ISNA(VLOOKUP(Categorie_Ventes_lbl7,ACHATS,3,FALSE)),0,VLOOKUP(Categorie_Ventes_lbl7,ACHATS,3,FALSE)),0))-BN11)</f>
        <v>0</v>
      </c>
      <c r="BO13" s="30"/>
      <c r="BQ13" s="23"/>
      <c r="BR13" s="24" t="s">
        <v>12</v>
      </c>
      <c r="BS13" s="24"/>
      <c r="BT13" s="25"/>
      <c r="BU13" s="26">
        <f>IF(ISNA(VLOOKUP(Categorie_Ventes_lbl8,ACHATS,4,FALSE)),0,IF(VLOOKUP(Categorie_Ventes_lbl8,ACHATS,4,FALSE)="Services",0,IF(VLOOKUP(Categorie_Ventes_lbl8,ACHATS,4,FALSE)&lt;&gt;"Négoce",IF(ISNA(VLOOKUP(Categorie_Ventes_lbl8,ACHATS,3,FALSE)),0,VLOOKUP(Categorie_Ventes_lbl8,ACHATS,3,FALSE)),0))-BU11)</f>
        <v>0</v>
      </c>
      <c r="BV13" s="30"/>
      <c r="BX13" s="23"/>
      <c r="BY13" s="24" t="s">
        <v>12</v>
      </c>
      <c r="BZ13" s="24"/>
      <c r="CA13" s="25"/>
      <c r="CB13" s="26">
        <f>IF(ISNA(VLOOKUP(Categorie_Ventes_lbl9,ACHATS,4,FALSE)),0,IF(VLOOKUP(Categorie_Ventes_lbl9,ACHATS,4,FALSE)="Services",0,IF(VLOOKUP(Categorie_Ventes_lbl9,ACHATS,4,FALSE)&lt;&gt;"Négoce",IF(ISNA(VLOOKUP(Categorie_Ventes_lbl9,ACHATS,3,FALSE)),0,VLOOKUP(Categorie_Ventes_lbl9,ACHATS,3,FALSE)),0))-CB11)</f>
        <v>42776.694615384615</v>
      </c>
      <c r="CC13" s="30"/>
      <c r="CE13" s="23"/>
      <c r="CF13" s="24" t="s">
        <v>12</v>
      </c>
      <c r="CG13" s="24"/>
      <c r="CH13" s="25"/>
      <c r="CI13" s="26">
        <f>IF(ISNA(VLOOKUP(Categorie_Ventes_lbl10,ACHATS,4,FALSE)),0,IF(VLOOKUP(Categorie_Ventes_lbl10,ACHATS,4,FALSE)="Services",0,IF(VLOOKUP(Categorie_Ventes_lbl10,ACHATS,4,FALSE)&lt;&gt;"Négoce",IF(ISNA(VLOOKUP(Categorie_Ventes_lbl10,ACHATS,3,FALSE)),0,VLOOKUP(Categorie_Ventes_lbl10,ACHATS,3,FALSE)),0))-CI11)</f>
        <v>0</v>
      </c>
      <c r="CJ13" s="30"/>
      <c r="CL13" s="23"/>
      <c r="CM13" s="24" t="s">
        <v>12</v>
      </c>
      <c r="CN13" s="24"/>
      <c r="CO13" s="25"/>
      <c r="CP13" s="26">
        <f>IF(ISNA(VLOOKUP(Categorie_Ventes_lbl11,ACHATS,4,FALSE)),0,IF(VLOOKUP(Categorie_Ventes_lbl11,ACHATS,4,FALSE)="Services",0,IF(VLOOKUP(Categorie_Ventes_lbl11,ACHATS,4,FALSE)&lt;&gt;"Négoce",IF(ISNA(VLOOKUP(Categorie_Ventes_lbl11,ACHATS,3,FALSE)),0,VLOOKUP(Categorie_Ventes_lbl11,ACHATS,3,FALSE)),0))-CP11)</f>
        <v>0</v>
      </c>
      <c r="CQ13" s="30"/>
      <c r="CS13" s="23"/>
      <c r="CT13" s="24" t="s">
        <v>12</v>
      </c>
      <c r="CU13" s="24"/>
      <c r="CV13" s="25"/>
      <c r="CW13" s="26">
        <f>IF(ISNA(VLOOKUP(Categorie_Ventes_lbl12,ACHATS,4,FALSE)),0,IF(VLOOKUP(Categorie_Ventes_lbl12,ACHATS,4,FALSE)="Services",0,IF(VLOOKUP(Categorie_Ventes_lbl12,ACHATS,4,FALSE)&lt;&gt;"Négoce",IF(ISNA(VLOOKUP(Categorie_Ventes_lbl12,ACHATS,3,FALSE)),0,VLOOKUP(Categorie_Ventes_lbl12,ACHATS,3,FALSE)),0))-CW11)</f>
        <v>51266.899999999987</v>
      </c>
      <c r="CX13" s="30"/>
      <c r="CZ13" s="23"/>
      <c r="DA13" s="24" t="s">
        <v>12</v>
      </c>
      <c r="DB13" s="24"/>
      <c r="DC13" s="25"/>
      <c r="DD13" s="26">
        <f>IF(ISNA(VLOOKUP(Categorie_Ventes_lbl13,ACHATS,4,FALSE)),0,IF(VLOOKUP(Categorie_Ventes_lbl13,ACHATS,4,FALSE)="Services",0,IF(VLOOKUP(Categorie_Ventes_lbl13,ACHATS,4,FALSE)&lt;&gt;"Négoce",IF(ISNA(VLOOKUP(Categorie_Ventes_lbl13,ACHATS,3,FALSE)),0,VLOOKUP(Categorie_Ventes_lbl13,ACHATS,3,FALSE)),0))-DD11)</f>
        <v>0</v>
      </c>
      <c r="DE13" s="30"/>
      <c r="DG13" s="23"/>
      <c r="DH13" s="24" t="s">
        <v>12</v>
      </c>
      <c r="DI13" s="24"/>
      <c r="DJ13" s="25"/>
      <c r="DK13" s="26">
        <f>IF(ISNA(VLOOKUP(Categorie_Ventes_lbl14,ACHATS,4,FALSE)),0,IF(VLOOKUP(Categorie_Ventes_lbl14,ACHATS,4,FALSE)="Services",0,IF(VLOOKUP(Categorie_Ventes_lbl14,ACHATS,4,FALSE)&lt;&gt;"Négoce",IF(ISNA(VLOOKUP(Categorie_Ventes_lbl14,ACHATS,3,FALSE)),0,VLOOKUP(Categorie_Ventes_lbl14,ACHATS,3,FALSE)),0))-DK11)</f>
        <v>0</v>
      </c>
      <c r="DL13" s="30"/>
      <c r="DN13" s="23"/>
      <c r="DO13" s="24" t="s">
        <v>12</v>
      </c>
      <c r="DP13" s="24"/>
      <c r="DQ13" s="25"/>
      <c r="DR13" s="26">
        <f t="shared" si="0"/>
        <v>1601284.5200000005</v>
      </c>
      <c r="DS13" s="27"/>
    </row>
    <row r="14" spans="2:123" ht="23.25" customHeight="1" x14ac:dyDescent="0.35">
      <c r="G14" s="11" t="s">
        <v>13</v>
      </c>
      <c r="H14" s="12"/>
      <c r="I14" s="12"/>
      <c r="J14" s="13"/>
      <c r="K14" s="14">
        <f>Achats_Total</f>
        <v>1666377.1800000002</v>
      </c>
      <c r="L14" s="15"/>
      <c r="M14" s="16"/>
      <c r="N14" s="17"/>
      <c r="O14" s="14">
        <f>Achats_Total</f>
        <v>1666377.1800000002</v>
      </c>
      <c r="P14" s="15"/>
      <c r="Q14" s="14"/>
      <c r="R14" s="15"/>
      <c r="AH14" s="11" t="s">
        <v>13</v>
      </c>
      <c r="AI14" s="12"/>
      <c r="AJ14" s="12"/>
      <c r="AK14" s="13"/>
      <c r="AL14" s="14">
        <f>SUM(AL15:AM16)</f>
        <v>352640</v>
      </c>
      <c r="AM14" s="15"/>
      <c r="AO14" s="11" t="s">
        <v>13</v>
      </c>
      <c r="AP14" s="12"/>
      <c r="AQ14" s="12"/>
      <c r="AR14" s="13"/>
      <c r="AS14" s="14">
        <f>SUM(AS15:AT16)</f>
        <v>1809.2319999999995</v>
      </c>
      <c r="AT14" s="15"/>
      <c r="AV14" s="11" t="s">
        <v>13</v>
      </c>
      <c r="AW14" s="12"/>
      <c r="AX14" s="12"/>
      <c r="AY14" s="13"/>
      <c r="AZ14" s="14">
        <f>SUM(AZ15:BA16)</f>
        <v>16285.500000000002</v>
      </c>
      <c r="BA14" s="15"/>
      <c r="BC14" s="11" t="s">
        <v>13</v>
      </c>
      <c r="BD14" s="12"/>
      <c r="BE14" s="12"/>
      <c r="BF14" s="13"/>
      <c r="BG14" s="14">
        <f>SUM(BG15:BH16)</f>
        <v>0</v>
      </c>
      <c r="BH14" s="15"/>
      <c r="BJ14" s="11" t="s">
        <v>13</v>
      </c>
      <c r="BK14" s="12"/>
      <c r="BL14" s="12"/>
      <c r="BM14" s="13"/>
      <c r="BN14" s="14">
        <f>SUM(BN15:BO16)</f>
        <v>0</v>
      </c>
      <c r="BO14" s="15"/>
      <c r="BQ14" s="11" t="s">
        <v>13</v>
      </c>
      <c r="BR14" s="12"/>
      <c r="BS14" s="12"/>
      <c r="BT14" s="13"/>
      <c r="BU14" s="14">
        <f>SUM(BU15:BV16)</f>
        <v>0</v>
      </c>
      <c r="BV14" s="15"/>
      <c r="BX14" s="11" t="s">
        <v>13</v>
      </c>
      <c r="BY14" s="12"/>
      <c r="BZ14" s="12"/>
      <c r="CA14" s="13"/>
      <c r="CB14" s="14">
        <f>SUM(CB15:CC16)</f>
        <v>13084.635999999997</v>
      </c>
      <c r="CC14" s="15"/>
      <c r="CE14" s="11" t="s">
        <v>13</v>
      </c>
      <c r="CF14" s="12"/>
      <c r="CG14" s="12"/>
      <c r="CH14" s="13"/>
      <c r="CI14" s="14">
        <f>SUM(CI15:CJ16)</f>
        <v>0</v>
      </c>
      <c r="CJ14" s="15"/>
      <c r="CL14" s="11" t="s">
        <v>13</v>
      </c>
      <c r="CM14" s="12"/>
      <c r="CN14" s="12"/>
      <c r="CO14" s="13"/>
      <c r="CP14" s="14">
        <f>SUM(CP15:CQ16)</f>
        <v>0</v>
      </c>
      <c r="CQ14" s="15"/>
      <c r="CS14" s="11" t="s">
        <v>13</v>
      </c>
      <c r="CT14" s="12"/>
      <c r="CU14" s="12"/>
      <c r="CV14" s="13"/>
      <c r="CW14" s="14">
        <f>SUM(CW15:CX16)</f>
        <v>23522.46</v>
      </c>
      <c r="CX14" s="15"/>
      <c r="CZ14" s="11" t="s">
        <v>13</v>
      </c>
      <c r="DA14" s="12"/>
      <c r="DB14" s="12"/>
      <c r="DC14" s="13"/>
      <c r="DD14" s="14">
        <f>SUM(DD15:DE16)</f>
        <v>0</v>
      </c>
      <c r="DE14" s="15"/>
      <c r="DG14" s="11" t="s">
        <v>13</v>
      </c>
      <c r="DH14" s="12"/>
      <c r="DI14" s="12"/>
      <c r="DJ14" s="13"/>
      <c r="DK14" s="14">
        <f>SUM(DK15:DL16)</f>
        <v>0</v>
      </c>
      <c r="DL14" s="15"/>
      <c r="DN14" s="11" t="s">
        <v>13</v>
      </c>
      <c r="DO14" s="12"/>
      <c r="DP14" s="12"/>
      <c r="DQ14" s="13"/>
      <c r="DR14" s="14">
        <f t="shared" si="0"/>
        <v>1113610.1200000001</v>
      </c>
      <c r="DS14" s="22"/>
    </row>
    <row r="15" spans="2:123" ht="20.100000000000001" customHeight="1" x14ac:dyDescent="0.35">
      <c r="B15" s="1"/>
      <c r="D15" s="4"/>
      <c r="E15" s="4"/>
      <c r="G15" s="33"/>
      <c r="H15" s="24" t="s">
        <v>14</v>
      </c>
      <c r="I15" s="24"/>
      <c r="J15" s="25"/>
      <c r="K15" s="26">
        <f>Achats_Negoce</f>
        <v>16285.500000000002</v>
      </c>
      <c r="L15" s="30"/>
      <c r="M15" s="28"/>
      <c r="N15" s="29"/>
      <c r="O15" s="26">
        <f>Achats_Negoce</f>
        <v>16285.500000000002</v>
      </c>
      <c r="P15" s="30"/>
      <c r="Q15" s="26"/>
      <c r="R15" s="30"/>
      <c r="AH15" s="33"/>
      <c r="AI15" s="24" t="s">
        <v>14</v>
      </c>
      <c r="AJ15" s="24"/>
      <c r="AK15" s="25"/>
      <c r="AL15" s="26">
        <f>IF(ISNA(VLOOKUP(Categorie_Ventes_lbl3,ACHATS,4,FALSE)),0,IF(VLOOKUP(Categorie_Ventes_lbl3,ACHATS,4,FALSE)="Négoce",IF(ISNA(VLOOKUP(Categorie_Ventes_lbl3,ACHATS,9,FALSE)),0,VLOOKUP(Categorie_Ventes_lbl3,ACHATS,9,FALSE)),0))</f>
        <v>0</v>
      </c>
      <c r="AM15" s="30"/>
      <c r="AO15" s="33"/>
      <c r="AP15" s="24" t="s">
        <v>14</v>
      </c>
      <c r="AQ15" s="24"/>
      <c r="AR15" s="25"/>
      <c r="AS15" s="26">
        <f>IF(ISNA(VLOOKUP(Categorie_Ventes_lbl4,ACHATS,4,FALSE)),0,IF(VLOOKUP(Categorie_Ventes_lbl4,ACHATS,4,FALSE)="Négoce",IF(ISNA(VLOOKUP(Categorie_Ventes_lbl4,ACHATS,9,FALSE)),0,VLOOKUP(Categorie_Ventes_lbl4,ACHATS,9,FALSE)),0))</f>
        <v>0</v>
      </c>
      <c r="AT15" s="30"/>
      <c r="AV15" s="33"/>
      <c r="AW15" s="24" t="s">
        <v>14</v>
      </c>
      <c r="AX15" s="24"/>
      <c r="AY15" s="25"/>
      <c r="AZ15" s="26">
        <f>IF(ISNA(VLOOKUP(Categorie_Ventes_lbl5,ACHATS,4,FALSE)),0,IF(VLOOKUP(Categorie_Ventes_lbl5,ACHATS,4,FALSE)="Négoce",IF(ISNA(VLOOKUP(Categorie_Ventes_lbl5,ACHATS,9,FALSE)),0,VLOOKUP(Categorie_Ventes_lbl5,ACHATS,9,FALSE)),0))</f>
        <v>16285.500000000002</v>
      </c>
      <c r="BA15" s="30"/>
      <c r="BC15" s="33"/>
      <c r="BD15" s="24" t="s">
        <v>14</v>
      </c>
      <c r="BE15" s="24"/>
      <c r="BF15" s="25"/>
      <c r="BG15" s="26">
        <f>IF(ISNA(VLOOKUP(Categorie_Ventes_lbl6,ACHATS,4,FALSE)),0,IF(VLOOKUP(Categorie_Ventes_lbl6,ACHATS,4,FALSE)="Négoce",IF(ISNA(VLOOKUP(Categorie_Ventes_lbl6,ACHATS,9,FALSE)),0,VLOOKUP(Categorie_Ventes_lbl6,ACHATS,9,FALSE)),0))</f>
        <v>0</v>
      </c>
      <c r="BH15" s="30"/>
      <c r="BJ15" s="33"/>
      <c r="BK15" s="24" t="s">
        <v>14</v>
      </c>
      <c r="BL15" s="24"/>
      <c r="BM15" s="25"/>
      <c r="BN15" s="26">
        <f>IF(ISNA(VLOOKUP(Categorie_Ventes_lbl7,ACHATS,4,FALSE)),0,IF(VLOOKUP(Categorie_Ventes_lbl7,ACHATS,4,FALSE)="Négoce",IF(ISNA(VLOOKUP(Categorie_Ventes_lbl7,ACHATS,9,FALSE)),0,VLOOKUP(Categorie_Ventes_lbl7,ACHATS,9,FALSE)),0))</f>
        <v>0</v>
      </c>
      <c r="BO15" s="30"/>
      <c r="BQ15" s="33"/>
      <c r="BR15" s="24" t="s">
        <v>14</v>
      </c>
      <c r="BS15" s="24"/>
      <c r="BT15" s="25"/>
      <c r="BU15" s="26">
        <f>IF(ISNA(VLOOKUP(Categorie_Ventes_lbl8,ACHATS,4,FALSE)),0,IF(VLOOKUP(Categorie_Ventes_lbl8,ACHATS,4,FALSE)="Négoce",IF(ISNA(VLOOKUP(Categorie_Ventes_lbl8,ACHATS,9,FALSE)),0,VLOOKUP(Categorie_Ventes_lbl5,ACHATS,8,FALSE)),0))</f>
        <v>0</v>
      </c>
      <c r="BV15" s="30"/>
      <c r="BX15" s="33"/>
      <c r="BY15" s="24" t="s">
        <v>14</v>
      </c>
      <c r="BZ15" s="24"/>
      <c r="CA15" s="25"/>
      <c r="CB15" s="26">
        <f>IF(ISNA(VLOOKUP(Categorie_Ventes_lbl9,ACHATS,4,FALSE)),0,IF(VLOOKUP(Categorie_Ventes_lbl9,ACHATS,4,FALSE)="Négoce",IF(ISNA(VLOOKUP(Categorie_Ventes_lbl9,ACHATS,9,FALSE)),0,VLOOKUP(Categorie_Ventes_lbl9,ACHATS,9,FALSE)),0))</f>
        <v>0</v>
      </c>
      <c r="CC15" s="30"/>
      <c r="CE15" s="33"/>
      <c r="CF15" s="24" t="s">
        <v>14</v>
      </c>
      <c r="CG15" s="24"/>
      <c r="CH15" s="25"/>
      <c r="CI15" s="26">
        <f>IF(ISNA(VLOOKUP(Categorie_Ventes_lbl10,ACHATS,4,FALSE)),0,IF(VLOOKUP(Categorie_Ventes_lbl10,ACHATS,4,FALSE)="Négoce",IF(ISNA(VLOOKUP(Categorie_Ventes_lbl10,ACHATS,9,FALSE)),0,VLOOKUP(Categorie_Ventes_lbl10,ACHATS,9,FALSE)),0))</f>
        <v>0</v>
      </c>
      <c r="CJ15" s="30"/>
      <c r="CL15" s="33"/>
      <c r="CM15" s="24" t="s">
        <v>14</v>
      </c>
      <c r="CN15" s="24"/>
      <c r="CO15" s="25"/>
      <c r="CP15" s="26">
        <f>IF(ISNA(VLOOKUP(Categorie_Ventes_lbl11,ACHATS,4,FALSE)),0,IF(VLOOKUP(Categorie_Ventes_lb11,ACHATS,4,FALSE)="Négoce",IF(ISNA(VLOOKUP(Categorie_Ventes_lbl11,ACHATS,9,FALSE)),0,VLOOKUP(Categorie_Ventes_lbl11,ACHATS,9,FALSE)),0))</f>
        <v>0</v>
      </c>
      <c r="CQ15" s="30"/>
      <c r="CS15" s="33"/>
      <c r="CT15" s="24" t="s">
        <v>14</v>
      </c>
      <c r="CU15" s="24"/>
      <c r="CV15" s="25"/>
      <c r="CW15" s="26">
        <f>IF(ISNA(VLOOKUP(Categorie_Ventes_lbl12,ACHATS,4,FALSE)),0,IF(VLOOKUP(Categorie_Ventes_lbl12,ACHATS,4,FALSE)="Négoce",IF(ISNA(VLOOKUP(Categorie_Ventes_lbl12,ACHATS,9,FALSE)),0,VLOOKUP(Categorie_Ventes_lbl12,ACHATS,9,FALSE)),0))</f>
        <v>0</v>
      </c>
      <c r="CX15" s="30"/>
      <c r="CZ15" s="33"/>
      <c r="DA15" s="24" t="s">
        <v>14</v>
      </c>
      <c r="DB15" s="24"/>
      <c r="DC15" s="25"/>
      <c r="DD15" s="26">
        <f>IF(ISNA(VLOOKUP(Categorie_Ventes_lbl13,ACHATS,4,FALSE)),0,IF(VLOOKUP(Categorie_Ventes_lbl13,ACHATS,4,FALSE)="Négoce",IF(ISNA(VLOOKUP(Categorie_Ventes_lbl13,ACHATS,9,FALSE)),0,VLOOKUP(Categorie_Ventes_lbl13,ACHATS,9,FALSE)),0))</f>
        <v>0</v>
      </c>
      <c r="DE15" s="30"/>
      <c r="DG15" s="33"/>
      <c r="DH15" s="24" t="s">
        <v>14</v>
      </c>
      <c r="DI15" s="24"/>
      <c r="DJ15" s="25"/>
      <c r="DK15" s="26">
        <f>IF(ISNA(VLOOKUP(Categorie_Ventes_lbl14,ACHATS,4,FALSE)),0,IF(VLOOKUP(Categorie_Ventes_lbl14,ACHATS,4,FALSE)="Négoce",IF(ISNA(VLOOKUP(Categorie_Ventes_lbl14,ACHATS,9,FALSE)),0,VLOOKUP(Categorie_Ventes_lbl14,ACHATS,9,FALSE)),0))</f>
        <v>0</v>
      </c>
      <c r="DL15" s="30"/>
      <c r="DN15" s="33"/>
      <c r="DO15" s="24" t="s">
        <v>14</v>
      </c>
      <c r="DP15" s="24"/>
      <c r="DQ15" s="25"/>
      <c r="DR15" s="26">
        <f t="shared" si="0"/>
        <v>0</v>
      </c>
      <c r="DS15" s="27"/>
    </row>
    <row r="16" spans="2:123" ht="20.100000000000001" customHeight="1" x14ac:dyDescent="0.35">
      <c r="B16" s="1"/>
      <c r="D16" s="4"/>
      <c r="E16" s="4"/>
      <c r="G16" s="23"/>
      <c r="H16" s="31" t="s">
        <v>15</v>
      </c>
      <c r="I16" s="31"/>
      <c r="J16" s="32"/>
      <c r="K16" s="26">
        <f>Achats_Matiere</f>
        <v>1650091.6800000002</v>
      </c>
      <c r="L16" s="30">
        <f>Achats_Matiere</f>
        <v>1650091.6800000002</v>
      </c>
      <c r="M16" s="28"/>
      <c r="N16" s="29"/>
      <c r="O16" s="26">
        <f>Achats_Matiere</f>
        <v>1650091.6800000002</v>
      </c>
      <c r="P16" s="30">
        <f>Achats_Matiere</f>
        <v>1650091.6800000002</v>
      </c>
      <c r="Q16" s="26"/>
      <c r="R16" s="30"/>
      <c r="AH16" s="23"/>
      <c r="AI16" s="31" t="s">
        <v>15</v>
      </c>
      <c r="AJ16" s="31"/>
      <c r="AK16" s="32"/>
      <c r="AL16" s="26">
        <f>IF(ISNA(VLOOKUP(Categorie_Ventes_lbl3,ACHATS,4,FALSE)),0,IF(VLOOKUP(Categorie_Ventes_lbl3,ACHATS,4,FALSE)&lt;&gt;"Négoce",IF(ISNA(VLOOKUP(Categorie_Ventes_lbl3,ACHATS,9,FALSE)),0,VLOOKUP(Categorie_Ventes_lbl3,ACHATS,9,FALSE)),0))</f>
        <v>352640</v>
      </c>
      <c r="AM16" s="30"/>
      <c r="AO16" s="23"/>
      <c r="AP16" s="31" t="s">
        <v>15</v>
      </c>
      <c r="AQ16" s="31"/>
      <c r="AR16" s="32"/>
      <c r="AS16" s="26">
        <f>IF(ISNA(VLOOKUP(Categorie_Ventes_lbl4,ACHATS,4,FALSE)),0,IF(VLOOKUP(Categorie_Ventes_lbl4,ACHATS,4,FALSE)&lt;&gt;"Négoce",IF(ISNA(VLOOKUP(Categorie_Ventes_lbl4,ACHATS,9,FALSE)),0,VLOOKUP(Categorie_Ventes_lbl4,ACHATS,9,FALSE)),0))</f>
        <v>1809.2319999999995</v>
      </c>
      <c r="AT16" s="30"/>
      <c r="AV16" s="23"/>
      <c r="AW16" s="31" t="s">
        <v>15</v>
      </c>
      <c r="AX16" s="31"/>
      <c r="AY16" s="32"/>
      <c r="AZ16" s="26">
        <f>IF(ISNA(VLOOKUP(Categorie_Ventes_lbl5,ACHATS,4,FALSE)),0,IF(VLOOKUP(Categorie_Ventes_lbl5,ACHATS,4,FALSE)&lt;&gt;"Négoce",IF(ISNA(VLOOKUP(Categorie_Ventes_lbl5,ACHATS,9,FALSE)),0,VLOOKUP(Categorie_Ventes_lbl5,ACHATS,9,FALSE)),0))</f>
        <v>0</v>
      </c>
      <c r="BA16" s="30"/>
      <c r="BC16" s="23"/>
      <c r="BD16" s="31" t="s">
        <v>15</v>
      </c>
      <c r="BE16" s="31"/>
      <c r="BF16" s="32"/>
      <c r="BG16" s="26">
        <f>IF(ISNA(VLOOKUP(Categorie_Ventes_lbl6,ACHATS,4,FALSE)),0,IF(VLOOKUP(Categorie_Ventes_lbl6,ACHATS,4,FALSE)&lt;&gt;"Négoce",IF(ISNA(VLOOKUP(Categorie_Ventes_lbl6,ACHATS,9,FALSE)),0,VLOOKUP(Categorie_Ventes_lbl6,ACHATS,9,FALSE)),0))</f>
        <v>0</v>
      </c>
      <c r="BH16" s="30"/>
      <c r="BJ16" s="23"/>
      <c r="BK16" s="31" t="s">
        <v>15</v>
      </c>
      <c r="BL16" s="31"/>
      <c r="BM16" s="32"/>
      <c r="BN16" s="26">
        <f>IF(ISNA(VLOOKUP(Categorie_Ventes_lbl7,ACHATS,4,FALSE)),0,IF(VLOOKUP(Categorie_Ventes_lbl7,ACHATS,4,FALSE)&lt;&gt;"Négoce",IF(ISNA(VLOOKUP(Categorie_Ventes_lbl7,ACHATS,9,FALSE)),0,VLOOKUP(Categorie_Ventes_lbl7,ACHATS,9,FALSE)),0))</f>
        <v>0</v>
      </c>
      <c r="BO16" s="30"/>
      <c r="BQ16" s="23"/>
      <c r="BR16" s="31" t="s">
        <v>15</v>
      </c>
      <c r="BS16" s="31"/>
      <c r="BT16" s="32"/>
      <c r="BU16" s="26">
        <f>IF(ISNA(VLOOKUP(Categorie_Ventes_lbl8,ACHATS,4,FALSE)),0,IF(VLOOKUP(Categorie_Ventes_lbl8,ACHATS,4,FALSE)&lt;&gt;"Négoce",IF(ISNA(VLOOKUP(Categorie_Ventes_lbl8,ACHATS,9,FALSE)),0,VLOOKUP(Categorie_Ventes_lbl5,ACHATS,8,FALSE)),0))</f>
        <v>0</v>
      </c>
      <c r="BV16" s="30"/>
      <c r="BX16" s="23"/>
      <c r="BY16" s="31" t="s">
        <v>15</v>
      </c>
      <c r="BZ16" s="31"/>
      <c r="CA16" s="32"/>
      <c r="CB16" s="26">
        <f>IF(ISNA(VLOOKUP(Categorie_Ventes_lbl9,ACHATS,4,FALSE)),0,IF(VLOOKUP(Categorie_Ventes_lbl9,ACHATS,4,FALSE)&lt;&gt;"Négoce",IF(ISNA(VLOOKUP(Categorie_Ventes_lbl9,ACHATS,9,FALSE)),0,VLOOKUP(Categorie_Ventes_lbl9,ACHATS,9,FALSE)),0))</f>
        <v>13084.635999999997</v>
      </c>
      <c r="CC16" s="30"/>
      <c r="CE16" s="23"/>
      <c r="CF16" s="31" t="s">
        <v>15</v>
      </c>
      <c r="CG16" s="31"/>
      <c r="CH16" s="32"/>
      <c r="CI16" s="26">
        <f>IF(ISNA(VLOOKUP(Categorie_Ventes_lbl10,ACHATS,4,FALSE)),0,IF(VLOOKUP(Categorie_Ventes_lbl10,ACHATS,4,FALSE)&lt;&gt;"Négoce",IF(ISNA(VLOOKUP(Categorie_Ventes_lbl10,ACHATS,9,FALSE)),0,VLOOKUP(Categorie_Ventes_lbl10,ACHATS,9,FALSE)),0))</f>
        <v>0</v>
      </c>
      <c r="CJ16" s="30"/>
      <c r="CL16" s="23"/>
      <c r="CM16" s="31" t="s">
        <v>15</v>
      </c>
      <c r="CN16" s="31"/>
      <c r="CO16" s="32"/>
      <c r="CP16" s="26">
        <f>IF(ISNA(VLOOKUP(Categorie_Ventes_lbl11,ACHATS,4,FALSE)),0,IF(VLOOKUP(Categorie_Ventes_lb11,ACHATS,4,FALSE)&lt;&gt;"Négoce",IF(ISNA(VLOOKUP(Categorie_Ventes_lbl11,ACHATS,9,FALSE)),0,VLOOKUP(Categorie_Ventes_lbl11,ACHATS,9,FALSE)),0))</f>
        <v>0</v>
      </c>
      <c r="CQ16" s="30"/>
      <c r="CS16" s="23"/>
      <c r="CT16" s="31" t="s">
        <v>15</v>
      </c>
      <c r="CU16" s="31"/>
      <c r="CV16" s="32"/>
      <c r="CW16" s="26">
        <f>IF(ISNA(VLOOKUP(Categorie_Ventes_lbl12,ACHATS,4,FALSE)),0,IF(VLOOKUP(Categorie_Ventes_lbl12,ACHATS,4,FALSE)&lt;&gt;"Négoce",IF(ISNA(VLOOKUP(Categorie_Ventes_lbl12,ACHATS,9,FALSE)),0,VLOOKUP(Categorie_Ventes_lbl12,ACHATS,9,FALSE)),0))</f>
        <v>23522.46</v>
      </c>
      <c r="CX16" s="30"/>
      <c r="CZ16" s="23"/>
      <c r="DA16" s="31" t="s">
        <v>15</v>
      </c>
      <c r="DB16" s="31"/>
      <c r="DC16" s="32"/>
      <c r="DD16" s="26">
        <f>IF(ISNA(VLOOKUP(Categorie_Ventes_lbl13,ACHATS,4,FALSE)),0,IF(VLOOKUP(Categorie_Ventes_lbl13,ACHATS,4,FALSE)&lt;&gt;"Négoce",IF(ISNA(VLOOKUP(Categorie_Ventes_lbl13,ACHATS,9,FALSE)),0,VLOOKUP(Categorie_Ventes_lbl13,ACHATS,9,FALSE)),0))</f>
        <v>0</v>
      </c>
      <c r="DE16" s="30"/>
      <c r="DG16" s="23"/>
      <c r="DH16" s="31" t="s">
        <v>15</v>
      </c>
      <c r="DI16" s="31"/>
      <c r="DJ16" s="32"/>
      <c r="DK16" s="26">
        <f>IF(ISNA(VLOOKUP(Categorie_Ventes_lbl14,ACHATS,4,FALSE)),0,IF(VLOOKUP(Categorie_Ventes_lbl14,ACHATS,4,FALSE)&lt;&gt;"Négoce",IF(ISNA(VLOOKUP(Categorie_Ventes_lbl14,ACHATS,9,FALSE)),0,VLOOKUP(Categorie_Ventes_lbl14,ACHATS,9,FALSE)),0))</f>
        <v>0</v>
      </c>
      <c r="DL16" s="30"/>
      <c r="DN16" s="23"/>
      <c r="DO16" s="31" t="s">
        <v>15</v>
      </c>
      <c r="DP16" s="31"/>
      <c r="DQ16" s="32"/>
      <c r="DR16" s="26">
        <f t="shared" si="0"/>
        <v>1158457.6000000001</v>
      </c>
      <c r="DS16" s="27"/>
    </row>
    <row r="17" spans="2:123" ht="23.25" customHeight="1" x14ac:dyDescent="0.35">
      <c r="G17" s="11" t="s">
        <v>16</v>
      </c>
      <c r="H17" s="12"/>
      <c r="I17" s="12"/>
      <c r="J17" s="13"/>
      <c r="K17" s="14">
        <f>SUM(K18:L20)</f>
        <v>2255956.2000000002</v>
      </c>
      <c r="L17" s="15"/>
      <c r="M17" s="16"/>
      <c r="N17" s="17"/>
      <c r="O17" s="14">
        <f>SUM(O18:P20)</f>
        <v>2255956.2000000002</v>
      </c>
      <c r="P17" s="15"/>
      <c r="Q17" s="14"/>
      <c r="R17" s="15"/>
      <c r="AH17" s="11" t="s">
        <v>16</v>
      </c>
      <c r="AI17" s="12"/>
      <c r="AJ17" s="12"/>
      <c r="AK17" s="13"/>
      <c r="AL17" s="14">
        <f>SUM(AL18:AM20)</f>
        <v>575360</v>
      </c>
      <c r="AM17" s="15"/>
      <c r="AO17" s="11" t="s">
        <v>16</v>
      </c>
      <c r="AP17" s="12"/>
      <c r="AQ17" s="12"/>
      <c r="AR17" s="13"/>
      <c r="AS17" s="14">
        <f>SUM(AS18:AT20)</f>
        <v>7236.9279999999999</v>
      </c>
      <c r="AT17" s="15"/>
      <c r="AV17" s="11" t="s">
        <v>16</v>
      </c>
      <c r="AW17" s="12"/>
      <c r="AX17" s="12"/>
      <c r="AY17" s="13"/>
      <c r="AZ17" s="14">
        <f>SUM(AZ18:BA20)</f>
        <v>13324.499999999998</v>
      </c>
      <c r="BA17" s="15"/>
      <c r="BC17" s="11" t="s">
        <v>16</v>
      </c>
      <c r="BD17" s="12"/>
      <c r="BE17" s="12"/>
      <c r="BF17" s="13"/>
      <c r="BG17" s="14">
        <f>SUM(BG18:BH20)</f>
        <v>0</v>
      </c>
      <c r="BH17" s="15"/>
      <c r="BJ17" s="11" t="s">
        <v>16</v>
      </c>
      <c r="BK17" s="12"/>
      <c r="BL17" s="12"/>
      <c r="BM17" s="13"/>
      <c r="BN17" s="14">
        <f>SUM(BN18:BO20)</f>
        <v>0</v>
      </c>
      <c r="BO17" s="15"/>
      <c r="BQ17" s="11" t="s">
        <v>16</v>
      </c>
      <c r="BR17" s="12"/>
      <c r="BS17" s="12"/>
      <c r="BT17" s="13"/>
      <c r="BU17" s="14">
        <f>SUM(BU18:BV20)</f>
        <v>288000</v>
      </c>
      <c r="BV17" s="15"/>
      <c r="BX17" s="11" t="s">
        <v>16</v>
      </c>
      <c r="BY17" s="12"/>
      <c r="BZ17" s="12"/>
      <c r="CA17" s="13"/>
      <c r="CB17" s="14">
        <f>SUM(CB18:CC20)</f>
        <v>52338.544000000002</v>
      </c>
      <c r="CC17" s="15"/>
      <c r="CE17" s="11" t="s">
        <v>16</v>
      </c>
      <c r="CF17" s="12"/>
      <c r="CG17" s="12"/>
      <c r="CH17" s="13"/>
      <c r="CI17" s="14">
        <f>SUM(CI18:CJ20)</f>
        <v>0</v>
      </c>
      <c r="CJ17" s="15"/>
      <c r="CL17" s="11" t="s">
        <v>16</v>
      </c>
      <c r="CM17" s="12"/>
      <c r="CN17" s="12"/>
      <c r="CO17" s="13"/>
      <c r="CP17" s="14">
        <f>SUM(CP18:CQ20)</f>
        <v>0</v>
      </c>
      <c r="CQ17" s="15"/>
      <c r="CS17" s="11" t="s">
        <v>16</v>
      </c>
      <c r="CT17" s="12"/>
      <c r="CU17" s="12"/>
      <c r="CV17" s="13"/>
      <c r="CW17" s="14">
        <f>SUM(CW18:CX20)</f>
        <v>54885.739999999983</v>
      </c>
      <c r="CX17" s="15"/>
      <c r="CZ17" s="11" t="s">
        <v>16</v>
      </c>
      <c r="DA17" s="12"/>
      <c r="DB17" s="12"/>
      <c r="DC17" s="13"/>
      <c r="DD17" s="14">
        <f>SUM(DD18:DE20)</f>
        <v>0</v>
      </c>
      <c r="DE17" s="15"/>
      <c r="DG17" s="11" t="s">
        <v>16</v>
      </c>
      <c r="DH17" s="12"/>
      <c r="DI17" s="12"/>
      <c r="DJ17" s="13"/>
      <c r="DK17" s="14">
        <f>SUM(DK18:DL20)</f>
        <v>0</v>
      </c>
      <c r="DL17" s="15"/>
      <c r="DN17" s="11" t="s">
        <v>16</v>
      </c>
      <c r="DO17" s="12"/>
      <c r="DP17" s="12"/>
      <c r="DQ17" s="13"/>
      <c r="DR17" s="14">
        <f t="shared" si="0"/>
        <v>1050166.9200000002</v>
      </c>
      <c r="DS17" s="22"/>
    </row>
    <row r="18" spans="2:123" ht="20.100000000000001" customHeight="1" x14ac:dyDescent="0.35">
      <c r="B18" s="1"/>
      <c r="D18" s="4"/>
      <c r="E18" s="4"/>
      <c r="G18" s="33"/>
      <c r="H18" s="24" t="s">
        <v>17</v>
      </c>
      <c r="I18" s="24"/>
      <c r="J18" s="25"/>
      <c r="K18" s="26">
        <f>+'[1]Ventes MO'!R27</f>
        <v>1327494.2469230772</v>
      </c>
      <c r="L18" s="30"/>
      <c r="M18" s="28"/>
      <c r="N18" s="29"/>
      <c r="O18" s="26">
        <f>+'[1]Ventes MO'!R27</f>
        <v>1327494.2469230772</v>
      </c>
      <c r="P18" s="30"/>
      <c r="Q18" s="26"/>
      <c r="R18" s="30"/>
      <c r="AH18" s="33"/>
      <c r="AI18" s="24" t="s">
        <v>17</v>
      </c>
      <c r="AJ18" s="24"/>
      <c r="AK18" s="25"/>
      <c r="AL18" s="26">
        <f>+AL11</f>
        <v>261000</v>
      </c>
      <c r="AM18" s="30"/>
      <c r="AO18" s="33"/>
      <c r="AP18" s="24" t="s">
        <v>17</v>
      </c>
      <c r="AQ18" s="24"/>
      <c r="AR18" s="25"/>
      <c r="AS18" s="26">
        <f>+AS11</f>
        <v>3131.3630769230767</v>
      </c>
      <c r="AT18" s="30"/>
      <c r="AV18" s="33"/>
      <c r="AW18" s="24" t="s">
        <v>17</v>
      </c>
      <c r="AX18" s="24"/>
      <c r="AY18" s="25"/>
      <c r="AZ18" s="26">
        <f>+AZ11</f>
        <v>0</v>
      </c>
      <c r="BA18" s="30"/>
      <c r="BC18" s="33"/>
      <c r="BD18" s="24" t="s">
        <v>17</v>
      </c>
      <c r="BE18" s="24"/>
      <c r="BF18" s="25"/>
      <c r="BG18" s="26">
        <f>+BG11</f>
        <v>0</v>
      </c>
      <c r="BH18" s="30"/>
      <c r="BJ18" s="33"/>
      <c r="BK18" s="24" t="s">
        <v>17</v>
      </c>
      <c r="BL18" s="24"/>
      <c r="BM18" s="25"/>
      <c r="BN18" s="26">
        <f>+BN11</f>
        <v>0</v>
      </c>
      <c r="BO18" s="30"/>
      <c r="BQ18" s="33"/>
      <c r="BR18" s="24" t="s">
        <v>17</v>
      </c>
      <c r="BS18" s="24"/>
      <c r="BT18" s="25"/>
      <c r="BU18" s="26">
        <f>+BU11</f>
        <v>288000</v>
      </c>
      <c r="BV18" s="30"/>
      <c r="BX18" s="33"/>
      <c r="BY18" s="24" t="s">
        <v>17</v>
      </c>
      <c r="BZ18" s="24"/>
      <c r="CA18" s="25"/>
      <c r="CB18" s="26">
        <f>+CB11</f>
        <v>22646.485384615386</v>
      </c>
      <c r="CC18" s="30"/>
      <c r="CE18" s="33"/>
      <c r="CF18" s="24" t="s">
        <v>17</v>
      </c>
      <c r="CG18" s="24"/>
      <c r="CH18" s="25"/>
      <c r="CI18" s="26">
        <f>+CI11</f>
        <v>0</v>
      </c>
      <c r="CJ18" s="30"/>
      <c r="CL18" s="33"/>
      <c r="CM18" s="24" t="s">
        <v>17</v>
      </c>
      <c r="CN18" s="24"/>
      <c r="CO18" s="25"/>
      <c r="CP18" s="26">
        <f>+CP11</f>
        <v>0</v>
      </c>
      <c r="CQ18" s="30"/>
      <c r="CS18" s="33"/>
      <c r="CT18" s="24" t="s">
        <v>17</v>
      </c>
      <c r="CU18" s="24"/>
      <c r="CV18" s="25"/>
      <c r="CW18" s="26">
        <f>+CW11</f>
        <v>27141.299999999996</v>
      </c>
      <c r="CX18" s="30"/>
      <c r="CZ18" s="33"/>
      <c r="DA18" s="24" t="s">
        <v>17</v>
      </c>
      <c r="DB18" s="24"/>
      <c r="DC18" s="25"/>
      <c r="DD18" s="26">
        <f>+DD11</f>
        <v>0</v>
      </c>
      <c r="DE18" s="30"/>
      <c r="DG18" s="33"/>
      <c r="DH18" s="24" t="s">
        <v>17</v>
      </c>
      <c r="DI18" s="24"/>
      <c r="DJ18" s="25"/>
      <c r="DK18" s="26">
        <f>+DK11</f>
        <v>0</v>
      </c>
      <c r="DL18" s="30"/>
      <c r="DN18" s="33"/>
      <c r="DO18" s="24" t="s">
        <v>17</v>
      </c>
      <c r="DP18" s="24"/>
      <c r="DQ18" s="25"/>
      <c r="DR18" s="26">
        <f t="shared" si="0"/>
        <v>607340.00000000035</v>
      </c>
      <c r="DS18" s="27"/>
    </row>
    <row r="19" spans="2:123" ht="20.100000000000001" customHeight="1" x14ac:dyDescent="0.35">
      <c r="G19" s="33"/>
      <c r="H19" s="24" t="s">
        <v>18</v>
      </c>
      <c r="I19" s="24"/>
      <c r="J19" s="25"/>
      <c r="K19" s="26">
        <f>+K12-K15</f>
        <v>13324.499999999998</v>
      </c>
      <c r="L19" s="30"/>
      <c r="M19" s="28"/>
      <c r="N19" s="29"/>
      <c r="O19" s="26">
        <f>+O12-O15</f>
        <v>13324.499999999998</v>
      </c>
      <c r="P19" s="30"/>
      <c r="Q19" s="26"/>
      <c r="R19" s="30"/>
      <c r="AH19" s="33"/>
      <c r="AI19" s="24" t="s">
        <v>18</v>
      </c>
      <c r="AJ19" s="24"/>
      <c r="AK19" s="25"/>
      <c r="AL19" s="26">
        <f>+AL12-AL15</f>
        <v>0</v>
      </c>
      <c r="AM19" s="30"/>
      <c r="AO19" s="33"/>
      <c r="AP19" s="24" t="s">
        <v>18</v>
      </c>
      <c r="AQ19" s="24"/>
      <c r="AR19" s="25"/>
      <c r="AS19" s="26">
        <f>+AS12-AS15</f>
        <v>0</v>
      </c>
      <c r="AT19" s="30"/>
      <c r="AV19" s="33"/>
      <c r="AW19" s="24" t="s">
        <v>18</v>
      </c>
      <c r="AX19" s="24"/>
      <c r="AY19" s="25"/>
      <c r="AZ19" s="26">
        <f>+AZ12-AZ15</f>
        <v>13324.499999999998</v>
      </c>
      <c r="BA19" s="30"/>
      <c r="BC19" s="33"/>
      <c r="BD19" s="24" t="s">
        <v>18</v>
      </c>
      <c r="BE19" s="24"/>
      <c r="BF19" s="25"/>
      <c r="BG19" s="26">
        <f>+BG12-BG15</f>
        <v>0</v>
      </c>
      <c r="BH19" s="30"/>
      <c r="BJ19" s="33"/>
      <c r="BK19" s="24" t="s">
        <v>18</v>
      </c>
      <c r="BL19" s="24"/>
      <c r="BM19" s="25"/>
      <c r="BN19" s="26">
        <f>+BN12-BN15</f>
        <v>0</v>
      </c>
      <c r="BO19" s="30"/>
      <c r="BQ19" s="33"/>
      <c r="BR19" s="24" t="s">
        <v>18</v>
      </c>
      <c r="BS19" s="24"/>
      <c r="BT19" s="25"/>
      <c r="BU19" s="26">
        <f>+BU12-BU15</f>
        <v>0</v>
      </c>
      <c r="BV19" s="30"/>
      <c r="BX19" s="33"/>
      <c r="BY19" s="24" t="s">
        <v>18</v>
      </c>
      <c r="BZ19" s="24"/>
      <c r="CA19" s="25"/>
      <c r="CB19" s="26">
        <f>+CB12-CB15</f>
        <v>0</v>
      </c>
      <c r="CC19" s="30"/>
      <c r="CE19" s="33"/>
      <c r="CF19" s="24" t="s">
        <v>18</v>
      </c>
      <c r="CG19" s="24"/>
      <c r="CH19" s="25"/>
      <c r="CI19" s="26">
        <f>+CI12-CI15</f>
        <v>0</v>
      </c>
      <c r="CJ19" s="30"/>
      <c r="CL19" s="33"/>
      <c r="CM19" s="24" t="s">
        <v>18</v>
      </c>
      <c r="CN19" s="24"/>
      <c r="CO19" s="25"/>
      <c r="CP19" s="26">
        <f>+CP12-CP15</f>
        <v>0</v>
      </c>
      <c r="CQ19" s="30"/>
      <c r="CS19" s="33"/>
      <c r="CT19" s="24" t="s">
        <v>18</v>
      </c>
      <c r="CU19" s="24"/>
      <c r="CV19" s="25"/>
      <c r="CW19" s="26">
        <f>+CW12-CW15</f>
        <v>0</v>
      </c>
      <c r="CX19" s="30"/>
      <c r="CZ19" s="33"/>
      <c r="DA19" s="24" t="s">
        <v>18</v>
      </c>
      <c r="DB19" s="24"/>
      <c r="DC19" s="25"/>
      <c r="DD19" s="26">
        <f>+DD12-DD15</f>
        <v>0</v>
      </c>
      <c r="DE19" s="30"/>
      <c r="DG19" s="33"/>
      <c r="DH19" s="24" t="s">
        <v>18</v>
      </c>
      <c r="DI19" s="24"/>
      <c r="DJ19" s="25"/>
      <c r="DK19" s="26">
        <f>+DK12-DK15</f>
        <v>0</v>
      </c>
      <c r="DL19" s="30"/>
      <c r="DN19" s="33"/>
      <c r="DO19" s="24" t="s">
        <v>19</v>
      </c>
      <c r="DP19" s="24"/>
      <c r="DQ19" s="25"/>
      <c r="DR19" s="26">
        <f t="shared" si="0"/>
        <v>0</v>
      </c>
      <c r="DS19" s="27"/>
    </row>
    <row r="20" spans="2:123" ht="20.100000000000001" customHeight="1" x14ac:dyDescent="0.35">
      <c r="G20" s="33"/>
      <c r="H20" s="31" t="s">
        <v>20</v>
      </c>
      <c r="I20" s="31"/>
      <c r="J20" s="32"/>
      <c r="K20" s="26">
        <f>+K13-K16</f>
        <v>915137.45307692327</v>
      </c>
      <c r="L20" s="30"/>
      <c r="M20" s="28"/>
      <c r="N20" s="29"/>
      <c r="O20" s="26">
        <f>+O13-O16</f>
        <v>915137.45307692327</v>
      </c>
      <c r="P20" s="30"/>
      <c r="Q20" s="26"/>
      <c r="R20" s="30"/>
      <c r="AH20" s="33"/>
      <c r="AI20" s="31" t="s">
        <v>20</v>
      </c>
      <c r="AJ20" s="31"/>
      <c r="AK20" s="32"/>
      <c r="AL20" s="26">
        <f>+AL13-AL16</f>
        <v>314360</v>
      </c>
      <c r="AM20" s="30"/>
      <c r="AO20" s="33"/>
      <c r="AP20" s="31" t="s">
        <v>20</v>
      </c>
      <c r="AQ20" s="31"/>
      <c r="AR20" s="32"/>
      <c r="AS20" s="26">
        <f>+AS13-AS16</f>
        <v>4105.5649230769232</v>
      </c>
      <c r="AT20" s="30"/>
      <c r="AV20" s="33"/>
      <c r="AW20" s="31" t="s">
        <v>20</v>
      </c>
      <c r="AX20" s="31"/>
      <c r="AY20" s="32"/>
      <c r="AZ20" s="26">
        <f>+AZ13-AZ16</f>
        <v>0</v>
      </c>
      <c r="BA20" s="30"/>
      <c r="BC20" s="33"/>
      <c r="BD20" s="31" t="s">
        <v>20</v>
      </c>
      <c r="BE20" s="31"/>
      <c r="BF20" s="32"/>
      <c r="BG20" s="26">
        <f>+BG13-BG16</f>
        <v>0</v>
      </c>
      <c r="BH20" s="30"/>
      <c r="BJ20" s="33"/>
      <c r="BK20" s="31" t="s">
        <v>20</v>
      </c>
      <c r="BL20" s="31"/>
      <c r="BM20" s="32"/>
      <c r="BN20" s="26">
        <f>+BN13-BN16</f>
        <v>0</v>
      </c>
      <c r="BO20" s="30"/>
      <c r="BQ20" s="33"/>
      <c r="BR20" s="31" t="s">
        <v>20</v>
      </c>
      <c r="BS20" s="31"/>
      <c r="BT20" s="32"/>
      <c r="BU20" s="26">
        <f>+BU13-BU16</f>
        <v>0</v>
      </c>
      <c r="BV20" s="30"/>
      <c r="BX20" s="33"/>
      <c r="BY20" s="31" t="s">
        <v>20</v>
      </c>
      <c r="BZ20" s="31"/>
      <c r="CA20" s="32"/>
      <c r="CB20" s="26">
        <f>+CB13-CB16</f>
        <v>29692.058615384616</v>
      </c>
      <c r="CC20" s="30"/>
      <c r="CE20" s="33"/>
      <c r="CF20" s="31" t="s">
        <v>20</v>
      </c>
      <c r="CG20" s="31"/>
      <c r="CH20" s="32"/>
      <c r="CI20" s="26">
        <f>+CI13-CI16</f>
        <v>0</v>
      </c>
      <c r="CJ20" s="30"/>
      <c r="CL20" s="33"/>
      <c r="CM20" s="31" t="s">
        <v>20</v>
      </c>
      <c r="CN20" s="31"/>
      <c r="CO20" s="32"/>
      <c r="CP20" s="26">
        <f>+CP13-CP16</f>
        <v>0</v>
      </c>
      <c r="CQ20" s="30"/>
      <c r="CS20" s="33"/>
      <c r="CT20" s="31" t="s">
        <v>20</v>
      </c>
      <c r="CU20" s="31"/>
      <c r="CV20" s="32"/>
      <c r="CW20" s="26">
        <f>+CW13-CW16</f>
        <v>27744.439999999988</v>
      </c>
      <c r="CX20" s="30"/>
      <c r="CZ20" s="33"/>
      <c r="DA20" s="31" t="s">
        <v>20</v>
      </c>
      <c r="DB20" s="31"/>
      <c r="DC20" s="32"/>
      <c r="DD20" s="26">
        <f>+DD13-DD16</f>
        <v>0</v>
      </c>
      <c r="DE20" s="30"/>
      <c r="DG20" s="33"/>
      <c r="DH20" s="31" t="s">
        <v>20</v>
      </c>
      <c r="DI20" s="31"/>
      <c r="DJ20" s="32"/>
      <c r="DK20" s="26">
        <f>+DK13-DK16</f>
        <v>0</v>
      </c>
      <c r="DL20" s="30"/>
      <c r="DN20" s="33"/>
      <c r="DO20" s="31" t="s">
        <v>20</v>
      </c>
      <c r="DP20" s="31"/>
      <c r="DQ20" s="32"/>
      <c r="DR20" s="26">
        <f t="shared" si="0"/>
        <v>442826.92000000027</v>
      </c>
      <c r="DS20" s="27"/>
    </row>
    <row r="21" spans="2:123" ht="20.100000000000001" customHeight="1" x14ac:dyDescent="0.35">
      <c r="G21" s="33"/>
      <c r="H21" s="34" t="s">
        <v>21</v>
      </c>
      <c r="I21" s="34"/>
      <c r="J21" s="35"/>
      <c r="K21" s="36">
        <f>IF(K12=0,0,+K19/K12)</f>
        <v>0.44999999999999996</v>
      </c>
      <c r="L21" s="37"/>
      <c r="M21" s="28"/>
      <c r="N21" s="29"/>
      <c r="O21" s="36">
        <f>IF(O12=0,0,+O19/O12)</f>
        <v>0.44999999999999996</v>
      </c>
      <c r="P21" s="37"/>
      <c r="Q21" s="36"/>
      <c r="R21" s="37"/>
      <c r="AH21" s="33"/>
      <c r="AI21" s="34" t="s">
        <v>21</v>
      </c>
      <c r="AJ21" s="34"/>
      <c r="AK21" s="35"/>
      <c r="AL21" s="36">
        <f>IF(AL12=0,0,+AL19/AL12)</f>
        <v>0</v>
      </c>
      <c r="AM21" s="37"/>
      <c r="AO21" s="33"/>
      <c r="AP21" s="34" t="s">
        <v>21</v>
      </c>
      <c r="AQ21" s="34"/>
      <c r="AR21" s="35"/>
      <c r="AS21" s="36">
        <f>IF(AS12=0,0,+AS19/AS12)</f>
        <v>0</v>
      </c>
      <c r="AT21" s="37"/>
      <c r="AV21" s="33"/>
      <c r="AW21" s="34" t="s">
        <v>21</v>
      </c>
      <c r="AX21" s="34"/>
      <c r="AY21" s="35"/>
      <c r="AZ21" s="36">
        <f>IF(AZ12=0,0,+AZ19/AZ12)</f>
        <v>0.44999999999999996</v>
      </c>
      <c r="BA21" s="37"/>
      <c r="BC21" s="33"/>
      <c r="BD21" s="34" t="s">
        <v>21</v>
      </c>
      <c r="BE21" s="34"/>
      <c r="BF21" s="35"/>
      <c r="BG21" s="36">
        <f>IF(BG12=0,0,+BG19/BG12)</f>
        <v>0</v>
      </c>
      <c r="BH21" s="37"/>
      <c r="BJ21" s="33"/>
      <c r="BK21" s="34" t="s">
        <v>21</v>
      </c>
      <c r="BL21" s="34"/>
      <c r="BM21" s="35"/>
      <c r="BN21" s="36">
        <f>IF(BN12=0,0,+BN19/BN12)</f>
        <v>0</v>
      </c>
      <c r="BO21" s="37"/>
      <c r="BQ21" s="33"/>
      <c r="BR21" s="34" t="s">
        <v>21</v>
      </c>
      <c r="BS21" s="34"/>
      <c r="BT21" s="35"/>
      <c r="BU21" s="36">
        <f>IF(BU12=0,0,+BU19/BU12)</f>
        <v>0</v>
      </c>
      <c r="BV21" s="37"/>
      <c r="BX21" s="33"/>
      <c r="BY21" s="34" t="s">
        <v>21</v>
      </c>
      <c r="BZ21" s="34"/>
      <c r="CA21" s="35"/>
      <c r="CB21" s="36">
        <f>IF(CB12=0,0,+CB19/CB12)</f>
        <v>0</v>
      </c>
      <c r="CC21" s="37"/>
      <c r="CE21" s="33"/>
      <c r="CF21" s="34" t="s">
        <v>21</v>
      </c>
      <c r="CG21" s="34"/>
      <c r="CH21" s="35"/>
      <c r="CI21" s="36">
        <f>IF(CI12=0,0,+CI19/CI12)</f>
        <v>0</v>
      </c>
      <c r="CJ21" s="37"/>
      <c r="CL21" s="33"/>
      <c r="CM21" s="34" t="s">
        <v>21</v>
      </c>
      <c r="CN21" s="34"/>
      <c r="CO21" s="35"/>
      <c r="CP21" s="36">
        <f>IF(CP12=0,0,+CP19/CP12)</f>
        <v>0</v>
      </c>
      <c r="CQ21" s="37"/>
      <c r="CS21" s="33"/>
      <c r="CT21" s="34" t="s">
        <v>21</v>
      </c>
      <c r="CU21" s="34"/>
      <c r="CV21" s="35"/>
      <c r="CW21" s="36">
        <f>IF(CW12=0,0,+CW19/CW12)</f>
        <v>0</v>
      </c>
      <c r="CX21" s="37"/>
      <c r="CZ21" s="33"/>
      <c r="DA21" s="34" t="s">
        <v>21</v>
      </c>
      <c r="DB21" s="34"/>
      <c r="DC21" s="35"/>
      <c r="DD21" s="36">
        <f>IF(DD12=0,0,+DD19/DD12)</f>
        <v>0</v>
      </c>
      <c r="DE21" s="37"/>
      <c r="DG21" s="33"/>
      <c r="DH21" s="34" t="s">
        <v>21</v>
      </c>
      <c r="DI21" s="34"/>
      <c r="DJ21" s="35"/>
      <c r="DK21" s="36">
        <f>IF(DK12=0,0,+DK19/DK12)</f>
        <v>0</v>
      </c>
      <c r="DL21" s="37"/>
      <c r="DN21" s="33"/>
      <c r="DO21" s="34" t="s">
        <v>21</v>
      </c>
      <c r="DP21" s="34"/>
      <c r="DQ21" s="35"/>
      <c r="DR21" s="36">
        <f>IF(DR12=0,0,+DR19/DR12)</f>
        <v>0</v>
      </c>
      <c r="DS21" s="37"/>
    </row>
    <row r="22" spans="2:123" ht="20.100000000000001" customHeight="1" x14ac:dyDescent="0.35">
      <c r="B22" s="1"/>
      <c r="D22" s="4"/>
      <c r="E22" s="4"/>
      <c r="G22" s="33"/>
      <c r="H22" s="34" t="s">
        <v>22</v>
      </c>
      <c r="I22" s="34"/>
      <c r="J22" s="35"/>
      <c r="K22" s="36">
        <f>IF(K13=0,0,+K20/K13)</f>
        <v>0.35674686571925857</v>
      </c>
      <c r="L22" s="37"/>
      <c r="M22" s="28"/>
      <c r="N22" s="29"/>
      <c r="O22" s="36">
        <f>IF(O13=0,0,+O20/O13)</f>
        <v>0.35674686571925857</v>
      </c>
      <c r="P22" s="37"/>
      <c r="Q22" s="36"/>
      <c r="R22" s="37"/>
      <c r="AH22" s="33"/>
      <c r="AI22" s="34" t="s">
        <v>22</v>
      </c>
      <c r="AJ22" s="34"/>
      <c r="AK22" s="35"/>
      <c r="AL22" s="36">
        <f>IF(AL13=0,0,+AL20/AL13)</f>
        <v>0.47130434782608693</v>
      </c>
      <c r="AM22" s="37"/>
      <c r="AO22" s="33"/>
      <c r="AP22" s="34" t="s">
        <v>22</v>
      </c>
      <c r="AQ22" s="34"/>
      <c r="AR22" s="35"/>
      <c r="AS22" s="36">
        <f>IF(AS13=0,0,+AS20/AS13)</f>
        <v>0.69411764705882351</v>
      </c>
      <c r="AT22" s="37"/>
      <c r="AV22" s="33"/>
      <c r="AW22" s="34" t="s">
        <v>22</v>
      </c>
      <c r="AX22" s="34"/>
      <c r="AY22" s="35"/>
      <c r="AZ22" s="36">
        <f>IF(AZ13=0,0,+AZ20/AZ13)</f>
        <v>0</v>
      </c>
      <c r="BA22" s="37"/>
      <c r="BC22" s="33"/>
      <c r="BD22" s="34" t="s">
        <v>22</v>
      </c>
      <c r="BE22" s="34"/>
      <c r="BF22" s="35"/>
      <c r="BG22" s="36">
        <f>IF(BG13=0,0,+BG20/BG13)</f>
        <v>0</v>
      </c>
      <c r="BH22" s="37"/>
      <c r="BJ22" s="33"/>
      <c r="BK22" s="34" t="s">
        <v>22</v>
      </c>
      <c r="BL22" s="34"/>
      <c r="BM22" s="35"/>
      <c r="BN22" s="36">
        <f>IF(BN13=0,0,+BN20/BN13)</f>
        <v>0</v>
      </c>
      <c r="BO22" s="37"/>
      <c r="BQ22" s="33"/>
      <c r="BR22" s="34" t="s">
        <v>22</v>
      </c>
      <c r="BS22" s="34"/>
      <c r="BT22" s="35"/>
      <c r="BU22" s="36">
        <f>IF(BU13=0,0,+BU20/BU13)</f>
        <v>0</v>
      </c>
      <c r="BV22" s="37"/>
      <c r="BX22" s="33"/>
      <c r="BY22" s="34" t="s">
        <v>22</v>
      </c>
      <c r="BZ22" s="34"/>
      <c r="CA22" s="35"/>
      <c r="CB22" s="36">
        <f>IF(CB13=0,0,+CB20/CB13)</f>
        <v>0.69411764705882351</v>
      </c>
      <c r="CC22" s="37"/>
      <c r="CE22" s="33"/>
      <c r="CF22" s="34" t="s">
        <v>22</v>
      </c>
      <c r="CG22" s="34"/>
      <c r="CH22" s="35"/>
      <c r="CI22" s="36">
        <f>IF(CI13=0,0,+CI20/CI13)</f>
        <v>0</v>
      </c>
      <c r="CJ22" s="37"/>
      <c r="CL22" s="33"/>
      <c r="CM22" s="34" t="s">
        <v>22</v>
      </c>
      <c r="CN22" s="34"/>
      <c r="CO22" s="35"/>
      <c r="CP22" s="36">
        <f>IF(CP13=0,0,+CP20/CP13)</f>
        <v>0</v>
      </c>
      <c r="CQ22" s="37"/>
      <c r="CS22" s="33"/>
      <c r="CT22" s="34" t="s">
        <v>22</v>
      </c>
      <c r="CU22" s="34"/>
      <c r="CV22" s="35"/>
      <c r="CW22" s="36">
        <f>IF(CW13=0,0,+CW20/CW13)</f>
        <v>0.54117647058823515</v>
      </c>
      <c r="CX22" s="37"/>
      <c r="CZ22" s="33"/>
      <c r="DA22" s="34" t="s">
        <v>22</v>
      </c>
      <c r="DB22" s="34"/>
      <c r="DC22" s="35"/>
      <c r="DD22" s="36">
        <f>IF(DD13=0,0,+DD20/DD13)</f>
        <v>0</v>
      </c>
      <c r="DE22" s="37"/>
      <c r="DG22" s="33"/>
      <c r="DH22" s="34" t="s">
        <v>22</v>
      </c>
      <c r="DI22" s="34"/>
      <c r="DJ22" s="35"/>
      <c r="DK22" s="36">
        <f>IF(DK13=0,0,+DK20/DK13)</f>
        <v>0</v>
      </c>
      <c r="DL22" s="37"/>
      <c r="DN22" s="33"/>
      <c r="DO22" s="34" t="s">
        <v>22</v>
      </c>
      <c r="DP22" s="34"/>
      <c r="DQ22" s="35"/>
      <c r="DR22" s="36">
        <f>IF(DR13=0,0,+DR20/DR13)</f>
        <v>0.27654480791458608</v>
      </c>
      <c r="DS22" s="37"/>
    </row>
    <row r="23" spans="2:123" ht="23.25" customHeight="1" x14ac:dyDescent="0.35">
      <c r="G23" s="38" t="s">
        <v>23</v>
      </c>
      <c r="H23" s="39"/>
      <c r="I23" s="39"/>
      <c r="J23" s="40"/>
      <c r="K23" s="41">
        <f>+K24+K34+K40+K41</f>
        <v>1261441.8485410002</v>
      </c>
      <c r="L23" s="41"/>
      <c r="M23" s="42"/>
      <c r="N23" s="43"/>
      <c r="O23" s="41">
        <f>+O24+O34+O40+O41</f>
        <v>1261441.8485410002</v>
      </c>
      <c r="P23" s="41"/>
      <c r="Q23" s="41"/>
      <c r="R23" s="41"/>
      <c r="AH23" s="38" t="s">
        <v>23</v>
      </c>
      <c r="AI23" s="39"/>
      <c r="AJ23" s="39"/>
      <c r="AK23" s="40"/>
      <c r="AL23" s="41">
        <f>+AL24+AL34+AL40+AL41</f>
        <v>279372.39353992313</v>
      </c>
      <c r="AM23" s="41"/>
      <c r="AO23" s="38" t="s">
        <v>23</v>
      </c>
      <c r="AP23" s="39"/>
      <c r="AQ23" s="39"/>
      <c r="AR23" s="40"/>
      <c r="AS23" s="41">
        <f>+AS24+AS34+AS40+AS41</f>
        <v>4327.1528051920113</v>
      </c>
      <c r="AT23" s="41"/>
      <c r="AV23" s="38" t="s">
        <v>23</v>
      </c>
      <c r="AW23" s="39"/>
      <c r="AX23" s="39"/>
      <c r="AY23" s="40"/>
      <c r="AZ23" s="41">
        <f>+AZ24+AZ34+AZ40+AZ41</f>
        <v>4780.5122027735042</v>
      </c>
      <c r="BA23" s="41"/>
      <c r="BC23" s="38" t="s">
        <v>23</v>
      </c>
      <c r="BD23" s="39"/>
      <c r="BE23" s="39"/>
      <c r="BF23" s="40"/>
      <c r="BG23" s="41">
        <f>+BG24+BG34+BG40+BG41</f>
        <v>0</v>
      </c>
      <c r="BH23" s="41"/>
      <c r="BJ23" s="38" t="s">
        <v>23</v>
      </c>
      <c r="BK23" s="39"/>
      <c r="BL23" s="39"/>
      <c r="BM23" s="40"/>
      <c r="BN23" s="41">
        <f>+BN24+BN34+BN40+BN41</f>
        <v>0</v>
      </c>
      <c r="BO23" s="41"/>
      <c r="BQ23" s="38" t="s">
        <v>23</v>
      </c>
      <c r="BR23" s="39"/>
      <c r="BS23" s="39"/>
      <c r="BT23" s="40"/>
      <c r="BU23" s="41">
        <f>+BU24+BU34+BU40+BU41</f>
        <v>88883.772048716826</v>
      </c>
      <c r="BV23" s="41"/>
      <c r="BX23" s="38" t="s">
        <v>23</v>
      </c>
      <c r="BY23" s="39"/>
      <c r="BZ23" s="39"/>
      <c r="CA23" s="40"/>
      <c r="CB23" s="41">
        <f>+CB24+CB34+CB40+CB41</f>
        <v>31924.417066587164</v>
      </c>
      <c r="CC23" s="41"/>
      <c r="CE23" s="38" t="s">
        <v>23</v>
      </c>
      <c r="CF23" s="39"/>
      <c r="CG23" s="39"/>
      <c r="CH23" s="40"/>
      <c r="CI23" s="41">
        <f>+CI24+CI34+CI40+CI41</f>
        <v>0</v>
      </c>
      <c r="CJ23" s="41"/>
      <c r="CL23" s="38" t="s">
        <v>23</v>
      </c>
      <c r="CM23" s="39"/>
      <c r="CN23" s="39"/>
      <c r="CO23" s="40"/>
      <c r="CP23" s="41">
        <f>+CP24+CP34+CP40+CP41</f>
        <v>0</v>
      </c>
      <c r="CQ23" s="41"/>
      <c r="CS23" s="38" t="s">
        <v>23</v>
      </c>
      <c r="CT23" s="39"/>
      <c r="CU23" s="39"/>
      <c r="CV23" s="40"/>
      <c r="CW23" s="41">
        <f>+CW24+CW34+CW40+CW41</f>
        <v>38110.825066277721</v>
      </c>
      <c r="CX23" s="41"/>
      <c r="CZ23" s="38" t="s">
        <v>23</v>
      </c>
      <c r="DA23" s="39"/>
      <c r="DB23" s="39"/>
      <c r="DC23" s="40"/>
      <c r="DD23" s="41">
        <f>+DD24+DD34+DD40+DD41</f>
        <v>0</v>
      </c>
      <c r="DE23" s="41"/>
      <c r="DG23" s="38" t="s">
        <v>23</v>
      </c>
      <c r="DH23" s="39"/>
      <c r="DI23" s="39"/>
      <c r="DJ23" s="40"/>
      <c r="DK23" s="41">
        <f>+DK24+DK34+DK40+DK41</f>
        <v>0</v>
      </c>
      <c r="DL23" s="41"/>
      <c r="DN23" s="38" t="s">
        <v>23</v>
      </c>
      <c r="DO23" s="39"/>
      <c r="DP23" s="39"/>
      <c r="DQ23" s="40"/>
      <c r="DR23" s="41">
        <f>+O23-(SUM(X23:DL23))</f>
        <v>814042.77581152995</v>
      </c>
      <c r="DS23" s="41"/>
    </row>
    <row r="24" spans="2:123" ht="23.25" customHeight="1" x14ac:dyDescent="0.35">
      <c r="G24" s="44" t="s">
        <v>24</v>
      </c>
      <c r="H24" s="45"/>
      <c r="I24" s="46"/>
      <c r="J24" s="47"/>
      <c r="K24" s="48">
        <f>+K25+K33</f>
        <v>561255.96140000003</v>
      </c>
      <c r="L24" s="49"/>
      <c r="M24" s="45"/>
      <c r="N24" s="45"/>
      <c r="O24" s="48">
        <f>+O25+O33</f>
        <v>561255.96140000003</v>
      </c>
      <c r="P24" s="49"/>
      <c r="Q24" s="48"/>
      <c r="R24" s="49"/>
      <c r="AH24" s="44" t="s">
        <v>24</v>
      </c>
      <c r="AI24" s="45"/>
      <c r="AJ24" s="46"/>
      <c r="AK24" s="47"/>
      <c r="AL24" s="48">
        <f>+AL25+AL33</f>
        <v>123922.50545444086</v>
      </c>
      <c r="AM24" s="49"/>
      <c r="AO24" s="44" t="s">
        <v>24</v>
      </c>
      <c r="AP24" s="45"/>
      <c r="AQ24" s="46"/>
      <c r="AR24" s="47"/>
      <c r="AS24" s="48">
        <f>+AS25+AS33</f>
        <v>2186.642803198778</v>
      </c>
      <c r="AT24" s="49"/>
      <c r="AV24" s="44" t="s">
        <v>24</v>
      </c>
      <c r="AW24" s="45"/>
      <c r="AX24" s="46"/>
      <c r="AY24" s="47"/>
      <c r="AZ24" s="48">
        <f>+AZ25+AZ33</f>
        <v>4118.9587678884764</v>
      </c>
      <c r="BA24" s="49"/>
      <c r="BC24" s="44" t="s">
        <v>24</v>
      </c>
      <c r="BD24" s="45"/>
      <c r="BE24" s="46"/>
      <c r="BF24" s="47"/>
      <c r="BG24" s="48">
        <f>+BG25+BG33</f>
        <v>0</v>
      </c>
      <c r="BH24" s="49"/>
      <c r="BJ24" s="44" t="s">
        <v>24</v>
      </c>
      <c r="BK24" s="45"/>
      <c r="BL24" s="46"/>
      <c r="BM24" s="47"/>
      <c r="BN24" s="48">
        <f>+BN25+BN33</f>
        <v>0</v>
      </c>
      <c r="BO24" s="49"/>
      <c r="BQ24" s="44" t="s">
        <v>24</v>
      </c>
      <c r="BR24" s="45"/>
      <c r="BS24" s="46"/>
      <c r="BT24" s="47"/>
      <c r="BU24" s="48">
        <f>+BU25+BU33</f>
        <v>40640.703332532656</v>
      </c>
      <c r="BV24" s="49"/>
      <c r="BX24" s="44" t="s">
        <v>24</v>
      </c>
      <c r="BY24" s="45"/>
      <c r="BZ24" s="46"/>
      <c r="CA24" s="47"/>
      <c r="CB24" s="48">
        <f>+CB25+CB33</f>
        <v>13377.926890386445</v>
      </c>
      <c r="CC24" s="49"/>
      <c r="CE24" s="44" t="s">
        <v>24</v>
      </c>
      <c r="CF24" s="45"/>
      <c r="CG24" s="46"/>
      <c r="CH24" s="47"/>
      <c r="CI24" s="48">
        <f>+CI25+CI33</f>
        <v>0</v>
      </c>
      <c r="CJ24" s="49"/>
      <c r="CL24" s="44" t="s">
        <v>24</v>
      </c>
      <c r="CM24" s="45"/>
      <c r="CN24" s="46"/>
      <c r="CO24" s="47"/>
      <c r="CP24" s="48">
        <f>+CP25+CP33</f>
        <v>0</v>
      </c>
      <c r="CQ24" s="49"/>
      <c r="CS24" s="44" t="s">
        <v>24</v>
      </c>
      <c r="CT24" s="45"/>
      <c r="CU24" s="46"/>
      <c r="CV24" s="47"/>
      <c r="CW24" s="48">
        <f>+CW25+CW33</f>
        <v>15707.934976946062</v>
      </c>
      <c r="CX24" s="49"/>
      <c r="CZ24" s="44" t="s">
        <v>24</v>
      </c>
      <c r="DA24" s="45"/>
      <c r="DB24" s="46"/>
      <c r="DC24" s="47"/>
      <c r="DD24" s="48">
        <f>+DD25+DD33</f>
        <v>0</v>
      </c>
      <c r="DE24" s="49"/>
      <c r="DG24" s="44" t="s">
        <v>24</v>
      </c>
      <c r="DH24" s="45"/>
      <c r="DI24" s="46"/>
      <c r="DJ24" s="47"/>
      <c r="DK24" s="48">
        <f>+DK25+DK33</f>
        <v>0</v>
      </c>
      <c r="DL24" s="49"/>
      <c r="DN24" s="44" t="s">
        <v>24</v>
      </c>
      <c r="DO24" s="45"/>
      <c r="DP24" s="46"/>
      <c r="DQ24" s="47"/>
      <c r="DR24" s="50">
        <f t="shared" ref="DR24:DR33" si="1">+O24-(+DK24+DD24+CW24+CP24+CI24+CB24+BU24+BN24+BG24+AZ24+AS24+AL24+K112+O68)</f>
        <v>232496.48182189901</v>
      </c>
      <c r="DS24" s="51"/>
    </row>
    <row r="25" spans="2:123" ht="20.100000000000001" customHeight="1" x14ac:dyDescent="0.35">
      <c r="G25" s="52"/>
      <c r="H25" s="53" t="s">
        <v>25</v>
      </c>
      <c r="I25" s="53"/>
      <c r="J25" s="54"/>
      <c r="K25" s="55">
        <f>SUM(K26:L32)</f>
        <v>468657.00140000001</v>
      </c>
      <c r="L25" s="56"/>
      <c r="M25" s="46"/>
      <c r="N25" s="46"/>
      <c r="O25" s="55">
        <f>SUM(O26:P32)</f>
        <v>468657.00140000001</v>
      </c>
      <c r="P25" s="56"/>
      <c r="Q25" s="55"/>
      <c r="R25" s="56"/>
      <c r="AH25" s="52"/>
      <c r="AI25" s="53" t="s">
        <v>25</v>
      </c>
      <c r="AJ25" s="53"/>
      <c r="AK25" s="54"/>
      <c r="AL25" s="55">
        <f>SUM(AL26:AM32)</f>
        <v>102581.98521543966</v>
      </c>
      <c r="AM25" s="56"/>
      <c r="AO25" s="52"/>
      <c r="AP25" s="53" t="s">
        <v>25</v>
      </c>
      <c r="AQ25" s="53"/>
      <c r="AR25" s="54"/>
      <c r="AS25" s="55">
        <f>SUM(AS26:AT32)</f>
        <v>1978.61504396899</v>
      </c>
      <c r="AT25" s="56"/>
      <c r="AV25" s="52"/>
      <c r="AW25" s="53" t="s">
        <v>25</v>
      </c>
      <c r="AX25" s="53"/>
      <c r="AY25" s="54"/>
      <c r="AZ25" s="55">
        <f>SUM(AZ26:BA32)</f>
        <v>3438.0397977625871</v>
      </c>
      <c r="BA25" s="56"/>
      <c r="BC25" s="52"/>
      <c r="BD25" s="53" t="s">
        <v>25</v>
      </c>
      <c r="BE25" s="53"/>
      <c r="BF25" s="54"/>
      <c r="BG25" s="55">
        <f>SUM(BG26:BH32)</f>
        <v>0</v>
      </c>
      <c r="BH25" s="56"/>
      <c r="BJ25" s="52"/>
      <c r="BK25" s="53" t="s">
        <v>25</v>
      </c>
      <c r="BL25" s="53"/>
      <c r="BM25" s="54"/>
      <c r="BN25" s="55">
        <f>SUM(BN26:BO32)</f>
        <v>0</v>
      </c>
      <c r="BO25" s="56"/>
      <c r="BQ25" s="52"/>
      <c r="BR25" s="53" t="s">
        <v>25</v>
      </c>
      <c r="BS25" s="53"/>
      <c r="BT25" s="54"/>
      <c r="BU25" s="55">
        <f>SUM(BU26:BV32)</f>
        <v>34017.783258359872</v>
      </c>
      <c r="BV25" s="56"/>
      <c r="BX25" s="52"/>
      <c r="BY25" s="53" t="s">
        <v>25</v>
      </c>
      <c r="BZ25" s="53"/>
      <c r="CA25" s="54"/>
      <c r="CB25" s="55">
        <f>SUM(CB26:CC32)</f>
        <v>11873.439070462071</v>
      </c>
      <c r="CC25" s="56"/>
      <c r="CE25" s="52"/>
      <c r="CF25" s="53" t="s">
        <v>25</v>
      </c>
      <c r="CG25" s="53"/>
      <c r="CH25" s="54"/>
      <c r="CI25" s="55">
        <f>SUM(CI26:CJ32)</f>
        <v>0</v>
      </c>
      <c r="CJ25" s="56"/>
      <c r="CL25" s="52"/>
      <c r="CM25" s="53" t="s">
        <v>25</v>
      </c>
      <c r="CN25" s="53"/>
      <c r="CO25" s="54"/>
      <c r="CP25" s="55">
        <f>SUM(CP26:CQ32)</f>
        <v>0</v>
      </c>
      <c r="CQ25" s="56"/>
      <c r="CS25" s="52"/>
      <c r="CT25" s="53" t="s">
        <v>25</v>
      </c>
      <c r="CU25" s="53"/>
      <c r="CV25" s="54"/>
      <c r="CW25" s="55">
        <f>SUM(CW26:CX32)</f>
        <v>13904.840387502471</v>
      </c>
      <c r="CX25" s="56"/>
      <c r="CZ25" s="52"/>
      <c r="DA25" s="53" t="s">
        <v>25</v>
      </c>
      <c r="DB25" s="53"/>
      <c r="DC25" s="54"/>
      <c r="DD25" s="55">
        <f>SUM(DD26:DE32)</f>
        <v>0</v>
      </c>
      <c r="DE25" s="56"/>
      <c r="DG25" s="52"/>
      <c r="DH25" s="53" t="s">
        <v>25</v>
      </c>
      <c r="DI25" s="53"/>
      <c r="DJ25" s="54"/>
      <c r="DK25" s="55">
        <f>SUM(DK26:DL32)</f>
        <v>0</v>
      </c>
      <c r="DL25" s="56"/>
      <c r="DN25" s="52"/>
      <c r="DO25" s="53" t="s">
        <v>25</v>
      </c>
      <c r="DP25" s="53"/>
      <c r="DQ25" s="54"/>
      <c r="DR25" s="57">
        <f t="shared" si="1"/>
        <v>191961.92497617065</v>
      </c>
      <c r="DS25" s="58"/>
    </row>
    <row r="26" spans="2:123" ht="20.100000000000001" customHeight="1" x14ac:dyDescent="0.35">
      <c r="B26" s="1"/>
      <c r="D26" s="4"/>
      <c r="E26" s="4"/>
      <c r="G26" s="52"/>
      <c r="H26" s="45"/>
      <c r="I26" s="45" t="s">
        <v>26</v>
      </c>
      <c r="J26" s="47"/>
      <c r="K26" s="55">
        <f>Frais_Fixes</f>
        <v>289022</v>
      </c>
      <c r="L26" s="56"/>
      <c r="M26" s="45"/>
      <c r="N26" s="45"/>
      <c r="O26" s="55">
        <f>Frais_Fixes</f>
        <v>289022</v>
      </c>
      <c r="P26" s="56"/>
      <c r="Q26" s="55"/>
      <c r="R26" s="56"/>
      <c r="AH26" s="52"/>
      <c r="AI26" s="45"/>
      <c r="AJ26" s="45" t="s">
        <v>26</v>
      </c>
      <c r="AK26" s="47"/>
      <c r="AL26" s="55">
        <f>Frais_Fixes_Activite3</f>
        <v>68380.831004222273</v>
      </c>
      <c r="AM26" s="56"/>
      <c r="AO26" s="52"/>
      <c r="AP26" s="45"/>
      <c r="AQ26" s="45" t="s">
        <v>26</v>
      </c>
      <c r="AR26" s="47"/>
      <c r="AS26" s="55">
        <f>Frais_Fixes_Activite4</f>
        <v>666.57751960900362</v>
      </c>
      <c r="AT26" s="56"/>
      <c r="AV26" s="52"/>
      <c r="AW26" s="45"/>
      <c r="AX26" s="45" t="s">
        <v>26</v>
      </c>
      <c r="AY26" s="47"/>
      <c r="AZ26" s="55">
        <f>Frais_Fixes_Activite5</f>
        <v>2181.8495754687724</v>
      </c>
      <c r="BA26" s="56"/>
      <c r="BC26" s="52"/>
      <c r="BD26" s="45"/>
      <c r="BE26" s="45" t="s">
        <v>26</v>
      </c>
      <c r="BF26" s="47"/>
      <c r="BG26" s="55">
        <f>Frais_Fixes_Activite6</f>
        <v>0</v>
      </c>
      <c r="BH26" s="56"/>
      <c r="BJ26" s="52"/>
      <c r="BK26" s="45"/>
      <c r="BL26" s="45" t="s">
        <v>26</v>
      </c>
      <c r="BM26" s="47"/>
      <c r="BN26" s="55">
        <f>Frais_Fixes_Activite7</f>
        <v>0</v>
      </c>
      <c r="BO26" s="56"/>
      <c r="BQ26" s="52"/>
      <c r="BR26" s="45"/>
      <c r="BS26" s="45" t="s">
        <v>26</v>
      </c>
      <c r="BT26" s="47"/>
      <c r="BU26" s="55">
        <f>Frais_Fixes_Activite8</f>
        <v>21221.63720820691</v>
      </c>
      <c r="BV26" s="56"/>
      <c r="BX26" s="52"/>
      <c r="BY26" s="45"/>
      <c r="BZ26" s="45" t="s">
        <v>26</v>
      </c>
      <c r="CA26" s="47"/>
      <c r="CB26" s="55">
        <f>Frais_Fixes_Activite9</f>
        <v>4820.7881630806214</v>
      </c>
      <c r="CC26" s="56"/>
      <c r="CE26" s="52"/>
      <c r="CF26" s="45"/>
      <c r="CG26" s="45" t="s">
        <v>26</v>
      </c>
      <c r="CH26" s="47"/>
      <c r="CI26" s="55">
        <f>Frais_Fixes_Activite10</f>
        <v>0</v>
      </c>
      <c r="CJ26" s="56"/>
      <c r="CL26" s="52"/>
      <c r="CM26" s="45"/>
      <c r="CN26" s="45" t="s">
        <v>26</v>
      </c>
      <c r="CO26" s="47"/>
      <c r="CP26" s="55">
        <f>Frais_Fixes_Activite11</f>
        <v>0</v>
      </c>
      <c r="CQ26" s="56"/>
      <c r="CS26" s="52"/>
      <c r="CT26" s="45"/>
      <c r="CU26" s="45" t="s">
        <v>26</v>
      </c>
      <c r="CV26" s="47"/>
      <c r="CW26" s="55">
        <f>Frais_Fixes_Activite12</f>
        <v>5777.6054671823949</v>
      </c>
      <c r="CX26" s="56"/>
      <c r="CZ26" s="52"/>
      <c r="DA26" s="45"/>
      <c r="DB26" s="45" t="s">
        <v>26</v>
      </c>
      <c r="DC26" s="47"/>
      <c r="DD26" s="55">
        <f>Frais_Fixes_Activite13</f>
        <v>0</v>
      </c>
      <c r="DE26" s="56"/>
      <c r="DG26" s="52"/>
      <c r="DH26" s="45"/>
      <c r="DI26" s="45" t="s">
        <v>26</v>
      </c>
      <c r="DJ26" s="47"/>
      <c r="DK26" s="55">
        <f>Frais_Fixes_Activite14</f>
        <v>0</v>
      </c>
      <c r="DL26" s="56"/>
      <c r="DN26" s="52"/>
      <c r="DO26" s="45"/>
      <c r="DP26" s="45" t="s">
        <v>26</v>
      </c>
      <c r="DQ26" s="47"/>
      <c r="DR26" s="57">
        <f t="shared" si="1"/>
        <v>126979.19898139354</v>
      </c>
      <c r="DS26" s="58"/>
    </row>
    <row r="27" spans="2:123" ht="20.100000000000001" customHeight="1" x14ac:dyDescent="0.35">
      <c r="G27" s="52"/>
      <c r="H27" s="45"/>
      <c r="I27" s="45" t="s">
        <v>27</v>
      </c>
      <c r="J27" s="47"/>
      <c r="K27" s="55">
        <f>Frais_Variables</f>
        <v>117670.00140000002</v>
      </c>
      <c r="L27" s="56"/>
      <c r="M27" s="45"/>
      <c r="N27" s="45"/>
      <c r="O27" s="55">
        <f>Frais_Variables</f>
        <v>117670.00140000002</v>
      </c>
      <c r="P27" s="56"/>
      <c r="Q27" s="55"/>
      <c r="R27" s="56"/>
      <c r="AH27" s="52"/>
      <c r="AI27" s="45"/>
      <c r="AJ27" s="45" t="s">
        <v>27</v>
      </c>
      <c r="AK27" s="47"/>
      <c r="AL27" s="55">
        <f>Frais_Var_Activite3</f>
        <v>27840</v>
      </c>
      <c r="AM27" s="56"/>
      <c r="AO27" s="52"/>
      <c r="AP27" s="45"/>
      <c r="AQ27" s="45" t="s">
        <v>27</v>
      </c>
      <c r="AR27" s="47"/>
      <c r="AS27" s="55">
        <f>Frais_Var_Activite4</f>
        <v>271.38480000000004</v>
      </c>
      <c r="AT27" s="56"/>
      <c r="AV27" s="52"/>
      <c r="AW27" s="45"/>
      <c r="AX27" s="45" t="s">
        <v>27</v>
      </c>
      <c r="AY27" s="47"/>
      <c r="AZ27" s="55">
        <f>Frais_Var_Activite5</f>
        <v>888.30000000000007</v>
      </c>
      <c r="BA27" s="56"/>
      <c r="BC27" s="52"/>
      <c r="BD27" s="45"/>
      <c r="BE27" s="45" t="s">
        <v>27</v>
      </c>
      <c r="BF27" s="47"/>
      <c r="BG27" s="55">
        <f>Frais_Var_Activite6</f>
        <v>0</v>
      </c>
      <c r="BH27" s="56"/>
      <c r="BJ27" s="52"/>
      <c r="BK27" s="45"/>
      <c r="BL27" s="45" t="s">
        <v>27</v>
      </c>
      <c r="BM27" s="47"/>
      <c r="BN27" s="55">
        <f>Frais_Var_Activite7</f>
        <v>0</v>
      </c>
      <c r="BO27" s="56"/>
      <c r="BQ27" s="52"/>
      <c r="BR27" s="45"/>
      <c r="BS27" s="45" t="s">
        <v>27</v>
      </c>
      <c r="BT27" s="47"/>
      <c r="BU27" s="55">
        <f>Frais_Var_Activite8</f>
        <v>8640</v>
      </c>
      <c r="BV27" s="56"/>
      <c r="BX27" s="52"/>
      <c r="BY27" s="45"/>
      <c r="BZ27" s="45" t="s">
        <v>27</v>
      </c>
      <c r="CA27" s="47"/>
      <c r="CB27" s="55">
        <f>Frais_Var_Activite9</f>
        <v>1962.6954000000001</v>
      </c>
      <c r="CC27" s="56"/>
      <c r="CE27" s="52"/>
      <c r="CF27" s="45"/>
      <c r="CG27" s="45" t="s">
        <v>27</v>
      </c>
      <c r="CH27" s="47"/>
      <c r="CI27" s="55">
        <f>Frais_Var_Activite10</f>
        <v>0</v>
      </c>
      <c r="CJ27" s="56"/>
      <c r="CL27" s="52"/>
      <c r="CM27" s="45"/>
      <c r="CN27" s="45" t="s">
        <v>27</v>
      </c>
      <c r="CO27" s="47"/>
      <c r="CP27" s="55">
        <f>Frais_Var_Activite11</f>
        <v>0</v>
      </c>
      <c r="CQ27" s="56"/>
      <c r="CS27" s="52"/>
      <c r="CT27" s="45"/>
      <c r="CU27" s="45" t="s">
        <v>27</v>
      </c>
      <c r="CV27" s="47"/>
      <c r="CW27" s="55">
        <f>Frais_Var_Activite12</f>
        <v>2352.2459999999996</v>
      </c>
      <c r="CX27" s="56"/>
      <c r="CZ27" s="52"/>
      <c r="DA27" s="45"/>
      <c r="DB27" s="45" t="s">
        <v>27</v>
      </c>
      <c r="DC27" s="47"/>
      <c r="DD27" s="55">
        <f>Frais_Var_Activite13</f>
        <v>0</v>
      </c>
      <c r="DE27" s="56"/>
      <c r="DG27" s="52"/>
      <c r="DH27" s="45"/>
      <c r="DI27" s="45" t="s">
        <v>27</v>
      </c>
      <c r="DJ27" s="47"/>
      <c r="DK27" s="55">
        <f>Frais_Var_Activite14</f>
        <v>0</v>
      </c>
      <c r="DL27" s="56"/>
      <c r="DN27" s="52"/>
      <c r="DO27" s="45"/>
      <c r="DP27" s="45" t="s">
        <v>27</v>
      </c>
      <c r="DQ27" s="47"/>
      <c r="DR27" s="57">
        <f t="shared" si="1"/>
        <v>51697.249766147419</v>
      </c>
      <c r="DS27" s="58"/>
    </row>
    <row r="28" spans="2:123" ht="20.100000000000001" customHeight="1" x14ac:dyDescent="0.35">
      <c r="G28" s="52"/>
      <c r="H28" s="45"/>
      <c r="I28" s="46" t="s">
        <v>28</v>
      </c>
      <c r="J28" s="59"/>
      <c r="K28" s="55">
        <f>Credit_bail</f>
        <v>13593</v>
      </c>
      <c r="L28" s="60"/>
      <c r="M28" s="46"/>
      <c r="N28" s="46"/>
      <c r="O28" s="55">
        <f>Credit_bail</f>
        <v>13593</v>
      </c>
      <c r="P28" s="60"/>
      <c r="Q28" s="55"/>
      <c r="R28" s="60"/>
      <c r="AH28" s="52"/>
      <c r="AI28" s="45"/>
      <c r="AJ28" s="46" t="s">
        <v>28</v>
      </c>
      <c r="AK28" s="59"/>
      <c r="AL28" s="55">
        <f>Credit_Bail_Activite3</f>
        <v>1562.7360000000001</v>
      </c>
      <c r="AM28" s="60"/>
      <c r="AO28" s="52"/>
      <c r="AP28" s="45"/>
      <c r="AQ28" s="46" t="s">
        <v>28</v>
      </c>
      <c r="AR28" s="59"/>
      <c r="AS28" s="55">
        <f>Credit_Bail_Activite4</f>
        <v>55.811999999999998</v>
      </c>
      <c r="AT28" s="60"/>
      <c r="AV28" s="52"/>
      <c r="AW28" s="45"/>
      <c r="AX28" s="46" t="s">
        <v>28</v>
      </c>
      <c r="AY28" s="59"/>
      <c r="AZ28" s="55">
        <f>Credit_Bail_Activite5</f>
        <v>0</v>
      </c>
      <c r="BA28" s="60"/>
      <c r="BC28" s="52"/>
      <c r="BD28" s="45"/>
      <c r="BE28" s="46" t="s">
        <v>28</v>
      </c>
      <c r="BF28" s="59"/>
      <c r="BG28" s="55">
        <f>Credit_Bail_Activite6</f>
        <v>0</v>
      </c>
      <c r="BH28" s="60"/>
      <c r="BJ28" s="52"/>
      <c r="BK28" s="45"/>
      <c r="BL28" s="46" t="s">
        <v>28</v>
      </c>
      <c r="BM28" s="59"/>
      <c r="BN28" s="55">
        <f>Credit_Bail_Activite7</f>
        <v>0</v>
      </c>
      <c r="BO28" s="60"/>
      <c r="BQ28" s="52"/>
      <c r="BR28" s="45"/>
      <c r="BS28" s="46" t="s">
        <v>28</v>
      </c>
      <c r="BT28" s="59"/>
      <c r="BU28" s="55">
        <f>Credit_Bail_Activite8</f>
        <v>334.87199999999996</v>
      </c>
      <c r="BV28" s="60"/>
      <c r="BX28" s="52"/>
      <c r="BY28" s="45"/>
      <c r="BZ28" s="46" t="s">
        <v>28</v>
      </c>
      <c r="CA28" s="59"/>
      <c r="CB28" s="55">
        <f>Credit_Bail_Activite9</f>
        <v>334.87199999999996</v>
      </c>
      <c r="CC28" s="60"/>
      <c r="CE28" s="52"/>
      <c r="CF28" s="45"/>
      <c r="CG28" s="46" t="s">
        <v>28</v>
      </c>
      <c r="CH28" s="59"/>
      <c r="CI28" s="55">
        <f>Credit_Bail_Activite10</f>
        <v>0</v>
      </c>
      <c r="CJ28" s="60"/>
      <c r="CL28" s="52"/>
      <c r="CM28" s="45"/>
      <c r="CN28" s="46" t="s">
        <v>28</v>
      </c>
      <c r="CO28" s="59"/>
      <c r="CP28" s="55">
        <f>Credit_Bail_Activite11</f>
        <v>0</v>
      </c>
      <c r="CQ28" s="60"/>
      <c r="CS28" s="52"/>
      <c r="CT28" s="45"/>
      <c r="CU28" s="46" t="s">
        <v>28</v>
      </c>
      <c r="CV28" s="59"/>
      <c r="CW28" s="55">
        <f>Credit_Bail_Activite12</f>
        <v>223.24799999999999</v>
      </c>
      <c r="CX28" s="60"/>
      <c r="CZ28" s="52"/>
      <c r="DA28" s="45"/>
      <c r="DB28" s="46" t="s">
        <v>28</v>
      </c>
      <c r="DC28" s="59"/>
      <c r="DD28" s="55">
        <f>Credit_Bail_Activite13</f>
        <v>0</v>
      </c>
      <c r="DE28" s="60"/>
      <c r="DG28" s="52"/>
      <c r="DH28" s="45"/>
      <c r="DI28" s="46" t="s">
        <v>28</v>
      </c>
      <c r="DJ28" s="59"/>
      <c r="DK28" s="55">
        <f>Credit_Bail_Activite14</f>
        <v>0</v>
      </c>
      <c r="DL28" s="60"/>
      <c r="DN28" s="52"/>
      <c r="DO28" s="45"/>
      <c r="DP28" s="46" t="s">
        <v>28</v>
      </c>
      <c r="DQ28" s="59"/>
      <c r="DR28" s="57">
        <f t="shared" si="1"/>
        <v>4375.0945925759934</v>
      </c>
      <c r="DS28" s="58"/>
    </row>
    <row r="29" spans="2:123" ht="20.100000000000001" customHeight="1" x14ac:dyDescent="0.35">
      <c r="G29" s="52"/>
      <c r="H29" s="45"/>
      <c r="I29" s="46" t="s">
        <v>29</v>
      </c>
      <c r="J29" s="59"/>
      <c r="K29" s="55">
        <f>Frais_Agents_Co</f>
        <v>5520</v>
      </c>
      <c r="L29" s="60"/>
      <c r="M29" s="46"/>
      <c r="N29" s="46"/>
      <c r="O29" s="55">
        <f>Frais_Agents_Co</f>
        <v>5520</v>
      </c>
      <c r="P29" s="60"/>
      <c r="Q29" s="55"/>
      <c r="R29" s="60"/>
      <c r="AH29" s="52"/>
      <c r="AI29" s="45"/>
      <c r="AJ29" s="46" t="s">
        <v>29</v>
      </c>
      <c r="AK29" s="59"/>
      <c r="AL29" s="55">
        <f>Frais_Agents_Co_Activite3</f>
        <v>0</v>
      </c>
      <c r="AM29" s="60"/>
      <c r="AO29" s="52"/>
      <c r="AP29" s="45"/>
      <c r="AQ29" s="46" t="s">
        <v>29</v>
      </c>
      <c r="AR29" s="59"/>
      <c r="AS29" s="55">
        <f>Frais_Agents_Co_Activite4</f>
        <v>480</v>
      </c>
      <c r="AT29" s="60"/>
      <c r="AV29" s="52"/>
      <c r="AW29" s="45"/>
      <c r="AX29" s="46" t="s">
        <v>29</v>
      </c>
      <c r="AY29" s="59"/>
      <c r="AZ29" s="55">
        <f>Frais_Agents_Co_Activite5</f>
        <v>0</v>
      </c>
      <c r="BA29" s="60"/>
      <c r="BC29" s="52"/>
      <c r="BD29" s="45"/>
      <c r="BE29" s="46" t="s">
        <v>29</v>
      </c>
      <c r="BF29" s="59"/>
      <c r="BG29" s="55">
        <f>Frais_Agents_Co_Activite6</f>
        <v>0</v>
      </c>
      <c r="BH29" s="60"/>
      <c r="BJ29" s="52"/>
      <c r="BK29" s="45"/>
      <c r="BL29" s="46" t="s">
        <v>29</v>
      </c>
      <c r="BM29" s="59"/>
      <c r="BN29" s="55">
        <f>Frais_Agents_Co_Activite7</f>
        <v>0</v>
      </c>
      <c r="BO29" s="60"/>
      <c r="BQ29" s="52"/>
      <c r="BR29" s="45"/>
      <c r="BS29" s="46" t="s">
        <v>29</v>
      </c>
      <c r="BT29" s="59"/>
      <c r="BU29" s="55">
        <f>Frais_Agents_Co_Activite8</f>
        <v>0</v>
      </c>
      <c r="BV29" s="60"/>
      <c r="BX29" s="52"/>
      <c r="BY29" s="45"/>
      <c r="BZ29" s="46" t="s">
        <v>29</v>
      </c>
      <c r="CA29" s="59"/>
      <c r="CB29" s="55">
        <f>Frais_Agents_Co_Activite9</f>
        <v>1104</v>
      </c>
      <c r="CC29" s="60"/>
      <c r="CE29" s="52"/>
      <c r="CF29" s="45"/>
      <c r="CG29" s="46" t="s">
        <v>29</v>
      </c>
      <c r="CH29" s="59"/>
      <c r="CI29" s="55">
        <f>Frais_Agents_Co_Activite10</f>
        <v>0</v>
      </c>
      <c r="CJ29" s="60"/>
      <c r="CL29" s="52"/>
      <c r="CM29" s="45"/>
      <c r="CN29" s="46" t="s">
        <v>29</v>
      </c>
      <c r="CO29" s="59"/>
      <c r="CP29" s="55">
        <f>Frais_Agents_Co_Activite11</f>
        <v>0</v>
      </c>
      <c r="CQ29" s="60"/>
      <c r="CS29" s="52"/>
      <c r="CT29" s="45"/>
      <c r="CU29" s="46" t="s">
        <v>29</v>
      </c>
      <c r="CV29" s="59"/>
      <c r="CW29" s="55">
        <f>Frais_Agents_Co_Activite12</f>
        <v>1176</v>
      </c>
      <c r="CX29" s="60"/>
      <c r="CZ29" s="52"/>
      <c r="DA29" s="45"/>
      <c r="DB29" s="46" t="s">
        <v>29</v>
      </c>
      <c r="DC29" s="59"/>
      <c r="DD29" s="55">
        <f>Frais_Agents_Co_Activite13</f>
        <v>0</v>
      </c>
      <c r="DE29" s="60"/>
      <c r="DG29" s="52"/>
      <c r="DH29" s="45"/>
      <c r="DI29" s="46" t="s">
        <v>29</v>
      </c>
      <c r="DJ29" s="59"/>
      <c r="DK29" s="55">
        <f>Frais_Agents_Co_Activite14</f>
        <v>0</v>
      </c>
      <c r="DL29" s="60"/>
      <c r="DN29" s="52"/>
      <c r="DO29" s="45"/>
      <c r="DP29" s="46" t="s">
        <v>29</v>
      </c>
      <c r="DQ29" s="59"/>
      <c r="DR29" s="57">
        <f t="shared" si="1"/>
        <v>0</v>
      </c>
      <c r="DS29" s="58"/>
    </row>
    <row r="30" spans="2:123" ht="20.100000000000001" customHeight="1" x14ac:dyDescent="0.35">
      <c r="G30" s="52"/>
      <c r="H30" s="45"/>
      <c r="I30" s="45" t="s">
        <v>30</v>
      </c>
      <c r="J30" s="47"/>
      <c r="K30" s="57">
        <f>Frais_Commerciaux</f>
        <v>22252</v>
      </c>
      <c r="L30" s="58"/>
      <c r="M30" s="45"/>
      <c r="N30" s="45"/>
      <c r="O30" s="57">
        <f>Frais_Commerciaux</f>
        <v>22252</v>
      </c>
      <c r="P30" s="58"/>
      <c r="Q30" s="57"/>
      <c r="R30" s="58"/>
      <c r="AH30" s="52"/>
      <c r="AI30" s="45"/>
      <c r="AJ30" s="45" t="s">
        <v>30</v>
      </c>
      <c r="AK30" s="47"/>
      <c r="AL30" s="57">
        <f>Frais_Commerciaux_Activite3</f>
        <v>0</v>
      </c>
      <c r="AM30" s="58"/>
      <c r="AO30" s="52"/>
      <c r="AP30" s="45"/>
      <c r="AQ30" s="45" t="s">
        <v>30</v>
      </c>
      <c r="AR30" s="47"/>
      <c r="AS30" s="57">
        <f>Frais_Commerciaux_Activite4</f>
        <v>447.2714154931611</v>
      </c>
      <c r="AT30" s="58"/>
      <c r="AV30" s="52"/>
      <c r="AW30" s="45"/>
      <c r="AX30" s="45" t="s">
        <v>30</v>
      </c>
      <c r="AY30" s="47"/>
      <c r="AZ30" s="57">
        <f>Frais_Commerciaux_Activite5</f>
        <v>367.89022229381442</v>
      </c>
      <c r="BA30" s="58"/>
      <c r="BC30" s="52"/>
      <c r="BD30" s="45"/>
      <c r="BE30" s="45" t="s">
        <v>30</v>
      </c>
      <c r="BF30" s="47"/>
      <c r="BG30" s="57">
        <f>Frais_Commerciaux_Activite6</f>
        <v>0</v>
      </c>
      <c r="BH30" s="58"/>
      <c r="BJ30" s="52"/>
      <c r="BK30" s="45"/>
      <c r="BL30" s="45" t="s">
        <v>30</v>
      </c>
      <c r="BM30" s="47"/>
      <c r="BN30" s="57">
        <f>Frais_Commerciaux_Activite7</f>
        <v>0</v>
      </c>
      <c r="BO30" s="58"/>
      <c r="BQ30" s="52"/>
      <c r="BR30" s="45"/>
      <c r="BS30" s="45" t="s">
        <v>30</v>
      </c>
      <c r="BT30" s="47"/>
      <c r="BU30" s="57">
        <f>Frais_Commerciaux_Activite8</f>
        <v>2332.1097777061855</v>
      </c>
      <c r="BV30" s="58"/>
      <c r="BX30" s="52"/>
      <c r="BY30" s="45"/>
      <c r="BZ30" s="45" t="s">
        <v>30</v>
      </c>
      <c r="CA30" s="47"/>
      <c r="CB30" s="57">
        <f>Frais_Commerciaux_Activite9</f>
        <v>3234.7336687239522</v>
      </c>
      <c r="CC30" s="58"/>
      <c r="CE30" s="52"/>
      <c r="CF30" s="45"/>
      <c r="CG30" s="45" t="s">
        <v>30</v>
      </c>
      <c r="CH30" s="47"/>
      <c r="CI30" s="57">
        <f>Frais_Commerciaux_Activite10</f>
        <v>0</v>
      </c>
      <c r="CJ30" s="58"/>
      <c r="CL30" s="52"/>
      <c r="CM30" s="45"/>
      <c r="CN30" s="45" t="s">
        <v>30</v>
      </c>
      <c r="CO30" s="47"/>
      <c r="CP30" s="57">
        <f>Frais_Commerciaux_Activite11</f>
        <v>0</v>
      </c>
      <c r="CQ30" s="58"/>
      <c r="CS30" s="52"/>
      <c r="CT30" s="45"/>
      <c r="CU30" s="45" t="s">
        <v>30</v>
      </c>
      <c r="CV30" s="47"/>
      <c r="CW30" s="57">
        <f>Frais_Commerciaux_Activite12</f>
        <v>3876.7550651625515</v>
      </c>
      <c r="CX30" s="58"/>
      <c r="CZ30" s="52"/>
      <c r="DA30" s="45"/>
      <c r="DB30" s="45" t="s">
        <v>30</v>
      </c>
      <c r="DC30" s="47"/>
      <c r="DD30" s="57">
        <f>Frais_Commerciaux_Activite13</f>
        <v>0</v>
      </c>
      <c r="DE30" s="58"/>
      <c r="DG30" s="52"/>
      <c r="DH30" s="45"/>
      <c r="DI30" s="45" t="s">
        <v>30</v>
      </c>
      <c r="DJ30" s="47"/>
      <c r="DK30" s="57">
        <f>Frais_Commerciaux_Activite14</f>
        <v>0</v>
      </c>
      <c r="DL30" s="58"/>
      <c r="DN30" s="52"/>
      <c r="DO30" s="45"/>
      <c r="DP30" s="45" t="s">
        <v>30</v>
      </c>
      <c r="DQ30" s="47"/>
      <c r="DR30" s="57">
        <f t="shared" si="1"/>
        <v>0</v>
      </c>
      <c r="DS30" s="58"/>
    </row>
    <row r="31" spans="2:123" ht="20.100000000000001" customHeight="1" x14ac:dyDescent="0.35">
      <c r="G31" s="52"/>
      <c r="H31" s="45"/>
      <c r="I31" s="45" t="s">
        <v>31</v>
      </c>
      <c r="J31" s="47"/>
      <c r="K31" s="57">
        <f>Frais_Sous_traitance</f>
        <v>8000</v>
      </c>
      <c r="L31" s="58"/>
      <c r="M31" s="45"/>
      <c r="N31" s="45"/>
      <c r="O31" s="57">
        <f>Frais_Sous_traitance</f>
        <v>8000</v>
      </c>
      <c r="P31" s="58"/>
      <c r="Q31" s="57"/>
      <c r="R31" s="58"/>
      <c r="AH31" s="52"/>
      <c r="AI31" s="45"/>
      <c r="AJ31" s="45" t="s">
        <v>31</v>
      </c>
      <c r="AK31" s="47"/>
      <c r="AL31" s="57">
        <f>Frais_Sous_traitance_Activite3</f>
        <v>1863.4633829970421</v>
      </c>
      <c r="AM31" s="58"/>
      <c r="AO31" s="52"/>
      <c r="AP31" s="45"/>
      <c r="AQ31" s="45" t="s">
        <v>31</v>
      </c>
      <c r="AR31" s="47"/>
      <c r="AS31" s="57">
        <f>Frais_Sous_traitance_Activite4</f>
        <v>22.357013152165148</v>
      </c>
      <c r="AT31" s="58"/>
      <c r="AV31" s="52"/>
      <c r="AW31" s="45"/>
      <c r="AX31" s="45" t="s">
        <v>31</v>
      </c>
      <c r="AY31" s="47"/>
      <c r="AZ31" s="57">
        <f>Frais_Sous_traitance_Activite5</f>
        <v>0</v>
      </c>
      <c r="BA31" s="58"/>
      <c r="BC31" s="52"/>
      <c r="BD31" s="45"/>
      <c r="BE31" s="45" t="s">
        <v>31</v>
      </c>
      <c r="BF31" s="47"/>
      <c r="BG31" s="57">
        <f>Frais_Sous_traitance_Activite6</f>
        <v>0</v>
      </c>
      <c r="BH31" s="58"/>
      <c r="BJ31" s="52"/>
      <c r="BK31" s="45"/>
      <c r="BL31" s="45" t="s">
        <v>31</v>
      </c>
      <c r="BM31" s="47"/>
      <c r="BN31" s="57">
        <f>Frais_Sous_traitance_Activite7</f>
        <v>0</v>
      </c>
      <c r="BO31" s="58"/>
      <c r="BQ31" s="52"/>
      <c r="BR31" s="45"/>
      <c r="BS31" s="45" t="s">
        <v>31</v>
      </c>
      <c r="BT31" s="47"/>
      <c r="BU31" s="57">
        <f>Frais_Sous_traitance_Activite8</f>
        <v>578.31622230942685</v>
      </c>
      <c r="BV31" s="58"/>
      <c r="BX31" s="52"/>
      <c r="BY31" s="45"/>
      <c r="BZ31" s="45" t="s">
        <v>31</v>
      </c>
      <c r="CA31" s="47"/>
      <c r="CB31" s="57">
        <f>Frais_Sous_traitance_Activite9</f>
        <v>161.68925773106687</v>
      </c>
      <c r="CC31" s="58"/>
      <c r="CE31" s="52"/>
      <c r="CF31" s="45"/>
      <c r="CG31" s="45" t="s">
        <v>31</v>
      </c>
      <c r="CH31" s="47"/>
      <c r="CI31" s="57">
        <f>Frais_Sous_traitance_Activite10</f>
        <v>0</v>
      </c>
      <c r="CJ31" s="58"/>
      <c r="CL31" s="52"/>
      <c r="CM31" s="45"/>
      <c r="CN31" s="45" t="s">
        <v>31</v>
      </c>
      <c r="CO31" s="47"/>
      <c r="CP31" s="57">
        <f>Frais_Sous_traitance_Activite11</f>
        <v>0</v>
      </c>
      <c r="CQ31" s="58"/>
      <c r="CS31" s="52"/>
      <c r="CT31" s="45"/>
      <c r="CU31" s="45" t="s">
        <v>31</v>
      </c>
      <c r="CV31" s="47"/>
      <c r="CW31" s="57">
        <f>Frais_Sous_traitance_Activite12</f>
        <v>193.78091462428202</v>
      </c>
      <c r="CX31" s="58"/>
      <c r="CZ31" s="52"/>
      <c r="DA31" s="45"/>
      <c r="DB31" s="45" t="s">
        <v>31</v>
      </c>
      <c r="DC31" s="47"/>
      <c r="DD31" s="57">
        <f>Frais_Sous_traitance_Activite13</f>
        <v>0</v>
      </c>
      <c r="DE31" s="58"/>
      <c r="DG31" s="52"/>
      <c r="DH31" s="45"/>
      <c r="DI31" s="45" t="s">
        <v>31</v>
      </c>
      <c r="DJ31" s="47"/>
      <c r="DK31" s="57">
        <f>Frais_Sous_traitance_Activite14</f>
        <v>0</v>
      </c>
      <c r="DL31" s="58"/>
      <c r="DN31" s="52"/>
      <c r="DO31" s="45"/>
      <c r="DP31" s="45" t="s">
        <v>31</v>
      </c>
      <c r="DQ31" s="47"/>
      <c r="DR31" s="57">
        <f t="shared" si="1"/>
        <v>3460.3423829334797</v>
      </c>
      <c r="DS31" s="58"/>
    </row>
    <row r="32" spans="2:123" ht="20.100000000000001" customHeight="1" x14ac:dyDescent="0.35">
      <c r="G32" s="52"/>
      <c r="H32" s="45"/>
      <c r="I32" s="45" t="s">
        <v>32</v>
      </c>
      <c r="J32" s="47"/>
      <c r="K32" s="57">
        <f>Frais_Intérimaires</f>
        <v>12600</v>
      </c>
      <c r="L32" s="58"/>
      <c r="M32" s="45"/>
      <c r="N32" s="45"/>
      <c r="O32" s="57">
        <f>Frais_Intérimaires</f>
        <v>12600</v>
      </c>
      <c r="P32" s="58"/>
      <c r="Q32" s="57"/>
      <c r="R32" s="58"/>
      <c r="AH32" s="52"/>
      <c r="AI32" s="45"/>
      <c r="AJ32" s="45" t="s">
        <v>32</v>
      </c>
      <c r="AK32" s="47"/>
      <c r="AL32" s="57">
        <f>Frais_Interim_Activite3</f>
        <v>2934.9548282203409</v>
      </c>
      <c r="AM32" s="58"/>
      <c r="AO32" s="52"/>
      <c r="AP32" s="45"/>
      <c r="AQ32" s="45" t="s">
        <v>32</v>
      </c>
      <c r="AR32" s="47"/>
      <c r="AS32" s="57">
        <f>Frais_Interim_Activite4</f>
        <v>35.212295714660101</v>
      </c>
      <c r="AT32" s="58"/>
      <c r="AV32" s="52"/>
      <c r="AW32" s="45"/>
      <c r="AX32" s="45" t="s">
        <v>32</v>
      </c>
      <c r="AY32" s="47"/>
      <c r="AZ32" s="57">
        <f>Frais_Interim_Activite5</f>
        <v>0</v>
      </c>
      <c r="BA32" s="58"/>
      <c r="BC32" s="52"/>
      <c r="BD32" s="45"/>
      <c r="BE32" s="45" t="s">
        <v>32</v>
      </c>
      <c r="BF32" s="47"/>
      <c r="BG32" s="57">
        <f>Frais_Interim_Activite6</f>
        <v>0</v>
      </c>
      <c r="BH32" s="58"/>
      <c r="BJ32" s="52"/>
      <c r="BK32" s="45"/>
      <c r="BL32" s="45" t="s">
        <v>32</v>
      </c>
      <c r="BM32" s="47"/>
      <c r="BN32" s="57">
        <f>Frais_Interim_Activite7</f>
        <v>0</v>
      </c>
      <c r="BO32" s="58"/>
      <c r="BQ32" s="52"/>
      <c r="BR32" s="45"/>
      <c r="BS32" s="45" t="s">
        <v>32</v>
      </c>
      <c r="BT32" s="47"/>
      <c r="BU32" s="57">
        <f>Frais_Interim_Activite8</f>
        <v>910.84805013734729</v>
      </c>
      <c r="BV32" s="58"/>
      <c r="BX32" s="52"/>
      <c r="BY32" s="45"/>
      <c r="BZ32" s="45" t="s">
        <v>32</v>
      </c>
      <c r="CA32" s="47"/>
      <c r="CB32" s="57">
        <f>Frais_Interim_Activite9</f>
        <v>254.6605809264303</v>
      </c>
      <c r="CC32" s="58"/>
      <c r="CE32" s="52"/>
      <c r="CF32" s="45"/>
      <c r="CG32" s="45" t="s">
        <v>32</v>
      </c>
      <c r="CH32" s="47"/>
      <c r="CI32" s="57">
        <f>Frais_Interim_Activite10</f>
        <v>0</v>
      </c>
      <c r="CJ32" s="58"/>
      <c r="CL32" s="52"/>
      <c r="CM32" s="45"/>
      <c r="CN32" s="45" t="s">
        <v>32</v>
      </c>
      <c r="CO32" s="47"/>
      <c r="CP32" s="57">
        <f>Frais_Interim_Activite11</f>
        <v>0</v>
      </c>
      <c r="CQ32" s="58"/>
      <c r="CS32" s="52"/>
      <c r="CT32" s="45"/>
      <c r="CU32" s="45" t="s">
        <v>32</v>
      </c>
      <c r="CV32" s="47"/>
      <c r="CW32" s="57">
        <f>Frais_Interim_Activite12</f>
        <v>305.20494053324416</v>
      </c>
      <c r="CX32" s="58"/>
      <c r="CZ32" s="52"/>
      <c r="DA32" s="45"/>
      <c r="DB32" s="45" t="s">
        <v>32</v>
      </c>
      <c r="DC32" s="47"/>
      <c r="DD32" s="57">
        <f>Frais_Interim_Activite13</f>
        <v>0</v>
      </c>
      <c r="DE32" s="58"/>
      <c r="DG32" s="52"/>
      <c r="DH32" s="45"/>
      <c r="DI32" s="45" t="s">
        <v>32</v>
      </c>
      <c r="DJ32" s="47"/>
      <c r="DK32" s="57">
        <f>Frais_Interim_Activite14</f>
        <v>0</v>
      </c>
      <c r="DL32" s="58"/>
      <c r="DN32" s="52"/>
      <c r="DO32" s="45"/>
      <c r="DP32" s="45" t="s">
        <v>32</v>
      </c>
      <c r="DQ32" s="47"/>
      <c r="DR32" s="57">
        <f t="shared" si="1"/>
        <v>5450.0392531202315</v>
      </c>
      <c r="DS32" s="58"/>
    </row>
    <row r="33" spans="2:124" ht="20.100000000000001" customHeight="1" x14ac:dyDescent="0.35">
      <c r="G33" s="52"/>
      <c r="H33" s="53" t="s">
        <v>33</v>
      </c>
      <c r="I33" s="53"/>
      <c r="J33" s="54"/>
      <c r="K33" s="55">
        <f>+Dotations_Amor</f>
        <v>92598.959999999992</v>
      </c>
      <c r="L33" s="56">
        <f>+Dotations_Amor</f>
        <v>92598.959999999992</v>
      </c>
      <c r="M33" s="46"/>
      <c r="N33" s="46"/>
      <c r="O33" s="55">
        <f>+Dotations_Amor</f>
        <v>92598.959999999992</v>
      </c>
      <c r="P33" s="56">
        <f>+Dotations_Amor</f>
        <v>92598.959999999992</v>
      </c>
      <c r="Q33" s="55"/>
      <c r="R33" s="56"/>
      <c r="AH33" s="52"/>
      <c r="AI33" s="53" t="s">
        <v>33</v>
      </c>
      <c r="AJ33" s="53"/>
      <c r="AK33" s="54"/>
      <c r="AL33" s="55">
        <f>Dotations_Activite3</f>
        <v>21340.520239001202</v>
      </c>
      <c r="AM33" s="56"/>
      <c r="AO33" s="52"/>
      <c r="AP33" s="53" t="s">
        <v>33</v>
      </c>
      <c r="AQ33" s="53"/>
      <c r="AR33" s="54"/>
      <c r="AS33" s="55">
        <f>Dotations_Activite4</f>
        <v>208.02775922978782</v>
      </c>
      <c r="AT33" s="56"/>
      <c r="AV33" s="52"/>
      <c r="AW33" s="53" t="s">
        <v>33</v>
      </c>
      <c r="AX33" s="53"/>
      <c r="AY33" s="54"/>
      <c r="AZ33" s="55">
        <f>Dotations_Activite5</f>
        <v>680.91897012588959</v>
      </c>
      <c r="BA33" s="56"/>
      <c r="BC33" s="52"/>
      <c r="BD33" s="53" t="s">
        <v>33</v>
      </c>
      <c r="BE33" s="53"/>
      <c r="BF33" s="54"/>
      <c r="BG33" s="55">
        <f>Dotations_Activite6</f>
        <v>0</v>
      </c>
      <c r="BH33" s="56"/>
      <c r="BJ33" s="52"/>
      <c r="BK33" s="53" t="s">
        <v>33</v>
      </c>
      <c r="BL33" s="53"/>
      <c r="BM33" s="54"/>
      <c r="BN33" s="55">
        <f>Dotations_Activite7</f>
        <v>0</v>
      </c>
      <c r="BO33" s="56"/>
      <c r="BQ33" s="52"/>
      <c r="BR33" s="53" t="s">
        <v>33</v>
      </c>
      <c r="BS33" s="53"/>
      <c r="BT33" s="54"/>
      <c r="BU33" s="55">
        <f>Dotations_Activite8</f>
        <v>6622.9200741727864</v>
      </c>
      <c r="BV33" s="56"/>
      <c r="BX33" s="52"/>
      <c r="BY33" s="53" t="s">
        <v>33</v>
      </c>
      <c r="BZ33" s="53"/>
      <c r="CA33" s="54"/>
      <c r="CB33" s="55">
        <f>Dotations_Activite9</f>
        <v>1504.4878199243735</v>
      </c>
      <c r="CC33" s="56"/>
      <c r="CE33" s="52"/>
      <c r="CF33" s="53" t="s">
        <v>33</v>
      </c>
      <c r="CG33" s="53"/>
      <c r="CH33" s="54"/>
      <c r="CI33" s="55">
        <f>Dotations_Activite10</f>
        <v>0</v>
      </c>
      <c r="CJ33" s="56"/>
      <c r="CL33" s="52"/>
      <c r="CM33" s="53" t="s">
        <v>33</v>
      </c>
      <c r="CN33" s="53"/>
      <c r="CO33" s="54"/>
      <c r="CP33" s="55">
        <f>Dotations_Activite11</f>
        <v>0</v>
      </c>
      <c r="CQ33" s="56"/>
      <c r="CS33" s="52"/>
      <c r="CT33" s="53" t="s">
        <v>33</v>
      </c>
      <c r="CU33" s="53"/>
      <c r="CV33" s="54"/>
      <c r="CW33" s="55">
        <f>Dotations_Activite12</f>
        <v>1803.0945894435922</v>
      </c>
      <c r="CX33" s="56"/>
      <c r="CZ33" s="52"/>
      <c r="DA33" s="53" t="s">
        <v>33</v>
      </c>
      <c r="DB33" s="53"/>
      <c r="DC33" s="54"/>
      <c r="DD33" s="55">
        <f>Dotations_Activite13</f>
        <v>0</v>
      </c>
      <c r="DE33" s="56"/>
      <c r="DG33" s="52"/>
      <c r="DH33" s="53" t="s">
        <v>33</v>
      </c>
      <c r="DI33" s="53"/>
      <c r="DJ33" s="54"/>
      <c r="DK33" s="55">
        <f>Dotations_Activite14</f>
        <v>0</v>
      </c>
      <c r="DL33" s="56"/>
      <c r="DN33" s="52"/>
      <c r="DO33" s="53" t="s">
        <v>33</v>
      </c>
      <c r="DP33" s="53"/>
      <c r="DQ33" s="54"/>
      <c r="DR33" s="57">
        <f t="shared" si="1"/>
        <v>40534.556845728323</v>
      </c>
      <c r="DS33" s="58"/>
      <c r="DT33" s="20"/>
    </row>
    <row r="34" spans="2:124" x14ac:dyDescent="0.35">
      <c r="G34" s="44" t="s">
        <v>34</v>
      </c>
      <c r="H34" s="45"/>
      <c r="I34" s="46"/>
      <c r="J34" s="47"/>
      <c r="K34" s="48">
        <f>+K35+K39</f>
        <v>687337.79714099993</v>
      </c>
      <c r="L34" s="49"/>
      <c r="M34" s="45"/>
      <c r="N34" s="45"/>
      <c r="O34" s="48">
        <f>+O35+O39</f>
        <v>687337.79714099993</v>
      </c>
      <c r="P34" s="49"/>
      <c r="Q34" s="48"/>
      <c r="R34" s="49"/>
      <c r="AH34" s="44" t="s">
        <v>34</v>
      </c>
      <c r="AI34" s="45"/>
      <c r="AJ34" s="46"/>
      <c r="AK34" s="47"/>
      <c r="AL34" s="48">
        <f>+AL35+AL39</f>
        <v>152410.47495485516</v>
      </c>
      <c r="AM34" s="49"/>
      <c r="AO34" s="44" t="s">
        <v>34</v>
      </c>
      <c r="AP34" s="45"/>
      <c r="AQ34" s="46"/>
      <c r="AR34" s="47"/>
      <c r="AS34" s="48">
        <f>+AS35+AS39</f>
        <v>2110.82935114263</v>
      </c>
      <c r="AT34" s="49"/>
      <c r="AV34" s="44" t="s">
        <v>34</v>
      </c>
      <c r="AW34" s="45"/>
      <c r="AX34" s="46"/>
      <c r="AY34" s="47"/>
      <c r="AZ34" s="48">
        <f>+AZ35+AZ39</f>
        <v>565.31711116386543</v>
      </c>
      <c r="BA34" s="49"/>
      <c r="BC34" s="44" t="s">
        <v>34</v>
      </c>
      <c r="BD34" s="45"/>
      <c r="BE34" s="46"/>
      <c r="BF34" s="47"/>
      <c r="BG34" s="48">
        <f>+BG35+BG39</f>
        <v>0</v>
      </c>
      <c r="BH34" s="49"/>
      <c r="BJ34" s="44" t="s">
        <v>34</v>
      </c>
      <c r="BK34" s="45"/>
      <c r="BL34" s="46"/>
      <c r="BM34" s="47"/>
      <c r="BN34" s="48">
        <f>+BN35+BN39</f>
        <v>0</v>
      </c>
      <c r="BO34" s="49"/>
      <c r="BQ34" s="44" t="s">
        <v>34</v>
      </c>
      <c r="BR34" s="45"/>
      <c r="BS34" s="46"/>
      <c r="BT34" s="47"/>
      <c r="BU34" s="48">
        <f>+BU35+BU39</f>
        <v>47299.80257219643</v>
      </c>
      <c r="BV34" s="49"/>
      <c r="BX34" s="44" t="s">
        <v>34</v>
      </c>
      <c r="BY34" s="45"/>
      <c r="BZ34" s="46"/>
      <c r="CA34" s="47"/>
      <c r="CB34" s="48">
        <f>+CB35+CB39</f>
        <v>18331.835276982027</v>
      </c>
      <c r="CC34" s="49"/>
      <c r="CE34" s="44" t="s">
        <v>34</v>
      </c>
      <c r="CF34" s="45"/>
      <c r="CG34" s="46"/>
      <c r="CH34" s="47"/>
      <c r="CI34" s="48">
        <f>+CI35+CI39</f>
        <v>0</v>
      </c>
      <c r="CJ34" s="49"/>
      <c r="CL34" s="44" t="s">
        <v>34</v>
      </c>
      <c r="CM34" s="45"/>
      <c r="CN34" s="46"/>
      <c r="CO34" s="47"/>
      <c r="CP34" s="48">
        <f>+CP35+CP39</f>
        <v>0</v>
      </c>
      <c r="CQ34" s="49"/>
      <c r="CS34" s="44" t="s">
        <v>34</v>
      </c>
      <c r="CT34" s="45"/>
      <c r="CU34" s="46"/>
      <c r="CV34" s="47"/>
      <c r="CW34" s="48">
        <f>+CW35+CW39</f>
        <v>22145.631052566416</v>
      </c>
      <c r="CX34" s="49"/>
      <c r="CZ34" s="44" t="s">
        <v>34</v>
      </c>
      <c r="DA34" s="45"/>
      <c r="DB34" s="46"/>
      <c r="DC34" s="47"/>
      <c r="DD34" s="48">
        <f>+DD35+DD39</f>
        <v>0</v>
      </c>
      <c r="DE34" s="49"/>
      <c r="DG34" s="44" t="s">
        <v>34</v>
      </c>
      <c r="DH34" s="45"/>
      <c r="DI34" s="46"/>
      <c r="DJ34" s="47"/>
      <c r="DK34" s="48">
        <f>+DK35+DK39</f>
        <v>0</v>
      </c>
      <c r="DL34" s="49"/>
      <c r="DN34" s="44" t="s">
        <v>34</v>
      </c>
      <c r="DO34" s="45"/>
      <c r="DP34" s="46"/>
      <c r="DQ34" s="47"/>
      <c r="DR34" s="48">
        <f>+DR35+DR39</f>
        <v>283017.32725281257</v>
      </c>
      <c r="DS34" s="49"/>
    </row>
    <row r="35" spans="2:124" ht="20.100000000000001" customHeight="1" x14ac:dyDescent="0.35">
      <c r="B35" s="1"/>
      <c r="D35" s="4"/>
      <c r="E35" s="4"/>
      <c r="G35" s="52"/>
      <c r="H35" s="53" t="s">
        <v>35</v>
      </c>
      <c r="I35" s="53"/>
      <c r="J35" s="54"/>
      <c r="K35" s="55">
        <f>SUM(K36:L38)</f>
        <v>677937.79714099993</v>
      </c>
      <c r="L35" s="56"/>
      <c r="M35" s="46"/>
      <c r="N35" s="46"/>
      <c r="O35" s="55">
        <f>SUM(O36:P38)</f>
        <v>677937.79714099993</v>
      </c>
      <c r="P35" s="56"/>
      <c r="Q35" s="55"/>
      <c r="R35" s="56"/>
      <c r="AH35" s="52"/>
      <c r="AI35" s="53" t="s">
        <v>35</v>
      </c>
      <c r="AJ35" s="53"/>
      <c r="AK35" s="54"/>
      <c r="AL35" s="55">
        <f>SUM(AL36:AM38)</f>
        <v>150186.49265786845</v>
      </c>
      <c r="AM35" s="56"/>
      <c r="AO35" s="52"/>
      <c r="AP35" s="53" t="s">
        <v>35</v>
      </c>
      <c r="AQ35" s="53"/>
      <c r="AR35" s="54"/>
      <c r="AS35" s="55">
        <f>SUM(AS36:AT38)</f>
        <v>2089.1499333670813</v>
      </c>
      <c r="AT35" s="56"/>
      <c r="AV35" s="52"/>
      <c r="AW35" s="53" t="s">
        <v>35</v>
      </c>
      <c r="AX35" s="53"/>
      <c r="AY35" s="54"/>
      <c r="AZ35" s="55">
        <f>SUM(AZ36:BA38)</f>
        <v>494.35577946798594</v>
      </c>
      <c r="BA35" s="56"/>
      <c r="BC35" s="52"/>
      <c r="BD35" s="53" t="s">
        <v>35</v>
      </c>
      <c r="BE35" s="53"/>
      <c r="BF35" s="54"/>
      <c r="BG35" s="55">
        <f>SUM(BG36:BH38)</f>
        <v>0</v>
      </c>
      <c r="BH35" s="56"/>
      <c r="BJ35" s="52"/>
      <c r="BK35" s="53" t="s">
        <v>35</v>
      </c>
      <c r="BL35" s="53"/>
      <c r="BM35" s="54"/>
      <c r="BN35" s="55">
        <f>SUM(BN36:BO38)</f>
        <v>0</v>
      </c>
      <c r="BO35" s="56"/>
      <c r="BQ35" s="52"/>
      <c r="BR35" s="53" t="s">
        <v>35</v>
      </c>
      <c r="BS35" s="53"/>
      <c r="BT35" s="54"/>
      <c r="BU35" s="55">
        <f>SUM(BU36:BV38)</f>
        <v>46609.601169683316</v>
      </c>
      <c r="BV35" s="56"/>
      <c r="BX35" s="52"/>
      <c r="BY35" s="53" t="s">
        <v>35</v>
      </c>
      <c r="BZ35" s="53"/>
      <c r="CA35" s="54"/>
      <c r="CB35" s="55">
        <f>SUM(CB36:CC38)</f>
        <v>18175.046490201235</v>
      </c>
      <c r="CC35" s="56"/>
      <c r="CE35" s="52"/>
      <c r="CF35" s="53" t="s">
        <v>35</v>
      </c>
      <c r="CG35" s="53"/>
      <c r="CH35" s="54"/>
      <c r="CI35" s="55">
        <f>SUM(CI36:CJ38)</f>
        <v>0</v>
      </c>
      <c r="CJ35" s="56"/>
      <c r="CL35" s="52"/>
      <c r="CM35" s="53" t="s">
        <v>35</v>
      </c>
      <c r="CN35" s="53"/>
      <c r="CO35" s="54"/>
      <c r="CP35" s="55">
        <f>SUM(CP36:CQ38)</f>
        <v>0</v>
      </c>
      <c r="CQ35" s="56"/>
      <c r="CS35" s="52"/>
      <c r="CT35" s="53" t="s">
        <v>35</v>
      </c>
      <c r="CU35" s="53"/>
      <c r="CV35" s="54"/>
      <c r="CW35" s="55">
        <f>SUM(CW36:CX38)</f>
        <v>21957.723241425691</v>
      </c>
      <c r="CX35" s="56"/>
      <c r="CZ35" s="52"/>
      <c r="DA35" s="53" t="s">
        <v>35</v>
      </c>
      <c r="DB35" s="53"/>
      <c r="DC35" s="54"/>
      <c r="DD35" s="55">
        <f>SUM(DD36:DE38)</f>
        <v>0</v>
      </c>
      <c r="DE35" s="56"/>
      <c r="DG35" s="52"/>
      <c r="DH35" s="53" t="s">
        <v>35</v>
      </c>
      <c r="DI35" s="53"/>
      <c r="DJ35" s="54"/>
      <c r="DK35" s="55">
        <f>SUM(DK36:DL38)</f>
        <v>0</v>
      </c>
      <c r="DL35" s="56"/>
      <c r="DN35" s="52"/>
      <c r="DO35" s="53" t="s">
        <v>35</v>
      </c>
      <c r="DP35" s="53"/>
      <c r="DQ35" s="54"/>
      <c r="DR35" s="55">
        <f>SUM(DR36:DS38)</f>
        <v>278887.52235759661</v>
      </c>
      <c r="DS35" s="56"/>
    </row>
    <row r="36" spans="2:124" ht="20.100000000000001" customHeight="1" x14ac:dyDescent="0.35">
      <c r="G36" s="52"/>
      <c r="H36" s="45"/>
      <c r="I36" s="45" t="s">
        <v>36</v>
      </c>
      <c r="J36" s="47"/>
      <c r="K36" s="61">
        <f>Sal_Charges_Productifs</f>
        <v>578248.03616099991</v>
      </c>
      <c r="L36" s="62"/>
      <c r="M36" s="45"/>
      <c r="N36" s="45"/>
      <c r="O36" s="61">
        <f>Sal_Charges_Productifs</f>
        <v>578248.03616099991</v>
      </c>
      <c r="P36" s="62"/>
      <c r="Q36" s="61"/>
      <c r="R36" s="62"/>
      <c r="AH36" s="52"/>
      <c r="AI36" s="45"/>
      <c r="AJ36" s="45" t="s">
        <v>36</v>
      </c>
      <c r="AK36" s="47"/>
      <c r="AL36" s="61">
        <f>Sal_Charges_Productifs_Activite3</f>
        <v>134693.00520949659</v>
      </c>
      <c r="AM36" s="62"/>
      <c r="AO36" s="52"/>
      <c r="AP36" s="45"/>
      <c r="AQ36" s="45" t="s">
        <v>36</v>
      </c>
      <c r="AR36" s="47"/>
      <c r="AS36" s="61">
        <f>Sal_Charges_Productifs_Activite4</f>
        <v>1615.9873687081429</v>
      </c>
      <c r="AT36" s="62"/>
      <c r="AV36" s="52"/>
      <c r="AW36" s="45"/>
      <c r="AX36" s="45" t="s">
        <v>36</v>
      </c>
      <c r="AY36" s="47"/>
      <c r="AZ36" s="61">
        <f>Sal_Charges_Productifs_Activite5</f>
        <v>0</v>
      </c>
      <c r="BA36" s="62"/>
      <c r="BC36" s="52"/>
      <c r="BD36" s="45"/>
      <c r="BE36" s="45" t="s">
        <v>36</v>
      </c>
      <c r="BF36" s="47"/>
      <c r="BG36" s="61">
        <f>Sal_Charges_Productifs_Activite6</f>
        <v>0</v>
      </c>
      <c r="BH36" s="62"/>
      <c r="BJ36" s="52"/>
      <c r="BK36" s="45"/>
      <c r="BL36" s="45" t="s">
        <v>36</v>
      </c>
      <c r="BM36" s="47"/>
      <c r="BN36" s="61">
        <f>Sal_Charges_Productifs_Activite7</f>
        <v>0</v>
      </c>
      <c r="BO36" s="62"/>
      <c r="BQ36" s="52"/>
      <c r="BR36" s="45"/>
      <c r="BS36" s="45" t="s">
        <v>36</v>
      </c>
      <c r="BT36" s="47"/>
      <c r="BU36" s="61">
        <f>Sal_Charges_Productifs_Activite8</f>
        <v>41801.277478809287</v>
      </c>
      <c r="BV36" s="62"/>
      <c r="BX36" s="52"/>
      <c r="BY36" s="45"/>
      <c r="BZ36" s="45" t="s">
        <v>36</v>
      </c>
      <c r="CA36" s="47"/>
      <c r="CB36" s="61">
        <f>Sal_Charges_Productifs_Activite9</f>
        <v>11687.061968914899</v>
      </c>
      <c r="CC36" s="62"/>
      <c r="CE36" s="52"/>
      <c r="CF36" s="45"/>
      <c r="CG36" s="45" t="s">
        <v>36</v>
      </c>
      <c r="CH36" s="47"/>
      <c r="CI36" s="61">
        <f>Sal_Charges_Productifs_Activite10</f>
        <v>0</v>
      </c>
      <c r="CJ36" s="62"/>
      <c r="CL36" s="52"/>
      <c r="CM36" s="45"/>
      <c r="CN36" s="45" t="s">
        <v>36</v>
      </c>
      <c r="CO36" s="47"/>
      <c r="CP36" s="61">
        <f>Sal_Charges_Productifs_Activite11</f>
        <v>0</v>
      </c>
      <c r="CQ36" s="62"/>
      <c r="CS36" s="52"/>
      <c r="CT36" s="45"/>
      <c r="CU36" s="45" t="s">
        <v>36</v>
      </c>
      <c r="CV36" s="47"/>
      <c r="CW36" s="61">
        <f>Sal_Charges_Productifs_Activite12</f>
        <v>14006.679165871685</v>
      </c>
      <c r="CX36" s="62"/>
      <c r="CZ36" s="52"/>
      <c r="DA36" s="45"/>
      <c r="DB36" s="45" t="s">
        <v>36</v>
      </c>
      <c r="DC36" s="47"/>
      <c r="DD36" s="61">
        <f>Sal_Charges_Productifs_Activite13</f>
        <v>0</v>
      </c>
      <c r="DE36" s="62"/>
      <c r="DG36" s="52"/>
      <c r="DH36" s="45"/>
      <c r="DI36" s="45" t="s">
        <v>36</v>
      </c>
      <c r="DJ36" s="47"/>
      <c r="DK36" s="61">
        <f>Sal_Charges_Productifs_Activite14</f>
        <v>0</v>
      </c>
      <c r="DL36" s="62"/>
      <c r="DN36" s="52"/>
      <c r="DO36" s="45"/>
      <c r="DP36" s="45" t="s">
        <v>36</v>
      </c>
      <c r="DQ36" s="47"/>
      <c r="DR36" s="57">
        <f>+O36-(+DK36+DD36+CW36+CP36+CI36+CB36+BU36+BN36+BG36+AZ36+AS36+AL36+K124+O80)</f>
        <v>250117.02342199493</v>
      </c>
      <c r="DS36" s="58"/>
    </row>
    <row r="37" spans="2:124" ht="20.100000000000001" customHeight="1" x14ac:dyDescent="0.35">
      <c r="G37" s="52"/>
      <c r="H37" s="45"/>
      <c r="I37" s="45" t="s">
        <v>37</v>
      </c>
      <c r="J37" s="47"/>
      <c r="K37" s="61">
        <f>Sal_Charges_Autres</f>
        <v>65485.585120000011</v>
      </c>
      <c r="L37" s="62"/>
      <c r="M37" s="45"/>
      <c r="N37" s="45"/>
      <c r="O37" s="61">
        <f>Sal_Charges_Autres</f>
        <v>65485.585120000011</v>
      </c>
      <c r="P37" s="62"/>
      <c r="Q37" s="61"/>
      <c r="R37" s="62"/>
      <c r="AH37" s="52"/>
      <c r="AI37" s="45"/>
      <c r="AJ37" s="45" t="s">
        <v>37</v>
      </c>
      <c r="AK37" s="47"/>
      <c r="AL37" s="61">
        <f>Sal_Charges_Autres_Activite3</f>
        <v>15493.487448371867</v>
      </c>
      <c r="AM37" s="62"/>
      <c r="AO37" s="52"/>
      <c r="AP37" s="45"/>
      <c r="AQ37" s="45" t="s">
        <v>37</v>
      </c>
      <c r="AR37" s="47"/>
      <c r="AS37" s="61">
        <f>Sal_Charges_Autres_Activite4</f>
        <v>151.0307827758229</v>
      </c>
      <c r="AT37" s="62"/>
      <c r="AV37" s="52"/>
      <c r="AW37" s="45"/>
      <c r="AX37" s="45" t="s">
        <v>37</v>
      </c>
      <c r="AY37" s="47"/>
      <c r="AZ37" s="61">
        <f>Sal_Charges_Autres_Activite5</f>
        <v>494.35577946798594</v>
      </c>
      <c r="BA37" s="62"/>
      <c r="BC37" s="52"/>
      <c r="BD37" s="45"/>
      <c r="BE37" s="45" t="s">
        <v>37</v>
      </c>
      <c r="BF37" s="47"/>
      <c r="BG37" s="61">
        <f>Sal_Charges_Autres_Activite6</f>
        <v>0</v>
      </c>
      <c r="BH37" s="62"/>
      <c r="BJ37" s="52"/>
      <c r="BK37" s="45"/>
      <c r="BL37" s="45" t="s">
        <v>37</v>
      </c>
      <c r="BM37" s="47"/>
      <c r="BN37" s="61">
        <f>Sal_Charges_Autres_Activite7</f>
        <v>0</v>
      </c>
      <c r="BO37" s="62"/>
      <c r="BQ37" s="52"/>
      <c r="BR37" s="45"/>
      <c r="BS37" s="45" t="s">
        <v>37</v>
      </c>
      <c r="BT37" s="47"/>
      <c r="BU37" s="61">
        <f>Sal_Charges_Autres_Activite8</f>
        <v>4808.3236908740273</v>
      </c>
      <c r="BV37" s="62"/>
      <c r="BX37" s="52"/>
      <c r="BY37" s="45"/>
      <c r="BZ37" s="45" t="s">
        <v>37</v>
      </c>
      <c r="CA37" s="47"/>
      <c r="CB37" s="61">
        <f>Sal_Charges_Autres_Activite9</f>
        <v>1092.2771747441523</v>
      </c>
      <c r="CC37" s="62"/>
      <c r="CE37" s="52"/>
      <c r="CF37" s="45"/>
      <c r="CG37" s="45" t="s">
        <v>37</v>
      </c>
      <c r="CH37" s="47"/>
      <c r="CI37" s="61">
        <f>Sal_Charges_Autres_Activite10</f>
        <v>0</v>
      </c>
      <c r="CJ37" s="62"/>
      <c r="CL37" s="52"/>
      <c r="CM37" s="45"/>
      <c r="CN37" s="45" t="s">
        <v>37</v>
      </c>
      <c r="CO37" s="47"/>
      <c r="CP37" s="61">
        <f>Sal_Charges_Autres_Activite11</f>
        <v>0</v>
      </c>
      <c r="CQ37" s="62"/>
      <c r="CS37" s="52"/>
      <c r="CT37" s="45"/>
      <c r="CU37" s="45" t="s">
        <v>37</v>
      </c>
      <c r="CV37" s="47"/>
      <c r="CW37" s="61">
        <f>Sal_Charges_Autres_Activite12</f>
        <v>1309.069463954128</v>
      </c>
      <c r="CX37" s="62"/>
      <c r="CZ37" s="52"/>
      <c r="DA37" s="45"/>
      <c r="DB37" s="45" t="s">
        <v>37</v>
      </c>
      <c r="DC37" s="47"/>
      <c r="DD37" s="61">
        <f>Sal_Charges_Autres_Activite13</f>
        <v>0</v>
      </c>
      <c r="DE37" s="62"/>
      <c r="DG37" s="52"/>
      <c r="DH37" s="45"/>
      <c r="DI37" s="45" t="s">
        <v>37</v>
      </c>
      <c r="DJ37" s="47"/>
      <c r="DK37" s="61">
        <f>Sal_Charges_Autres_Activite14</f>
        <v>0</v>
      </c>
      <c r="DL37" s="62"/>
      <c r="DN37" s="52"/>
      <c r="DO37" s="45"/>
      <c r="DP37" s="45" t="s">
        <v>37</v>
      </c>
      <c r="DQ37" s="47"/>
      <c r="DR37" s="57">
        <f>+O37-(+DK37+DD37+CW37+CP37+CI37+CB37+BU37+BN37+BG37+AZ37+AS37+AL37+K125+O81)</f>
        <v>28770.498935601667</v>
      </c>
      <c r="DS37" s="58"/>
    </row>
    <row r="38" spans="2:124" ht="20.100000000000001" customHeight="1" x14ac:dyDescent="0.35">
      <c r="G38" s="52"/>
      <c r="H38" s="45"/>
      <c r="I38" s="45" t="s">
        <v>38</v>
      </c>
      <c r="J38" s="47"/>
      <c r="K38" s="63">
        <f>Sal_charges_Commerciaux</f>
        <v>34204.175860000003</v>
      </c>
      <c r="L38" s="64"/>
      <c r="M38" s="45"/>
      <c r="N38" s="45"/>
      <c r="O38" s="63">
        <f>Sal_charges_Commerciaux</f>
        <v>34204.175860000003</v>
      </c>
      <c r="P38" s="64"/>
      <c r="Q38" s="63"/>
      <c r="R38" s="64"/>
      <c r="AH38" s="52"/>
      <c r="AI38" s="45"/>
      <c r="AJ38" s="45" t="s">
        <v>38</v>
      </c>
      <c r="AK38" s="47"/>
      <c r="AL38" s="63">
        <f>Sal_charges_Commer_Activite3</f>
        <v>0</v>
      </c>
      <c r="AM38" s="64"/>
      <c r="AO38" s="52"/>
      <c r="AP38" s="45"/>
      <c r="AQ38" s="45" t="s">
        <v>38</v>
      </c>
      <c r="AR38" s="47"/>
      <c r="AS38" s="63">
        <f>Sal_charges_Commer_Activite4</f>
        <v>322.13178188311537</v>
      </c>
      <c r="AT38" s="64"/>
      <c r="AV38" s="52"/>
      <c r="AW38" s="45"/>
      <c r="AX38" s="45" t="s">
        <v>38</v>
      </c>
      <c r="AY38" s="47"/>
      <c r="AZ38" s="63">
        <f>Sal_charges_Commer_Activite5</f>
        <v>0</v>
      </c>
      <c r="BA38" s="64"/>
      <c r="BC38" s="52"/>
      <c r="BD38" s="45"/>
      <c r="BE38" s="45" t="s">
        <v>38</v>
      </c>
      <c r="BF38" s="47"/>
      <c r="BG38" s="63">
        <f>Sal_charges_Commer_Activite6</f>
        <v>0</v>
      </c>
      <c r="BH38" s="64"/>
      <c r="BJ38" s="52"/>
      <c r="BK38" s="45"/>
      <c r="BL38" s="45" t="s">
        <v>38</v>
      </c>
      <c r="BM38" s="47"/>
      <c r="BN38" s="63">
        <f>Sal_charges_Commer_Activite7</f>
        <v>0</v>
      </c>
      <c r="BO38" s="64"/>
      <c r="BQ38" s="52"/>
      <c r="BR38" s="45"/>
      <c r="BS38" s="45" t="s">
        <v>38</v>
      </c>
      <c r="BT38" s="47"/>
      <c r="BU38" s="63">
        <f>Sal_charges_Commer_Activite8</f>
        <v>0</v>
      </c>
      <c r="BV38" s="64"/>
      <c r="BX38" s="52"/>
      <c r="BY38" s="45"/>
      <c r="BZ38" s="45" t="s">
        <v>38</v>
      </c>
      <c r="CA38" s="47"/>
      <c r="CB38" s="63">
        <f>Sal_charges_Commer_Activite9</f>
        <v>5395.7073465421827</v>
      </c>
      <c r="CC38" s="64"/>
      <c r="CE38" s="52"/>
      <c r="CF38" s="45"/>
      <c r="CG38" s="45" t="s">
        <v>38</v>
      </c>
      <c r="CH38" s="47"/>
      <c r="CI38" s="63">
        <f>Sal_charges_Commer_Activite10</f>
        <v>0</v>
      </c>
      <c r="CJ38" s="64"/>
      <c r="CL38" s="52"/>
      <c r="CM38" s="45"/>
      <c r="CN38" s="45" t="s">
        <v>38</v>
      </c>
      <c r="CO38" s="47"/>
      <c r="CP38" s="63">
        <f>Sal_charges_Commer_Activite11</f>
        <v>0</v>
      </c>
      <c r="CQ38" s="64"/>
      <c r="CS38" s="52"/>
      <c r="CT38" s="45"/>
      <c r="CU38" s="45" t="s">
        <v>38</v>
      </c>
      <c r="CV38" s="47"/>
      <c r="CW38" s="63">
        <f>Sal_charges_Commer_Activite12</f>
        <v>6641.9746115998778</v>
      </c>
      <c r="CX38" s="64"/>
      <c r="CZ38" s="52"/>
      <c r="DA38" s="45"/>
      <c r="DB38" s="45" t="s">
        <v>38</v>
      </c>
      <c r="DC38" s="47"/>
      <c r="DD38" s="63">
        <f>Sal_charges_Commer_Activite13</f>
        <v>0</v>
      </c>
      <c r="DE38" s="64"/>
      <c r="DG38" s="52"/>
      <c r="DH38" s="45"/>
      <c r="DI38" s="45" t="s">
        <v>38</v>
      </c>
      <c r="DJ38" s="47"/>
      <c r="DK38" s="63">
        <f>Sal_charges_Commer_Activite13</f>
        <v>0</v>
      </c>
      <c r="DL38" s="64"/>
      <c r="DN38" s="52"/>
      <c r="DO38" s="45"/>
      <c r="DP38" s="45" t="s">
        <v>38</v>
      </c>
      <c r="DQ38" s="47"/>
      <c r="DR38" s="57">
        <f>+O38-(+DK38+DD38+CW38+CP38+CI38+CB38+BU38+BN38+BG38+AZ38+AS38+AL38+K126+O82)</f>
        <v>0</v>
      </c>
      <c r="DS38" s="58"/>
      <c r="DT38" s="20"/>
    </row>
    <row r="39" spans="2:124" ht="20.100000000000001" customHeight="1" x14ac:dyDescent="0.35">
      <c r="G39" s="52"/>
      <c r="H39" s="65" t="s">
        <v>39</v>
      </c>
      <c r="I39" s="45"/>
      <c r="J39" s="47"/>
      <c r="K39" s="55">
        <f>Frais_Autres_charges_Perso</f>
        <v>9400</v>
      </c>
      <c r="L39" s="56"/>
      <c r="M39" s="45"/>
      <c r="N39" s="45"/>
      <c r="O39" s="55">
        <f>Frais_Autres_charges_Perso</f>
        <v>9400</v>
      </c>
      <c r="P39" s="56"/>
      <c r="Q39" s="55"/>
      <c r="R39" s="56"/>
      <c r="AH39" s="52"/>
      <c r="AI39" s="65" t="s">
        <v>39</v>
      </c>
      <c r="AJ39" s="45"/>
      <c r="AK39" s="47"/>
      <c r="AL39" s="55">
        <f>Frais_Autres_charges_Activite3</f>
        <v>2223.9822969866977</v>
      </c>
      <c r="AM39" s="56"/>
      <c r="AO39" s="52"/>
      <c r="AP39" s="65" t="s">
        <v>39</v>
      </c>
      <c r="AQ39" s="45"/>
      <c r="AR39" s="47"/>
      <c r="AS39" s="55">
        <f>Frais_Autres_charges_Activite4</f>
        <v>21.679417775548693</v>
      </c>
      <c r="AT39" s="56"/>
      <c r="AV39" s="52"/>
      <c r="AW39" s="65" t="s">
        <v>39</v>
      </c>
      <c r="AX39" s="45"/>
      <c r="AY39" s="47"/>
      <c r="AZ39" s="55">
        <f>Frais_Autres_charges_Activite5</f>
        <v>70.961331695879466</v>
      </c>
      <c r="BA39" s="56"/>
      <c r="BC39" s="52"/>
      <c r="BD39" s="65" t="s">
        <v>39</v>
      </c>
      <c r="BE39" s="45"/>
      <c r="BF39" s="47"/>
      <c r="BG39" s="55">
        <f>Frais_Autres_charges_Activite6</f>
        <v>0</v>
      </c>
      <c r="BH39" s="56"/>
      <c r="BJ39" s="52"/>
      <c r="BK39" s="65" t="s">
        <v>39</v>
      </c>
      <c r="BL39" s="45"/>
      <c r="BM39" s="47"/>
      <c r="BN39" s="55">
        <f>Frais_Autres_charges_Activite7</f>
        <v>0</v>
      </c>
      <c r="BO39" s="56"/>
      <c r="BQ39" s="52"/>
      <c r="BR39" s="65" t="s">
        <v>39</v>
      </c>
      <c r="BS39" s="45"/>
      <c r="BT39" s="47"/>
      <c r="BU39" s="55">
        <f>Frais_Autres_charges_Activite8</f>
        <v>690.20140251311329</v>
      </c>
      <c r="BV39" s="56"/>
      <c r="BX39" s="52"/>
      <c r="BY39" s="65" t="s">
        <v>39</v>
      </c>
      <c r="BZ39" s="45"/>
      <c r="CA39" s="47"/>
      <c r="CB39" s="55">
        <f>Frais_Autres_charges_Activite9</f>
        <v>156.78878678079118</v>
      </c>
      <c r="CC39" s="56"/>
      <c r="CE39" s="52"/>
      <c r="CF39" s="65" t="s">
        <v>39</v>
      </c>
      <c r="CG39" s="45"/>
      <c r="CH39" s="47"/>
      <c r="CI39" s="55">
        <f>Frais_Autres_charges_Activite10</f>
        <v>0</v>
      </c>
      <c r="CJ39" s="56"/>
      <c r="CL39" s="52"/>
      <c r="CM39" s="65" t="s">
        <v>39</v>
      </c>
      <c r="CN39" s="45"/>
      <c r="CO39" s="47"/>
      <c r="CP39" s="55">
        <f>Frais_Autres_charges_Activite11</f>
        <v>0</v>
      </c>
      <c r="CQ39" s="56"/>
      <c r="CS39" s="52"/>
      <c r="CT39" s="65" t="s">
        <v>39</v>
      </c>
      <c r="CU39" s="45"/>
      <c r="CV39" s="47"/>
      <c r="CW39" s="55">
        <f>Frais_Autres_charges_Activite12</f>
        <v>187.90781114072459</v>
      </c>
      <c r="CX39" s="56"/>
      <c r="CZ39" s="52"/>
      <c r="DA39" s="65" t="s">
        <v>39</v>
      </c>
      <c r="DB39" s="45"/>
      <c r="DC39" s="47"/>
      <c r="DD39" s="55">
        <f>Frais_Autres_charges_Activite13</f>
        <v>0</v>
      </c>
      <c r="DE39" s="56"/>
      <c r="DG39" s="52"/>
      <c r="DH39" s="65" t="s">
        <v>39</v>
      </c>
      <c r="DI39" s="45"/>
      <c r="DJ39" s="47"/>
      <c r="DK39" s="55">
        <f>Frais_Autres_charges_Activite14</f>
        <v>0</v>
      </c>
      <c r="DL39" s="56"/>
      <c r="DN39" s="52"/>
      <c r="DO39" s="65" t="s">
        <v>39</v>
      </c>
      <c r="DP39" s="45"/>
      <c r="DQ39" s="47"/>
      <c r="DR39" s="57">
        <f>+O39-(+DK39+DD39+CW39+CP39+CI39+CB39+BU39+BN39+BG39+AZ39+AS39+AL39+K127+O83)</f>
        <v>4129.8048952159315</v>
      </c>
      <c r="DS39" s="58"/>
    </row>
    <row r="40" spans="2:124" x14ac:dyDescent="0.35">
      <c r="G40" s="44" t="s">
        <v>40</v>
      </c>
      <c r="H40" s="45"/>
      <c r="I40" s="46"/>
      <c r="J40" s="47"/>
      <c r="K40" s="48">
        <f>Frais_Financiers</f>
        <v>11898.09</v>
      </c>
      <c r="L40" s="49"/>
      <c r="M40" s="45"/>
      <c r="N40" s="45"/>
      <c r="O40" s="48">
        <f>Frais_Financiers</f>
        <v>11898.09</v>
      </c>
      <c r="P40" s="49"/>
      <c r="Q40" s="48"/>
      <c r="R40" s="49"/>
      <c r="AH40" s="44" t="s">
        <v>40</v>
      </c>
      <c r="AI40" s="45"/>
      <c r="AJ40" s="46"/>
      <c r="AK40" s="47"/>
      <c r="AL40" s="48">
        <f>Frais_Financiers_Activite3</f>
        <v>2815.0150561653682</v>
      </c>
      <c r="AM40" s="49"/>
      <c r="AO40" s="44" t="s">
        <v>40</v>
      </c>
      <c r="AP40" s="45"/>
      <c r="AQ40" s="46"/>
      <c r="AR40" s="47"/>
      <c r="AS40" s="48">
        <f>Frais_Financiers_Activite4</f>
        <v>27.44081530224236</v>
      </c>
      <c r="AT40" s="49"/>
      <c r="AV40" s="44" t="s">
        <v>40</v>
      </c>
      <c r="AW40" s="45"/>
      <c r="AX40" s="46"/>
      <c r="AY40" s="47"/>
      <c r="AZ40" s="48">
        <f>Frais_Financiers_Activite5</f>
        <v>89.819607557173029</v>
      </c>
      <c r="BA40" s="49"/>
      <c r="BC40" s="44" t="s">
        <v>40</v>
      </c>
      <c r="BD40" s="45"/>
      <c r="BE40" s="46"/>
      <c r="BF40" s="47"/>
      <c r="BG40" s="48">
        <f>Frais_Financiers_Activite6</f>
        <v>0</v>
      </c>
      <c r="BH40" s="49"/>
      <c r="BJ40" s="44" t="s">
        <v>40</v>
      </c>
      <c r="BK40" s="45"/>
      <c r="BL40" s="46"/>
      <c r="BM40" s="47"/>
      <c r="BN40" s="48">
        <f>Frais_Financiers_Activite7</f>
        <v>0</v>
      </c>
      <c r="BO40" s="49"/>
      <c r="BQ40" s="44" t="s">
        <v>40</v>
      </c>
      <c r="BR40" s="45"/>
      <c r="BS40" s="46"/>
      <c r="BT40" s="47"/>
      <c r="BU40" s="48">
        <f>Frais_Financiers_Activite8</f>
        <v>873.62536225821782</v>
      </c>
      <c r="BV40" s="49"/>
      <c r="BX40" s="44" t="s">
        <v>40</v>
      </c>
      <c r="BY40" s="45"/>
      <c r="BZ40" s="46"/>
      <c r="CA40" s="47"/>
      <c r="CB40" s="48">
        <f>Frais_Financiers_Activite9</f>
        <v>198.45607405411315</v>
      </c>
      <c r="CC40" s="49"/>
      <c r="CE40" s="44" t="s">
        <v>40</v>
      </c>
      <c r="CF40" s="45"/>
      <c r="CG40" s="46"/>
      <c r="CH40" s="47"/>
      <c r="CI40" s="48">
        <f>Frais_Financiers_Activite10</f>
        <v>0</v>
      </c>
      <c r="CJ40" s="49"/>
      <c r="CL40" s="44" t="s">
        <v>40</v>
      </c>
      <c r="CM40" s="45"/>
      <c r="CN40" s="46"/>
      <c r="CO40" s="47"/>
      <c r="CP40" s="48">
        <f>Frais_Financiers_Activite11</f>
        <v>0</v>
      </c>
      <c r="CQ40" s="49"/>
      <c r="CS40" s="44" t="s">
        <v>40</v>
      </c>
      <c r="CT40" s="45"/>
      <c r="CU40" s="46"/>
      <c r="CV40" s="47"/>
      <c r="CW40" s="48">
        <f>Frais_Financiers_Activite12</f>
        <v>237.8451115590791</v>
      </c>
      <c r="CX40" s="49"/>
      <c r="CZ40" s="44" t="s">
        <v>40</v>
      </c>
      <c r="DA40" s="45"/>
      <c r="DB40" s="46"/>
      <c r="DC40" s="47"/>
      <c r="DD40" s="48">
        <f>Frais_Financiers_Activite13</f>
        <v>0</v>
      </c>
      <c r="DE40" s="49"/>
      <c r="DG40" s="44" t="s">
        <v>40</v>
      </c>
      <c r="DH40" s="45"/>
      <c r="DI40" s="46"/>
      <c r="DJ40" s="47"/>
      <c r="DK40" s="48">
        <f>Frais_Financiers_Activite14</f>
        <v>0</v>
      </c>
      <c r="DL40" s="49"/>
      <c r="DN40" s="44" t="s">
        <v>40</v>
      </c>
      <c r="DO40" s="45"/>
      <c r="DP40" s="46"/>
      <c r="DQ40" s="47"/>
      <c r="DR40" s="48">
        <f>+O40-(SUM(X40:DL40))</f>
        <v>7655.887973103806</v>
      </c>
      <c r="DS40" s="49"/>
    </row>
    <row r="41" spans="2:124" x14ac:dyDescent="0.35">
      <c r="G41" s="44" t="s">
        <v>41</v>
      </c>
      <c r="H41" s="45"/>
      <c r="I41" s="46"/>
      <c r="J41" s="47"/>
      <c r="K41" s="48">
        <f>Charges_Except</f>
        <v>950</v>
      </c>
      <c r="L41" s="49"/>
      <c r="M41" s="45"/>
      <c r="N41" s="45"/>
      <c r="O41" s="48">
        <f>Charges_Except</f>
        <v>950</v>
      </c>
      <c r="P41" s="49"/>
      <c r="Q41" s="48"/>
      <c r="R41" s="49"/>
      <c r="AH41" s="44" t="s">
        <v>41</v>
      </c>
      <c r="AI41" s="45"/>
      <c r="AJ41" s="46"/>
      <c r="AK41" s="47"/>
      <c r="AL41" s="48">
        <f>Charges_Except_Activite3</f>
        <v>224.39807446179213</v>
      </c>
      <c r="AM41" s="49"/>
      <c r="AO41" s="44" t="s">
        <v>41</v>
      </c>
      <c r="AP41" s="45"/>
      <c r="AQ41" s="46"/>
      <c r="AR41" s="47"/>
      <c r="AS41" s="48">
        <f>Charges_Except_Activite4</f>
        <v>2.2398355483612549</v>
      </c>
      <c r="AT41" s="49"/>
      <c r="AV41" s="44" t="s">
        <v>41</v>
      </c>
      <c r="AW41" s="45"/>
      <c r="AX41" s="46"/>
      <c r="AY41" s="47"/>
      <c r="AZ41" s="48">
        <f>Charges_Except_Activite5</f>
        <v>6.4167161639890997</v>
      </c>
      <c r="BA41" s="49"/>
      <c r="BC41" s="44" t="s">
        <v>41</v>
      </c>
      <c r="BD41" s="45"/>
      <c r="BE41" s="46"/>
      <c r="BF41" s="47"/>
      <c r="BG41" s="48">
        <f>Charges_Except_Activite6</f>
        <v>0</v>
      </c>
      <c r="BH41" s="49"/>
      <c r="BJ41" s="44" t="s">
        <v>41</v>
      </c>
      <c r="BK41" s="45"/>
      <c r="BL41" s="46"/>
      <c r="BM41" s="47"/>
      <c r="BN41" s="48">
        <f>Charges_Except_Activite7</f>
        <v>0</v>
      </c>
      <c r="BO41" s="49"/>
      <c r="BQ41" s="44" t="s">
        <v>41</v>
      </c>
      <c r="BR41" s="45"/>
      <c r="BS41" s="46"/>
      <c r="BT41" s="47"/>
      <c r="BU41" s="48">
        <f>Charges_Except_Activite8</f>
        <v>69.640781729521692</v>
      </c>
      <c r="BV41" s="49"/>
      <c r="BX41" s="44" t="s">
        <v>41</v>
      </c>
      <c r="BY41" s="45"/>
      <c r="BZ41" s="46"/>
      <c r="CA41" s="47"/>
      <c r="CB41" s="48">
        <f>Charges_Except_Activite9</f>
        <v>16.198825164582217</v>
      </c>
      <c r="CC41" s="49"/>
      <c r="CE41" s="44" t="s">
        <v>41</v>
      </c>
      <c r="CF41" s="45"/>
      <c r="CG41" s="46"/>
      <c r="CH41" s="47"/>
      <c r="CI41" s="48">
        <f>Charges_Except_Activite10</f>
        <v>0</v>
      </c>
      <c r="CJ41" s="49"/>
      <c r="CL41" s="44" t="s">
        <v>41</v>
      </c>
      <c r="CM41" s="45"/>
      <c r="CN41" s="46"/>
      <c r="CO41" s="47"/>
      <c r="CP41" s="48">
        <f>Charges_Except_Activite11</f>
        <v>0</v>
      </c>
      <c r="CQ41" s="49"/>
      <c r="CS41" s="44" t="s">
        <v>41</v>
      </c>
      <c r="CT41" s="45"/>
      <c r="CU41" s="46"/>
      <c r="CV41" s="47"/>
      <c r="CW41" s="48">
        <f>Charges_Except_Activite12</f>
        <v>19.413925206166915</v>
      </c>
      <c r="CX41" s="49"/>
      <c r="CZ41" s="44" t="s">
        <v>41</v>
      </c>
      <c r="DA41" s="45"/>
      <c r="DB41" s="46"/>
      <c r="DC41" s="47"/>
      <c r="DD41" s="48">
        <f>Charges_Except_Activite13</f>
        <v>0</v>
      </c>
      <c r="DE41" s="49"/>
      <c r="DG41" s="44" t="s">
        <v>41</v>
      </c>
      <c r="DH41" s="45"/>
      <c r="DI41" s="46"/>
      <c r="DJ41" s="47"/>
      <c r="DK41" s="48">
        <f>Charges_Except_Activite14</f>
        <v>0</v>
      </c>
      <c r="DL41" s="49"/>
      <c r="DN41" s="44" t="s">
        <v>41</v>
      </c>
      <c r="DO41" s="45"/>
      <c r="DP41" s="46"/>
      <c r="DQ41" s="47"/>
      <c r="DR41" s="48">
        <f>+O41-(SUM(X41:DL41))</f>
        <v>611.69184172558676</v>
      </c>
      <c r="DS41" s="49"/>
    </row>
    <row r="42" spans="2:124" x14ac:dyDescent="0.35">
      <c r="G42" s="52"/>
      <c r="H42" s="45"/>
      <c r="I42" s="45"/>
      <c r="J42" s="47"/>
      <c r="K42" s="55"/>
      <c r="L42" s="60"/>
      <c r="M42" s="45"/>
      <c r="N42" s="45"/>
      <c r="O42" s="55"/>
      <c r="P42" s="60"/>
      <c r="Q42" s="55"/>
      <c r="R42" s="60"/>
      <c r="AH42" s="52"/>
      <c r="AI42" s="45"/>
      <c r="AJ42" s="45"/>
      <c r="AK42" s="47"/>
      <c r="AL42" s="55"/>
      <c r="AM42" s="60"/>
      <c r="AO42" s="52"/>
      <c r="AP42" s="45"/>
      <c r="AQ42" s="45"/>
      <c r="AR42" s="47"/>
      <c r="AS42" s="55"/>
      <c r="AT42" s="60"/>
      <c r="AV42" s="52"/>
      <c r="AW42" s="45"/>
      <c r="AX42" s="45"/>
      <c r="AY42" s="47"/>
      <c r="AZ42" s="55"/>
      <c r="BA42" s="60"/>
      <c r="BC42" s="52"/>
      <c r="BD42" s="45"/>
      <c r="BE42" s="45"/>
      <c r="BF42" s="47"/>
      <c r="BG42" s="55"/>
      <c r="BH42" s="60"/>
      <c r="BJ42" s="52"/>
      <c r="BK42" s="45"/>
      <c r="BL42" s="45"/>
      <c r="BM42" s="47"/>
      <c r="BN42" s="55"/>
      <c r="BO42" s="60"/>
      <c r="BQ42" s="52"/>
      <c r="BR42" s="45"/>
      <c r="BS42" s="45"/>
      <c r="BT42" s="47"/>
      <c r="BU42" s="55"/>
      <c r="BV42" s="60"/>
      <c r="BX42" s="52"/>
      <c r="BY42" s="45"/>
      <c r="BZ42" s="45"/>
      <c r="CA42" s="47"/>
      <c r="CB42" s="55"/>
      <c r="CC42" s="60"/>
      <c r="CE42" s="52"/>
      <c r="CF42" s="45"/>
      <c r="CG42" s="45"/>
      <c r="CH42" s="47"/>
      <c r="CI42" s="55"/>
      <c r="CJ42" s="60"/>
      <c r="CL42" s="52"/>
      <c r="CM42" s="45"/>
      <c r="CN42" s="45"/>
      <c r="CO42" s="47"/>
      <c r="CP42" s="55"/>
      <c r="CQ42" s="60"/>
      <c r="CS42" s="52"/>
      <c r="CT42" s="45"/>
      <c r="CU42" s="45"/>
      <c r="CV42" s="47"/>
      <c r="CW42" s="55"/>
      <c r="CX42" s="60"/>
      <c r="CZ42" s="52"/>
      <c r="DA42" s="45"/>
      <c r="DB42" s="45"/>
      <c r="DC42" s="47"/>
      <c r="DD42" s="55"/>
      <c r="DE42" s="60"/>
      <c r="DG42" s="52"/>
      <c r="DH42" s="45"/>
      <c r="DI42" s="45"/>
      <c r="DJ42" s="47"/>
      <c r="DK42" s="55"/>
      <c r="DL42" s="60"/>
      <c r="DN42" s="52"/>
      <c r="DO42" s="45"/>
      <c r="DP42" s="45"/>
      <c r="DQ42" s="47"/>
      <c r="DR42" s="55">
        <f>+O42-(SUM(X42:DL42))</f>
        <v>0</v>
      </c>
      <c r="DS42" s="60"/>
    </row>
    <row r="43" spans="2:124" x14ac:dyDescent="0.35">
      <c r="G43" s="66" t="s">
        <v>42</v>
      </c>
      <c r="H43" s="67"/>
      <c r="I43" s="67"/>
      <c r="J43" s="68"/>
      <c r="K43" s="69">
        <f>Marge_Brute-Charges</f>
        <v>994514.35145900003</v>
      </c>
      <c r="L43" s="69"/>
      <c r="M43" s="70"/>
      <c r="N43" s="71"/>
      <c r="O43" s="69">
        <f>Marge_Brute-Charges</f>
        <v>994514.35145900003</v>
      </c>
      <c r="P43" s="69"/>
      <c r="Q43" s="69"/>
      <c r="R43" s="69"/>
      <c r="AH43" s="66" t="s">
        <v>42</v>
      </c>
      <c r="AI43" s="67"/>
      <c r="AJ43" s="67"/>
      <c r="AK43" s="68"/>
      <c r="AL43" s="69">
        <f>+Marge_Brute_Activite3-Charges_Activite3</f>
        <v>295987.60646007687</v>
      </c>
      <c r="AM43" s="69"/>
      <c r="AO43" s="66" t="s">
        <v>42</v>
      </c>
      <c r="AP43" s="67"/>
      <c r="AQ43" s="67"/>
      <c r="AR43" s="68"/>
      <c r="AS43" s="69">
        <f>+Marge_Brute_Activite4-Charges_Activite4</f>
        <v>2909.7751948079886</v>
      </c>
      <c r="AT43" s="69"/>
      <c r="AV43" s="66" t="s">
        <v>42</v>
      </c>
      <c r="AW43" s="67"/>
      <c r="AX43" s="67"/>
      <c r="AY43" s="68"/>
      <c r="AZ43" s="69">
        <f>+Marge_Brute_Activite5-Charges_Activite5</f>
        <v>8543.9877972264949</v>
      </c>
      <c r="BA43" s="69"/>
      <c r="BC43" s="66" t="s">
        <v>42</v>
      </c>
      <c r="BD43" s="67"/>
      <c r="BE43" s="67"/>
      <c r="BF43" s="68"/>
      <c r="BG43" s="69">
        <f>+Marge_Brute_Activite6-Charges_Activite6</f>
        <v>0</v>
      </c>
      <c r="BH43" s="69"/>
      <c r="BJ43" s="66" t="s">
        <v>42</v>
      </c>
      <c r="BK43" s="67"/>
      <c r="BL43" s="67"/>
      <c r="BM43" s="68"/>
      <c r="BN43" s="69">
        <f>+Marge_Brute_Activite7-Charges_Activite7</f>
        <v>0</v>
      </c>
      <c r="BO43" s="69"/>
      <c r="BQ43" s="66" t="s">
        <v>42</v>
      </c>
      <c r="BR43" s="67"/>
      <c r="BS43" s="67"/>
      <c r="BT43" s="68"/>
      <c r="BU43" s="69">
        <f>+Marge_Brute_Activite8-Charges_Activite8</f>
        <v>199116.22795128316</v>
      </c>
      <c r="BV43" s="69"/>
      <c r="BX43" s="66" t="s">
        <v>42</v>
      </c>
      <c r="BY43" s="67"/>
      <c r="BZ43" s="67"/>
      <c r="CA43" s="68"/>
      <c r="CB43" s="69">
        <f>+Marge_Brute_Activite9-Charges_Activite9</f>
        <v>20414.126933412837</v>
      </c>
      <c r="CC43" s="69"/>
      <c r="CE43" s="66" t="s">
        <v>42</v>
      </c>
      <c r="CF43" s="67"/>
      <c r="CG43" s="67"/>
      <c r="CH43" s="68"/>
      <c r="CI43" s="69">
        <f>+Marge_Brute_Activite10-Charges_Activite10</f>
        <v>0</v>
      </c>
      <c r="CJ43" s="69"/>
      <c r="CL43" s="66" t="s">
        <v>42</v>
      </c>
      <c r="CM43" s="67"/>
      <c r="CN43" s="67"/>
      <c r="CO43" s="68"/>
      <c r="CP43" s="69">
        <f>+Marge_Brute_Activite11-Charges_Activite11</f>
        <v>0</v>
      </c>
      <c r="CQ43" s="69"/>
      <c r="CS43" s="66" t="s">
        <v>42</v>
      </c>
      <c r="CT43" s="67"/>
      <c r="CU43" s="67"/>
      <c r="CV43" s="68"/>
      <c r="CW43" s="69">
        <f>+Marge_Brute_Activite12-Charges_Activite12</f>
        <v>16774.914933722263</v>
      </c>
      <c r="CX43" s="69"/>
      <c r="CZ43" s="66" t="s">
        <v>42</v>
      </c>
      <c r="DA43" s="67"/>
      <c r="DB43" s="67"/>
      <c r="DC43" s="68"/>
      <c r="DD43" s="69">
        <f>+Marge_Brute_Activite13-Charges_Activite13</f>
        <v>0</v>
      </c>
      <c r="DE43" s="69"/>
      <c r="DG43" s="66" t="s">
        <v>42</v>
      </c>
      <c r="DH43" s="67"/>
      <c r="DI43" s="67"/>
      <c r="DJ43" s="68"/>
      <c r="DK43" s="69">
        <f>+Marge_Brute_Activite14-Charges_Activite14</f>
        <v>0</v>
      </c>
      <c r="DL43" s="69"/>
      <c r="DN43" s="66" t="s">
        <v>42</v>
      </c>
      <c r="DO43" s="67"/>
      <c r="DP43" s="67"/>
      <c r="DQ43" s="68"/>
      <c r="DR43" s="69">
        <f>+O43-(SUM(X43:DL43))</f>
        <v>450767.71218847053</v>
      </c>
      <c r="DS43" s="69"/>
    </row>
    <row r="44" spans="2:124" ht="20.100000000000001" customHeight="1" x14ac:dyDescent="0.35">
      <c r="G44" s="72"/>
      <c r="H44" s="73" t="s">
        <v>43</v>
      </c>
      <c r="I44" s="73"/>
      <c r="J44" s="74"/>
      <c r="K44" s="75">
        <f>Heures_Production</f>
        <v>24900</v>
      </c>
      <c r="L44" s="76"/>
      <c r="M44" s="73"/>
      <c r="N44" s="73"/>
      <c r="O44" s="75">
        <f>Heures_Production</f>
        <v>24900</v>
      </c>
      <c r="P44" s="76"/>
      <c r="Q44" s="75"/>
      <c r="R44" s="76"/>
      <c r="AH44" s="72"/>
      <c r="AI44" s="73" t="s">
        <v>43</v>
      </c>
      <c r="AJ44" s="73"/>
      <c r="AK44" s="74"/>
      <c r="AL44" s="75">
        <f>Heures_Activite3</f>
        <v>5800</v>
      </c>
      <c r="AM44" s="76"/>
      <c r="AO44" s="72"/>
      <c r="AP44" s="73" t="s">
        <v>43</v>
      </c>
      <c r="AQ44" s="73"/>
      <c r="AR44" s="74"/>
      <c r="AS44" s="75">
        <f>Heures_Activite4</f>
        <v>69.585846153846148</v>
      </c>
      <c r="AT44" s="76"/>
      <c r="AV44" s="72"/>
      <c r="AW44" s="73" t="s">
        <v>43</v>
      </c>
      <c r="AX44" s="73"/>
      <c r="AY44" s="74"/>
      <c r="AZ44" s="75">
        <f>Heures_Activite5</f>
        <v>0</v>
      </c>
      <c r="BA44" s="76"/>
      <c r="BC44" s="72"/>
      <c r="BD44" s="73" t="s">
        <v>43</v>
      </c>
      <c r="BE44" s="73"/>
      <c r="BF44" s="74"/>
      <c r="BG44" s="75">
        <f>Heures_Activite6</f>
        <v>0</v>
      </c>
      <c r="BH44" s="76"/>
      <c r="BJ44" s="72"/>
      <c r="BK44" s="73" t="s">
        <v>43</v>
      </c>
      <c r="BL44" s="73"/>
      <c r="BM44" s="74"/>
      <c r="BN44" s="75">
        <f>Heures_Activite7</f>
        <v>0</v>
      </c>
      <c r="BO44" s="76"/>
      <c r="BQ44" s="72"/>
      <c r="BR44" s="73" t="s">
        <v>43</v>
      </c>
      <c r="BS44" s="73"/>
      <c r="BT44" s="74"/>
      <c r="BU44" s="75">
        <f>Heures_Activite8</f>
        <v>1800</v>
      </c>
      <c r="BV44" s="76"/>
      <c r="BX44" s="72"/>
      <c r="BY44" s="73" t="s">
        <v>43</v>
      </c>
      <c r="BZ44" s="73"/>
      <c r="CA44" s="74"/>
      <c r="CB44" s="75">
        <f>Heures_Activite9</f>
        <v>503.25523076923076</v>
      </c>
      <c r="CC44" s="76"/>
      <c r="CE44" s="72"/>
      <c r="CF44" s="73" t="s">
        <v>43</v>
      </c>
      <c r="CG44" s="73"/>
      <c r="CH44" s="74"/>
      <c r="CI44" s="75">
        <f>Heures_Activite10</f>
        <v>0</v>
      </c>
      <c r="CJ44" s="76"/>
      <c r="CL44" s="72"/>
      <c r="CM44" s="73" t="s">
        <v>43</v>
      </c>
      <c r="CN44" s="73"/>
      <c r="CO44" s="74"/>
      <c r="CP44" s="75">
        <f>Heures_Activite11</f>
        <v>0</v>
      </c>
      <c r="CQ44" s="76"/>
      <c r="CS44" s="72"/>
      <c r="CT44" s="73" t="s">
        <v>43</v>
      </c>
      <c r="CU44" s="73"/>
      <c r="CV44" s="74"/>
      <c r="CW44" s="75">
        <f>Heures_Activite12</f>
        <v>603.13999999999987</v>
      </c>
      <c r="CX44" s="76"/>
      <c r="CZ44" s="72"/>
      <c r="DA44" s="73" t="s">
        <v>43</v>
      </c>
      <c r="DB44" s="73"/>
      <c r="DC44" s="74"/>
      <c r="DD44" s="75">
        <f>Heures_Activite13</f>
        <v>0</v>
      </c>
      <c r="DE44" s="76"/>
      <c r="DG44" s="72"/>
      <c r="DH44" s="73" t="s">
        <v>43</v>
      </c>
      <c r="DI44" s="73"/>
      <c r="DJ44" s="74"/>
      <c r="DK44" s="75">
        <f>Heures_Activite14</f>
        <v>0</v>
      </c>
      <c r="DL44" s="76"/>
      <c r="DN44" s="72"/>
      <c r="DO44" s="73" t="s">
        <v>43</v>
      </c>
      <c r="DP44" s="73"/>
      <c r="DQ44" s="74"/>
      <c r="DR44" s="75">
        <f>+O44-(SUM(X44:DL44))</f>
        <v>16124.018923076923</v>
      </c>
      <c r="DS44" s="76"/>
    </row>
    <row r="45" spans="2:124" ht="20.100000000000001" customHeight="1" x14ac:dyDescent="0.35">
      <c r="G45" s="72"/>
      <c r="H45" s="73" t="s">
        <v>44</v>
      </c>
      <c r="I45" s="73"/>
      <c r="J45" s="74"/>
      <c r="K45" s="77">
        <f>+K17/K44</f>
        <v>90.600650602409644</v>
      </c>
      <c r="L45" s="78"/>
      <c r="M45" s="73"/>
      <c r="N45" s="73"/>
      <c r="O45" s="77">
        <f>+O17/O44</f>
        <v>90.600650602409644</v>
      </c>
      <c r="P45" s="78"/>
      <c r="Q45" s="77"/>
      <c r="R45" s="78"/>
      <c r="AH45" s="72"/>
      <c r="AI45" s="73" t="s">
        <v>44</v>
      </c>
      <c r="AJ45" s="73"/>
      <c r="AK45" s="74"/>
      <c r="AL45" s="77">
        <f>IF(AL44=0,0,+AL17/AL44)</f>
        <v>99.2</v>
      </c>
      <c r="AM45" s="78"/>
      <c r="AO45" s="72"/>
      <c r="AP45" s="73" t="s">
        <v>44</v>
      </c>
      <c r="AQ45" s="73"/>
      <c r="AR45" s="74"/>
      <c r="AS45" s="77">
        <f>IF(AS44=0,0,+AS17/AS44)</f>
        <v>104</v>
      </c>
      <c r="AT45" s="78"/>
      <c r="AV45" s="72"/>
      <c r="AW45" s="73" t="s">
        <v>44</v>
      </c>
      <c r="AX45" s="73"/>
      <c r="AY45" s="74"/>
      <c r="AZ45" s="77">
        <f>IF(AZ44=0,0,+AZ17/AZ44)</f>
        <v>0</v>
      </c>
      <c r="BA45" s="78"/>
      <c r="BC45" s="72"/>
      <c r="BD45" s="73" t="s">
        <v>44</v>
      </c>
      <c r="BE45" s="73"/>
      <c r="BF45" s="74"/>
      <c r="BG45" s="77">
        <f>IF(BG44=0,0,+BG17/BG44)</f>
        <v>0</v>
      </c>
      <c r="BH45" s="78"/>
      <c r="BJ45" s="72"/>
      <c r="BK45" s="73" t="s">
        <v>44</v>
      </c>
      <c r="BL45" s="73"/>
      <c r="BM45" s="74"/>
      <c r="BN45" s="77">
        <f>IF(BN44=0,0,+BN17/BN44)</f>
        <v>0</v>
      </c>
      <c r="BO45" s="78"/>
      <c r="BQ45" s="72"/>
      <c r="BR45" s="73" t="s">
        <v>44</v>
      </c>
      <c r="BS45" s="73"/>
      <c r="BT45" s="74"/>
      <c r="BU45" s="77">
        <f>IF(BU44=0,0,+BU17/BU44)</f>
        <v>160</v>
      </c>
      <c r="BV45" s="78"/>
      <c r="BX45" s="72"/>
      <c r="BY45" s="73" t="s">
        <v>44</v>
      </c>
      <c r="BZ45" s="73"/>
      <c r="CA45" s="74"/>
      <c r="CB45" s="77">
        <f>IF(CB44=0,0,+CB17/CB44)</f>
        <v>104</v>
      </c>
      <c r="CC45" s="78"/>
      <c r="CE45" s="72"/>
      <c r="CF45" s="73" t="s">
        <v>44</v>
      </c>
      <c r="CG45" s="73"/>
      <c r="CH45" s="74"/>
      <c r="CI45" s="77">
        <f>IF(CI44=0,0,+CI17/CI44)</f>
        <v>0</v>
      </c>
      <c r="CJ45" s="78"/>
      <c r="CL45" s="72"/>
      <c r="CM45" s="73" t="s">
        <v>44</v>
      </c>
      <c r="CN45" s="73"/>
      <c r="CO45" s="74"/>
      <c r="CP45" s="77">
        <f>IF(CP44=0,0,+CP17/CP44)</f>
        <v>0</v>
      </c>
      <c r="CQ45" s="78"/>
      <c r="CS45" s="72"/>
      <c r="CT45" s="73" t="s">
        <v>44</v>
      </c>
      <c r="CU45" s="73"/>
      <c r="CV45" s="74"/>
      <c r="CW45" s="77">
        <f>IF(CW44=0,0,+CW17/CW44)</f>
        <v>90.999999999999986</v>
      </c>
      <c r="CX45" s="78"/>
      <c r="CZ45" s="72"/>
      <c r="DA45" s="73" t="s">
        <v>44</v>
      </c>
      <c r="DB45" s="73"/>
      <c r="DC45" s="74"/>
      <c r="DD45" s="77">
        <f>IF(DD44=0,0,+DD17/DD44)</f>
        <v>0</v>
      </c>
      <c r="DE45" s="78"/>
      <c r="DG45" s="72"/>
      <c r="DH45" s="73" t="s">
        <v>44</v>
      </c>
      <c r="DI45" s="73"/>
      <c r="DJ45" s="74"/>
      <c r="DK45" s="77">
        <f>IF(DK44=0,0,+DK17/DK44)</f>
        <v>0</v>
      </c>
      <c r="DL45" s="78"/>
      <c r="DN45" s="72"/>
      <c r="DO45" s="73" t="s">
        <v>44</v>
      </c>
      <c r="DP45" s="73"/>
      <c r="DQ45" s="74"/>
      <c r="DR45" s="77">
        <f>IF(DR44=0,0,+DR17/DR44)</f>
        <v>65.130593371915893</v>
      </c>
      <c r="DS45" s="78"/>
    </row>
    <row r="46" spans="2:124" ht="20.100000000000001" customHeight="1" x14ac:dyDescent="0.35">
      <c r="G46" s="72"/>
      <c r="H46" s="73" t="s">
        <v>45</v>
      </c>
      <c r="I46" s="73"/>
      <c r="J46" s="73"/>
      <c r="K46" s="79"/>
      <c r="L46" s="80">
        <f>Charges/Jour_Produc_Annee</f>
        <v>5606.4082157377788</v>
      </c>
      <c r="M46" s="73"/>
      <c r="N46" s="73"/>
      <c r="O46" s="79"/>
      <c r="P46" s="80">
        <f>Charges/Jour_Produc_Annee</f>
        <v>5606.4082157377788</v>
      </c>
      <c r="Q46" s="81"/>
      <c r="R46" s="82"/>
      <c r="AH46" s="72"/>
      <c r="AI46" s="73" t="s">
        <v>45</v>
      </c>
      <c r="AJ46" s="73"/>
      <c r="AK46" s="74"/>
      <c r="AL46" s="83"/>
      <c r="AM46" s="80">
        <f>+AM47*Horaire_Journalier</f>
        <v>188.11578740169514</v>
      </c>
      <c r="AO46" s="72"/>
      <c r="AP46" s="73" t="s">
        <v>45</v>
      </c>
      <c r="AQ46" s="73"/>
      <c r="AR46" s="74"/>
      <c r="AS46" s="83"/>
      <c r="AT46" s="80">
        <f>+AT47*Horaire_Journalier</f>
        <v>157.39845760677872</v>
      </c>
      <c r="AV46" s="72"/>
      <c r="AW46" s="73" t="s">
        <v>45</v>
      </c>
      <c r="AX46" s="73"/>
      <c r="AY46" s="74"/>
      <c r="AZ46" s="83"/>
      <c r="BA46" s="80">
        <f>+BA47*Horaire_Journalier</f>
        <v>0</v>
      </c>
      <c r="BC46" s="72"/>
      <c r="BD46" s="73" t="s">
        <v>45</v>
      </c>
      <c r="BE46" s="73"/>
      <c r="BF46" s="74"/>
      <c r="BG46" s="83"/>
      <c r="BH46" s="80">
        <f>+BH47*Horaire_Journalier</f>
        <v>0</v>
      </c>
      <c r="BJ46" s="72"/>
      <c r="BK46" s="73" t="s">
        <v>45</v>
      </c>
      <c r="BL46" s="73"/>
      <c r="BM46" s="74"/>
      <c r="BN46" s="83"/>
      <c r="BO46" s="80">
        <f>+BO47*Horaire_Journalier</f>
        <v>0</v>
      </c>
      <c r="BQ46" s="72"/>
      <c r="BR46" s="73" t="s">
        <v>45</v>
      </c>
      <c r="BS46" s="73"/>
      <c r="BT46" s="74"/>
      <c r="BU46" s="83"/>
      <c r="BV46" s="80">
        <f>+BV47*Horaire_Journalier</f>
        <v>187.46528891893647</v>
      </c>
      <c r="BX46" s="72"/>
      <c r="BY46" s="73" t="s">
        <v>45</v>
      </c>
      <c r="BZ46" s="73"/>
      <c r="CA46" s="74"/>
      <c r="CB46" s="83"/>
      <c r="CC46" s="80">
        <f>+CC47*Horaire_Journalier</f>
        <v>156.33260479177432</v>
      </c>
      <c r="CE46" s="72"/>
      <c r="CF46" s="73" t="s">
        <v>45</v>
      </c>
      <c r="CG46" s="73"/>
      <c r="CH46" s="74"/>
      <c r="CI46" s="83"/>
      <c r="CJ46" s="80">
        <f>+CJ47*Horaire_Journalier</f>
        <v>0</v>
      </c>
      <c r="CL46" s="72"/>
      <c r="CM46" s="73" t="s">
        <v>45</v>
      </c>
      <c r="CN46" s="73"/>
      <c r="CO46" s="74"/>
      <c r="CP46" s="83"/>
      <c r="CQ46" s="80">
        <f>+CQ47*Horaire_Journalier</f>
        <v>0</v>
      </c>
      <c r="CS46" s="72"/>
      <c r="CT46" s="73" t="s">
        <v>45</v>
      </c>
      <c r="CU46" s="73"/>
      <c r="CV46" s="74"/>
      <c r="CW46" s="83"/>
      <c r="CX46" s="80">
        <f>+CX47*Horaire_Journalier</f>
        <v>154.0295070368264</v>
      </c>
      <c r="CZ46" s="72"/>
      <c r="DA46" s="73" t="s">
        <v>45</v>
      </c>
      <c r="DB46" s="73"/>
      <c r="DC46" s="74"/>
      <c r="DD46" s="83"/>
      <c r="DE46" s="80">
        <f>+DE47*Horaire_Journalier</f>
        <v>0</v>
      </c>
      <c r="DG46" s="72"/>
      <c r="DH46" s="73" t="s">
        <v>45</v>
      </c>
      <c r="DI46" s="73"/>
      <c r="DJ46" s="74"/>
      <c r="DK46" s="83"/>
      <c r="DL46" s="80">
        <f>+DL47*Horaire_Journalier</f>
        <v>0</v>
      </c>
      <c r="DN46" s="72"/>
      <c r="DO46" s="73" t="s">
        <v>45</v>
      </c>
      <c r="DP46" s="73"/>
      <c r="DQ46" s="74"/>
      <c r="DR46" s="83"/>
      <c r="DS46" s="80"/>
    </row>
    <row r="47" spans="2:124" ht="20.100000000000001" customHeight="1" x14ac:dyDescent="0.35">
      <c r="G47" s="72"/>
      <c r="H47" s="73" t="s">
        <v>46</v>
      </c>
      <c r="I47" s="73"/>
      <c r="J47" s="73"/>
      <c r="K47" s="79"/>
      <c r="L47" s="80">
        <f>IF(Heures_Production=0,0,(+K26+K27+K28+K33+K37+K39+K40+K41)/Heures_Production)</f>
        <v>24.121190221686749</v>
      </c>
      <c r="M47" s="73"/>
      <c r="N47" s="73"/>
      <c r="O47" s="79"/>
      <c r="P47" s="80">
        <f>IF(Heures_Production=0,0,(+O26+O27+O28+O33+O37+O39+O40+O41)/Heures_Production)</f>
        <v>24.121190221686749</v>
      </c>
      <c r="Q47" s="84"/>
      <c r="R47" s="85"/>
      <c r="AH47" s="72"/>
      <c r="AI47" s="73" t="s">
        <v>46</v>
      </c>
      <c r="AJ47" s="73"/>
      <c r="AK47" s="74"/>
      <c r="AL47" s="83"/>
      <c r="AM47" s="80">
        <f>IF(Heures_Activite3=0,0,(+AL26+AL27+AL28+AL33+AL37+AL39+AL40+AL41)/Heures_Activite3)</f>
        <v>24.117408641242967</v>
      </c>
      <c r="AO47" s="72"/>
      <c r="AP47" s="73" t="s">
        <v>46</v>
      </c>
      <c r="AQ47" s="73"/>
      <c r="AR47" s="74"/>
      <c r="AS47" s="83"/>
      <c r="AT47" s="80">
        <f>IF(Heures_Activite4=0,0,(+AS26+AS27+AS28+AS33+AS37+AS39+AS40+AS41)/Heures_Activite4)</f>
        <v>20.179289436766503</v>
      </c>
      <c r="AV47" s="72"/>
      <c r="AW47" s="73" t="s">
        <v>46</v>
      </c>
      <c r="AX47" s="73"/>
      <c r="AY47" s="74"/>
      <c r="AZ47" s="83"/>
      <c r="BA47" s="80">
        <f>IF(Heures_Activite5=0,0,(+AZ26+AZ27+AZ28+AZ33+AZ37+AZ39+AZ40+AZ41)/Heures_Activite5)</f>
        <v>0</v>
      </c>
      <c r="BC47" s="72"/>
      <c r="BD47" s="73" t="s">
        <v>46</v>
      </c>
      <c r="BE47" s="73"/>
      <c r="BF47" s="74"/>
      <c r="BG47" s="83"/>
      <c r="BH47" s="80">
        <f>IF(Heures_Activite6=0,0,(+BG26+BG27+BG28+BG33+BG37+BG39+BG40+BG41)/Heures_Activite6)</f>
        <v>0</v>
      </c>
      <c r="BJ47" s="72"/>
      <c r="BK47" s="73" t="s">
        <v>46</v>
      </c>
      <c r="BL47" s="73"/>
      <c r="BM47" s="74"/>
      <c r="BN47" s="83"/>
      <c r="BO47" s="80">
        <f>IF(Heures_Activite7=0,0,(+BN26+BN27+BN28+BN33+BN37+BN39+BN40+BN41)/Heures_Activite7)</f>
        <v>0</v>
      </c>
      <c r="BQ47" s="72"/>
      <c r="BR47" s="73" t="s">
        <v>46</v>
      </c>
      <c r="BS47" s="73"/>
      <c r="BT47" s="74"/>
      <c r="BU47" s="83"/>
      <c r="BV47" s="80">
        <f>IF(Heures_Activite8=0,0,(+BU26+BU27+BU28+BU33+BU37+BU39+BU40+BU41)/Heures_Activite8)</f>
        <v>24.034011399863651</v>
      </c>
      <c r="BX47" s="72"/>
      <c r="BY47" s="73" t="s">
        <v>46</v>
      </c>
      <c r="BZ47" s="73"/>
      <c r="CA47" s="74"/>
      <c r="CB47" s="83"/>
      <c r="CC47" s="80">
        <f>IF(Heures_Activite9=0,0,(+CB26+CB27+CB28+CB33+CB37+CB39+CB40+CB41)/Heures_Activite9)</f>
        <v>20.042641639971066</v>
      </c>
      <c r="CE47" s="72"/>
      <c r="CF47" s="73" t="s">
        <v>46</v>
      </c>
      <c r="CG47" s="73"/>
      <c r="CH47" s="74"/>
      <c r="CI47" s="83"/>
      <c r="CJ47" s="80">
        <f>IF(Heures_Activite10=0,0,(+CI26+CI27+CI28+CI33+CI37+CI39+CI40+CI41)/Heures_Activite10)</f>
        <v>0</v>
      </c>
      <c r="CL47" s="72"/>
      <c r="CM47" s="73" t="s">
        <v>46</v>
      </c>
      <c r="CN47" s="73"/>
      <c r="CO47" s="74"/>
      <c r="CP47" s="83"/>
      <c r="CQ47" s="80">
        <f>IF(Heures_Activite11=0,0,(+CP26+CP27+CP28+CP33+CP37+CP39+CP40+CP41)/Heures_Activite11)</f>
        <v>0</v>
      </c>
      <c r="CS47" s="72"/>
      <c r="CT47" s="73" t="s">
        <v>46</v>
      </c>
      <c r="CU47" s="73"/>
      <c r="CV47" s="74"/>
      <c r="CW47" s="83"/>
      <c r="CX47" s="80">
        <f>IF(Heures_Activite12=0,0,(+CW26+CW27+CW28+CW33+CW37+CW39+CW40+CW41)/Heures_Activite12)</f>
        <v>19.747372697029025</v>
      </c>
      <c r="CZ47" s="72"/>
      <c r="DA47" s="73" t="s">
        <v>46</v>
      </c>
      <c r="DB47" s="73"/>
      <c r="DC47" s="74"/>
      <c r="DD47" s="83"/>
      <c r="DE47" s="80">
        <f>IF(Heures_Activite13=0,0,(+DD26+DD27+DD28+DD33+DD37+DD39+DD40+DD41)/Heures_Activite13)</f>
        <v>0</v>
      </c>
      <c r="DG47" s="72"/>
      <c r="DH47" s="73" t="s">
        <v>46</v>
      </c>
      <c r="DI47" s="73"/>
      <c r="DJ47" s="74"/>
      <c r="DK47" s="83"/>
      <c r="DL47" s="80">
        <f>IF(Heures_Activite14=0,0,(+DK26+DK27+DK28+DK33+DK37+DK39+DK40+DK41)/Heures_Activite14)</f>
        <v>0</v>
      </c>
      <c r="DN47" s="72"/>
      <c r="DO47" s="73" t="s">
        <v>46</v>
      </c>
      <c r="DP47" s="73"/>
      <c r="DQ47" s="74"/>
      <c r="DR47" s="83"/>
      <c r="DS47" s="80"/>
    </row>
    <row r="48" spans="2:124" ht="20.100000000000001" customHeight="1" x14ac:dyDescent="0.35">
      <c r="G48" s="72"/>
      <c r="H48" s="73" t="s">
        <v>47</v>
      </c>
      <c r="I48" s="73"/>
      <c r="J48" s="73"/>
      <c r="K48" s="79"/>
      <c r="L48" s="80">
        <f>(++K31+K32+K36)/Heures_Production</f>
        <v>24.050121934176705</v>
      </c>
      <c r="M48" s="73"/>
      <c r="N48" s="73"/>
      <c r="O48" s="79"/>
      <c r="P48" s="80">
        <f>(++O31+O32+O36)/Heures_Production</f>
        <v>24.050121934176705</v>
      </c>
      <c r="Q48" s="84"/>
      <c r="R48" s="85"/>
      <c r="AH48" s="72"/>
      <c r="AI48" s="86" t="s">
        <v>47</v>
      </c>
      <c r="AJ48" s="73"/>
      <c r="AK48" s="74"/>
      <c r="AL48" s="87"/>
      <c r="AM48" s="80">
        <f>IF(AL44=0,0,(+AL31+AL32+AL36)/AL44)</f>
        <v>24.050245417364479</v>
      </c>
      <c r="AO48" s="72"/>
      <c r="AP48" s="86" t="s">
        <v>47</v>
      </c>
      <c r="AQ48" s="73"/>
      <c r="AR48" s="74"/>
      <c r="AS48" s="83"/>
      <c r="AT48" s="80">
        <f>IF(AS44=0,0,(+AS31+AS32+AS36)/AS44)</f>
        <v>24.050245417364479</v>
      </c>
      <c r="AV48" s="72"/>
      <c r="AW48" s="86" t="s">
        <v>47</v>
      </c>
      <c r="AX48" s="73"/>
      <c r="AY48" s="74"/>
      <c r="AZ48" s="83"/>
      <c r="BA48" s="80">
        <f>IF(AZ44=0,0,(+AZ31+AZ32+AZ36)/AZ44)</f>
        <v>0</v>
      </c>
      <c r="BC48" s="72"/>
      <c r="BD48" s="86" t="s">
        <v>47</v>
      </c>
      <c r="BE48" s="73"/>
      <c r="BF48" s="74"/>
      <c r="BG48" s="83"/>
      <c r="BH48" s="80">
        <f>IF(BG44=0,0,(+BG31+BG32+BG36)/BG44)</f>
        <v>0</v>
      </c>
      <c r="BJ48" s="72"/>
      <c r="BK48" s="86" t="s">
        <v>47</v>
      </c>
      <c r="BL48" s="73"/>
      <c r="BM48" s="74"/>
      <c r="BN48" s="83"/>
      <c r="BO48" s="80">
        <f>IF(BN44=0,0,(+BN31+BN32+BN36)/BN44)</f>
        <v>0</v>
      </c>
      <c r="BQ48" s="72"/>
      <c r="BR48" s="86" t="s">
        <v>47</v>
      </c>
      <c r="BS48" s="73"/>
      <c r="BT48" s="74"/>
      <c r="BU48" s="83"/>
      <c r="BV48" s="80">
        <f>IF(BU44=0,0,(+BU31+BU32+BU36)/BU44)</f>
        <v>24.050245417364479</v>
      </c>
      <c r="BX48" s="72"/>
      <c r="BY48" s="86" t="s">
        <v>47</v>
      </c>
      <c r="BZ48" s="73"/>
      <c r="CA48" s="74"/>
      <c r="CB48" s="83"/>
      <c r="CC48" s="80">
        <f>IF(CB44=0,0,(+CB31+CB32+CB36)/CB44)</f>
        <v>24.050245417364479</v>
      </c>
      <c r="CE48" s="72"/>
      <c r="CF48" s="86" t="s">
        <v>47</v>
      </c>
      <c r="CG48" s="73"/>
      <c r="CH48" s="74"/>
      <c r="CI48" s="83"/>
      <c r="CJ48" s="80">
        <f>IF(CI44=0,0,(+CI31+CI32+CI36)/CI44)</f>
        <v>0</v>
      </c>
      <c r="CL48" s="72"/>
      <c r="CM48" s="86" t="s">
        <v>47</v>
      </c>
      <c r="CN48" s="73"/>
      <c r="CO48" s="74"/>
      <c r="CP48" s="83"/>
      <c r="CQ48" s="80">
        <f>IF(CP44=0,0,(+CP31+CP32+CP36)/CP44)</f>
        <v>0</v>
      </c>
      <c r="CS48" s="72"/>
      <c r="CT48" s="86" t="s">
        <v>47</v>
      </c>
      <c r="CU48" s="73"/>
      <c r="CV48" s="74"/>
      <c r="CW48" s="83"/>
      <c r="CX48" s="80">
        <f>IF(CW44=0,0,(+CW31+CW32+CW36)/CW44)</f>
        <v>24.050245417364479</v>
      </c>
      <c r="CZ48" s="72"/>
      <c r="DA48" s="86" t="s">
        <v>47</v>
      </c>
      <c r="DB48" s="73"/>
      <c r="DC48" s="74"/>
      <c r="DD48" s="83"/>
      <c r="DE48" s="80">
        <f>IF(DD44=0,0,(+DD31+DD32+DD36)/DD44)</f>
        <v>0</v>
      </c>
      <c r="DG48" s="72"/>
      <c r="DH48" s="86" t="s">
        <v>47</v>
      </c>
      <c r="DI48" s="73"/>
      <c r="DJ48" s="74"/>
      <c r="DK48" s="83"/>
      <c r="DL48" s="80">
        <f>IF(DK44=0,0,(+DK31+DK32+DK36)/DK44)</f>
        <v>0</v>
      </c>
      <c r="DN48" s="72"/>
      <c r="DO48" s="86" t="s">
        <v>47</v>
      </c>
      <c r="DP48" s="73"/>
      <c r="DQ48" s="74"/>
      <c r="DR48" s="83"/>
      <c r="DS48" s="80"/>
    </row>
    <row r="49" spans="7:123" ht="20.100000000000001" customHeight="1" x14ac:dyDescent="0.35">
      <c r="G49" s="72"/>
      <c r="H49" s="73" t="s">
        <v>48</v>
      </c>
      <c r="I49" s="73"/>
      <c r="J49" s="73"/>
      <c r="K49" s="79"/>
      <c r="L49" s="80">
        <f>(+K29+K30+K38)/Heures_Produc_Commer</f>
        <v>20.374352610985675</v>
      </c>
      <c r="M49" s="73"/>
      <c r="N49" s="73"/>
      <c r="O49" s="79"/>
      <c r="P49" s="80">
        <f>(+O29+O30+O38)/Heures_Produc_Commer</f>
        <v>20.374352610985675</v>
      </c>
      <c r="Q49" s="84"/>
      <c r="R49" s="85"/>
      <c r="AH49" s="72"/>
      <c r="AI49" s="86" t="s">
        <v>48</v>
      </c>
      <c r="AJ49" s="73"/>
      <c r="AK49" s="74"/>
      <c r="AL49" s="83"/>
      <c r="AM49" s="88">
        <f>IF(AL44=0,0,(AL29+AL30+AL38)/AL44)</f>
        <v>0</v>
      </c>
      <c r="AO49" s="72"/>
      <c r="AP49" s="86" t="s">
        <v>48</v>
      </c>
      <c r="AQ49" s="73"/>
      <c r="AR49" s="74"/>
      <c r="AS49" s="83"/>
      <c r="AT49" s="88">
        <f>IF(AS44=0,0,(AS29+AS30+AS38)/AS44)</f>
        <v>17.954846659678356</v>
      </c>
      <c r="AV49" s="72"/>
      <c r="AW49" s="86" t="s">
        <v>48</v>
      </c>
      <c r="AX49" s="73"/>
      <c r="AY49" s="74"/>
      <c r="AZ49" s="83"/>
      <c r="BA49" s="88">
        <f>IF(AZ44=0,0,(AZ29+AZ30+AZ38)/AZ44)</f>
        <v>0</v>
      </c>
      <c r="BC49" s="72"/>
      <c r="BD49" s="86" t="s">
        <v>48</v>
      </c>
      <c r="BE49" s="73"/>
      <c r="BF49" s="74"/>
      <c r="BG49" s="83"/>
      <c r="BH49" s="88">
        <f>IF(BG44=0,0,(BG29+BG30+BG38)/BG44)</f>
        <v>0</v>
      </c>
      <c r="BJ49" s="72"/>
      <c r="BK49" s="86" t="s">
        <v>48</v>
      </c>
      <c r="BL49" s="73"/>
      <c r="BM49" s="74"/>
      <c r="BN49" s="83"/>
      <c r="BO49" s="88">
        <f>IF(BN44=0,0,(BN29+BN30+BN38)/BN44)</f>
        <v>0</v>
      </c>
      <c r="BQ49" s="72"/>
      <c r="BR49" s="86" t="s">
        <v>48</v>
      </c>
      <c r="BS49" s="73"/>
      <c r="BT49" s="74"/>
      <c r="BU49" s="83"/>
      <c r="BV49" s="88">
        <f>IF(BU44=0,0,(BU29+BU30+BU38)/BU44)</f>
        <v>1.295616543170103</v>
      </c>
      <c r="BX49" s="72"/>
      <c r="BY49" s="86" t="s">
        <v>48</v>
      </c>
      <c r="BZ49" s="73"/>
      <c r="CA49" s="74"/>
      <c r="CB49" s="83"/>
      <c r="CC49" s="88">
        <f>IF(CB44=0,0,(CB29+CB30+CB38)/CB44)</f>
        <v>19.342950495292303</v>
      </c>
      <c r="CE49" s="72"/>
      <c r="CF49" s="86" t="s">
        <v>48</v>
      </c>
      <c r="CG49" s="73"/>
      <c r="CH49" s="74"/>
      <c r="CI49" s="83"/>
      <c r="CJ49" s="88">
        <f>IF(CI44=0,0,(CI29+CI30+CI38)/CI44)</f>
        <v>0</v>
      </c>
      <c r="CL49" s="72"/>
      <c r="CM49" s="86" t="s">
        <v>48</v>
      </c>
      <c r="CN49" s="73"/>
      <c r="CO49" s="74"/>
      <c r="CP49" s="83"/>
      <c r="CQ49" s="88">
        <f>IF(CP44=0,0,(CP29+CP30+CP38)/CP44)</f>
        <v>0</v>
      </c>
      <c r="CS49" s="72"/>
      <c r="CT49" s="86" t="s">
        <v>48</v>
      </c>
      <c r="CU49" s="73"/>
      <c r="CV49" s="74"/>
      <c r="CW49" s="83"/>
      <c r="CX49" s="88">
        <f>IF(CW44=0,0,(CW29+CW30+CW38)/CW44)</f>
        <v>19.3897431388441</v>
      </c>
      <c r="CZ49" s="72"/>
      <c r="DA49" s="86" t="s">
        <v>48</v>
      </c>
      <c r="DB49" s="73"/>
      <c r="DC49" s="74"/>
      <c r="DD49" s="83"/>
      <c r="DE49" s="88">
        <f>IF(DD44=0,0,(DD29+DD30+DD38)/DD44)</f>
        <v>0</v>
      </c>
      <c r="DG49" s="72"/>
      <c r="DH49" s="86" t="s">
        <v>48</v>
      </c>
      <c r="DI49" s="73"/>
      <c r="DJ49" s="74"/>
      <c r="DK49" s="83"/>
      <c r="DL49" s="88">
        <f>IF(DK44=0,0,(DK29+DK30+DK38)/DK44)</f>
        <v>0</v>
      </c>
      <c r="DN49" s="72"/>
      <c r="DO49" s="86" t="s">
        <v>48</v>
      </c>
      <c r="DP49" s="73"/>
      <c r="DQ49" s="74"/>
      <c r="DR49" s="83"/>
      <c r="DS49" s="80"/>
    </row>
    <row r="50" spans="7:123" ht="20.100000000000001" customHeight="1" x14ac:dyDescent="0.35">
      <c r="G50" s="72"/>
      <c r="H50" s="86" t="s">
        <v>49</v>
      </c>
      <c r="I50" s="73"/>
      <c r="J50" s="73"/>
      <c r="K50" s="79"/>
      <c r="L50" s="89">
        <f>IF(K38+K30+K29=0,0,(K38+K30+K29)/CA_Commer_Total)</f>
        <v>0.15672578931527442</v>
      </c>
      <c r="M50" s="73"/>
      <c r="N50" s="73"/>
      <c r="O50" s="79"/>
      <c r="P50" s="89">
        <f>IF(O38+O30+O29=0,0,(O38+O30+O29)/CA_Commer_Total)</f>
        <v>0.15672578931527442</v>
      </c>
      <c r="Q50" s="90"/>
      <c r="R50" s="91"/>
      <c r="AH50" s="72"/>
      <c r="AI50" s="86" t="s">
        <v>49</v>
      </c>
      <c r="AJ50" s="73"/>
      <c r="AK50" s="73"/>
      <c r="AL50" s="79"/>
      <c r="AM50" s="89">
        <f>IF(AL38+AL30+AL29=0,0,(AL38+AL30+AL29)/CA_Commer_Activite3)</f>
        <v>0</v>
      </c>
      <c r="AO50" s="72"/>
      <c r="AP50" s="86" t="s">
        <v>49</v>
      </c>
      <c r="AQ50" s="73"/>
      <c r="AR50" s="73"/>
      <c r="AS50" s="79"/>
      <c r="AT50" s="89">
        <f>IF(AS38+AS30+AS29=0,0,(AS38+AS30+AS29)/CA_Commer_Activite4)</f>
        <v>0.13811420507444888</v>
      </c>
      <c r="AV50" s="72"/>
      <c r="AW50" s="86" t="s">
        <v>49</v>
      </c>
      <c r="AX50" s="73"/>
      <c r="AY50" s="73"/>
      <c r="AZ50" s="79"/>
      <c r="BA50" s="89" t="e">
        <f>IF(AZ38+AZ30+AZ29=0,0,(AZ38+AZ30+AZ29)/CA_Commer_Activite5)</f>
        <v>#DIV/0!</v>
      </c>
      <c r="BC50" s="72"/>
      <c r="BD50" s="86" t="s">
        <v>49</v>
      </c>
      <c r="BE50" s="73"/>
      <c r="BF50" s="73"/>
      <c r="BG50" s="79"/>
      <c r="BH50" s="89">
        <f>IF(BG38+BG30+BG29=0,0,(BG38+BG30+BG29)/CA_Commer_Activite6)</f>
        <v>0</v>
      </c>
      <c r="BJ50" s="72"/>
      <c r="BK50" s="86" t="s">
        <v>49</v>
      </c>
      <c r="BL50" s="73"/>
      <c r="BM50" s="73"/>
      <c r="BN50" s="79"/>
      <c r="BO50" s="89">
        <f>IF(BN38+BN30+BN29=0,0,(BN38+BN30+BN29)/CA_Commer_Activite7)</f>
        <v>0</v>
      </c>
      <c r="BQ50" s="72"/>
      <c r="BR50" s="86" t="s">
        <v>49</v>
      </c>
      <c r="BS50" s="73"/>
      <c r="BT50" s="73"/>
      <c r="BU50" s="79"/>
      <c r="BV50" s="89" t="e">
        <f>IF(BU38+BU30+BU29=0,0,(BU38+BU30+BU29)/CA_Commer_Activite8)</f>
        <v>#DIV/0!</v>
      </c>
      <c r="BX50" s="72"/>
      <c r="BY50" s="86" t="s">
        <v>49</v>
      </c>
      <c r="BZ50" s="73"/>
      <c r="CA50" s="73"/>
      <c r="CB50" s="79"/>
      <c r="CC50" s="89">
        <f>IF(CB38+CB30+CB29=0,0,(CB38+CB30+CB29)/CA_Commer_Activite9)</f>
        <v>0.14879192688686388</v>
      </c>
      <c r="CE50" s="72"/>
      <c r="CF50" s="86" t="s">
        <v>49</v>
      </c>
      <c r="CG50" s="73"/>
      <c r="CH50" s="73"/>
      <c r="CI50" s="79"/>
      <c r="CJ50" s="89">
        <f>IF(CI38+CI30+CI29=0,0,(CI38+CI30+CI29)/CA_Commer_Activite10)</f>
        <v>0</v>
      </c>
      <c r="CL50" s="72"/>
      <c r="CM50" s="86" t="s">
        <v>49</v>
      </c>
      <c r="CN50" s="73"/>
      <c r="CO50" s="73"/>
      <c r="CP50" s="79"/>
      <c r="CQ50" s="89">
        <f>IF(CP38+CP30+CP29=0,0,(CP38+CP30+CP29)/CA_Commer_Activite11)</f>
        <v>0</v>
      </c>
      <c r="CS50" s="72"/>
      <c r="CT50" s="86" t="s">
        <v>49</v>
      </c>
      <c r="CU50" s="73"/>
      <c r="CV50" s="73"/>
      <c r="CW50" s="79"/>
      <c r="CX50" s="89">
        <f>IF(CW38+CW30+CW29=0,0,(CW38+CW30+CW29)/CA_Commer_Activite12)</f>
        <v>0.14915187029880078</v>
      </c>
      <c r="CZ50" s="72"/>
      <c r="DA50" s="86" t="s">
        <v>49</v>
      </c>
      <c r="DB50" s="73"/>
      <c r="DC50" s="73"/>
      <c r="DD50" s="79"/>
      <c r="DE50" s="89">
        <f>IF(DD38+DD30+DD29=0,0,(DD38+DD30+DD29)/CA_Commer_Activite13)</f>
        <v>0</v>
      </c>
      <c r="DG50" s="72"/>
      <c r="DH50" s="86" t="s">
        <v>49</v>
      </c>
      <c r="DI50" s="73"/>
      <c r="DJ50" s="73"/>
      <c r="DK50" s="79"/>
      <c r="DL50" s="89">
        <f>IF(DK38+DK30+DK29=0,0,(DK38+DK30+DK29)/CA_Commer_Activite14)</f>
        <v>0</v>
      </c>
      <c r="DN50" s="72"/>
      <c r="DO50" s="86"/>
      <c r="DP50" s="73"/>
      <c r="DQ50" s="73"/>
      <c r="DR50" s="79"/>
      <c r="DS50" s="89"/>
    </row>
    <row r="52" spans="7:123" ht="23.25" customHeight="1" x14ac:dyDescent="0.35">
      <c r="G52" s="5" t="str">
        <f>CONCATENATE("Prévisions "&amp;Categorie_Ventes_lbl1)</f>
        <v>Prévisions 1-Mousse Directe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7"/>
      <c r="X52" s="92"/>
      <c r="Y52" s="92"/>
      <c r="AE52" s="92"/>
      <c r="AF52" s="92"/>
      <c r="AL52" s="92"/>
      <c r="AM52" s="92"/>
      <c r="AS52" s="92"/>
      <c r="AT52" s="92"/>
      <c r="AZ52" s="92"/>
      <c r="BA52" s="92"/>
      <c r="BG52" s="92"/>
      <c r="BH52" s="92"/>
      <c r="BN52" s="92"/>
      <c r="BO52" s="92"/>
      <c r="BU52" s="92"/>
      <c r="BV52" s="92"/>
      <c r="CB52" s="92"/>
      <c r="CC52" s="92"/>
      <c r="CI52" s="92"/>
      <c r="CJ52" s="92"/>
      <c r="CP52" s="92"/>
      <c r="CQ52" s="92"/>
      <c r="CW52" s="92"/>
      <c r="CX52" s="92"/>
      <c r="DD52" s="92"/>
      <c r="DE52" s="92"/>
      <c r="DK52" s="92"/>
      <c r="DL52" s="92"/>
      <c r="DR52" s="92"/>
      <c r="DS52" s="92"/>
    </row>
    <row r="53" spans="7:123" ht="23.25" customHeight="1" x14ac:dyDescent="0.35">
      <c r="G53" s="8" t="s">
        <v>2</v>
      </c>
      <c r="H53" s="8"/>
      <c r="I53" s="8"/>
      <c r="J53" s="8"/>
      <c r="K53" s="8" t="s">
        <v>3</v>
      </c>
      <c r="L53" s="8"/>
      <c r="M53" s="9" t="s">
        <v>4</v>
      </c>
      <c r="N53" s="8"/>
      <c r="O53" s="10" t="s">
        <v>5</v>
      </c>
      <c r="P53" s="10"/>
      <c r="Q53" s="10" t="s">
        <v>6</v>
      </c>
      <c r="R53" s="10"/>
      <c r="Y53" s="93" t="s">
        <v>50</v>
      </c>
      <c r="Z53" s="94"/>
      <c r="AA53" s="94"/>
      <c r="AB53" s="94"/>
      <c r="AC53" s="94"/>
      <c r="AD53" s="95"/>
    </row>
    <row r="54" spans="7:123" x14ac:dyDescent="0.35">
      <c r="G54" s="11" t="s">
        <v>8</v>
      </c>
      <c r="H54" s="12"/>
      <c r="I54" s="12"/>
      <c r="J54" s="13"/>
      <c r="K54" s="14">
        <f>IF(ISNA(VLOOKUP(Categorie_Ventes_lbl1,CA_Prev,15,FALSE)),0,VLOOKUP(Categorie_Ventes_lbl1,CA_Prev,15,FALSE))</f>
        <v>2281280</v>
      </c>
      <c r="L54" s="15"/>
      <c r="M54" s="16"/>
      <c r="N54" s="17"/>
      <c r="O54" s="18">
        <f>CAR_Activite1</f>
        <v>72655.48</v>
      </c>
      <c r="P54" s="19"/>
      <c r="Q54" s="18"/>
      <c r="R54" s="19"/>
    </row>
    <row r="55" spans="7:123" ht="20.100000000000001" customHeight="1" x14ac:dyDescent="0.35">
      <c r="G55" s="23"/>
      <c r="H55" s="24" t="s">
        <v>9</v>
      </c>
      <c r="I55" s="24"/>
      <c r="J55" s="25"/>
      <c r="K55" s="26">
        <f>IF(ISNA(VLOOKUP(Categorie_Ventes_lbl1,Maindoeuvre_Objectifs,12,FALSE)),0,VLOOKUP(Categorie_Ventes_lbl1,Maindoeuvre_Objectifs,12,FALSE))</f>
        <v>641610</v>
      </c>
      <c r="L55" s="30"/>
      <c r="M55" s="28"/>
      <c r="N55" s="29"/>
      <c r="O55" s="26">
        <f>CAR_MO1</f>
        <v>34270</v>
      </c>
      <c r="P55" s="27"/>
      <c r="Q55" s="26">
        <f>+M55-O55</f>
        <v>-34270</v>
      </c>
      <c r="R55" s="27"/>
    </row>
    <row r="56" spans="7:123" ht="20.100000000000001" customHeight="1" x14ac:dyDescent="0.35">
      <c r="G56" s="23"/>
      <c r="H56" s="31" t="s">
        <v>10</v>
      </c>
      <c r="I56" s="31"/>
      <c r="J56" s="32"/>
      <c r="K56" s="26">
        <f>IF(ISNA(VLOOKUP(Categorie_Ventes_lbl1,ACHATS,4,FALSE)),0,IF(VLOOKUP(Categorie_Ventes_lbl1,ACHATS,4,FALSE)="Négoce",IF(ISNA(VLOOKUP(Categorie_Ventes_lbl1,ACHATS,3,FALSE)),0,VLOOKUP(Categorie_Ventes_lbl1,ACHATS,3,FALSE)),0))</f>
        <v>0</v>
      </c>
      <c r="L56" s="30"/>
      <c r="M56" s="28"/>
      <c r="N56" s="29"/>
      <c r="O56" s="26"/>
      <c r="P56" s="30"/>
      <c r="Q56" s="26">
        <f t="shared" ref="Q56:Q57" si="2">+M56-O56</f>
        <v>0</v>
      </c>
      <c r="R56" s="30"/>
    </row>
    <row r="57" spans="7:123" ht="20.100000000000001" customHeight="1" x14ac:dyDescent="0.35">
      <c r="G57" s="23"/>
      <c r="H57" s="24" t="s">
        <v>12</v>
      </c>
      <c r="I57" s="24"/>
      <c r="J57" s="25"/>
      <c r="K57" s="26">
        <f>IF(ISNA(VLOOKUP(Categorie_Ventes_lbl1,ACHATS,4,FALSE)),0,IF(VLOOKUP(Categorie_Ventes_lbl1,ACHATS,4,FALSE)="Services",0,IF(VLOOKUP(Categorie_Ventes_lbl1,ACHATS,4,FALSE)&lt;&gt;"Négoce",IF(ISNA(VLOOKUP(Categorie_Ventes_lbl1,ACHATS,3,FALSE)),0,VLOOKUP(Categorie_Ventes_lbl1,ACHATS,3,FALSE)),0))-K55)</f>
        <v>1639670</v>
      </c>
      <c r="L57" s="30"/>
      <c r="M57" s="28"/>
      <c r="N57" s="29"/>
      <c r="O57" s="26">
        <f>CAR_PVMAT1</f>
        <v>38385.480000000003</v>
      </c>
      <c r="P57" s="30"/>
      <c r="Q57" s="26">
        <f t="shared" si="2"/>
        <v>-38385.480000000003</v>
      </c>
      <c r="R57" s="30"/>
    </row>
    <row r="58" spans="7:123" x14ac:dyDescent="0.35">
      <c r="G58" s="11" t="s">
        <v>13</v>
      </c>
      <c r="H58" s="12"/>
      <c r="I58" s="12"/>
      <c r="J58" s="13"/>
      <c r="K58" s="14">
        <f>SUM(K59:L60)</f>
        <v>1186265.6000000001</v>
      </c>
      <c r="L58" s="15"/>
      <c r="M58" s="16"/>
      <c r="N58" s="17"/>
      <c r="O58" s="14">
        <f>SUM(O55:P57)</f>
        <v>72655.48000000001</v>
      </c>
      <c r="P58" s="15"/>
      <c r="Q58" s="14"/>
      <c r="R58" s="15"/>
    </row>
    <row r="59" spans="7:123" ht="20.100000000000001" customHeight="1" x14ac:dyDescent="0.35">
      <c r="G59" s="33"/>
      <c r="H59" s="24" t="s">
        <v>14</v>
      </c>
      <c r="I59" s="24"/>
      <c r="J59" s="25"/>
      <c r="K59" s="26">
        <f>IF(ISNA(VLOOKUP(Categorie_Ventes_lbl1,ACHATS,4,FALSE)),0,IF(VLOOKUP(Categorie_Ventes_lbl1,ACHATS,4,FALSE)="Négoce",IF(ISNA(VLOOKUP(Categorie_Ventes_lbl1,ACHATS,9,FALSE)),0,VLOOKUP(Categorie_Ventes_lbl1,ACHATS,9,FALSE)),0))</f>
        <v>0</v>
      </c>
      <c r="L59" s="30"/>
      <c r="M59" s="28"/>
      <c r="N59" s="29"/>
      <c r="O59" s="26">
        <f>IF(K59=0,0,CAR_PAMat1)</f>
        <v>0</v>
      </c>
      <c r="P59" s="30"/>
      <c r="Q59" s="26">
        <f t="shared" ref="Q59:Q60" si="3">+M59-O59</f>
        <v>0</v>
      </c>
      <c r="R59" s="30"/>
    </row>
    <row r="60" spans="7:123" ht="20.100000000000001" customHeight="1" x14ac:dyDescent="0.35">
      <c r="G60" s="23"/>
      <c r="H60" s="31" t="s">
        <v>15</v>
      </c>
      <c r="I60" s="31"/>
      <c r="J60" s="32"/>
      <c r="K60" s="26">
        <f>IF(ISNA(VLOOKUP(Categorie_Ventes_lbl1,ACHATS,4,FALSE)),0,IF(VLOOKUP(Categorie_Ventes_lbl1,ACHATS,4,FALSE)&lt;&gt;"Négoce",IF(ISNA(VLOOKUP(Categorie_Ventes_lbl1,ACHATS,9,FALSE)),0,VLOOKUP(Categorie_Ventes_lbl1,ACHATS,9,FALSE)),0))</f>
        <v>1186265.6000000001</v>
      </c>
      <c r="L60" s="30"/>
      <c r="M60" s="28"/>
      <c r="N60" s="29"/>
      <c r="O60" s="26">
        <f>IF(K60=0,0,CAR_PAMat1)</f>
        <v>27808</v>
      </c>
      <c r="P60" s="30"/>
      <c r="Q60" s="26">
        <f t="shared" si="3"/>
        <v>-27808</v>
      </c>
      <c r="R60" s="30"/>
    </row>
    <row r="61" spans="7:123" x14ac:dyDescent="0.35">
      <c r="G61" s="11" t="s">
        <v>16</v>
      </c>
      <c r="H61" s="12"/>
      <c r="I61" s="12"/>
      <c r="J61" s="13"/>
      <c r="K61" s="14">
        <f>SUM(K62:L64)</f>
        <v>1095014.3999999999</v>
      </c>
      <c r="L61" s="15"/>
      <c r="M61" s="16"/>
      <c r="N61" s="17"/>
      <c r="O61" s="14">
        <f>SUM(O62:P64)</f>
        <v>44847.48</v>
      </c>
      <c r="P61" s="15"/>
      <c r="Q61" s="14"/>
      <c r="R61" s="15"/>
    </row>
    <row r="62" spans="7:123" ht="20.100000000000001" customHeight="1" x14ac:dyDescent="0.35">
      <c r="G62" s="33"/>
      <c r="H62" s="24" t="s">
        <v>17</v>
      </c>
      <c r="I62" s="24"/>
      <c r="J62" s="25"/>
      <c r="K62" s="26">
        <f>+K55</f>
        <v>641610</v>
      </c>
      <c r="L62" s="30"/>
      <c r="M62" s="28"/>
      <c r="N62" s="29"/>
      <c r="O62" s="26">
        <f>+O55</f>
        <v>34270</v>
      </c>
      <c r="P62" s="30"/>
      <c r="Q62" s="26">
        <f t="shared" ref="Q62:Q64" si="4">+M62-O62</f>
        <v>-34270</v>
      </c>
      <c r="R62" s="30"/>
    </row>
    <row r="63" spans="7:123" ht="20.100000000000001" customHeight="1" x14ac:dyDescent="0.35">
      <c r="G63" s="33"/>
      <c r="H63" s="24" t="s">
        <v>18</v>
      </c>
      <c r="I63" s="24"/>
      <c r="J63" s="25"/>
      <c r="K63" s="26">
        <f>+K56-K59</f>
        <v>0</v>
      </c>
      <c r="L63" s="30"/>
      <c r="M63" s="28"/>
      <c r="N63" s="29"/>
      <c r="O63" s="26">
        <f>+O56-O59</f>
        <v>0</v>
      </c>
      <c r="P63" s="30"/>
      <c r="Q63" s="26">
        <f t="shared" si="4"/>
        <v>0</v>
      </c>
      <c r="R63" s="30"/>
    </row>
    <row r="64" spans="7:123" ht="20.100000000000001" customHeight="1" x14ac:dyDescent="0.35">
      <c r="G64" s="33"/>
      <c r="H64" s="31" t="s">
        <v>20</v>
      </c>
      <c r="I64" s="31"/>
      <c r="J64" s="32"/>
      <c r="K64" s="26">
        <f>+K57-K60</f>
        <v>453404.39999999991</v>
      </c>
      <c r="L64" s="30"/>
      <c r="M64" s="28"/>
      <c r="N64" s="29"/>
      <c r="O64" s="26">
        <f>+O57-O60</f>
        <v>10577.480000000003</v>
      </c>
      <c r="P64" s="30"/>
      <c r="Q64" s="26">
        <f t="shared" si="4"/>
        <v>-10577.480000000003</v>
      </c>
      <c r="R64" s="30"/>
    </row>
    <row r="65" spans="7:18" ht="20.100000000000001" customHeight="1" x14ac:dyDescent="0.35">
      <c r="G65" s="33"/>
      <c r="H65" s="34" t="s">
        <v>21</v>
      </c>
      <c r="I65" s="34"/>
      <c r="J65" s="35"/>
      <c r="K65" s="36">
        <f>IF(K56=0,0,+K63/K56)</f>
        <v>0</v>
      </c>
      <c r="L65" s="37"/>
      <c r="M65" s="28"/>
      <c r="N65" s="29"/>
      <c r="O65" s="36">
        <f>IF(O56=0,0,+O63/O56)</f>
        <v>0</v>
      </c>
      <c r="P65" s="37"/>
      <c r="Q65" s="36"/>
      <c r="R65" s="37"/>
    </row>
    <row r="66" spans="7:18" ht="20.100000000000001" customHeight="1" x14ac:dyDescent="0.35">
      <c r="G66" s="33"/>
      <c r="H66" s="34" t="s">
        <v>22</v>
      </c>
      <c r="I66" s="34"/>
      <c r="J66" s="35"/>
      <c r="K66" s="36">
        <f>IF(K57=0,0,+K64/K57)</f>
        <v>0.27652173913043471</v>
      </c>
      <c r="L66" s="37"/>
      <c r="M66" s="28"/>
      <c r="N66" s="29"/>
      <c r="O66" s="36">
        <f>IF(O57=0,0,+O64/O57)</f>
        <v>0.27555940423305902</v>
      </c>
      <c r="P66" s="37"/>
      <c r="Q66" s="36"/>
      <c r="R66" s="37"/>
    </row>
    <row r="67" spans="7:18" x14ac:dyDescent="0.35">
      <c r="G67" s="38" t="s">
        <v>23</v>
      </c>
      <c r="H67" s="39"/>
      <c r="I67" s="39"/>
      <c r="J67" s="40"/>
      <c r="K67" s="41">
        <f>+K68+K78+K84+K85</f>
        <v>689924.65938003862</v>
      </c>
      <c r="L67" s="41"/>
      <c r="M67" s="42"/>
      <c r="N67" s="43"/>
      <c r="O67" s="41">
        <f>+O68+O78+O84+O85</f>
        <v>168766.83810142864</v>
      </c>
      <c r="P67" s="41"/>
      <c r="Q67" s="41"/>
      <c r="R67" s="41"/>
    </row>
    <row r="68" spans="7:18" ht="23.25" customHeight="1" x14ac:dyDescent="0.35">
      <c r="G68" s="44" t="s">
        <v>24</v>
      </c>
      <c r="H68" s="45"/>
      <c r="I68" s="46"/>
      <c r="J68" s="47"/>
      <c r="K68" s="48">
        <f>+K69+K77</f>
        <v>307785.95173817541</v>
      </c>
      <c r="L68" s="49"/>
      <c r="M68" s="48">
        <f>+M69+M77</f>
        <v>75289.469916276576</v>
      </c>
      <c r="N68" s="49"/>
      <c r="O68" s="48">
        <f>+O69+O77</f>
        <v>75289.469916276576</v>
      </c>
      <c r="P68" s="49"/>
      <c r="Q68" s="48">
        <f>+Q69+Q77</f>
        <v>0</v>
      </c>
      <c r="R68" s="49"/>
    </row>
    <row r="69" spans="7:18" ht="20.100000000000001" customHeight="1" x14ac:dyDescent="0.35">
      <c r="G69" s="52"/>
      <c r="H69" s="53" t="s">
        <v>25</v>
      </c>
      <c r="I69" s="53"/>
      <c r="J69" s="54"/>
      <c r="K69" s="55">
        <f>SUM(K70:L76)</f>
        <v>254125.06595064452</v>
      </c>
      <c r="L69" s="56"/>
      <c r="M69" s="55">
        <f>SUM(M70:N76)</f>
        <v>62163.140974474009</v>
      </c>
      <c r="N69" s="56"/>
      <c r="O69" s="55">
        <f>SUM(O70:P76)</f>
        <v>62163.140974474009</v>
      </c>
      <c r="P69" s="56"/>
      <c r="Q69" s="55">
        <f>SUM(Q70:R76)</f>
        <v>0</v>
      </c>
      <c r="R69" s="56"/>
    </row>
    <row r="70" spans="7:18" ht="20.100000000000001" customHeight="1" x14ac:dyDescent="0.35">
      <c r="G70" s="52"/>
      <c r="H70" s="45"/>
      <c r="I70" s="45" t="s">
        <v>26</v>
      </c>
      <c r="J70" s="47"/>
      <c r="K70" s="61">
        <f>Frais_Fixes_Activite1</f>
        <v>168098.9462858967</v>
      </c>
      <c r="L70" s="62"/>
      <c r="M70" s="61">
        <f>GETPIVOTDATA(" Frais fixes",[1]TC_FG!$A$3,"Activité","1-Mousse Directe")</f>
        <v>41119.747304503268</v>
      </c>
      <c r="N70" s="62"/>
      <c r="O70" s="61">
        <f>M70</f>
        <v>41119.747304503268</v>
      </c>
      <c r="P70" s="62"/>
      <c r="Q70" s="61"/>
      <c r="R70" s="62"/>
    </row>
    <row r="71" spans="7:18" ht="20.100000000000001" customHeight="1" x14ac:dyDescent="0.35">
      <c r="G71" s="52"/>
      <c r="H71" s="45"/>
      <c r="I71" s="45" t="s">
        <v>27</v>
      </c>
      <c r="J71" s="47"/>
      <c r="K71" s="61">
        <f>Frais_Var_Activite1</f>
        <v>68438.399999999994</v>
      </c>
      <c r="L71" s="62"/>
      <c r="M71" s="61">
        <f>GETPIVOTDATA(" Frais variables",[1]TC_FG!$A$3,"Activité","1-Mousse Directe")</f>
        <v>16741.150233852604</v>
      </c>
      <c r="N71" s="62"/>
      <c r="O71" s="61">
        <f t="shared" ref="O71:O76" si="5">M71</f>
        <v>16741.150233852604</v>
      </c>
      <c r="P71" s="96"/>
      <c r="Q71" s="61"/>
      <c r="R71" s="62"/>
    </row>
    <row r="72" spans="7:18" ht="20.100000000000001" customHeight="1" x14ac:dyDescent="0.35">
      <c r="G72" s="52"/>
      <c r="H72" s="45"/>
      <c r="I72" s="46" t="s">
        <v>28</v>
      </c>
      <c r="J72" s="59"/>
      <c r="K72" s="63">
        <f>Credit_Bail_Activite1</f>
        <v>5791.884</v>
      </c>
      <c r="L72" s="64"/>
      <c r="M72" s="63">
        <f>GETPIVOTDATA(" Crédits bails",[1]TC_FG!$A$3,"Activité","1-Mousse Directe")</f>
        <v>1416.7894074240071</v>
      </c>
      <c r="N72" s="64"/>
      <c r="O72" s="63">
        <f t="shared" si="5"/>
        <v>1416.7894074240071</v>
      </c>
      <c r="P72" s="64"/>
      <c r="Q72" s="63"/>
      <c r="R72" s="64"/>
    </row>
    <row r="73" spans="7:18" ht="20.100000000000001" customHeight="1" x14ac:dyDescent="0.35">
      <c r="G73" s="52"/>
      <c r="H73" s="45"/>
      <c r="I73" s="46" t="s">
        <v>29</v>
      </c>
      <c r="J73" s="59"/>
      <c r="K73" s="61">
        <f>Frais_Agents_Co_Activite1</f>
        <v>0</v>
      </c>
      <c r="L73" s="62"/>
      <c r="M73" s="61">
        <f>GETPIVOTDATA(" Agents commerciaux",[1]TC_FG!$A$3,"Activité","1-Mousse Directe")</f>
        <v>0</v>
      </c>
      <c r="N73" s="62"/>
      <c r="O73" s="61">
        <f t="shared" si="5"/>
        <v>0</v>
      </c>
      <c r="P73" s="96"/>
      <c r="Q73" s="61"/>
      <c r="R73" s="62"/>
    </row>
    <row r="74" spans="7:18" ht="20.100000000000001" customHeight="1" x14ac:dyDescent="0.35">
      <c r="G74" s="52"/>
      <c r="H74" s="45"/>
      <c r="I74" s="45" t="s">
        <v>30</v>
      </c>
      <c r="J74" s="47"/>
      <c r="K74" s="61">
        <f>Frais_Commerciaux_Activite1</f>
        <v>0</v>
      </c>
      <c r="L74" s="62"/>
      <c r="M74" s="61">
        <f>GETPIVOTDATA(" Frais commerciaux",[1]TC_FG!$A$3,"Activité","1-Mousse Directe")</f>
        <v>0</v>
      </c>
      <c r="N74" s="62"/>
      <c r="O74" s="61">
        <f t="shared" si="5"/>
        <v>0</v>
      </c>
      <c r="P74" s="96"/>
      <c r="Q74" s="61"/>
      <c r="R74" s="62"/>
    </row>
    <row r="75" spans="7:18" ht="20.100000000000001" customHeight="1" x14ac:dyDescent="0.35">
      <c r="G75" s="52"/>
      <c r="H75" s="45"/>
      <c r="I75" s="45" t="s">
        <v>31</v>
      </c>
      <c r="J75" s="47"/>
      <c r="K75" s="63">
        <f>Frais_Sous_traitance_Activite1</f>
        <v>4580.9070542710042</v>
      </c>
      <c r="L75" s="64"/>
      <c r="M75" s="63">
        <f>GETPIVOTDATA(" Sous-traitance MO",[1]TC_FG!$A$3,"Activité","1-Mousse Directe")</f>
        <v>1120.5646713375252</v>
      </c>
      <c r="N75" s="64"/>
      <c r="O75" s="63">
        <f t="shared" si="5"/>
        <v>1120.5646713375252</v>
      </c>
      <c r="P75" s="64"/>
      <c r="Q75" s="63"/>
      <c r="R75" s="64"/>
    </row>
    <row r="76" spans="7:18" ht="20.100000000000001" customHeight="1" x14ac:dyDescent="0.35">
      <c r="G76" s="52"/>
      <c r="H76" s="45"/>
      <c r="I76" s="45" t="s">
        <v>32</v>
      </c>
      <c r="J76" s="47"/>
      <c r="K76" s="61">
        <f>Frais_Interim_Activite1</f>
        <v>7214.9286104768316</v>
      </c>
      <c r="L76" s="62"/>
      <c r="M76" s="61">
        <f>GETPIVOTDATA(" Intérimaires",[1]TC_FG!$A$3,"Activité","1-Mousse Directe")</f>
        <v>1764.889357356602</v>
      </c>
      <c r="N76" s="62"/>
      <c r="O76" s="61">
        <f t="shared" si="5"/>
        <v>1764.889357356602</v>
      </c>
      <c r="P76" s="96"/>
      <c r="Q76" s="61"/>
      <c r="R76" s="62"/>
    </row>
    <row r="77" spans="7:18" ht="20.100000000000001" customHeight="1" x14ac:dyDescent="0.35">
      <c r="G77" s="52"/>
      <c r="H77" s="53" t="s">
        <v>33</v>
      </c>
      <c r="I77" s="53"/>
      <c r="J77" s="54"/>
      <c r="K77" s="55">
        <f>Dotations_Activite1</f>
        <v>53660.885787530882</v>
      </c>
      <c r="L77" s="56"/>
      <c r="M77" s="55">
        <f>GETPIVOTDATA("Dotations",[1]TC_FG!$A$3,"Activité","1-Mousse Directe")</f>
        <v>13126.328941802563</v>
      </c>
      <c r="N77" s="56"/>
      <c r="O77" s="55">
        <f>M77</f>
        <v>13126.328941802563</v>
      </c>
      <c r="P77" s="56"/>
      <c r="Q77" s="55"/>
      <c r="R77" s="56"/>
    </row>
    <row r="78" spans="7:18" x14ac:dyDescent="0.35">
      <c r="G78" s="44" t="s">
        <v>34</v>
      </c>
      <c r="H78" s="45"/>
      <c r="I78" s="46"/>
      <c r="J78" s="47"/>
      <c r="K78" s="48">
        <f>+K79+K83</f>
        <v>374666.99170798709</v>
      </c>
      <c r="L78" s="49"/>
      <c r="M78" s="48">
        <f>+M79+M83</f>
        <v>91649.664455174585</v>
      </c>
      <c r="N78" s="49"/>
      <c r="O78" s="48">
        <f>+O79+O83</f>
        <v>91649.664455174585</v>
      </c>
      <c r="P78" s="49"/>
      <c r="Q78" s="48">
        <f>+Q79+Q83</f>
        <v>0</v>
      </c>
      <c r="R78" s="49"/>
    </row>
    <row r="79" spans="7:18" ht="20.100000000000001" customHeight="1" x14ac:dyDescent="0.35">
      <c r="G79" s="52"/>
      <c r="H79" s="53" t="s">
        <v>35</v>
      </c>
      <c r="I79" s="53"/>
      <c r="J79" s="54"/>
      <c r="K79" s="55">
        <f>SUM(K80:L82)</f>
        <v>369199.82970963599</v>
      </c>
      <c r="L79" s="56"/>
      <c r="M79" s="55">
        <f>SUM(M80:N82)</f>
        <v>90312.307352039425</v>
      </c>
      <c r="N79" s="56"/>
      <c r="O79" s="55">
        <f>SUM(O80:P82)</f>
        <v>90312.307352039425</v>
      </c>
      <c r="P79" s="56"/>
      <c r="Q79" s="55">
        <f>SUM(Q80:R82)</f>
        <v>0</v>
      </c>
      <c r="R79" s="56"/>
    </row>
    <row r="80" spans="7:18" ht="20.100000000000001" customHeight="1" x14ac:dyDescent="0.35">
      <c r="G80" s="52"/>
      <c r="H80" s="45"/>
      <c r="I80" s="45" t="s">
        <v>36</v>
      </c>
      <c r="J80" s="47"/>
      <c r="K80" s="61">
        <f>Sal_Charges_Productifs_Activite1</f>
        <v>331112.56349603494</v>
      </c>
      <c r="L80" s="62"/>
      <c r="M80" s="61">
        <f>GETPIVOTDATA(" Productifs",[1]TC_FG!$A$3,"Activité","1-Mousse Directe")</f>
        <v>80995.540074040036</v>
      </c>
      <c r="N80" s="62"/>
      <c r="O80" s="61">
        <f>M80</f>
        <v>80995.540074040036</v>
      </c>
      <c r="P80" s="62"/>
      <c r="Q80" s="61"/>
      <c r="R80" s="62"/>
    </row>
    <row r="81" spans="7:18" ht="20.100000000000001" customHeight="1" x14ac:dyDescent="0.35">
      <c r="G81" s="52"/>
      <c r="H81" s="45"/>
      <c r="I81" s="45" t="s">
        <v>37</v>
      </c>
      <c r="J81" s="47"/>
      <c r="K81" s="61">
        <f>Sal_Charges_Autres_Activite1</f>
        <v>38087.266213601048</v>
      </c>
      <c r="L81" s="62"/>
      <c r="M81" s="61">
        <f>GETPIVOTDATA(" Administratifs et autres",[1]TC_FG!$A$3,"Activité","1-Mousse Directe")</f>
        <v>9316.7672779993918</v>
      </c>
      <c r="N81" s="62"/>
      <c r="O81" s="61">
        <f t="shared" ref="O81:O82" si="6">M81</f>
        <v>9316.7672779993918</v>
      </c>
      <c r="P81" s="62"/>
      <c r="Q81" s="61"/>
      <c r="R81" s="62"/>
    </row>
    <row r="82" spans="7:18" ht="20.100000000000001" customHeight="1" x14ac:dyDescent="0.35">
      <c r="G82" s="52"/>
      <c r="H82" s="45"/>
      <c r="I82" s="45" t="s">
        <v>38</v>
      </c>
      <c r="J82" s="47"/>
      <c r="K82" s="63">
        <f>Sal_charges_Commer_Activite1</f>
        <v>0</v>
      </c>
      <c r="L82" s="64"/>
      <c r="M82" s="63">
        <f>GETPIVOTDATA(" Salaires commerciaux",[1]TC_FG!$A$3,"Activité","1-Mousse Directe")</f>
        <v>0</v>
      </c>
      <c r="N82" s="64"/>
      <c r="O82" s="61">
        <f t="shared" si="6"/>
        <v>0</v>
      </c>
      <c r="P82" s="62"/>
      <c r="Q82" s="63"/>
      <c r="R82" s="64"/>
    </row>
    <row r="83" spans="7:18" ht="20.100000000000001" customHeight="1" x14ac:dyDescent="0.35">
      <c r="G83" s="52"/>
      <c r="H83" s="65" t="s">
        <v>39</v>
      </c>
      <c r="I83" s="45"/>
      <c r="J83" s="47"/>
      <c r="K83" s="55">
        <f>Frais_Autres_charges_Activite1</f>
        <v>5467.1619983510936</v>
      </c>
      <c r="L83" s="56"/>
      <c r="M83" s="55">
        <f>GETPIVOTDATA(" Autres charges du personnel",[1]TC_FG!$A$3,"Activité","1-Mousse Directe")</f>
        <v>1337.3571031351626</v>
      </c>
      <c r="N83" s="56"/>
      <c r="O83" s="55">
        <f>M83</f>
        <v>1337.3571031351626</v>
      </c>
      <c r="P83" s="56"/>
      <c r="Q83" s="55"/>
      <c r="R83" s="56"/>
    </row>
    <row r="84" spans="7:18" x14ac:dyDescent="0.35">
      <c r="G84" s="44" t="s">
        <v>40</v>
      </c>
      <c r="H84" s="45"/>
      <c r="I84" s="46"/>
      <c r="J84" s="47"/>
      <c r="K84" s="48">
        <f>Frais_Financiers_Activite1</f>
        <v>6920.0835639320394</v>
      </c>
      <c r="L84" s="49"/>
      <c r="M84" s="48">
        <f>GETPIVOTDATA(" Frais financiers",[1]TC_FG!$A$3,"Activité","1-Mousse Directe")</f>
        <v>1692.765444174622</v>
      </c>
      <c r="N84" s="49"/>
      <c r="O84" s="48">
        <f>M84</f>
        <v>1692.765444174622</v>
      </c>
      <c r="P84" s="49"/>
      <c r="Q84" s="48"/>
      <c r="R84" s="49"/>
    </row>
    <row r="85" spans="7:18" x14ac:dyDescent="0.35">
      <c r="G85" s="44" t="s">
        <v>41</v>
      </c>
      <c r="H85" s="45"/>
      <c r="I85" s="46"/>
      <c r="J85" s="47"/>
      <c r="K85" s="48">
        <f>Charges_Except_Activite1</f>
        <v>551.63236994417787</v>
      </c>
      <c r="L85" s="49"/>
      <c r="M85" s="48">
        <f>GETPIVOTDATA(" Charges exceptionnelles",[1]TC_FG!$A$3,"Activité","1-Mousse Directe")</f>
        <v>134.93828580287735</v>
      </c>
      <c r="N85" s="49"/>
      <c r="O85" s="48">
        <f>M85</f>
        <v>134.93828580287735</v>
      </c>
      <c r="P85" s="49"/>
      <c r="Q85" s="48"/>
      <c r="R85" s="49"/>
    </row>
    <row r="86" spans="7:18" x14ac:dyDescent="0.35">
      <c r="G86" s="52"/>
      <c r="H86" s="45"/>
      <c r="I86" s="45"/>
      <c r="J86" s="47"/>
      <c r="K86" s="55"/>
      <c r="L86" s="60"/>
      <c r="M86" s="48"/>
      <c r="N86" s="49"/>
      <c r="O86" s="48"/>
      <c r="P86" s="49"/>
      <c r="Q86" s="55"/>
      <c r="R86" s="60"/>
    </row>
    <row r="87" spans="7:18" ht="23.25" customHeight="1" x14ac:dyDescent="0.35">
      <c r="G87" s="66" t="s">
        <v>42</v>
      </c>
      <c r="H87" s="67"/>
      <c r="I87" s="67"/>
      <c r="J87" s="68"/>
      <c r="K87" s="69">
        <f>+Marge_Brute_Activite1-Charges_Activite1</f>
        <v>405089.74061996129</v>
      </c>
      <c r="L87" s="69"/>
      <c r="M87" s="70"/>
      <c r="N87" s="71"/>
      <c r="O87" s="69">
        <f>+Marge_Brute_Activite1-Charges_Activite1</f>
        <v>405089.74061996129</v>
      </c>
      <c r="P87" s="69"/>
      <c r="Q87" s="69"/>
      <c r="R87" s="69"/>
    </row>
    <row r="88" spans="7:18" ht="20.100000000000001" customHeight="1" x14ac:dyDescent="0.35">
      <c r="G88" s="72"/>
      <c r="H88" s="73" t="s">
        <v>51</v>
      </c>
      <c r="I88" s="73"/>
      <c r="J88" s="74"/>
      <c r="K88" s="75">
        <f>Heures_Activite1</f>
        <v>14258</v>
      </c>
      <c r="L88" s="76"/>
      <c r="M88" s="73"/>
      <c r="N88" s="73"/>
      <c r="O88" s="75">
        <f>CAR_Heures1</f>
        <v>546</v>
      </c>
      <c r="P88" s="76"/>
      <c r="Q88" s="75"/>
      <c r="R88" s="76"/>
    </row>
    <row r="89" spans="7:18" ht="20.100000000000001" customHeight="1" x14ac:dyDescent="0.35">
      <c r="G89" s="72"/>
      <c r="H89" s="73" t="s">
        <v>44</v>
      </c>
      <c r="I89" s="73"/>
      <c r="J89" s="74"/>
      <c r="K89" s="77">
        <f>IF(K88=0,0,+K61/K88)</f>
        <v>76.8</v>
      </c>
      <c r="L89" s="78"/>
      <c r="M89" s="73"/>
      <c r="N89" s="73"/>
      <c r="O89" s="77">
        <f>IF(O88=0,0,+O61/O88)</f>
        <v>82.138241758241762</v>
      </c>
      <c r="P89" s="78"/>
      <c r="Q89" s="77"/>
      <c r="R89" s="78"/>
    </row>
    <row r="90" spans="7:18" ht="20.100000000000001" customHeight="1" x14ac:dyDescent="0.35">
      <c r="G90" s="72"/>
      <c r="H90" s="73" t="s">
        <v>45</v>
      </c>
      <c r="I90" s="73"/>
      <c r="J90" s="73"/>
      <c r="K90" s="83"/>
      <c r="L90" s="80">
        <f>+L91*Horaire_Journalier</f>
        <v>189.83916606187378</v>
      </c>
      <c r="M90" s="73"/>
      <c r="N90" s="73"/>
      <c r="O90" s="79"/>
      <c r="P90" s="80">
        <f>+P91*Horaire_Journalier</f>
        <v>46.437760077838206</v>
      </c>
      <c r="Q90" s="81"/>
      <c r="R90" s="82"/>
    </row>
    <row r="91" spans="7:18" ht="20.100000000000001" customHeight="1" x14ac:dyDescent="0.35">
      <c r="G91" s="72"/>
      <c r="H91" s="73" t="s">
        <v>46</v>
      </c>
      <c r="I91" s="73"/>
      <c r="J91" s="73"/>
      <c r="K91" s="83"/>
      <c r="L91" s="80">
        <f>IF(Heures_Activite1=0,0,(+K70+K71+K72+K77+K81+K83+K84+K85)/Heures_Activite1)</f>
        <v>24.338354623317151</v>
      </c>
      <c r="M91" s="73"/>
      <c r="N91" s="73"/>
      <c r="O91" s="79"/>
      <c r="P91" s="80">
        <f>IF(Heures_Activite1=0,0,(+O70+O71+O72+O77+O81+O83+O84+O85)/Heures_Activite1)</f>
        <v>5.9535589843382315</v>
      </c>
      <c r="Q91" s="84"/>
      <c r="R91" s="85"/>
    </row>
    <row r="92" spans="7:18" ht="20.100000000000001" customHeight="1" x14ac:dyDescent="0.35">
      <c r="G92" s="72"/>
      <c r="H92" s="73" t="s">
        <v>47</v>
      </c>
      <c r="I92" s="73"/>
      <c r="J92" s="73"/>
      <c r="K92" s="83"/>
      <c r="L92" s="80">
        <f>IF(K88=0,0,(+K75+K76+K80)/K88)</f>
        <v>24.050245417364483</v>
      </c>
      <c r="M92" s="73"/>
      <c r="N92" s="73"/>
      <c r="O92" s="79"/>
      <c r="P92" s="80">
        <f>IF(O88=0,0,(+O75+O76+O80)/O88)</f>
        <v>153.62819432735196</v>
      </c>
      <c r="Q92" s="84"/>
      <c r="R92" s="85"/>
    </row>
    <row r="93" spans="7:18" ht="20.100000000000001" customHeight="1" x14ac:dyDescent="0.35">
      <c r="G93" s="72"/>
      <c r="H93" s="73" t="s">
        <v>48</v>
      </c>
      <c r="I93" s="73"/>
      <c r="J93" s="73"/>
      <c r="K93" s="83"/>
      <c r="L93" s="88">
        <f>IF(K88=0,0,(K73+K74+K82)/K88)</f>
        <v>0</v>
      </c>
      <c r="M93" s="73"/>
      <c r="N93" s="73"/>
      <c r="O93" s="79"/>
      <c r="P93" s="80">
        <f>IF(O88=0,0,(O73+O74+O82)/O88)</f>
        <v>0</v>
      </c>
      <c r="Q93" s="84"/>
      <c r="R93" s="85"/>
    </row>
    <row r="94" spans="7:18" ht="20.100000000000001" customHeight="1" x14ac:dyDescent="0.35">
      <c r="G94" s="72"/>
      <c r="H94" s="86" t="s">
        <v>49</v>
      </c>
      <c r="I94" s="73"/>
      <c r="J94" s="73"/>
      <c r="K94" s="79"/>
      <c r="L94" s="89">
        <f>IF(K82+K74+K73=0,0,(K82+K74+K73)/CA_Commer_Activite1)</f>
        <v>0</v>
      </c>
      <c r="M94" s="73"/>
      <c r="N94" s="73"/>
      <c r="O94" s="79"/>
      <c r="P94" s="89">
        <f>IF(O82+O74+O73=0,0,(O82+O74+O73)/CA_Commer_Activite1)</f>
        <v>0</v>
      </c>
      <c r="Q94" s="90"/>
      <c r="R94" s="91"/>
    </row>
    <row r="96" spans="7:18" x14ac:dyDescent="0.35">
      <c r="G96" s="5" t="str">
        <f>CONCATENATE("Prévisions "&amp;Categorie_Ventes_lbl2)</f>
        <v>Prévisions 2-Mousse commer.</v>
      </c>
      <c r="H96" s="6"/>
      <c r="I96" s="6"/>
      <c r="J96" s="6"/>
      <c r="K96" s="6"/>
      <c r="L96" s="7"/>
    </row>
    <row r="97" spans="7:18" ht="23.25" customHeight="1" x14ac:dyDescent="0.35">
      <c r="G97" s="10" t="s">
        <v>2</v>
      </c>
      <c r="H97" s="10"/>
      <c r="I97" s="10"/>
      <c r="J97" s="10"/>
      <c r="K97" s="10" t="s">
        <v>7</v>
      </c>
      <c r="L97" s="10"/>
      <c r="M97" s="9" t="s">
        <v>4</v>
      </c>
      <c r="N97" s="8"/>
      <c r="O97" s="10" t="s">
        <v>5</v>
      </c>
      <c r="P97" s="10"/>
      <c r="Q97" s="10" t="s">
        <v>6</v>
      </c>
      <c r="R97" s="10"/>
    </row>
    <row r="98" spans="7:18" x14ac:dyDescent="0.35">
      <c r="G98" s="11" t="s">
        <v>8</v>
      </c>
      <c r="H98" s="12"/>
      <c r="I98" s="12"/>
      <c r="J98" s="13"/>
      <c r="K98" s="14">
        <f>IF(ISNA(VLOOKUP(Categorie_Ventes_lbl2,CA_Prev,15,FALSE)),0,VLOOKUP(Categorie_Ventes_lbl2,CA_Prev,15,FALSE))</f>
        <v>242565.84000000003</v>
      </c>
      <c r="L98" s="15"/>
      <c r="M98" s="16"/>
      <c r="N98" s="17"/>
      <c r="O98" s="18">
        <f>CAR_Activite1</f>
        <v>72655.48</v>
      </c>
      <c r="P98" s="19"/>
      <c r="Q98" s="18"/>
      <c r="R98" s="19"/>
    </row>
    <row r="99" spans="7:18" x14ac:dyDescent="0.35">
      <c r="G99" s="23"/>
      <c r="H99" s="24" t="s">
        <v>9</v>
      </c>
      <c r="I99" s="24"/>
      <c r="J99" s="25"/>
      <c r="K99" s="26">
        <f>IF(ISNA(VLOOKUP(Categorie_Ventes_lbl2,Maindoeuvre_Objectifs,12,FALSE)),0,VLOOKUP(Categorie_Ventes_lbl2,Maindoeuvre_Objectifs,12,FALSE))</f>
        <v>83965.09846153848</v>
      </c>
      <c r="L99" s="30"/>
      <c r="M99" s="28"/>
      <c r="N99" s="29"/>
      <c r="O99" s="26">
        <f>CAR_MO1</f>
        <v>34270</v>
      </c>
      <c r="P99" s="27"/>
      <c r="Q99" s="26">
        <f>+M99-O99</f>
        <v>-34270</v>
      </c>
      <c r="R99" s="27"/>
    </row>
    <row r="100" spans="7:18" x14ac:dyDescent="0.35">
      <c r="G100" s="23"/>
      <c r="H100" s="31" t="s">
        <v>10</v>
      </c>
      <c r="I100" s="31"/>
      <c r="J100" s="32"/>
      <c r="K100" s="26">
        <f>IF(ISNA(VLOOKUP(Categorie_Ventes_lbl2,ACHATS,4,FALSE)),0,IF(VLOOKUP(Categorie_Ventes_lbl2,ACHATS,4,FALSE)="Négoce",IF(ISNA(VLOOKUP(Categorie_Ventes_lbl2,ACHATS,3,FALSE)),0,VLOOKUP(Categorie_Ventes_lbl2,ACHATS,3,FALSE)),0))</f>
        <v>0</v>
      </c>
      <c r="L100" s="30"/>
      <c r="M100" s="28"/>
      <c r="N100" s="29"/>
      <c r="O100" s="26"/>
      <c r="P100" s="30"/>
      <c r="Q100" s="26">
        <f t="shared" ref="Q100:Q101" si="7">+M100-O100</f>
        <v>0</v>
      </c>
      <c r="R100" s="30"/>
    </row>
    <row r="101" spans="7:18" x14ac:dyDescent="0.35">
      <c r="G101" s="23"/>
      <c r="H101" s="24" t="s">
        <v>12</v>
      </c>
      <c r="I101" s="24"/>
      <c r="J101" s="25"/>
      <c r="K101" s="26">
        <f>IF(ISNA(VLOOKUP(Categorie_Ventes_lbl2,ACHATS,4,FALSE)),0,IF(VLOOKUP(Categorie_Ventes_lbl2,ACHATS,4,FALSE)="Services",0,IF(VLOOKUP(Categorie_Ventes_lbl2,ACHATS,4,FALSE)&lt;&gt;"Négoce",IF(ISNA(VLOOKUP(Categorie_Ventes_lbl2,ACHATS,3,FALSE)),0,VLOOKUP(Categorie_Ventes_lbl2,ACHATS,3,FALSE)),0))-K99)</f>
        <v>158600.74153846153</v>
      </c>
      <c r="L101" s="30"/>
      <c r="M101" s="28"/>
      <c r="N101" s="29"/>
      <c r="O101" s="26">
        <f>CAR_PVMAT1</f>
        <v>38385.480000000003</v>
      </c>
      <c r="P101" s="30"/>
      <c r="Q101" s="26">
        <f t="shared" si="7"/>
        <v>-38385.480000000003</v>
      </c>
      <c r="R101" s="30"/>
    </row>
    <row r="102" spans="7:18" x14ac:dyDescent="0.35">
      <c r="G102" s="11" t="s">
        <v>13</v>
      </c>
      <c r="H102" s="12"/>
      <c r="I102" s="12"/>
      <c r="J102" s="13"/>
      <c r="K102" s="14">
        <f>SUM(K103:L104)</f>
        <v>72769.752000000022</v>
      </c>
      <c r="L102" s="15"/>
      <c r="M102" s="16"/>
      <c r="N102" s="17"/>
      <c r="O102" s="14">
        <f>SUM(O99:P101)</f>
        <v>72655.48000000001</v>
      </c>
      <c r="P102" s="15"/>
      <c r="Q102" s="14"/>
      <c r="R102" s="15"/>
    </row>
    <row r="103" spans="7:18" x14ac:dyDescent="0.35">
      <c r="G103" s="33"/>
      <c r="H103" s="24" t="s">
        <v>14</v>
      </c>
      <c r="I103" s="24"/>
      <c r="J103" s="25"/>
      <c r="K103" s="26">
        <f>IF(ISNA(VLOOKUP(Categorie_Ventes_lbl2,ACHATS,4,FALSE)),0,IF(VLOOKUP(Categorie_Ventes_lbl2,ACHATS,4,FALSE)="Négoce",IF(ISNA(VLOOKUP(Categorie_Ventes_lbl2,ACHATS,9,FALSE)),0,VLOOKUP(Categorie_Ventes_lbl2,ACHATS,9,FALSE)),0))</f>
        <v>0</v>
      </c>
      <c r="L103" s="30"/>
      <c r="M103" s="28"/>
      <c r="N103" s="29"/>
      <c r="O103" s="26">
        <f>IF(K103=0,0,CAR_PAMat1)</f>
        <v>0</v>
      </c>
      <c r="P103" s="30"/>
      <c r="Q103" s="26">
        <f t="shared" ref="Q103:Q104" si="8">+M103-O103</f>
        <v>0</v>
      </c>
      <c r="R103" s="30"/>
    </row>
    <row r="104" spans="7:18" x14ac:dyDescent="0.35">
      <c r="G104" s="23"/>
      <c r="H104" s="31" t="s">
        <v>15</v>
      </c>
      <c r="I104" s="31"/>
      <c r="J104" s="32"/>
      <c r="K104" s="26">
        <f>IF(ISNA(VLOOKUP(Categorie_Ventes_lbl2,ACHATS,4,FALSE)),0,IF(VLOOKUP(Categorie_Ventes_lbl2,ACHATS,4,FALSE)&lt;&gt;"Négoce",IF(ISNA(VLOOKUP(Categorie_Ventes_lbl2,ACHATS,9,FALSE)),0,VLOOKUP(Categorie_Ventes_lbl2,ACHATS,9,FALSE)),0))</f>
        <v>72769.752000000022</v>
      </c>
      <c r="L104" s="30"/>
      <c r="M104" s="28"/>
      <c r="N104" s="29"/>
      <c r="O104" s="26">
        <f>IF(K104=0,0,CAR_PAMat1)</f>
        <v>27808</v>
      </c>
      <c r="P104" s="30"/>
      <c r="Q104" s="26">
        <f t="shared" si="8"/>
        <v>-27808</v>
      </c>
      <c r="R104" s="30"/>
    </row>
    <row r="105" spans="7:18" x14ac:dyDescent="0.35">
      <c r="G105" s="11" t="s">
        <v>16</v>
      </c>
      <c r="H105" s="12"/>
      <c r="I105" s="12"/>
      <c r="J105" s="13"/>
      <c r="K105" s="14">
        <f>SUM(K106:L108)</f>
        <v>169796.08799999999</v>
      </c>
      <c r="L105" s="15"/>
      <c r="M105" s="16"/>
      <c r="N105" s="17"/>
      <c r="O105" s="14">
        <f>SUM(O106:P108)</f>
        <v>44847.48</v>
      </c>
      <c r="P105" s="15"/>
      <c r="Q105" s="14"/>
      <c r="R105" s="15"/>
    </row>
    <row r="106" spans="7:18" x14ac:dyDescent="0.35">
      <c r="G106" s="33"/>
      <c r="H106" s="24" t="s">
        <v>17</v>
      </c>
      <c r="I106" s="24"/>
      <c r="J106" s="25"/>
      <c r="K106" s="26">
        <f>+K99</f>
        <v>83965.09846153848</v>
      </c>
      <c r="L106" s="30"/>
      <c r="M106" s="28"/>
      <c r="N106" s="29"/>
      <c r="O106" s="26">
        <f>+O99</f>
        <v>34270</v>
      </c>
      <c r="P106" s="30"/>
      <c r="Q106" s="26">
        <f t="shared" ref="Q106:Q108" si="9">+M106-O106</f>
        <v>-34270</v>
      </c>
      <c r="R106" s="30"/>
    </row>
    <row r="107" spans="7:18" x14ac:dyDescent="0.35">
      <c r="G107" s="33"/>
      <c r="H107" s="24" t="s">
        <v>18</v>
      </c>
      <c r="I107" s="24"/>
      <c r="J107" s="25"/>
      <c r="K107" s="26">
        <f>+K100-K103</f>
        <v>0</v>
      </c>
      <c r="L107" s="30"/>
      <c r="M107" s="28"/>
      <c r="N107" s="29"/>
      <c r="O107" s="26">
        <f>+O100-O103</f>
        <v>0</v>
      </c>
      <c r="P107" s="30"/>
      <c r="Q107" s="26">
        <f t="shared" si="9"/>
        <v>0</v>
      </c>
      <c r="R107" s="30"/>
    </row>
    <row r="108" spans="7:18" x14ac:dyDescent="0.35">
      <c r="G108" s="33"/>
      <c r="H108" s="31" t="s">
        <v>20</v>
      </c>
      <c r="I108" s="31"/>
      <c r="J108" s="32"/>
      <c r="K108" s="26">
        <f>+K101-K104</f>
        <v>85830.989538461508</v>
      </c>
      <c r="L108" s="30"/>
      <c r="M108" s="28"/>
      <c r="N108" s="29"/>
      <c r="O108" s="26">
        <f>+O101-O104</f>
        <v>10577.480000000003</v>
      </c>
      <c r="P108" s="30"/>
      <c r="Q108" s="26">
        <f t="shared" si="9"/>
        <v>-10577.480000000003</v>
      </c>
      <c r="R108" s="30"/>
    </row>
    <row r="109" spans="7:18" x14ac:dyDescent="0.35">
      <c r="G109" s="33"/>
      <c r="H109" s="34" t="s">
        <v>21</v>
      </c>
      <c r="I109" s="34"/>
      <c r="J109" s="35"/>
      <c r="K109" s="36">
        <f>IF(K100=0,0,+K107/K100)</f>
        <v>0</v>
      </c>
      <c r="L109" s="37"/>
      <c r="M109" s="28"/>
      <c r="N109" s="29"/>
      <c r="O109" s="36">
        <f>IF(O100=0,0,+O107/O100)</f>
        <v>0</v>
      </c>
      <c r="P109" s="37"/>
      <c r="Q109" s="36"/>
      <c r="R109" s="37"/>
    </row>
    <row r="110" spans="7:18" x14ac:dyDescent="0.35">
      <c r="G110" s="33"/>
      <c r="H110" s="34" t="s">
        <v>22</v>
      </c>
      <c r="I110" s="34"/>
      <c r="J110" s="35"/>
      <c r="K110" s="36">
        <f>IF(K101=0,0,+K108/K101)</f>
        <v>0.54117647058823515</v>
      </c>
      <c r="L110" s="37"/>
      <c r="M110" s="28"/>
      <c r="N110" s="29"/>
      <c r="O110" s="36">
        <f>IF(O101=0,0,+O108/O101)</f>
        <v>0.27555940423305902</v>
      </c>
      <c r="P110" s="37"/>
      <c r="Q110" s="36"/>
      <c r="R110" s="37"/>
    </row>
    <row r="111" spans="7:18" x14ac:dyDescent="0.35">
      <c r="G111" s="38" t="s">
        <v>23</v>
      </c>
      <c r="H111" s="39"/>
      <c r="I111" s="39"/>
      <c r="J111" s="40"/>
      <c r="K111" s="41">
        <f>+K112+K122+K128+K129</f>
        <v>124118.11643149066</v>
      </c>
      <c r="L111" s="41"/>
      <c r="M111" s="42"/>
      <c r="N111" s="43"/>
      <c r="O111" s="41">
        <f>+O112+O122+O128+O129</f>
        <v>168766.83810142864</v>
      </c>
      <c r="P111" s="41"/>
      <c r="Q111" s="41"/>
      <c r="R111" s="41"/>
    </row>
    <row r="112" spans="7:18" x14ac:dyDescent="0.35">
      <c r="G112" s="44" t="s">
        <v>24</v>
      </c>
      <c r="H112" s="45"/>
      <c r="I112" s="46"/>
      <c r="J112" s="47"/>
      <c r="K112" s="48">
        <f>+K113+K121</f>
        <v>53515.337436431189</v>
      </c>
      <c r="L112" s="49"/>
      <c r="M112" s="48">
        <f>+M113+M121</f>
        <v>75289.469916276576</v>
      </c>
      <c r="N112" s="49"/>
      <c r="O112" s="48">
        <f>+O113+O121</f>
        <v>75289.469916276576</v>
      </c>
      <c r="P112" s="49"/>
      <c r="Q112" s="48">
        <f>+Q113+Q121</f>
        <v>0</v>
      </c>
      <c r="R112" s="49"/>
    </row>
    <row r="113" spans="7:18" x14ac:dyDescent="0.35">
      <c r="G113" s="52"/>
      <c r="H113" s="53" t="s">
        <v>25</v>
      </c>
      <c r="I113" s="53"/>
      <c r="J113" s="54"/>
      <c r="K113" s="55">
        <f>SUM(K114:L120)</f>
        <v>46737.232675859712</v>
      </c>
      <c r="L113" s="56"/>
      <c r="M113" s="55">
        <f>SUM(M114:N120)</f>
        <v>62163.140974474009</v>
      </c>
      <c r="N113" s="56"/>
      <c r="O113" s="55">
        <f>SUM(O114:P120)</f>
        <v>62163.140974474009</v>
      </c>
      <c r="P113" s="56"/>
      <c r="Q113" s="55">
        <f>SUM(Q114:R120)</f>
        <v>0</v>
      </c>
      <c r="R113" s="56"/>
    </row>
    <row r="114" spans="7:18" x14ac:dyDescent="0.35">
      <c r="G114" s="52"/>
      <c r="H114" s="45"/>
      <c r="I114" s="45" t="s">
        <v>26</v>
      </c>
      <c r="J114" s="47"/>
      <c r="K114" s="55">
        <f>Frais_Fixes_Activite2</f>
        <v>17873.764776333213</v>
      </c>
      <c r="L114" s="56"/>
      <c r="M114" s="61">
        <f>GETPIVOTDATA(" Frais fixes",[1]TC_FG!$A$3,"Activité","1-Mousse Directe")</f>
        <v>41119.747304503268</v>
      </c>
      <c r="N114" s="62"/>
      <c r="O114" s="61">
        <f>M114</f>
        <v>41119.747304503268</v>
      </c>
      <c r="P114" s="62"/>
      <c r="Q114" s="61"/>
      <c r="R114" s="62"/>
    </row>
    <row r="115" spans="7:18" x14ac:dyDescent="0.35">
      <c r="G115" s="52"/>
      <c r="H115" s="45"/>
      <c r="I115" s="45" t="s">
        <v>27</v>
      </c>
      <c r="J115" s="47"/>
      <c r="K115" s="55">
        <f>Frais_Var_Activite2</f>
        <v>7276.9752000000008</v>
      </c>
      <c r="L115" s="56"/>
      <c r="M115" s="61">
        <f>GETPIVOTDATA(" Frais variables",[1]TC_FG!$A$3,"Activité","1-Mousse Directe")</f>
        <v>16741.150233852604</v>
      </c>
      <c r="N115" s="62"/>
      <c r="O115" s="61">
        <f t="shared" ref="O115:O120" si="10">M115</f>
        <v>16741.150233852604</v>
      </c>
      <c r="P115" s="96"/>
      <c r="Q115" s="61"/>
      <c r="R115" s="62"/>
    </row>
    <row r="116" spans="7:18" x14ac:dyDescent="0.35">
      <c r="G116" s="52"/>
      <c r="H116" s="45"/>
      <c r="I116" s="46" t="s">
        <v>28</v>
      </c>
      <c r="J116" s="59"/>
      <c r="K116" s="55">
        <f>Credit_Bail_Activite2</f>
        <v>5289.5759999999991</v>
      </c>
      <c r="L116" s="60"/>
      <c r="M116" s="63">
        <f>GETPIVOTDATA(" Crédits bails",[1]TC_FG!$A$3,"Activité","1-Mousse Directe")</f>
        <v>1416.7894074240071</v>
      </c>
      <c r="N116" s="64"/>
      <c r="O116" s="63">
        <f t="shared" si="10"/>
        <v>1416.7894074240071</v>
      </c>
      <c r="P116" s="64"/>
      <c r="Q116" s="63"/>
      <c r="R116" s="64"/>
    </row>
    <row r="117" spans="7:18" x14ac:dyDescent="0.35">
      <c r="G117" s="52"/>
      <c r="H117" s="45"/>
      <c r="I117" s="46" t="s">
        <v>29</v>
      </c>
      <c r="J117" s="59"/>
      <c r="K117" s="55">
        <f>Frais_Agents_Co_Activite2</f>
        <v>2760</v>
      </c>
      <c r="L117" s="60"/>
      <c r="M117" s="61">
        <f>GETPIVOTDATA(" Agents commerciaux",[1]TC_FG!$A$3,"Activité","1-Mousse Directe")</f>
        <v>0</v>
      </c>
      <c r="N117" s="62"/>
      <c r="O117" s="61">
        <f t="shared" si="10"/>
        <v>0</v>
      </c>
      <c r="P117" s="96"/>
      <c r="Q117" s="61"/>
      <c r="R117" s="62"/>
    </row>
    <row r="118" spans="7:18" x14ac:dyDescent="0.35">
      <c r="G118" s="52"/>
      <c r="H118" s="45"/>
      <c r="I118" s="45" t="s">
        <v>30</v>
      </c>
      <c r="J118" s="47"/>
      <c r="K118" s="57">
        <f>Frais_Commerciaux_Activite2</f>
        <v>11993.239850620335</v>
      </c>
      <c r="L118" s="58"/>
      <c r="M118" s="61">
        <f>GETPIVOTDATA(" Frais commerciaux",[1]TC_FG!$A$3,"Activité","1-Mousse Directe")</f>
        <v>0</v>
      </c>
      <c r="N118" s="62"/>
      <c r="O118" s="61">
        <f t="shared" si="10"/>
        <v>0</v>
      </c>
      <c r="P118" s="96"/>
      <c r="Q118" s="61"/>
      <c r="R118" s="62"/>
    </row>
    <row r="119" spans="7:18" x14ac:dyDescent="0.35">
      <c r="G119" s="52"/>
      <c r="H119" s="45"/>
      <c r="I119" s="45" t="s">
        <v>31</v>
      </c>
      <c r="J119" s="47"/>
      <c r="K119" s="57">
        <f>Frais_Sous_traitance_Activite2</f>
        <v>599.48615491501232</v>
      </c>
      <c r="L119" s="58"/>
      <c r="M119" s="63">
        <f>GETPIVOTDATA(" Sous-traitance MO",[1]TC_FG!$A$3,"Activité","1-Mousse Directe")</f>
        <v>1120.5646713375252</v>
      </c>
      <c r="N119" s="64"/>
      <c r="O119" s="63">
        <f t="shared" si="10"/>
        <v>1120.5646713375252</v>
      </c>
      <c r="P119" s="64"/>
      <c r="Q119" s="63"/>
      <c r="R119" s="64"/>
    </row>
    <row r="120" spans="7:18" x14ac:dyDescent="0.35">
      <c r="G120" s="52"/>
      <c r="H120" s="45"/>
      <c r="I120" s="45" t="s">
        <v>32</v>
      </c>
      <c r="J120" s="47"/>
      <c r="K120" s="57">
        <f>Frais_Interim_Activite2</f>
        <v>944.19069399114437</v>
      </c>
      <c r="L120" s="58"/>
      <c r="M120" s="61">
        <f>GETPIVOTDATA(" Intérimaires",[1]TC_FG!$A$3,"Activité","1-Mousse Directe")</f>
        <v>1764.889357356602</v>
      </c>
      <c r="N120" s="62"/>
      <c r="O120" s="61">
        <f t="shared" si="10"/>
        <v>1764.889357356602</v>
      </c>
      <c r="P120" s="96"/>
      <c r="Q120" s="61"/>
      <c r="R120" s="62"/>
    </row>
    <row r="121" spans="7:18" x14ac:dyDescent="0.35">
      <c r="G121" s="52"/>
      <c r="H121" s="53" t="s">
        <v>33</v>
      </c>
      <c r="I121" s="53"/>
      <c r="J121" s="54"/>
      <c r="K121" s="55">
        <f>Dotations_Activite2</f>
        <v>6778.1047605714739</v>
      </c>
      <c r="L121" s="56"/>
      <c r="M121" s="55">
        <f>GETPIVOTDATA("Dotations",[1]TC_FG!$A$3,"Activité","1-Mousse Directe")</f>
        <v>13126.328941802563</v>
      </c>
      <c r="N121" s="56"/>
      <c r="O121" s="55">
        <f>M121</f>
        <v>13126.328941802563</v>
      </c>
      <c r="P121" s="56"/>
      <c r="Q121" s="55"/>
      <c r="R121" s="56"/>
    </row>
    <row r="122" spans="7:18" x14ac:dyDescent="0.35">
      <c r="G122" s="44" t="s">
        <v>34</v>
      </c>
      <c r="H122" s="45"/>
      <c r="I122" s="46"/>
      <c r="J122" s="47"/>
      <c r="K122" s="48">
        <f>+K123+K127</f>
        <v>69806.915114106305</v>
      </c>
      <c r="L122" s="49"/>
      <c r="M122" s="48">
        <f>+M123+M127</f>
        <v>91649.664455174585</v>
      </c>
      <c r="N122" s="49"/>
      <c r="O122" s="48">
        <f>+O123+O127</f>
        <v>91649.664455174585</v>
      </c>
      <c r="P122" s="49"/>
      <c r="Q122" s="48">
        <f>+Q123+Q127</f>
        <v>0</v>
      </c>
      <c r="R122" s="49"/>
    </row>
    <row r="123" spans="7:18" x14ac:dyDescent="0.35">
      <c r="G123" s="52"/>
      <c r="H123" s="53" t="s">
        <v>35</v>
      </c>
      <c r="I123" s="53"/>
      <c r="J123" s="54"/>
      <c r="K123" s="55">
        <f>SUM(K124:L126)</f>
        <v>69225.598159350149</v>
      </c>
      <c r="L123" s="56"/>
      <c r="M123" s="55">
        <f>SUM(M124:N126)</f>
        <v>90312.307352039425</v>
      </c>
      <c r="N123" s="56"/>
      <c r="O123" s="55">
        <f>SUM(O124:P126)</f>
        <v>90312.307352039425</v>
      </c>
      <c r="P123" s="56"/>
      <c r="Q123" s="55">
        <f>SUM(Q124:R126)</f>
        <v>0</v>
      </c>
      <c r="R123" s="56"/>
    </row>
    <row r="124" spans="7:18" x14ac:dyDescent="0.35">
      <c r="G124" s="52"/>
      <c r="H124" s="45"/>
      <c r="I124" s="45" t="s">
        <v>36</v>
      </c>
      <c r="J124" s="47"/>
      <c r="K124" s="61">
        <f>Sal_Charges_Productifs_Activite2</f>
        <v>43331.46147316436</v>
      </c>
      <c r="L124" s="62"/>
      <c r="M124" s="61">
        <f>GETPIVOTDATA(" Productifs",[1]TC_FG!$A$3,"Activité","1-Mousse Directe")</f>
        <v>80995.540074040036</v>
      </c>
      <c r="N124" s="62"/>
      <c r="O124" s="61">
        <f>M124</f>
        <v>80995.540074040036</v>
      </c>
      <c r="P124" s="62"/>
      <c r="Q124" s="61"/>
      <c r="R124" s="62"/>
    </row>
    <row r="125" spans="7:18" x14ac:dyDescent="0.35">
      <c r="G125" s="52"/>
      <c r="H125" s="45"/>
      <c r="I125" s="45" t="s">
        <v>37</v>
      </c>
      <c r="J125" s="47"/>
      <c r="K125" s="61">
        <f>Sal_Charges_Autres_Activite2</f>
        <v>4049.7745662109683</v>
      </c>
      <c r="L125" s="62"/>
      <c r="M125" s="61">
        <f>GETPIVOTDATA(" Administratifs et autres",[1]TC_FG!$A$3,"Activité","1-Mousse Directe")</f>
        <v>9316.7672779993918</v>
      </c>
      <c r="N125" s="62"/>
      <c r="O125" s="61">
        <f t="shared" ref="O125:O126" si="11">M125</f>
        <v>9316.7672779993918</v>
      </c>
      <c r="P125" s="62"/>
      <c r="Q125" s="61"/>
      <c r="R125" s="62"/>
    </row>
    <row r="126" spans="7:18" x14ac:dyDescent="0.35">
      <c r="G126" s="52"/>
      <c r="H126" s="45"/>
      <c r="I126" s="45" t="s">
        <v>38</v>
      </c>
      <c r="J126" s="47"/>
      <c r="K126" s="63">
        <f>Sal_charges_Commer_Activite2</f>
        <v>21844.362119974827</v>
      </c>
      <c r="L126" s="64"/>
      <c r="M126" s="63">
        <f>GETPIVOTDATA(" Salaires commerciaux",[1]TC_FG!$A$3,"Activité","1-Mousse Directe")</f>
        <v>0</v>
      </c>
      <c r="N126" s="64"/>
      <c r="O126" s="61">
        <f t="shared" si="11"/>
        <v>0</v>
      </c>
      <c r="P126" s="62"/>
      <c r="Q126" s="63"/>
      <c r="R126" s="64"/>
    </row>
    <row r="127" spans="7:18" x14ac:dyDescent="0.35">
      <c r="G127" s="52"/>
      <c r="H127" s="65" t="s">
        <v>39</v>
      </c>
      <c r="I127" s="45"/>
      <c r="J127" s="47"/>
      <c r="K127" s="55">
        <f>Frais_Autres_charges_Activite2</f>
        <v>581.31695475615084</v>
      </c>
      <c r="L127" s="56"/>
      <c r="M127" s="55">
        <f>GETPIVOTDATA(" Autres charges du personnel",[1]TC_FG!$A$3,"Activité","1-Mousse Directe")</f>
        <v>1337.3571031351626</v>
      </c>
      <c r="N127" s="56"/>
      <c r="O127" s="55">
        <f>M127</f>
        <v>1337.3571031351626</v>
      </c>
      <c r="P127" s="56"/>
      <c r="Q127" s="55"/>
      <c r="R127" s="56"/>
    </row>
    <row r="128" spans="7:18" x14ac:dyDescent="0.35">
      <c r="G128" s="44" t="s">
        <v>40</v>
      </c>
      <c r="H128" s="45"/>
      <c r="I128" s="46"/>
      <c r="J128" s="47"/>
      <c r="K128" s="48">
        <f>Frais_Financiers_Activite2</f>
        <v>735.80440917176702</v>
      </c>
      <c r="L128" s="49"/>
      <c r="M128" s="48">
        <f>GETPIVOTDATA(" Frais financiers",[1]TC_FG!$A$3,"Activité","1-Mousse Directe")</f>
        <v>1692.765444174622</v>
      </c>
      <c r="N128" s="49"/>
      <c r="O128" s="48">
        <f>M128</f>
        <v>1692.765444174622</v>
      </c>
      <c r="P128" s="49"/>
      <c r="Q128" s="48"/>
      <c r="R128" s="49"/>
    </row>
    <row r="129" spans="7:18" x14ac:dyDescent="0.35">
      <c r="G129" s="44" t="s">
        <v>41</v>
      </c>
      <c r="H129" s="45"/>
      <c r="I129" s="46"/>
      <c r="J129" s="47"/>
      <c r="K129" s="48">
        <f>Charges_Except_Activite2</f>
        <v>60.059471781408739</v>
      </c>
      <c r="L129" s="49"/>
      <c r="M129" s="48">
        <f>GETPIVOTDATA(" Charges exceptionnelles",[1]TC_FG!$A$3,"Activité","1-Mousse Directe")</f>
        <v>134.93828580287735</v>
      </c>
      <c r="N129" s="49"/>
      <c r="O129" s="48">
        <f>M129</f>
        <v>134.93828580287735</v>
      </c>
      <c r="P129" s="49"/>
      <c r="Q129" s="48"/>
      <c r="R129" s="49"/>
    </row>
    <row r="130" spans="7:18" x14ac:dyDescent="0.35">
      <c r="G130" s="52"/>
      <c r="H130" s="45"/>
      <c r="I130" s="45"/>
      <c r="J130" s="47"/>
      <c r="K130" s="55"/>
      <c r="L130" s="60"/>
      <c r="M130" s="48"/>
      <c r="N130" s="49"/>
      <c r="O130" s="48"/>
      <c r="P130" s="49"/>
      <c r="Q130" s="55"/>
      <c r="R130" s="60"/>
    </row>
    <row r="131" spans="7:18" x14ac:dyDescent="0.35">
      <c r="G131" s="66" t="s">
        <v>42</v>
      </c>
      <c r="H131" s="67"/>
      <c r="I131" s="67"/>
      <c r="J131" s="68"/>
      <c r="K131" s="69">
        <f>+Marge_Brute_Activite2-Charges_Activite2</f>
        <v>45677.971568509325</v>
      </c>
      <c r="L131" s="69"/>
      <c r="M131" s="70"/>
      <c r="N131" s="71"/>
      <c r="O131" s="69">
        <f>+Marge_Brute_Activite1-Charges_Activite1</f>
        <v>405089.74061996129</v>
      </c>
      <c r="P131" s="69"/>
      <c r="Q131" s="69"/>
      <c r="R131" s="69"/>
    </row>
    <row r="132" spans="7:18" x14ac:dyDescent="0.35">
      <c r="G132" s="72"/>
      <c r="H132" s="73" t="s">
        <v>43</v>
      </c>
      <c r="I132" s="73"/>
      <c r="J132" s="74"/>
      <c r="K132" s="75">
        <f>Heures_Activite2</f>
        <v>1865.8910769230772</v>
      </c>
      <c r="L132" s="76"/>
      <c r="M132" s="73"/>
      <c r="N132" s="73"/>
      <c r="O132" s="75">
        <f>CAR_Heures1</f>
        <v>546</v>
      </c>
      <c r="P132" s="76"/>
      <c r="Q132" s="75"/>
      <c r="R132" s="76"/>
    </row>
    <row r="133" spans="7:18" x14ac:dyDescent="0.35">
      <c r="G133" s="72"/>
      <c r="H133" s="73" t="s">
        <v>44</v>
      </c>
      <c r="I133" s="73"/>
      <c r="J133" s="74"/>
      <c r="K133" s="77">
        <f>IF(K132=0,0,+K105/K132)</f>
        <v>90.999999999999986</v>
      </c>
      <c r="L133" s="78"/>
      <c r="M133" s="73"/>
      <c r="N133" s="73"/>
      <c r="O133" s="77">
        <f>IF(O132=0,0,+O105/O132)</f>
        <v>82.138241758241762</v>
      </c>
      <c r="P133" s="78"/>
      <c r="Q133" s="77"/>
      <c r="R133" s="78"/>
    </row>
    <row r="134" spans="7:18" x14ac:dyDescent="0.35">
      <c r="G134" s="72"/>
      <c r="H134" s="73" t="s">
        <v>45</v>
      </c>
      <c r="I134" s="73"/>
      <c r="J134" s="74"/>
      <c r="K134" s="83"/>
      <c r="L134" s="80">
        <f>+L135*Horaire_Journalier</f>
        <v>178.27082084092521</v>
      </c>
      <c r="M134" s="73"/>
      <c r="N134" s="73"/>
      <c r="O134" s="79"/>
      <c r="P134" s="80">
        <f>+P135*Horaire_Journalier</f>
        <v>46.437760077838206</v>
      </c>
      <c r="Q134" s="81"/>
      <c r="R134" s="82"/>
    </row>
    <row r="135" spans="7:18" x14ac:dyDescent="0.35">
      <c r="G135" s="72"/>
      <c r="H135" s="73" t="s">
        <v>46</v>
      </c>
      <c r="I135" s="73"/>
      <c r="J135" s="74"/>
      <c r="K135" s="83"/>
      <c r="L135" s="80">
        <f>IF(Heures_Activite2=0,0,(+K114+K115+K116+K121+K125+K127+K128+K129)/Heures_Activite2)</f>
        <v>22.855233441144257</v>
      </c>
      <c r="M135" s="73"/>
      <c r="N135" s="73"/>
      <c r="O135" s="79"/>
      <c r="P135" s="80">
        <f>IF(Heures_Activite1=0,0,(+O114+O115+O116+O121+O125+O127+O128+O129)/Heures_Activite1)</f>
        <v>5.9535589843382315</v>
      </c>
      <c r="Q135" s="84"/>
      <c r="R135" s="85"/>
    </row>
    <row r="136" spans="7:18" x14ac:dyDescent="0.35">
      <c r="G136" s="72"/>
      <c r="H136" s="73" t="s">
        <v>47</v>
      </c>
      <c r="I136" s="73"/>
      <c r="J136" s="74"/>
      <c r="K136" s="83"/>
      <c r="L136" s="80">
        <f>IF(K132=0,0,(+K119+K120+K124)/K132)</f>
        <v>24.050245417364483</v>
      </c>
      <c r="M136" s="73"/>
      <c r="N136" s="73"/>
      <c r="O136" s="79"/>
      <c r="P136" s="80">
        <f>IF(O132=0,0,(+O119+O120+O124)/O132)</f>
        <v>153.62819432735196</v>
      </c>
      <c r="Q136" s="84"/>
      <c r="R136" s="85"/>
    </row>
    <row r="137" spans="7:18" x14ac:dyDescent="0.35">
      <c r="G137" s="72"/>
      <c r="H137" s="73" t="s">
        <v>48</v>
      </c>
      <c r="I137" s="73"/>
      <c r="J137" s="74"/>
      <c r="K137" s="83"/>
      <c r="L137" s="88">
        <f>IF(K132=0,0,(K117+K118+K126)/K132)</f>
        <v>19.614007710967755</v>
      </c>
      <c r="M137" s="73"/>
      <c r="N137" s="73"/>
      <c r="O137" s="79"/>
      <c r="P137" s="80">
        <f>IF(O132=0,0,(O117+O118+O126)/O132)</f>
        <v>0</v>
      </c>
      <c r="Q137" s="84"/>
      <c r="R137" s="85"/>
    </row>
    <row r="138" spans="7:18" x14ac:dyDescent="0.35">
      <c r="G138" s="72"/>
      <c r="H138" s="86" t="s">
        <v>49</v>
      </c>
      <c r="I138" s="73"/>
      <c r="J138" s="73"/>
      <c r="K138" s="79"/>
      <c r="L138" s="89">
        <f>IF(K126+K118+K117=0,0,(K126+K118+K117)/CA_Commer_Activite2)</f>
        <v>0.15087698239205966</v>
      </c>
      <c r="M138" s="73"/>
      <c r="N138" s="73"/>
      <c r="O138" s="79"/>
      <c r="P138" s="89">
        <f>IF(O126+O118+O117=0,0,(O126+O118+O117)/CA_Commer_Activite1)</f>
        <v>0</v>
      </c>
      <c r="Q138" s="90"/>
      <c r="R138" s="91"/>
    </row>
  </sheetData>
  <mergeCells count="1188">
    <mergeCell ref="K132:L132"/>
    <mergeCell ref="O132:P132"/>
    <mergeCell ref="Q132:R132"/>
    <mergeCell ref="K133:L133"/>
    <mergeCell ref="O133:P133"/>
    <mergeCell ref="Q133:R133"/>
    <mergeCell ref="K130:L130"/>
    <mergeCell ref="M130:N130"/>
    <mergeCell ref="O130:P130"/>
    <mergeCell ref="Q130:R130"/>
    <mergeCell ref="G131:J131"/>
    <mergeCell ref="K131:L131"/>
    <mergeCell ref="M131:N131"/>
    <mergeCell ref="O131:P131"/>
    <mergeCell ref="Q131:R131"/>
    <mergeCell ref="K128:L128"/>
    <mergeCell ref="M128:N128"/>
    <mergeCell ref="O128:P128"/>
    <mergeCell ref="Q128:R128"/>
    <mergeCell ref="K129:L129"/>
    <mergeCell ref="M129:N129"/>
    <mergeCell ref="O129:P129"/>
    <mergeCell ref="Q129:R129"/>
    <mergeCell ref="K126:L126"/>
    <mergeCell ref="M126:N126"/>
    <mergeCell ref="O126:P126"/>
    <mergeCell ref="Q126:R126"/>
    <mergeCell ref="K127:L127"/>
    <mergeCell ref="M127:N127"/>
    <mergeCell ref="O127:P127"/>
    <mergeCell ref="Q127:R127"/>
    <mergeCell ref="K124:L124"/>
    <mergeCell ref="M124:N124"/>
    <mergeCell ref="O124:P124"/>
    <mergeCell ref="Q124:R124"/>
    <mergeCell ref="K125:L125"/>
    <mergeCell ref="M125:N125"/>
    <mergeCell ref="O125:P125"/>
    <mergeCell ref="Q125:R125"/>
    <mergeCell ref="K122:L122"/>
    <mergeCell ref="M122:N122"/>
    <mergeCell ref="O122:P122"/>
    <mergeCell ref="Q122:R122"/>
    <mergeCell ref="H123:J123"/>
    <mergeCell ref="K123:L123"/>
    <mergeCell ref="M123:N123"/>
    <mergeCell ref="O123:P123"/>
    <mergeCell ref="Q123:R123"/>
    <mergeCell ref="K120:L120"/>
    <mergeCell ref="M120:N120"/>
    <mergeCell ref="O120:P120"/>
    <mergeCell ref="Q120:R120"/>
    <mergeCell ref="H121:J121"/>
    <mergeCell ref="K121:L121"/>
    <mergeCell ref="M121:N121"/>
    <mergeCell ref="O121:P121"/>
    <mergeCell ref="Q121:R121"/>
    <mergeCell ref="K118:L118"/>
    <mergeCell ref="M118:N118"/>
    <mergeCell ref="O118:P118"/>
    <mergeCell ref="Q118:R118"/>
    <mergeCell ref="K119:L119"/>
    <mergeCell ref="M119:N119"/>
    <mergeCell ref="O119:P119"/>
    <mergeCell ref="Q119:R119"/>
    <mergeCell ref="K116:L116"/>
    <mergeCell ref="M116:N116"/>
    <mergeCell ref="O116:P116"/>
    <mergeCell ref="Q116:R116"/>
    <mergeCell ref="K117:L117"/>
    <mergeCell ref="M117:N117"/>
    <mergeCell ref="O117:P117"/>
    <mergeCell ref="Q117:R117"/>
    <mergeCell ref="K114:L114"/>
    <mergeCell ref="M114:N114"/>
    <mergeCell ref="O114:P114"/>
    <mergeCell ref="Q114:R114"/>
    <mergeCell ref="K115:L115"/>
    <mergeCell ref="M115:N115"/>
    <mergeCell ref="O115:P115"/>
    <mergeCell ref="Q115:R115"/>
    <mergeCell ref="K112:L112"/>
    <mergeCell ref="M112:N112"/>
    <mergeCell ref="O112:P112"/>
    <mergeCell ref="Q112:R112"/>
    <mergeCell ref="H113:J113"/>
    <mergeCell ref="K113:L113"/>
    <mergeCell ref="M113:N113"/>
    <mergeCell ref="O113:P113"/>
    <mergeCell ref="Q113:R113"/>
    <mergeCell ref="H110:J110"/>
    <mergeCell ref="K110:L110"/>
    <mergeCell ref="M110:N110"/>
    <mergeCell ref="O110:P110"/>
    <mergeCell ref="Q110:R110"/>
    <mergeCell ref="G111:J111"/>
    <mergeCell ref="K111:L111"/>
    <mergeCell ref="M111:N111"/>
    <mergeCell ref="O111:P111"/>
    <mergeCell ref="Q111:R111"/>
    <mergeCell ref="K108:L108"/>
    <mergeCell ref="M108:N108"/>
    <mergeCell ref="O108:P108"/>
    <mergeCell ref="Q108:R108"/>
    <mergeCell ref="H109:J109"/>
    <mergeCell ref="K109:L109"/>
    <mergeCell ref="M109:N109"/>
    <mergeCell ref="O109:P109"/>
    <mergeCell ref="Q109:R109"/>
    <mergeCell ref="H106:J106"/>
    <mergeCell ref="K106:L106"/>
    <mergeCell ref="M106:N106"/>
    <mergeCell ref="O106:P106"/>
    <mergeCell ref="Q106:R106"/>
    <mergeCell ref="H107:J107"/>
    <mergeCell ref="K107:L107"/>
    <mergeCell ref="M107:N107"/>
    <mergeCell ref="O107:P107"/>
    <mergeCell ref="Q107:R107"/>
    <mergeCell ref="K104:L104"/>
    <mergeCell ref="M104:N104"/>
    <mergeCell ref="O104:P104"/>
    <mergeCell ref="Q104:R104"/>
    <mergeCell ref="G105:J105"/>
    <mergeCell ref="K105:L105"/>
    <mergeCell ref="M105:N105"/>
    <mergeCell ref="O105:P105"/>
    <mergeCell ref="Q105:R105"/>
    <mergeCell ref="G102:J102"/>
    <mergeCell ref="K102:L102"/>
    <mergeCell ref="M102:N102"/>
    <mergeCell ref="O102:P102"/>
    <mergeCell ref="Q102:R102"/>
    <mergeCell ref="H103:J103"/>
    <mergeCell ref="K103:L103"/>
    <mergeCell ref="M103:N103"/>
    <mergeCell ref="O103:P103"/>
    <mergeCell ref="Q103:R103"/>
    <mergeCell ref="K100:L100"/>
    <mergeCell ref="M100:N100"/>
    <mergeCell ref="O100:P100"/>
    <mergeCell ref="Q100:R100"/>
    <mergeCell ref="H101:J101"/>
    <mergeCell ref="K101:L101"/>
    <mergeCell ref="M101:N101"/>
    <mergeCell ref="O101:P101"/>
    <mergeCell ref="Q101:R101"/>
    <mergeCell ref="G98:J98"/>
    <mergeCell ref="K98:L98"/>
    <mergeCell ref="M98:N98"/>
    <mergeCell ref="O98:P98"/>
    <mergeCell ref="Q98:R98"/>
    <mergeCell ref="H99:J99"/>
    <mergeCell ref="K99:L99"/>
    <mergeCell ref="M99:N99"/>
    <mergeCell ref="O99:P99"/>
    <mergeCell ref="Q99:R99"/>
    <mergeCell ref="G96:L96"/>
    <mergeCell ref="G97:J97"/>
    <mergeCell ref="K97:L97"/>
    <mergeCell ref="M97:N97"/>
    <mergeCell ref="O97:P97"/>
    <mergeCell ref="Q97:R97"/>
    <mergeCell ref="K88:L88"/>
    <mergeCell ref="O88:P88"/>
    <mergeCell ref="Q88:R88"/>
    <mergeCell ref="K89:L89"/>
    <mergeCell ref="O89:P89"/>
    <mergeCell ref="Q89:R89"/>
    <mergeCell ref="K86:L86"/>
    <mergeCell ref="M86:N86"/>
    <mergeCell ref="O86:P86"/>
    <mergeCell ref="Q86:R86"/>
    <mergeCell ref="G87:J87"/>
    <mergeCell ref="K87:L87"/>
    <mergeCell ref="M87:N87"/>
    <mergeCell ref="O87:P87"/>
    <mergeCell ref="Q87:R87"/>
    <mergeCell ref="K84:L84"/>
    <mergeCell ref="M84:N84"/>
    <mergeCell ref="O84:P84"/>
    <mergeCell ref="Q84:R84"/>
    <mergeCell ref="K85:L85"/>
    <mergeCell ref="M85:N85"/>
    <mergeCell ref="O85:P85"/>
    <mergeCell ref="Q85:R85"/>
    <mergeCell ref="K82:L82"/>
    <mergeCell ref="M82:N82"/>
    <mergeCell ref="O82:P82"/>
    <mergeCell ref="Q82:R82"/>
    <mergeCell ref="K83:L83"/>
    <mergeCell ref="M83:N83"/>
    <mergeCell ref="O83:P83"/>
    <mergeCell ref="Q83:R83"/>
    <mergeCell ref="K80:L80"/>
    <mergeCell ref="M80:N80"/>
    <mergeCell ref="O80:P80"/>
    <mergeCell ref="Q80:R80"/>
    <mergeCell ref="K81:L81"/>
    <mergeCell ref="M81:N81"/>
    <mergeCell ref="O81:P81"/>
    <mergeCell ref="Q81:R81"/>
    <mergeCell ref="K78:L78"/>
    <mergeCell ref="M78:N78"/>
    <mergeCell ref="O78:P78"/>
    <mergeCell ref="Q78:R78"/>
    <mergeCell ref="H79:J79"/>
    <mergeCell ref="K79:L79"/>
    <mergeCell ref="M79:N79"/>
    <mergeCell ref="O79:P79"/>
    <mergeCell ref="Q79:R79"/>
    <mergeCell ref="K76:L76"/>
    <mergeCell ref="M76:N76"/>
    <mergeCell ref="O76:P76"/>
    <mergeCell ref="Q76:R76"/>
    <mergeCell ref="H77:J77"/>
    <mergeCell ref="K77:L77"/>
    <mergeCell ref="M77:N77"/>
    <mergeCell ref="O77:P77"/>
    <mergeCell ref="Q77:R77"/>
    <mergeCell ref="K74:L74"/>
    <mergeCell ref="M74:N74"/>
    <mergeCell ref="O74:P74"/>
    <mergeCell ref="Q74:R74"/>
    <mergeCell ref="K75:L75"/>
    <mergeCell ref="M75:N75"/>
    <mergeCell ref="O75:P75"/>
    <mergeCell ref="Q75:R75"/>
    <mergeCell ref="K72:L72"/>
    <mergeCell ref="M72:N72"/>
    <mergeCell ref="O72:P72"/>
    <mergeCell ref="Q72:R72"/>
    <mergeCell ref="K73:L73"/>
    <mergeCell ref="M73:N73"/>
    <mergeCell ref="O73:P73"/>
    <mergeCell ref="Q73:R73"/>
    <mergeCell ref="K70:L70"/>
    <mergeCell ref="M70:N70"/>
    <mergeCell ref="O70:P70"/>
    <mergeCell ref="Q70:R70"/>
    <mergeCell ref="K71:L71"/>
    <mergeCell ref="M71:N71"/>
    <mergeCell ref="O71:P71"/>
    <mergeCell ref="Q71:R71"/>
    <mergeCell ref="K68:L68"/>
    <mergeCell ref="M68:N68"/>
    <mergeCell ref="O68:P68"/>
    <mergeCell ref="Q68:R68"/>
    <mergeCell ref="H69:J69"/>
    <mergeCell ref="K69:L69"/>
    <mergeCell ref="M69:N69"/>
    <mergeCell ref="O69:P69"/>
    <mergeCell ref="Q69:R69"/>
    <mergeCell ref="H66:J66"/>
    <mergeCell ref="K66:L66"/>
    <mergeCell ref="M66:N66"/>
    <mergeCell ref="O66:P66"/>
    <mergeCell ref="Q66:R66"/>
    <mergeCell ref="G67:J67"/>
    <mergeCell ref="K67:L67"/>
    <mergeCell ref="M67:N67"/>
    <mergeCell ref="O67:P67"/>
    <mergeCell ref="Q67:R67"/>
    <mergeCell ref="K64:L64"/>
    <mergeCell ref="M64:N64"/>
    <mergeCell ref="O64:P64"/>
    <mergeCell ref="Q64:R64"/>
    <mergeCell ref="H65:J65"/>
    <mergeCell ref="K65:L65"/>
    <mergeCell ref="M65:N65"/>
    <mergeCell ref="O65:P65"/>
    <mergeCell ref="Q65:R65"/>
    <mergeCell ref="H62:J62"/>
    <mergeCell ref="K62:L62"/>
    <mergeCell ref="M62:N62"/>
    <mergeCell ref="O62:P62"/>
    <mergeCell ref="Q62:R62"/>
    <mergeCell ref="H63:J63"/>
    <mergeCell ref="K63:L63"/>
    <mergeCell ref="M63:N63"/>
    <mergeCell ref="O63:P63"/>
    <mergeCell ref="Q63:R63"/>
    <mergeCell ref="K60:L60"/>
    <mergeCell ref="M60:N60"/>
    <mergeCell ref="O60:P60"/>
    <mergeCell ref="Q60:R60"/>
    <mergeCell ref="G61:J61"/>
    <mergeCell ref="K61:L61"/>
    <mergeCell ref="M61:N61"/>
    <mergeCell ref="O61:P61"/>
    <mergeCell ref="Q61:R61"/>
    <mergeCell ref="G58:J58"/>
    <mergeCell ref="K58:L58"/>
    <mergeCell ref="M58:N58"/>
    <mergeCell ref="O58:P58"/>
    <mergeCell ref="Q58:R58"/>
    <mergeCell ref="H59:J59"/>
    <mergeCell ref="K59:L59"/>
    <mergeCell ref="M59:N59"/>
    <mergeCell ref="O59:P59"/>
    <mergeCell ref="Q59:R59"/>
    <mergeCell ref="K56:L56"/>
    <mergeCell ref="M56:N56"/>
    <mergeCell ref="O56:P56"/>
    <mergeCell ref="Q56:R56"/>
    <mergeCell ref="H57:J57"/>
    <mergeCell ref="K57:L57"/>
    <mergeCell ref="M57:N57"/>
    <mergeCell ref="O57:P57"/>
    <mergeCell ref="Q57:R57"/>
    <mergeCell ref="G54:J54"/>
    <mergeCell ref="K54:L54"/>
    <mergeCell ref="M54:N54"/>
    <mergeCell ref="O54:P54"/>
    <mergeCell ref="Q54:R54"/>
    <mergeCell ref="H55:J55"/>
    <mergeCell ref="K55:L55"/>
    <mergeCell ref="M55:N55"/>
    <mergeCell ref="O55:P55"/>
    <mergeCell ref="Q55:R55"/>
    <mergeCell ref="CW52:CX52"/>
    <mergeCell ref="DD52:DE52"/>
    <mergeCell ref="DK52:DL52"/>
    <mergeCell ref="DR52:DS52"/>
    <mergeCell ref="G53:J53"/>
    <mergeCell ref="K53:L53"/>
    <mergeCell ref="M53:N53"/>
    <mergeCell ref="O53:P53"/>
    <mergeCell ref="Q53:R53"/>
    <mergeCell ref="Y53:AD53"/>
    <mergeCell ref="BG52:BH52"/>
    <mergeCell ref="BN52:BO52"/>
    <mergeCell ref="BU52:BV52"/>
    <mergeCell ref="CB52:CC52"/>
    <mergeCell ref="CI52:CJ52"/>
    <mergeCell ref="CP52:CQ52"/>
    <mergeCell ref="CW45:CX45"/>
    <mergeCell ref="DD45:DE45"/>
    <mergeCell ref="DK45:DL45"/>
    <mergeCell ref="DR45:DS45"/>
    <mergeCell ref="G52:R52"/>
    <mergeCell ref="X52:Y52"/>
    <mergeCell ref="AE52:AF52"/>
    <mergeCell ref="AL52:AM52"/>
    <mergeCell ref="AS52:AT52"/>
    <mergeCell ref="AZ52:BA52"/>
    <mergeCell ref="BG45:BH45"/>
    <mergeCell ref="BN45:BO45"/>
    <mergeCell ref="BU45:BV45"/>
    <mergeCell ref="CB45:CC45"/>
    <mergeCell ref="CI45:CJ45"/>
    <mergeCell ref="CP45:CQ45"/>
    <mergeCell ref="CW44:CX44"/>
    <mergeCell ref="DD44:DE44"/>
    <mergeCell ref="DK44:DL44"/>
    <mergeCell ref="DR44:DS44"/>
    <mergeCell ref="K45:L45"/>
    <mergeCell ref="O45:P45"/>
    <mergeCell ref="Q45:R45"/>
    <mergeCell ref="AL45:AM45"/>
    <mergeCell ref="AS45:AT45"/>
    <mergeCell ref="AZ45:BA45"/>
    <mergeCell ref="BG44:BH44"/>
    <mergeCell ref="BN44:BO44"/>
    <mergeCell ref="BU44:BV44"/>
    <mergeCell ref="CB44:CC44"/>
    <mergeCell ref="CI44:CJ44"/>
    <mergeCell ref="CP44:CQ44"/>
    <mergeCell ref="DG43:DJ43"/>
    <mergeCell ref="DK43:DL43"/>
    <mergeCell ref="DN43:DQ43"/>
    <mergeCell ref="DR43:DS43"/>
    <mergeCell ref="K44:L44"/>
    <mergeCell ref="O44:P44"/>
    <mergeCell ref="Q44:R44"/>
    <mergeCell ref="AL44:AM44"/>
    <mergeCell ref="AS44:AT44"/>
    <mergeCell ref="AZ44:BA44"/>
    <mergeCell ref="CL43:CO43"/>
    <mergeCell ref="CP43:CQ43"/>
    <mergeCell ref="CS43:CV43"/>
    <mergeCell ref="CW43:CX43"/>
    <mergeCell ref="CZ43:DC43"/>
    <mergeCell ref="DD43:DE43"/>
    <mergeCell ref="BQ43:BT43"/>
    <mergeCell ref="BU43:BV43"/>
    <mergeCell ref="BX43:CA43"/>
    <mergeCell ref="CB43:CC43"/>
    <mergeCell ref="CE43:CH43"/>
    <mergeCell ref="CI43:CJ43"/>
    <mergeCell ref="AV43:AY43"/>
    <mergeCell ref="AZ43:BA43"/>
    <mergeCell ref="BC43:BF43"/>
    <mergeCell ref="BG43:BH43"/>
    <mergeCell ref="BJ43:BM43"/>
    <mergeCell ref="BN43:BO43"/>
    <mergeCell ref="DR42:DS42"/>
    <mergeCell ref="G43:J43"/>
    <mergeCell ref="K43:L43"/>
    <mergeCell ref="M43:N43"/>
    <mergeCell ref="O43:P43"/>
    <mergeCell ref="Q43:R43"/>
    <mergeCell ref="AH43:AK43"/>
    <mergeCell ref="AL43:AM43"/>
    <mergeCell ref="AO43:AR43"/>
    <mergeCell ref="AS43:AT43"/>
    <mergeCell ref="CB42:CC42"/>
    <mergeCell ref="CI42:CJ42"/>
    <mergeCell ref="CP42:CQ42"/>
    <mergeCell ref="CW42:CX42"/>
    <mergeCell ref="DD42:DE42"/>
    <mergeCell ref="DK42:DL42"/>
    <mergeCell ref="DR41:DS41"/>
    <mergeCell ref="K42:L42"/>
    <mergeCell ref="O42:P42"/>
    <mergeCell ref="Q42:R42"/>
    <mergeCell ref="AL42:AM42"/>
    <mergeCell ref="AS42:AT42"/>
    <mergeCell ref="AZ42:BA42"/>
    <mergeCell ref="BG42:BH42"/>
    <mergeCell ref="BN42:BO42"/>
    <mergeCell ref="BU42:BV42"/>
    <mergeCell ref="CB41:CC41"/>
    <mergeCell ref="CI41:CJ41"/>
    <mergeCell ref="CP41:CQ41"/>
    <mergeCell ref="CW41:CX41"/>
    <mergeCell ref="DD41:DE41"/>
    <mergeCell ref="DK41:DL41"/>
    <mergeCell ref="DR40:DS40"/>
    <mergeCell ref="K41:L41"/>
    <mergeCell ref="O41:P41"/>
    <mergeCell ref="Q41:R41"/>
    <mergeCell ref="AL41:AM41"/>
    <mergeCell ref="AS41:AT41"/>
    <mergeCell ref="AZ41:BA41"/>
    <mergeCell ref="BG41:BH41"/>
    <mergeCell ref="BN41:BO41"/>
    <mergeCell ref="BU41:BV41"/>
    <mergeCell ref="CB40:CC40"/>
    <mergeCell ref="CI40:CJ40"/>
    <mergeCell ref="CP40:CQ40"/>
    <mergeCell ref="CW40:CX40"/>
    <mergeCell ref="DD40:DE40"/>
    <mergeCell ref="DK40:DL40"/>
    <mergeCell ref="DR39:DS39"/>
    <mergeCell ref="K40:L40"/>
    <mergeCell ref="O40:P40"/>
    <mergeCell ref="Q40:R40"/>
    <mergeCell ref="AL40:AM40"/>
    <mergeCell ref="AS40:AT40"/>
    <mergeCell ref="AZ40:BA40"/>
    <mergeCell ref="BG40:BH40"/>
    <mergeCell ref="BN40:BO40"/>
    <mergeCell ref="BU40:BV40"/>
    <mergeCell ref="CB39:CC39"/>
    <mergeCell ref="CI39:CJ39"/>
    <mergeCell ref="CP39:CQ39"/>
    <mergeCell ref="CW39:CX39"/>
    <mergeCell ref="DD39:DE39"/>
    <mergeCell ref="DK39:DL39"/>
    <mergeCell ref="DR38:DS38"/>
    <mergeCell ref="K39:L39"/>
    <mergeCell ref="O39:P39"/>
    <mergeCell ref="Q39:R39"/>
    <mergeCell ref="AL39:AM39"/>
    <mergeCell ref="AS39:AT39"/>
    <mergeCell ref="AZ39:BA39"/>
    <mergeCell ref="BG39:BH39"/>
    <mergeCell ref="BN39:BO39"/>
    <mergeCell ref="BU39:BV39"/>
    <mergeCell ref="CB38:CC38"/>
    <mergeCell ref="CI38:CJ38"/>
    <mergeCell ref="CP38:CQ38"/>
    <mergeCell ref="CW38:CX38"/>
    <mergeCell ref="DD38:DE38"/>
    <mergeCell ref="DK38:DL38"/>
    <mergeCell ref="DR37:DS37"/>
    <mergeCell ref="K38:L38"/>
    <mergeCell ref="O38:P38"/>
    <mergeCell ref="Q38:R38"/>
    <mergeCell ref="AL38:AM38"/>
    <mergeCell ref="AS38:AT38"/>
    <mergeCell ref="AZ38:BA38"/>
    <mergeCell ref="BG38:BH38"/>
    <mergeCell ref="BN38:BO38"/>
    <mergeCell ref="BU38:BV38"/>
    <mergeCell ref="CB37:CC37"/>
    <mergeCell ref="CI37:CJ37"/>
    <mergeCell ref="CP37:CQ37"/>
    <mergeCell ref="CW37:CX37"/>
    <mergeCell ref="DD37:DE37"/>
    <mergeCell ref="DK37:DL37"/>
    <mergeCell ref="DR36:DS36"/>
    <mergeCell ref="K37:L37"/>
    <mergeCell ref="O37:P37"/>
    <mergeCell ref="Q37:R37"/>
    <mergeCell ref="AL37:AM37"/>
    <mergeCell ref="AS37:AT37"/>
    <mergeCell ref="AZ37:BA37"/>
    <mergeCell ref="BG37:BH37"/>
    <mergeCell ref="BN37:BO37"/>
    <mergeCell ref="BU37:BV37"/>
    <mergeCell ref="CB36:CC36"/>
    <mergeCell ref="CI36:CJ36"/>
    <mergeCell ref="CP36:CQ36"/>
    <mergeCell ref="CW36:CX36"/>
    <mergeCell ref="DD36:DE36"/>
    <mergeCell ref="DK36:DL36"/>
    <mergeCell ref="DR35:DS35"/>
    <mergeCell ref="K36:L36"/>
    <mergeCell ref="O36:P36"/>
    <mergeCell ref="Q36:R36"/>
    <mergeCell ref="AL36:AM36"/>
    <mergeCell ref="AS36:AT36"/>
    <mergeCell ref="AZ36:BA36"/>
    <mergeCell ref="BG36:BH36"/>
    <mergeCell ref="BN36:BO36"/>
    <mergeCell ref="BU36:BV36"/>
    <mergeCell ref="CW35:CX35"/>
    <mergeCell ref="DA35:DC35"/>
    <mergeCell ref="DD35:DE35"/>
    <mergeCell ref="DH35:DJ35"/>
    <mergeCell ref="DK35:DL35"/>
    <mergeCell ref="DO35:DQ35"/>
    <mergeCell ref="CB35:CC35"/>
    <mergeCell ref="CF35:CH35"/>
    <mergeCell ref="CI35:CJ35"/>
    <mergeCell ref="CM35:CO35"/>
    <mergeCell ref="CP35:CQ35"/>
    <mergeCell ref="CT35:CV35"/>
    <mergeCell ref="BG35:BH35"/>
    <mergeCell ref="BK35:BM35"/>
    <mergeCell ref="BN35:BO35"/>
    <mergeCell ref="BR35:BT35"/>
    <mergeCell ref="BU35:BV35"/>
    <mergeCell ref="BY35:CA35"/>
    <mergeCell ref="AL35:AM35"/>
    <mergeCell ref="AP35:AR35"/>
    <mergeCell ref="AS35:AT35"/>
    <mergeCell ref="AW35:AY35"/>
    <mergeCell ref="AZ35:BA35"/>
    <mergeCell ref="BD35:BF35"/>
    <mergeCell ref="CP34:CQ34"/>
    <mergeCell ref="CW34:CX34"/>
    <mergeCell ref="DD34:DE34"/>
    <mergeCell ref="DK34:DL34"/>
    <mergeCell ref="DR34:DS34"/>
    <mergeCell ref="H35:J35"/>
    <mergeCell ref="K35:L35"/>
    <mergeCell ref="O35:P35"/>
    <mergeCell ref="Q35:R35"/>
    <mergeCell ref="AI35:AK35"/>
    <mergeCell ref="AZ34:BA34"/>
    <mergeCell ref="BG34:BH34"/>
    <mergeCell ref="BN34:BO34"/>
    <mergeCell ref="BU34:BV34"/>
    <mergeCell ref="CB34:CC34"/>
    <mergeCell ref="CI34:CJ34"/>
    <mergeCell ref="DD33:DE33"/>
    <mergeCell ref="DH33:DJ33"/>
    <mergeCell ref="DK33:DL33"/>
    <mergeCell ref="DO33:DQ33"/>
    <mergeCell ref="DR33:DS33"/>
    <mergeCell ref="K34:L34"/>
    <mergeCell ref="O34:P34"/>
    <mergeCell ref="Q34:R34"/>
    <mergeCell ref="AL34:AM34"/>
    <mergeCell ref="AS34:AT34"/>
    <mergeCell ref="CI33:CJ33"/>
    <mergeCell ref="CM33:CO33"/>
    <mergeCell ref="CP33:CQ33"/>
    <mergeCell ref="CT33:CV33"/>
    <mergeCell ref="CW33:CX33"/>
    <mergeCell ref="DA33:DC33"/>
    <mergeCell ref="BN33:BO33"/>
    <mergeCell ref="BR33:BT33"/>
    <mergeCell ref="BU33:BV33"/>
    <mergeCell ref="BY33:CA33"/>
    <mergeCell ref="CB33:CC33"/>
    <mergeCell ref="CF33:CH33"/>
    <mergeCell ref="AS33:AT33"/>
    <mergeCell ref="AW33:AY33"/>
    <mergeCell ref="AZ33:BA33"/>
    <mergeCell ref="BD33:BF33"/>
    <mergeCell ref="BG33:BH33"/>
    <mergeCell ref="BK33:BM33"/>
    <mergeCell ref="DD32:DE32"/>
    <mergeCell ref="DK32:DL32"/>
    <mergeCell ref="DR32:DS32"/>
    <mergeCell ref="H33:J33"/>
    <mergeCell ref="K33:L33"/>
    <mergeCell ref="O33:P33"/>
    <mergeCell ref="Q33:R33"/>
    <mergeCell ref="AI33:AK33"/>
    <mergeCell ref="AL33:AM33"/>
    <mergeCell ref="AP33:AR33"/>
    <mergeCell ref="BN32:BO32"/>
    <mergeCell ref="BU32:BV32"/>
    <mergeCell ref="CB32:CC32"/>
    <mergeCell ref="CI32:CJ32"/>
    <mergeCell ref="CP32:CQ32"/>
    <mergeCell ref="CW32:CX32"/>
    <mergeCell ref="DD31:DE31"/>
    <mergeCell ref="DK31:DL31"/>
    <mergeCell ref="DR31:DS31"/>
    <mergeCell ref="K32:L32"/>
    <mergeCell ref="O32:P32"/>
    <mergeCell ref="Q32:R32"/>
    <mergeCell ref="AL32:AM32"/>
    <mergeCell ref="AS32:AT32"/>
    <mergeCell ref="AZ32:BA32"/>
    <mergeCell ref="BG32:BH32"/>
    <mergeCell ref="BN31:BO31"/>
    <mergeCell ref="BU31:BV31"/>
    <mergeCell ref="CB31:CC31"/>
    <mergeCell ref="CI31:CJ31"/>
    <mergeCell ref="CP31:CQ31"/>
    <mergeCell ref="CW31:CX31"/>
    <mergeCell ref="DD30:DE30"/>
    <mergeCell ref="DK30:DL30"/>
    <mergeCell ref="DR30:DS30"/>
    <mergeCell ref="K31:L31"/>
    <mergeCell ref="O31:P31"/>
    <mergeCell ref="Q31:R31"/>
    <mergeCell ref="AL31:AM31"/>
    <mergeCell ref="AS31:AT31"/>
    <mergeCell ref="AZ31:BA31"/>
    <mergeCell ref="BG31:BH31"/>
    <mergeCell ref="BN30:BO30"/>
    <mergeCell ref="BU30:BV30"/>
    <mergeCell ref="CB30:CC30"/>
    <mergeCell ref="CI30:CJ30"/>
    <mergeCell ref="CP30:CQ30"/>
    <mergeCell ref="CW30:CX30"/>
    <mergeCell ref="DD29:DE29"/>
    <mergeCell ref="DK29:DL29"/>
    <mergeCell ref="DR29:DS29"/>
    <mergeCell ref="K30:L30"/>
    <mergeCell ref="O30:P30"/>
    <mergeCell ref="Q30:R30"/>
    <mergeCell ref="AL30:AM30"/>
    <mergeCell ref="AS30:AT30"/>
    <mergeCell ref="AZ30:BA30"/>
    <mergeCell ref="BG30:BH30"/>
    <mergeCell ref="BN29:BO29"/>
    <mergeCell ref="BU29:BV29"/>
    <mergeCell ref="CB29:CC29"/>
    <mergeCell ref="CI29:CJ29"/>
    <mergeCell ref="CP29:CQ29"/>
    <mergeCell ref="CW29:CX29"/>
    <mergeCell ref="DD28:DE28"/>
    <mergeCell ref="DK28:DL28"/>
    <mergeCell ref="DR28:DS28"/>
    <mergeCell ref="K29:L29"/>
    <mergeCell ref="O29:P29"/>
    <mergeCell ref="Q29:R29"/>
    <mergeCell ref="AL29:AM29"/>
    <mergeCell ref="AS29:AT29"/>
    <mergeCell ref="AZ29:BA29"/>
    <mergeCell ref="BG29:BH29"/>
    <mergeCell ref="BN28:BO28"/>
    <mergeCell ref="BU28:BV28"/>
    <mergeCell ref="CB28:CC28"/>
    <mergeCell ref="CI28:CJ28"/>
    <mergeCell ref="CP28:CQ28"/>
    <mergeCell ref="CW28:CX28"/>
    <mergeCell ref="DD27:DE27"/>
    <mergeCell ref="DK27:DL27"/>
    <mergeCell ref="DR27:DS27"/>
    <mergeCell ref="K28:L28"/>
    <mergeCell ref="O28:P28"/>
    <mergeCell ref="Q28:R28"/>
    <mergeCell ref="AL28:AM28"/>
    <mergeCell ref="AS28:AT28"/>
    <mergeCell ref="AZ28:BA28"/>
    <mergeCell ref="BG28:BH28"/>
    <mergeCell ref="BN27:BO27"/>
    <mergeCell ref="BU27:BV27"/>
    <mergeCell ref="CB27:CC27"/>
    <mergeCell ref="CI27:CJ27"/>
    <mergeCell ref="CP27:CQ27"/>
    <mergeCell ref="CW27:CX27"/>
    <mergeCell ref="DD26:DE26"/>
    <mergeCell ref="DK26:DL26"/>
    <mergeCell ref="DR26:DS26"/>
    <mergeCell ref="K27:L27"/>
    <mergeCell ref="O27:P27"/>
    <mergeCell ref="Q27:R27"/>
    <mergeCell ref="AL27:AM27"/>
    <mergeCell ref="AS27:AT27"/>
    <mergeCell ref="AZ27:BA27"/>
    <mergeCell ref="BG27:BH27"/>
    <mergeCell ref="BN26:BO26"/>
    <mergeCell ref="BU26:BV26"/>
    <mergeCell ref="CB26:CC26"/>
    <mergeCell ref="CI26:CJ26"/>
    <mergeCell ref="CP26:CQ26"/>
    <mergeCell ref="CW26:CX26"/>
    <mergeCell ref="DK25:DL25"/>
    <mergeCell ref="DO25:DQ25"/>
    <mergeCell ref="DR25:DS25"/>
    <mergeCell ref="K26:L26"/>
    <mergeCell ref="O26:P26"/>
    <mergeCell ref="Q26:R26"/>
    <mergeCell ref="AL26:AM26"/>
    <mergeCell ref="AS26:AT26"/>
    <mergeCell ref="AZ26:BA26"/>
    <mergeCell ref="BG26:BH26"/>
    <mergeCell ref="CP25:CQ25"/>
    <mergeCell ref="CT25:CV25"/>
    <mergeCell ref="CW25:CX25"/>
    <mergeCell ref="DA25:DC25"/>
    <mergeCell ref="DD25:DE25"/>
    <mergeCell ref="DH25:DJ25"/>
    <mergeCell ref="BU25:BV25"/>
    <mergeCell ref="BY25:CA25"/>
    <mergeCell ref="CB25:CC25"/>
    <mergeCell ref="CF25:CH25"/>
    <mergeCell ref="CI25:CJ25"/>
    <mergeCell ref="CM25:CO25"/>
    <mergeCell ref="AZ25:BA25"/>
    <mergeCell ref="BD25:BF25"/>
    <mergeCell ref="BG25:BH25"/>
    <mergeCell ref="BK25:BM25"/>
    <mergeCell ref="BN25:BO25"/>
    <mergeCell ref="BR25:BT25"/>
    <mergeCell ref="DR24:DS24"/>
    <mergeCell ref="H25:J25"/>
    <mergeCell ref="K25:L25"/>
    <mergeCell ref="O25:P25"/>
    <mergeCell ref="Q25:R25"/>
    <mergeCell ref="AI25:AK25"/>
    <mergeCell ref="AL25:AM25"/>
    <mergeCell ref="AP25:AR25"/>
    <mergeCell ref="AS25:AT25"/>
    <mergeCell ref="AW25:AY25"/>
    <mergeCell ref="CB24:CC24"/>
    <mergeCell ref="CI24:CJ24"/>
    <mergeCell ref="CP24:CQ24"/>
    <mergeCell ref="CW24:CX24"/>
    <mergeCell ref="DD24:DE24"/>
    <mergeCell ref="DK24:DL24"/>
    <mergeCell ref="DR23:DS23"/>
    <mergeCell ref="K24:L24"/>
    <mergeCell ref="O24:P24"/>
    <mergeCell ref="Q24:R24"/>
    <mergeCell ref="AL24:AM24"/>
    <mergeCell ref="AS24:AT24"/>
    <mergeCell ref="AZ24:BA24"/>
    <mergeCell ref="BG24:BH24"/>
    <mergeCell ref="BN24:BO24"/>
    <mergeCell ref="BU24:BV24"/>
    <mergeCell ref="CW23:CX23"/>
    <mergeCell ref="CZ23:DC23"/>
    <mergeCell ref="DD23:DE23"/>
    <mergeCell ref="DG23:DJ23"/>
    <mergeCell ref="DK23:DL23"/>
    <mergeCell ref="DN23:DQ23"/>
    <mergeCell ref="CB23:CC23"/>
    <mergeCell ref="CE23:CH23"/>
    <mergeCell ref="CI23:CJ23"/>
    <mergeCell ref="CL23:CO23"/>
    <mergeCell ref="CP23:CQ23"/>
    <mergeCell ref="CS23:CV23"/>
    <mergeCell ref="BG23:BH23"/>
    <mergeCell ref="BJ23:BM23"/>
    <mergeCell ref="BN23:BO23"/>
    <mergeCell ref="BQ23:BT23"/>
    <mergeCell ref="BU23:BV23"/>
    <mergeCell ref="BX23:CA23"/>
    <mergeCell ref="AL23:AM23"/>
    <mergeCell ref="AO23:AR23"/>
    <mergeCell ref="AS23:AT23"/>
    <mergeCell ref="AV23:AY23"/>
    <mergeCell ref="AZ23:BA23"/>
    <mergeCell ref="BC23:BF23"/>
    <mergeCell ref="DH22:DJ22"/>
    <mergeCell ref="DK22:DL22"/>
    <mergeCell ref="DO22:DQ22"/>
    <mergeCell ref="DR22:DS22"/>
    <mergeCell ref="G23:J23"/>
    <mergeCell ref="K23:L23"/>
    <mergeCell ref="M23:N23"/>
    <mergeCell ref="O23:P23"/>
    <mergeCell ref="Q23:R23"/>
    <mergeCell ref="AH23:AK23"/>
    <mergeCell ref="CM22:CO22"/>
    <mergeCell ref="CP22:CQ22"/>
    <mergeCell ref="CT22:CV22"/>
    <mergeCell ref="CW22:CX22"/>
    <mergeCell ref="DA22:DC22"/>
    <mergeCell ref="DD22:DE22"/>
    <mergeCell ref="BR22:BT22"/>
    <mergeCell ref="BU22:BV22"/>
    <mergeCell ref="BY22:CA22"/>
    <mergeCell ref="CB22:CC22"/>
    <mergeCell ref="CF22:CH22"/>
    <mergeCell ref="CI22:CJ22"/>
    <mergeCell ref="AW22:AY22"/>
    <mergeCell ref="AZ22:BA22"/>
    <mergeCell ref="BD22:BF22"/>
    <mergeCell ref="BG22:BH22"/>
    <mergeCell ref="BK22:BM22"/>
    <mergeCell ref="BN22:BO22"/>
    <mergeCell ref="DR21:DS21"/>
    <mergeCell ref="H22:J22"/>
    <mergeCell ref="K22:L22"/>
    <mergeCell ref="M22:N22"/>
    <mergeCell ref="O22:P22"/>
    <mergeCell ref="Q22:R22"/>
    <mergeCell ref="AI22:AK22"/>
    <mergeCell ref="AL22:AM22"/>
    <mergeCell ref="AP22:AR22"/>
    <mergeCell ref="AS22:AT22"/>
    <mergeCell ref="CW21:CX21"/>
    <mergeCell ref="DA21:DC21"/>
    <mergeCell ref="DD21:DE21"/>
    <mergeCell ref="DH21:DJ21"/>
    <mergeCell ref="DK21:DL21"/>
    <mergeCell ref="DO21:DQ21"/>
    <mergeCell ref="CB21:CC21"/>
    <mergeCell ref="CF21:CH21"/>
    <mergeCell ref="CI21:CJ21"/>
    <mergeCell ref="CM21:CO21"/>
    <mergeCell ref="CP21:CQ21"/>
    <mergeCell ref="CT21:CV21"/>
    <mergeCell ref="BG21:BH21"/>
    <mergeCell ref="BK21:BM21"/>
    <mergeCell ref="BN21:BO21"/>
    <mergeCell ref="BR21:BT21"/>
    <mergeCell ref="BU21:BV21"/>
    <mergeCell ref="BY21:CA21"/>
    <mergeCell ref="AL21:AM21"/>
    <mergeCell ref="AP21:AR21"/>
    <mergeCell ref="AS21:AT21"/>
    <mergeCell ref="AW21:AY21"/>
    <mergeCell ref="AZ21:BA21"/>
    <mergeCell ref="BD21:BF21"/>
    <mergeCell ref="H21:J21"/>
    <mergeCell ref="K21:L21"/>
    <mergeCell ref="M21:N21"/>
    <mergeCell ref="O21:P21"/>
    <mergeCell ref="Q21:R21"/>
    <mergeCell ref="AI21:AK21"/>
    <mergeCell ref="CI20:CJ20"/>
    <mergeCell ref="CP20:CQ20"/>
    <mergeCell ref="CW20:CX20"/>
    <mergeCell ref="DD20:DE20"/>
    <mergeCell ref="DK20:DL20"/>
    <mergeCell ref="DR20:DS20"/>
    <mergeCell ref="AS20:AT20"/>
    <mergeCell ref="AZ20:BA20"/>
    <mergeCell ref="BG20:BH20"/>
    <mergeCell ref="BN20:BO20"/>
    <mergeCell ref="BU20:BV20"/>
    <mergeCell ref="CB20:CC20"/>
    <mergeCell ref="DD19:DE19"/>
    <mergeCell ref="DH19:DJ19"/>
    <mergeCell ref="DK19:DL19"/>
    <mergeCell ref="DO19:DQ19"/>
    <mergeCell ref="DR19:DS19"/>
    <mergeCell ref="K20:L20"/>
    <mergeCell ref="M20:N20"/>
    <mergeCell ref="O20:P20"/>
    <mergeCell ref="Q20:R20"/>
    <mergeCell ref="AL20:AM20"/>
    <mergeCell ref="CI19:CJ19"/>
    <mergeCell ref="CM19:CO19"/>
    <mergeCell ref="CP19:CQ19"/>
    <mergeCell ref="CT19:CV19"/>
    <mergeCell ref="CW19:CX19"/>
    <mergeCell ref="DA19:DC19"/>
    <mergeCell ref="BN19:BO19"/>
    <mergeCell ref="BR19:BT19"/>
    <mergeCell ref="BU19:BV19"/>
    <mergeCell ref="BY19:CA19"/>
    <mergeCell ref="CB19:CC19"/>
    <mergeCell ref="CF19:CH19"/>
    <mergeCell ref="AS19:AT19"/>
    <mergeCell ref="AW19:AY19"/>
    <mergeCell ref="AZ19:BA19"/>
    <mergeCell ref="BD19:BF19"/>
    <mergeCell ref="BG19:BH19"/>
    <mergeCell ref="BK19:BM19"/>
    <mergeCell ref="DO18:DQ18"/>
    <mergeCell ref="DR18:DS18"/>
    <mergeCell ref="H19:J19"/>
    <mergeCell ref="K19:L19"/>
    <mergeCell ref="M19:N19"/>
    <mergeCell ref="O19:P19"/>
    <mergeCell ref="Q19:R19"/>
    <mergeCell ref="AI19:AK19"/>
    <mergeCell ref="AL19:AM19"/>
    <mergeCell ref="AP19:AR19"/>
    <mergeCell ref="CT18:CV18"/>
    <mergeCell ref="CW18:CX18"/>
    <mergeCell ref="DA18:DC18"/>
    <mergeCell ref="DD18:DE18"/>
    <mergeCell ref="DH18:DJ18"/>
    <mergeCell ref="DK18:DL18"/>
    <mergeCell ref="BY18:CA18"/>
    <mergeCell ref="CB18:CC18"/>
    <mergeCell ref="CF18:CH18"/>
    <mergeCell ref="CI18:CJ18"/>
    <mergeCell ref="CM18:CO18"/>
    <mergeCell ref="CP18:CQ18"/>
    <mergeCell ref="BD18:BF18"/>
    <mergeCell ref="BG18:BH18"/>
    <mergeCell ref="BK18:BM18"/>
    <mergeCell ref="BN18:BO18"/>
    <mergeCell ref="BR18:BT18"/>
    <mergeCell ref="BU18:BV18"/>
    <mergeCell ref="AI18:AK18"/>
    <mergeCell ref="AL18:AM18"/>
    <mergeCell ref="AP18:AR18"/>
    <mergeCell ref="AS18:AT18"/>
    <mergeCell ref="AW18:AY18"/>
    <mergeCell ref="AZ18:BA18"/>
    <mergeCell ref="DD17:DE17"/>
    <mergeCell ref="DG17:DJ17"/>
    <mergeCell ref="DK17:DL17"/>
    <mergeCell ref="DN17:DQ17"/>
    <mergeCell ref="DR17:DS17"/>
    <mergeCell ref="H18:J18"/>
    <mergeCell ref="K18:L18"/>
    <mergeCell ref="M18:N18"/>
    <mergeCell ref="O18:P18"/>
    <mergeCell ref="Q18:R18"/>
    <mergeCell ref="CI17:CJ17"/>
    <mergeCell ref="CL17:CO17"/>
    <mergeCell ref="CP17:CQ17"/>
    <mergeCell ref="CS17:CV17"/>
    <mergeCell ref="CW17:CX17"/>
    <mergeCell ref="CZ17:DC17"/>
    <mergeCell ref="BN17:BO17"/>
    <mergeCell ref="BQ17:BT17"/>
    <mergeCell ref="BU17:BV17"/>
    <mergeCell ref="BX17:CA17"/>
    <mergeCell ref="CB17:CC17"/>
    <mergeCell ref="CE17:CH17"/>
    <mergeCell ref="AS17:AT17"/>
    <mergeCell ref="AV17:AY17"/>
    <mergeCell ref="AZ17:BA17"/>
    <mergeCell ref="BC17:BF17"/>
    <mergeCell ref="BG17:BH17"/>
    <mergeCell ref="BJ17:BM17"/>
    <mergeCell ref="DK16:DL16"/>
    <mergeCell ref="DR16:DS16"/>
    <mergeCell ref="G17:J17"/>
    <mergeCell ref="K17:L17"/>
    <mergeCell ref="M17:N17"/>
    <mergeCell ref="O17:P17"/>
    <mergeCell ref="Q17:R17"/>
    <mergeCell ref="AH17:AK17"/>
    <mergeCell ref="AL17:AM17"/>
    <mergeCell ref="AO17:AR17"/>
    <mergeCell ref="BU16:BV16"/>
    <mergeCell ref="CB16:CC16"/>
    <mergeCell ref="CI16:CJ16"/>
    <mergeCell ref="CP16:CQ16"/>
    <mergeCell ref="CW16:CX16"/>
    <mergeCell ref="DD16:DE16"/>
    <mergeCell ref="DR15:DS15"/>
    <mergeCell ref="K16:L16"/>
    <mergeCell ref="M16:N16"/>
    <mergeCell ref="O16:P16"/>
    <mergeCell ref="Q16:R16"/>
    <mergeCell ref="AL16:AM16"/>
    <mergeCell ref="AS16:AT16"/>
    <mergeCell ref="AZ16:BA16"/>
    <mergeCell ref="BG16:BH16"/>
    <mergeCell ref="BN16:BO16"/>
    <mergeCell ref="CW15:CX15"/>
    <mergeCell ref="DA15:DC15"/>
    <mergeCell ref="DD15:DE15"/>
    <mergeCell ref="DH15:DJ15"/>
    <mergeCell ref="DK15:DL15"/>
    <mergeCell ref="DO15:DQ15"/>
    <mergeCell ref="CB15:CC15"/>
    <mergeCell ref="CF15:CH15"/>
    <mergeCell ref="CI15:CJ15"/>
    <mergeCell ref="CM15:CO15"/>
    <mergeCell ref="CP15:CQ15"/>
    <mergeCell ref="CT15:CV15"/>
    <mergeCell ref="BG15:BH15"/>
    <mergeCell ref="BK15:BM15"/>
    <mergeCell ref="BN15:BO15"/>
    <mergeCell ref="BR15:BT15"/>
    <mergeCell ref="BU15:BV15"/>
    <mergeCell ref="BY15:CA15"/>
    <mergeCell ref="AL15:AM15"/>
    <mergeCell ref="AP15:AR15"/>
    <mergeCell ref="AS15:AT15"/>
    <mergeCell ref="AW15:AY15"/>
    <mergeCell ref="AZ15:BA15"/>
    <mergeCell ref="BD15:BF15"/>
    <mergeCell ref="DG14:DJ14"/>
    <mergeCell ref="DK14:DL14"/>
    <mergeCell ref="DN14:DQ14"/>
    <mergeCell ref="DR14:DS14"/>
    <mergeCell ref="H15:J15"/>
    <mergeCell ref="K15:L15"/>
    <mergeCell ref="M15:N15"/>
    <mergeCell ref="O15:P15"/>
    <mergeCell ref="Q15:R15"/>
    <mergeCell ref="AI15:AK15"/>
    <mergeCell ref="CL14:CO14"/>
    <mergeCell ref="CP14:CQ14"/>
    <mergeCell ref="CS14:CV14"/>
    <mergeCell ref="CW14:CX14"/>
    <mergeCell ref="CZ14:DC14"/>
    <mergeCell ref="DD14:DE14"/>
    <mergeCell ref="BQ14:BT14"/>
    <mergeCell ref="BU14:BV14"/>
    <mergeCell ref="BX14:CA14"/>
    <mergeCell ref="CB14:CC14"/>
    <mergeCell ref="CE14:CH14"/>
    <mergeCell ref="CI14:CJ14"/>
    <mergeCell ref="AV14:AY14"/>
    <mergeCell ref="AZ14:BA14"/>
    <mergeCell ref="BC14:BF14"/>
    <mergeCell ref="BG14:BH14"/>
    <mergeCell ref="BJ14:BM14"/>
    <mergeCell ref="BN14:BO14"/>
    <mergeCell ref="DR13:DS13"/>
    <mergeCell ref="G14:J14"/>
    <mergeCell ref="K14:L14"/>
    <mergeCell ref="M14:N14"/>
    <mergeCell ref="O14:P14"/>
    <mergeCell ref="Q14:R14"/>
    <mergeCell ref="AH14:AK14"/>
    <mergeCell ref="AL14:AM14"/>
    <mergeCell ref="AO14:AR14"/>
    <mergeCell ref="AS14:AT14"/>
    <mergeCell ref="CW13:CX13"/>
    <mergeCell ref="DA13:DC13"/>
    <mergeCell ref="DD13:DE13"/>
    <mergeCell ref="DH13:DJ13"/>
    <mergeCell ref="DK13:DL13"/>
    <mergeCell ref="DO13:DQ13"/>
    <mergeCell ref="CB13:CC13"/>
    <mergeCell ref="CF13:CH13"/>
    <mergeCell ref="CI13:CJ13"/>
    <mergeCell ref="CM13:CO13"/>
    <mergeCell ref="CP13:CQ13"/>
    <mergeCell ref="CT13:CV13"/>
    <mergeCell ref="BG13:BH13"/>
    <mergeCell ref="BK13:BM13"/>
    <mergeCell ref="BN13:BO13"/>
    <mergeCell ref="BR13:BT13"/>
    <mergeCell ref="BU13:BV13"/>
    <mergeCell ref="BY13:CA13"/>
    <mergeCell ref="AL13:AM13"/>
    <mergeCell ref="AP13:AR13"/>
    <mergeCell ref="AS13:AT13"/>
    <mergeCell ref="AW13:AY13"/>
    <mergeCell ref="AZ13:BA13"/>
    <mergeCell ref="BD13:BF13"/>
    <mergeCell ref="H13:J13"/>
    <mergeCell ref="K13:L13"/>
    <mergeCell ref="M13:N13"/>
    <mergeCell ref="O13:P13"/>
    <mergeCell ref="Q13:R13"/>
    <mergeCell ref="AI13:AK13"/>
    <mergeCell ref="CI12:CJ12"/>
    <mergeCell ref="CP12:CQ12"/>
    <mergeCell ref="CW12:CX12"/>
    <mergeCell ref="DD12:DE12"/>
    <mergeCell ref="DK12:DL12"/>
    <mergeCell ref="DR12:DS12"/>
    <mergeCell ref="AS12:AT12"/>
    <mergeCell ref="AZ12:BA12"/>
    <mergeCell ref="BG12:BH12"/>
    <mergeCell ref="BN12:BO12"/>
    <mergeCell ref="BU12:BV12"/>
    <mergeCell ref="CB12:CC12"/>
    <mergeCell ref="DD11:DE11"/>
    <mergeCell ref="DH11:DJ11"/>
    <mergeCell ref="DK11:DL11"/>
    <mergeCell ref="DO11:DQ11"/>
    <mergeCell ref="DR11:DS11"/>
    <mergeCell ref="K12:L12"/>
    <mergeCell ref="M12:N12"/>
    <mergeCell ref="O12:P12"/>
    <mergeCell ref="Q12:R12"/>
    <mergeCell ref="AL12:AM12"/>
    <mergeCell ref="CI11:CJ11"/>
    <mergeCell ref="CM11:CO11"/>
    <mergeCell ref="CP11:CQ11"/>
    <mergeCell ref="CT11:CV11"/>
    <mergeCell ref="CW11:CX11"/>
    <mergeCell ref="DA11:DC11"/>
    <mergeCell ref="BN11:BO11"/>
    <mergeCell ref="BR11:BT11"/>
    <mergeCell ref="BU11:BV11"/>
    <mergeCell ref="BY11:CA11"/>
    <mergeCell ref="CB11:CC11"/>
    <mergeCell ref="CF11:CH11"/>
    <mergeCell ref="AS11:AT11"/>
    <mergeCell ref="AW11:AY11"/>
    <mergeCell ref="AZ11:BA11"/>
    <mergeCell ref="BD11:BF11"/>
    <mergeCell ref="BG11:BH11"/>
    <mergeCell ref="BK11:BM11"/>
    <mergeCell ref="DN10:DQ10"/>
    <mergeCell ref="DR10:DS10"/>
    <mergeCell ref="H11:J11"/>
    <mergeCell ref="K11:L11"/>
    <mergeCell ref="M11:N11"/>
    <mergeCell ref="O11:P11"/>
    <mergeCell ref="Q11:R11"/>
    <mergeCell ref="AI11:AK11"/>
    <mergeCell ref="AL11:AM11"/>
    <mergeCell ref="AP11:AR11"/>
    <mergeCell ref="CS10:CV10"/>
    <mergeCell ref="CW10:CX10"/>
    <mergeCell ref="CZ10:DC10"/>
    <mergeCell ref="DD10:DE10"/>
    <mergeCell ref="DG10:DJ10"/>
    <mergeCell ref="DK10:DL10"/>
    <mergeCell ref="BX10:CA10"/>
    <mergeCell ref="CB10:CC10"/>
    <mergeCell ref="CE10:CH10"/>
    <mergeCell ref="CI10:CJ10"/>
    <mergeCell ref="CL10:CO10"/>
    <mergeCell ref="CP10:CQ10"/>
    <mergeCell ref="BC10:BF10"/>
    <mergeCell ref="BG10:BH10"/>
    <mergeCell ref="BJ10:BM10"/>
    <mergeCell ref="BN10:BO10"/>
    <mergeCell ref="BQ10:BT10"/>
    <mergeCell ref="BU10:BV10"/>
    <mergeCell ref="AH10:AK10"/>
    <mergeCell ref="AL10:AM10"/>
    <mergeCell ref="AO10:AR10"/>
    <mergeCell ref="AS10:AT10"/>
    <mergeCell ref="AV10:AY10"/>
    <mergeCell ref="AZ10:BA10"/>
    <mergeCell ref="DD9:DE9"/>
    <mergeCell ref="DG9:DJ9"/>
    <mergeCell ref="DK9:DL9"/>
    <mergeCell ref="DN9:DQ9"/>
    <mergeCell ref="DR9:DS9"/>
    <mergeCell ref="G10:J10"/>
    <mergeCell ref="K10:L10"/>
    <mergeCell ref="M10:N10"/>
    <mergeCell ref="O10:P10"/>
    <mergeCell ref="Q10:R10"/>
    <mergeCell ref="CI9:CJ9"/>
    <mergeCell ref="CL9:CO9"/>
    <mergeCell ref="CP9:CQ9"/>
    <mergeCell ref="CS9:CV9"/>
    <mergeCell ref="CW9:CX9"/>
    <mergeCell ref="CZ9:DC9"/>
    <mergeCell ref="BN9:BO9"/>
    <mergeCell ref="BQ9:BT9"/>
    <mergeCell ref="BU9:BV9"/>
    <mergeCell ref="BX9:CA9"/>
    <mergeCell ref="CB9:CC9"/>
    <mergeCell ref="CE9:CH9"/>
    <mergeCell ref="AS9:AT9"/>
    <mergeCell ref="AV9:AY9"/>
    <mergeCell ref="AZ9:BA9"/>
    <mergeCell ref="BC9:BF9"/>
    <mergeCell ref="BG9:BH9"/>
    <mergeCell ref="BJ9:BM9"/>
    <mergeCell ref="DG8:DL8"/>
    <mergeCell ref="DN8:DS8"/>
    <mergeCell ref="G9:J9"/>
    <mergeCell ref="K9:L9"/>
    <mergeCell ref="M9:N9"/>
    <mergeCell ref="O9:P9"/>
    <mergeCell ref="Q9:R9"/>
    <mergeCell ref="AH9:AK9"/>
    <mergeCell ref="AL9:AM9"/>
    <mergeCell ref="AO9:AR9"/>
    <mergeCell ref="BQ8:BV8"/>
    <mergeCell ref="BX8:CC8"/>
    <mergeCell ref="CE8:CJ8"/>
    <mergeCell ref="CL8:CQ8"/>
    <mergeCell ref="CS8:CX8"/>
    <mergeCell ref="CZ8:DE8"/>
    <mergeCell ref="G8:R8"/>
    <mergeCell ref="AH8:AM8"/>
    <mergeCell ref="AO8:AT8"/>
    <mergeCell ref="AV8:BA8"/>
    <mergeCell ref="BC8:BH8"/>
    <mergeCell ref="BJ8:BO8"/>
  </mergeCells>
  <conditionalFormatting sqref="O43:P43">
    <cfRule type="cellIs" dxfId="446" priority="33" operator="lessThan">
      <formula>-1</formula>
    </cfRule>
    <cfRule type="cellIs" dxfId="445" priority="34" operator="greaterThan">
      <formula>0</formula>
    </cfRule>
  </conditionalFormatting>
  <conditionalFormatting sqref="K131:L131">
    <cfRule type="cellIs" dxfId="444" priority="31" operator="lessThan">
      <formula>-1</formula>
    </cfRule>
    <cfRule type="cellIs" dxfId="443" priority="32" operator="greaterThan">
      <formula>0</formula>
    </cfRule>
  </conditionalFormatting>
  <conditionalFormatting sqref="AL43:AM43">
    <cfRule type="cellIs" dxfId="442" priority="29" operator="lessThan">
      <formula>-1</formula>
    </cfRule>
    <cfRule type="cellIs" dxfId="441" priority="30" operator="greaterThan">
      <formula>0</formula>
    </cfRule>
  </conditionalFormatting>
  <conditionalFormatting sqref="AS43:AT43">
    <cfRule type="cellIs" dxfId="440" priority="27" operator="lessThan">
      <formula>-1</formula>
    </cfRule>
    <cfRule type="cellIs" dxfId="439" priority="28" operator="greaterThan">
      <formula>0</formula>
    </cfRule>
  </conditionalFormatting>
  <conditionalFormatting sqref="AZ43:BA43">
    <cfRule type="cellIs" dxfId="438" priority="25" operator="lessThan">
      <formula>-1</formula>
    </cfRule>
    <cfRule type="cellIs" dxfId="437" priority="26" operator="greaterThan">
      <formula>0</formula>
    </cfRule>
  </conditionalFormatting>
  <conditionalFormatting sqref="BG43:BH43">
    <cfRule type="cellIs" dxfId="436" priority="23" operator="lessThan">
      <formula>-1</formula>
    </cfRule>
    <cfRule type="cellIs" dxfId="435" priority="24" operator="greaterThan">
      <formula>0</formula>
    </cfRule>
  </conditionalFormatting>
  <conditionalFormatting sqref="BN43:BO43">
    <cfRule type="cellIs" dxfId="434" priority="21" operator="lessThan">
      <formula>-1</formula>
    </cfRule>
    <cfRule type="cellIs" dxfId="433" priority="22" operator="greaterThan">
      <formula>0</formula>
    </cfRule>
  </conditionalFormatting>
  <conditionalFormatting sqref="DD43:DE43 CW43:CX43 CP43:CQ43 CI43:CJ43 CB43:CC43 BU43:BV43">
    <cfRule type="cellIs" dxfId="432" priority="19" operator="lessThan">
      <formula>-1</formula>
    </cfRule>
    <cfRule type="cellIs" dxfId="431" priority="20" operator="greaterThan">
      <formula>0</formula>
    </cfRule>
  </conditionalFormatting>
  <conditionalFormatting sqref="DK43:DL43">
    <cfRule type="cellIs" dxfId="430" priority="17" operator="lessThan">
      <formula>-1</formula>
    </cfRule>
    <cfRule type="cellIs" dxfId="429" priority="18" operator="greaterThan">
      <formula>0</formula>
    </cfRule>
  </conditionalFormatting>
  <conditionalFormatting sqref="DR43:DS43">
    <cfRule type="cellIs" dxfId="428" priority="15" operator="lessThan">
      <formula>-1</formula>
    </cfRule>
    <cfRule type="cellIs" dxfId="427" priority="16" operator="greaterThan">
      <formula>0</formula>
    </cfRule>
  </conditionalFormatting>
  <conditionalFormatting sqref="Q87:R87">
    <cfRule type="cellIs" dxfId="426" priority="7" operator="lessThan">
      <formula>-1</formula>
    </cfRule>
    <cfRule type="cellIs" dxfId="425" priority="8" operator="greaterThan">
      <formula>0</formula>
    </cfRule>
  </conditionalFormatting>
  <conditionalFormatting sqref="Q43:R43">
    <cfRule type="cellIs" dxfId="424" priority="13" operator="lessThan">
      <formula>-1</formula>
    </cfRule>
    <cfRule type="cellIs" dxfId="423" priority="14" operator="greaterThan">
      <formula>0</formula>
    </cfRule>
  </conditionalFormatting>
  <conditionalFormatting sqref="K43:L43">
    <cfRule type="cellIs" dxfId="422" priority="11" operator="lessThan">
      <formula>-1</formula>
    </cfRule>
    <cfRule type="cellIs" dxfId="421" priority="12" operator="greaterThan">
      <formula>0</formula>
    </cfRule>
  </conditionalFormatting>
  <conditionalFormatting sqref="O87:P87">
    <cfRule type="cellIs" dxfId="420" priority="9" operator="lessThan">
      <formula>-1</formula>
    </cfRule>
    <cfRule type="cellIs" dxfId="419" priority="10" operator="greaterThan">
      <formula>0</formula>
    </cfRule>
  </conditionalFormatting>
  <conditionalFormatting sqref="K87:L87">
    <cfRule type="cellIs" dxfId="418" priority="5" operator="lessThan">
      <formula>-1</formula>
    </cfRule>
    <cfRule type="cellIs" dxfId="417" priority="6" operator="greaterThan">
      <formula>0</formula>
    </cfRule>
  </conditionalFormatting>
  <conditionalFormatting sqref="Q131:R131">
    <cfRule type="cellIs" dxfId="416" priority="1" operator="lessThan">
      <formula>-1</formula>
    </cfRule>
    <cfRule type="cellIs" dxfId="415" priority="2" operator="greaterThan">
      <formula>0</formula>
    </cfRule>
  </conditionalFormatting>
  <conditionalFormatting sqref="O131:P131">
    <cfRule type="cellIs" dxfId="414" priority="3" operator="lessThan">
      <formula>-1</formula>
    </cfRule>
    <cfRule type="cellIs" dxfId="413" priority="4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BD35F-8A56-4EF2-B7BC-42F1FFFF89AB}">
  <dimension ref="A3:O186"/>
  <sheetViews>
    <sheetView workbookViewId="0">
      <selection activeCell="C39" sqref="C39"/>
    </sheetView>
  </sheetViews>
  <sheetFormatPr baseColWidth="10" defaultRowHeight="15" x14ac:dyDescent="0.25"/>
  <cols>
    <col min="1" max="1" width="27" bestFit="1" customWidth="1"/>
    <col min="2" max="2" width="10.28515625" style="102" bestFit="1" customWidth="1"/>
    <col min="3" max="3" width="14" style="102" bestFit="1" customWidth="1"/>
    <col min="4" max="4" width="12.28515625" style="102" bestFit="1" customWidth="1"/>
    <col min="5" max="5" width="20" style="102" bestFit="1" customWidth="1"/>
    <col min="6" max="6" width="18" style="102" bestFit="1" customWidth="1"/>
    <col min="7" max="7" width="17.85546875" style="102" bestFit="1" customWidth="1"/>
    <col min="8" max="8" width="12.28515625" style="102" bestFit="1" customWidth="1"/>
    <col min="9" max="9" width="9.5703125" style="102" bestFit="1" customWidth="1"/>
    <col min="10" max="10" width="10.42578125" style="102" bestFit="1" customWidth="1"/>
    <col min="11" max="11" width="22.5703125" style="102" bestFit="1" customWidth="1"/>
    <col min="12" max="12" width="20.7109375" style="102" bestFit="1" customWidth="1"/>
    <col min="13" max="13" width="27" style="102" bestFit="1" customWidth="1"/>
    <col min="14" max="14" width="14.7109375" style="102" bestFit="1" customWidth="1"/>
    <col min="15" max="15" width="23.42578125" style="102" bestFit="1" customWidth="1"/>
  </cols>
  <sheetData>
    <row r="3" spans="1:15" x14ac:dyDescent="0.25">
      <c r="A3" s="123" t="s">
        <v>53</v>
      </c>
      <c r="B3" s="102" t="s">
        <v>505</v>
      </c>
      <c r="C3" s="102" t="s">
        <v>506</v>
      </c>
      <c r="D3" s="102" t="s">
        <v>507</v>
      </c>
      <c r="E3" s="102" t="s">
        <v>508</v>
      </c>
      <c r="F3" s="102" t="s">
        <v>509</v>
      </c>
      <c r="G3" s="102" t="s">
        <v>510</v>
      </c>
      <c r="H3" s="102" t="s">
        <v>511</v>
      </c>
      <c r="I3" s="102" t="s">
        <v>512</v>
      </c>
      <c r="J3" s="102" t="s">
        <v>513</v>
      </c>
      <c r="K3" s="102" t="s">
        <v>514</v>
      </c>
      <c r="L3" s="102" t="s">
        <v>515</v>
      </c>
      <c r="M3" s="102" t="s">
        <v>516</v>
      </c>
      <c r="N3" s="102" t="s">
        <v>517</v>
      </c>
      <c r="O3" s="102" t="s">
        <v>518</v>
      </c>
    </row>
    <row r="4" spans="1:15" x14ac:dyDescent="0.25">
      <c r="A4" s="100" t="s">
        <v>378</v>
      </c>
      <c r="B4" s="102">
        <v>31276.963736239533</v>
      </c>
      <c r="C4" s="102">
        <v>12733.84159901688</v>
      </c>
      <c r="D4" s="102">
        <v>1077.6542615823907</v>
      </c>
      <c r="E4" s="102">
        <v>0</v>
      </c>
      <c r="F4" s="102">
        <v>0</v>
      </c>
      <c r="G4" s="102">
        <v>852.33647789699933</v>
      </c>
      <c r="H4" s="102">
        <v>1342.4299526877739</v>
      </c>
      <c r="I4" s="102">
        <v>9984.2956539216939</v>
      </c>
      <c r="J4" s="102">
        <v>61607.736811540424</v>
      </c>
      <c r="K4" s="102">
        <v>7086.6241014340367</v>
      </c>
      <c r="L4" s="102">
        <v>0</v>
      </c>
      <c r="M4" s="102">
        <v>1017.2355707200552</v>
      </c>
      <c r="N4" s="102">
        <v>1287.5702523009131</v>
      </c>
      <c r="O4" s="102">
        <v>102.63827353882384</v>
      </c>
    </row>
    <row r="5" spans="1:15" x14ac:dyDescent="0.25">
      <c r="A5" s="122" t="s">
        <v>519</v>
      </c>
      <c r="B5" s="102">
        <v>9859.7957867767818</v>
      </c>
      <c r="C5" s="102">
        <v>4014.2348472909966</v>
      </c>
      <c r="D5" s="102">
        <v>339.72130535294758</v>
      </c>
      <c r="E5" s="102">
        <v>0</v>
      </c>
      <c r="F5" s="102">
        <v>0</v>
      </c>
      <c r="G5" s="102">
        <v>268.69179772548478</v>
      </c>
      <c r="H5" s="102">
        <v>423.18958141763846</v>
      </c>
      <c r="I5" s="102">
        <v>3147.4639626994299</v>
      </c>
      <c r="J5" s="102">
        <v>19421.313045916275</v>
      </c>
      <c r="K5" s="102">
        <v>2233.9977450186789</v>
      </c>
      <c r="L5" s="102">
        <v>0</v>
      </c>
      <c r="M5" s="102">
        <v>320.67482889088649</v>
      </c>
      <c r="N5" s="102">
        <v>405.89552924237955</v>
      </c>
      <c r="O5" s="102">
        <v>32.355839445744458</v>
      </c>
    </row>
    <row r="6" spans="1:15" x14ac:dyDescent="0.25">
      <c r="A6" s="122" t="s">
        <v>520</v>
      </c>
      <c r="B6" s="102">
        <v>9523.1968919114643</v>
      </c>
      <c r="C6" s="102">
        <v>3877.1947865688362</v>
      </c>
      <c r="D6" s="102">
        <v>328.12372073589478</v>
      </c>
      <c r="E6" s="102">
        <v>0</v>
      </c>
      <c r="F6" s="102">
        <v>0</v>
      </c>
      <c r="G6" s="102">
        <v>259.51905580165442</v>
      </c>
      <c r="H6" s="102">
        <v>408.7425128876057</v>
      </c>
      <c r="I6" s="102">
        <v>3040.0141823607878</v>
      </c>
      <c r="J6" s="102">
        <v>18758.298045457952</v>
      </c>
      <c r="K6" s="102">
        <v>2157.7323549065054</v>
      </c>
      <c r="L6" s="102">
        <v>0</v>
      </c>
      <c r="M6" s="102">
        <v>309.7274629058266</v>
      </c>
      <c r="N6" s="102">
        <v>392.03885416225393</v>
      </c>
      <c r="O6" s="102">
        <v>31.251258779430529</v>
      </c>
    </row>
    <row r="7" spans="1:15" x14ac:dyDescent="0.25">
      <c r="A7" s="122" t="s">
        <v>521</v>
      </c>
      <c r="B7" s="102">
        <v>11893.971057551287</v>
      </c>
      <c r="C7" s="102">
        <v>4842.4119651570472</v>
      </c>
      <c r="D7" s="102">
        <v>409.80923549354839</v>
      </c>
      <c r="E7" s="102">
        <v>0</v>
      </c>
      <c r="F7" s="102">
        <v>0</v>
      </c>
      <c r="G7" s="102">
        <v>324.12562436986013</v>
      </c>
      <c r="H7" s="102">
        <v>510.49785838252967</v>
      </c>
      <c r="I7" s="102">
        <v>3796.8175088614767</v>
      </c>
      <c r="J7" s="102">
        <v>23428.125720166197</v>
      </c>
      <c r="K7" s="102">
        <v>2694.8940015088529</v>
      </c>
      <c r="L7" s="102">
        <v>0</v>
      </c>
      <c r="M7" s="102">
        <v>386.83327892334199</v>
      </c>
      <c r="N7" s="102">
        <v>489.63586889627948</v>
      </c>
      <c r="O7" s="102">
        <v>39.031175313648852</v>
      </c>
    </row>
    <row r="8" spans="1:15" x14ac:dyDescent="0.25">
      <c r="A8" s="100" t="s">
        <v>379</v>
      </c>
      <c r="B8" s="102">
        <v>3325.6430518526813</v>
      </c>
      <c r="C8" s="102">
        <v>1353.9745160140244</v>
      </c>
      <c r="D8" s="102">
        <v>984.19341933711644</v>
      </c>
      <c r="E8" s="102">
        <v>513.53337911591427</v>
      </c>
      <c r="F8" s="102">
        <v>2231.4960097959074</v>
      </c>
      <c r="G8" s="102">
        <v>111.5420836473597</v>
      </c>
      <c r="H8" s="102">
        <v>175.6787817445915</v>
      </c>
      <c r="I8" s="102">
        <v>1261.1532759775125</v>
      </c>
      <c r="J8" s="102">
        <v>8062.3738522989679</v>
      </c>
      <c r="K8" s="102">
        <v>753.51247016087132</v>
      </c>
      <c r="L8" s="102">
        <v>4064.4235848196922</v>
      </c>
      <c r="M8" s="102">
        <v>108.1614710555432</v>
      </c>
      <c r="N8" s="102">
        <v>136.90584225013276</v>
      </c>
      <c r="O8" s="102">
        <v>11.174834598486861</v>
      </c>
    </row>
    <row r="9" spans="1:15" x14ac:dyDescent="0.25">
      <c r="A9" s="122" t="s">
        <v>519</v>
      </c>
      <c r="B9" s="102">
        <v>1048.3805789942364</v>
      </c>
      <c r="C9" s="102">
        <v>426.82890644305502</v>
      </c>
      <c r="D9" s="102">
        <v>310.2585727690028</v>
      </c>
      <c r="E9" s="102">
        <v>161.88701340947702</v>
      </c>
      <c r="F9" s="102">
        <v>703.46006540595954</v>
      </c>
      <c r="G9" s="102">
        <v>35.162689565044353</v>
      </c>
      <c r="H9" s="102">
        <v>55.381236064944851</v>
      </c>
      <c r="I9" s="102">
        <v>397.56780299473701</v>
      </c>
      <c r="J9" s="102">
        <v>2541.5945233907228</v>
      </c>
      <c r="K9" s="102">
        <v>237.53837300925869</v>
      </c>
      <c r="L9" s="102">
        <v>1281.2748345789262</v>
      </c>
      <c r="M9" s="102">
        <v>34.096980307885993</v>
      </c>
      <c r="N9" s="102">
        <v>43.158397918239913</v>
      </c>
      <c r="O9" s="102">
        <v>3.5227712005952982</v>
      </c>
    </row>
    <row r="10" spans="1:15" x14ac:dyDescent="0.25">
      <c r="A10" s="122" t="s">
        <v>520</v>
      </c>
      <c r="B10" s="102">
        <v>1012.5904113356952</v>
      </c>
      <c r="C10" s="102">
        <v>412.25759672100344</v>
      </c>
      <c r="D10" s="102">
        <v>299.66680241442873</v>
      </c>
      <c r="E10" s="102">
        <v>156.36042939241696</v>
      </c>
      <c r="F10" s="102">
        <v>679.44497567001531</v>
      </c>
      <c r="G10" s="102">
        <v>33.962287172942148</v>
      </c>
      <c r="H10" s="102">
        <v>53.49060229738388</v>
      </c>
      <c r="I10" s="102">
        <v>383.99542421367437</v>
      </c>
      <c r="J10" s="102">
        <v>2454.8282326612143</v>
      </c>
      <c r="K10" s="102">
        <v>229.4291630852305</v>
      </c>
      <c r="L10" s="102">
        <v>1237.534000319823</v>
      </c>
      <c r="M10" s="102">
        <v>32.93295965897245</v>
      </c>
      <c r="N10" s="102">
        <v>41.68503382859825</v>
      </c>
      <c r="O10" s="102">
        <v>3.4025089843560945</v>
      </c>
    </row>
    <row r="11" spans="1:15" x14ac:dyDescent="0.25">
      <c r="A11" s="122" t="s">
        <v>521</v>
      </c>
      <c r="B11" s="102">
        <v>1264.6720615227493</v>
      </c>
      <c r="C11" s="102">
        <v>514.88801284996589</v>
      </c>
      <c r="D11" s="102">
        <v>374.26804415368491</v>
      </c>
      <c r="E11" s="102">
        <v>195.28593631402035</v>
      </c>
      <c r="F11" s="102">
        <v>848.59096871993256</v>
      </c>
      <c r="G11" s="102">
        <v>42.417106909373203</v>
      </c>
      <c r="H11" s="102">
        <v>66.806943382262787</v>
      </c>
      <c r="I11" s="102">
        <v>479.59004876910109</v>
      </c>
      <c r="J11" s="102">
        <v>3065.9510962470299</v>
      </c>
      <c r="K11" s="102">
        <v>286.5449340663821</v>
      </c>
      <c r="L11" s="102">
        <v>1545.614749920943</v>
      </c>
      <c r="M11" s="102">
        <v>41.131531088684753</v>
      </c>
      <c r="N11" s="102">
        <v>52.062410503294593</v>
      </c>
      <c r="O11" s="102">
        <v>4.249554413535467</v>
      </c>
    </row>
    <row r="12" spans="1:15" x14ac:dyDescent="0.25">
      <c r="A12" s="100" t="s">
        <v>380</v>
      </c>
      <c r="B12" s="102">
        <v>17095.207751055568</v>
      </c>
      <c r="C12" s="102">
        <v>5179.9888676040055</v>
      </c>
      <c r="D12" s="102">
        <v>290.76706476307521</v>
      </c>
      <c r="E12" s="102">
        <v>0</v>
      </c>
      <c r="F12" s="102">
        <v>0</v>
      </c>
      <c r="G12" s="102">
        <v>346.72124924972621</v>
      </c>
      <c r="H12" s="102">
        <v>546.08596756831867</v>
      </c>
      <c r="I12" s="102">
        <v>3970.677344357191</v>
      </c>
      <c r="J12" s="102">
        <v>25061.36018424284</v>
      </c>
      <c r="K12" s="102">
        <v>2882.7619433523223</v>
      </c>
      <c r="L12" s="102">
        <v>0</v>
      </c>
      <c r="M12" s="102">
        <v>413.80041451650425</v>
      </c>
      <c r="N12" s="102">
        <v>523.76963552709299</v>
      </c>
      <c r="O12" s="102">
        <v>41.752138204879955</v>
      </c>
    </row>
    <row r="13" spans="1:15" x14ac:dyDescent="0.25">
      <c r="A13" s="122" t="s">
        <v>519</v>
      </c>
      <c r="B13" s="102">
        <v>5698.4025836851888</v>
      </c>
      <c r="C13" s="102">
        <v>1632.9472656955943</v>
      </c>
      <c r="D13" s="102">
        <v>91.661834705605969</v>
      </c>
      <c r="E13" s="102">
        <v>0</v>
      </c>
      <c r="F13" s="102">
        <v>0</v>
      </c>
      <c r="G13" s="102">
        <v>109.30091364902593</v>
      </c>
      <c r="H13" s="102">
        <v>172.14893899721582</v>
      </c>
      <c r="I13" s="102">
        <v>1251.7221326436243</v>
      </c>
      <c r="J13" s="102">
        <v>7900.3798335190331</v>
      </c>
      <c r="K13" s="102">
        <v>908.76609069352901</v>
      </c>
      <c r="L13" s="102">
        <v>0</v>
      </c>
      <c r="M13" s="102">
        <v>130.4470478024366</v>
      </c>
      <c r="N13" s="102">
        <v>165.11390584975459</v>
      </c>
      <c r="O13" s="102">
        <v>13.162005104875712</v>
      </c>
    </row>
    <row r="14" spans="1:15" x14ac:dyDescent="0.25">
      <c r="A14" s="122" t="s">
        <v>520</v>
      </c>
      <c r="B14" s="102">
        <v>5698.4025836851888</v>
      </c>
      <c r="C14" s="102">
        <v>1577.2008530017711</v>
      </c>
      <c r="D14" s="102">
        <v>88.532634777894259</v>
      </c>
      <c r="E14" s="102">
        <v>0</v>
      </c>
      <c r="F14" s="102">
        <v>0</v>
      </c>
      <c r="G14" s="102">
        <v>105.56954156610995</v>
      </c>
      <c r="H14" s="102">
        <v>166.27202796662314</v>
      </c>
      <c r="I14" s="102">
        <v>1208.9901840680409</v>
      </c>
      <c r="J14" s="102">
        <v>7630.6725111275155</v>
      </c>
      <c r="K14" s="102">
        <v>877.74215587443757</v>
      </c>
      <c r="L14" s="102">
        <v>0</v>
      </c>
      <c r="M14" s="102">
        <v>125.9937778688311</v>
      </c>
      <c r="N14" s="102">
        <v>159.47716048120859</v>
      </c>
      <c r="O14" s="102">
        <v>12.712673651332382</v>
      </c>
    </row>
    <row r="15" spans="1:15" x14ac:dyDescent="0.25">
      <c r="A15" s="122" t="s">
        <v>521</v>
      </c>
      <c r="B15" s="102">
        <v>5698.4025836851888</v>
      </c>
      <c r="C15" s="102">
        <v>1969.8407489066401</v>
      </c>
      <c r="D15" s="102">
        <v>110.57259527957498</v>
      </c>
      <c r="E15" s="102">
        <v>0</v>
      </c>
      <c r="F15" s="102">
        <v>0</v>
      </c>
      <c r="G15" s="102">
        <v>131.85079403459034</v>
      </c>
      <c r="H15" s="102">
        <v>207.66500060447973</v>
      </c>
      <c r="I15" s="102">
        <v>1509.9650276455259</v>
      </c>
      <c r="J15" s="102">
        <v>9530.3078395962912</v>
      </c>
      <c r="K15" s="102">
        <v>1096.253696784356</v>
      </c>
      <c r="L15" s="102">
        <v>0</v>
      </c>
      <c r="M15" s="102">
        <v>157.35958884523657</v>
      </c>
      <c r="N15" s="102">
        <v>199.1785691961299</v>
      </c>
      <c r="O15" s="102">
        <v>15.877459448671861</v>
      </c>
    </row>
    <row r="16" spans="1:15" x14ac:dyDescent="0.25">
      <c r="A16" s="100" t="s">
        <v>381</v>
      </c>
      <c r="B16" s="102">
        <v>124.0252920606943</v>
      </c>
      <c r="C16" s="102">
        <v>50.494620791556741</v>
      </c>
      <c r="D16" s="102">
        <v>10.384538027252685</v>
      </c>
      <c r="E16" s="102">
        <v>89.310152889724236</v>
      </c>
      <c r="F16" s="102">
        <v>83.220580210203309</v>
      </c>
      <c r="G16" s="102">
        <v>4.1598088807863434</v>
      </c>
      <c r="H16" s="102">
        <v>6.5516989872384901</v>
      </c>
      <c r="I16" s="102">
        <v>38.706231212748108</v>
      </c>
      <c r="J16" s="102">
        <v>300.67516451497374</v>
      </c>
      <c r="K16" s="102">
        <v>28.101213126590569</v>
      </c>
      <c r="L16" s="102">
        <v>59.936747272125693</v>
      </c>
      <c r="M16" s="102">
        <v>4.0337335751967895</v>
      </c>
      <c r="N16" s="102">
        <v>5.1057154376290619</v>
      </c>
      <c r="O16" s="102">
        <v>0.41675011514996452</v>
      </c>
    </row>
    <row r="17" spans="1:15" x14ac:dyDescent="0.25">
      <c r="A17" s="122" t="s">
        <v>519</v>
      </c>
      <c r="B17" s="102">
        <v>39.097914440361848</v>
      </c>
      <c r="C17" s="102">
        <v>15.917998100263857</v>
      </c>
      <c r="D17" s="102">
        <v>3.2736369537716414</v>
      </c>
      <c r="E17" s="102">
        <v>28.154263201648178</v>
      </c>
      <c r="F17" s="102">
        <v>26.234577404933745</v>
      </c>
      <c r="G17" s="102">
        <v>1.3113442347682658</v>
      </c>
      <c r="H17" s="102">
        <v>2.0653671697600182</v>
      </c>
      <c r="I17" s="102">
        <v>12.201808930426129</v>
      </c>
      <c r="J17" s="102">
        <v>94.785278560724862</v>
      </c>
      <c r="K17" s="102">
        <v>8.8586675204613954</v>
      </c>
      <c r="L17" s="102">
        <v>18.894547859902399</v>
      </c>
      <c r="M17" s="102">
        <v>1.2716000710651831</v>
      </c>
      <c r="N17" s="102">
        <v>1.6095332010148879</v>
      </c>
      <c r="O17" s="102">
        <v>0.13137691574368904</v>
      </c>
    </row>
    <row r="18" spans="1:15" x14ac:dyDescent="0.25">
      <c r="A18" s="122" t="s">
        <v>520</v>
      </c>
      <c r="B18" s="102">
        <v>37.763169271520304</v>
      </c>
      <c r="C18" s="102">
        <v>15.374581108179424</v>
      </c>
      <c r="D18" s="102">
        <v>3.1618798134962232</v>
      </c>
      <c r="E18" s="102">
        <v>27.193118155202953</v>
      </c>
      <c r="F18" s="102">
        <v>25.338967601980002</v>
      </c>
      <c r="G18" s="102">
        <v>1.2665768755088609</v>
      </c>
      <c r="H18" s="102">
        <v>1.9948585789264555</v>
      </c>
      <c r="I18" s="102">
        <v>11.785257158953607</v>
      </c>
      <c r="J18" s="102">
        <v>91.549448863741759</v>
      </c>
      <c r="K18" s="102">
        <v>8.5562456689494635</v>
      </c>
      <c r="L18" s="102">
        <v>18.249515846445046</v>
      </c>
      <c r="M18" s="102">
        <v>1.2281895189718808</v>
      </c>
      <c r="N18" s="102">
        <v>1.5545861099770368</v>
      </c>
      <c r="O18" s="102">
        <v>0.12689190148919041</v>
      </c>
    </row>
    <row r="19" spans="1:15" x14ac:dyDescent="0.25">
      <c r="A19" s="122" t="s">
        <v>521</v>
      </c>
      <c r="B19" s="102">
        <v>47.164208348812153</v>
      </c>
      <c r="C19" s="102">
        <v>19.202041583113463</v>
      </c>
      <c r="D19" s="102">
        <v>3.9490212599848205</v>
      </c>
      <c r="E19" s="102">
        <v>33.962771532873106</v>
      </c>
      <c r="F19" s="102">
        <v>31.647035203289565</v>
      </c>
      <c r="G19" s="102">
        <v>1.5818877705092169</v>
      </c>
      <c r="H19" s="102">
        <v>2.491473238552016</v>
      </c>
      <c r="I19" s="102">
        <v>14.719165123368372</v>
      </c>
      <c r="J19" s="102">
        <v>114.34043709050715</v>
      </c>
      <c r="K19" s="102">
        <v>10.686299937179708</v>
      </c>
      <c r="L19" s="102">
        <v>22.792683565778248</v>
      </c>
      <c r="M19" s="102">
        <v>1.5339439851597256</v>
      </c>
      <c r="N19" s="102">
        <v>1.9415961266371364</v>
      </c>
      <c r="O19" s="102">
        <v>0.1584812979170851</v>
      </c>
    </row>
    <row r="20" spans="1:15" x14ac:dyDescent="0.25">
      <c r="A20" s="100" t="s">
        <v>382</v>
      </c>
      <c r="B20" s="102">
        <v>405.96108159894993</v>
      </c>
      <c r="C20" s="102">
        <v>165.27960169154593</v>
      </c>
      <c r="D20" s="102">
        <v>0</v>
      </c>
      <c r="E20" s="102">
        <v>0</v>
      </c>
      <c r="F20" s="102">
        <v>68.450691666031673</v>
      </c>
      <c r="G20" s="102">
        <v>0</v>
      </c>
      <c r="H20" s="102">
        <v>0</v>
      </c>
      <c r="I20" s="102">
        <v>126.69370276553494</v>
      </c>
      <c r="J20" s="102">
        <v>0</v>
      </c>
      <c r="K20" s="102">
        <v>91.981229679592957</v>
      </c>
      <c r="L20" s="102">
        <v>0</v>
      </c>
      <c r="M20" s="102">
        <v>13.203265381286311</v>
      </c>
      <c r="N20" s="102">
        <v>16.712089340471152</v>
      </c>
      <c r="O20" s="102">
        <v>1.1939122951163152</v>
      </c>
    </row>
    <row r="21" spans="1:15" x14ac:dyDescent="0.25">
      <c r="A21" s="122" t="s">
        <v>519</v>
      </c>
      <c r="B21" s="102">
        <v>127.97576502948365</v>
      </c>
      <c r="C21" s="102">
        <v>52.102983337550164</v>
      </c>
      <c r="D21" s="102">
        <v>0</v>
      </c>
      <c r="E21" s="102">
        <v>0</v>
      </c>
      <c r="F21" s="102">
        <v>21.578496141193558</v>
      </c>
      <c r="G21" s="102">
        <v>0</v>
      </c>
      <c r="H21" s="102">
        <v>0</v>
      </c>
      <c r="I21" s="102">
        <v>39.939108133165639</v>
      </c>
      <c r="J21" s="102">
        <v>0</v>
      </c>
      <c r="K21" s="102">
        <v>28.996297354995036</v>
      </c>
      <c r="L21" s="102">
        <v>0</v>
      </c>
      <c r="M21" s="102">
        <v>4.1622166868859365</v>
      </c>
      <c r="N21" s="102">
        <v>5.2683434829862437</v>
      </c>
      <c r="O21" s="102">
        <v>0.37637065785670698</v>
      </c>
    </row>
    <row r="22" spans="1:15" x14ac:dyDescent="0.25">
      <c r="A22" s="122" t="s">
        <v>520</v>
      </c>
      <c r="B22" s="102">
        <v>123.60686104708692</v>
      </c>
      <c r="C22" s="102">
        <v>50.324264285972468</v>
      </c>
      <c r="D22" s="102">
        <v>0</v>
      </c>
      <c r="E22" s="102">
        <v>0</v>
      </c>
      <c r="F22" s="102">
        <v>20.841838089540779</v>
      </c>
      <c r="G22" s="102">
        <v>0</v>
      </c>
      <c r="H22" s="102">
        <v>0</v>
      </c>
      <c r="I22" s="102">
        <v>38.57564585156755</v>
      </c>
      <c r="J22" s="102">
        <v>0</v>
      </c>
      <c r="K22" s="102">
        <v>28.006406503709155</v>
      </c>
      <c r="L22" s="102">
        <v>0</v>
      </c>
      <c r="M22" s="102">
        <v>4.0201247442845807</v>
      </c>
      <c r="N22" s="102">
        <v>5.088490001992013</v>
      </c>
      <c r="O22" s="102">
        <v>0.36352191836615882</v>
      </c>
    </row>
    <row r="23" spans="1:15" x14ac:dyDescent="0.25">
      <c r="A23" s="122" t="s">
        <v>521</v>
      </c>
      <c r="B23" s="102">
        <v>154.37845552237937</v>
      </c>
      <c r="C23" s="102">
        <v>62.852354068023295</v>
      </c>
      <c r="D23" s="102">
        <v>0</v>
      </c>
      <c r="E23" s="102">
        <v>0</v>
      </c>
      <c r="F23" s="102">
        <v>26.030357435297333</v>
      </c>
      <c r="G23" s="102">
        <v>0</v>
      </c>
      <c r="H23" s="102">
        <v>0</v>
      </c>
      <c r="I23" s="102">
        <v>48.17894878080174</v>
      </c>
      <c r="J23" s="102">
        <v>0</v>
      </c>
      <c r="K23" s="102">
        <v>34.97852582088877</v>
      </c>
      <c r="L23" s="102">
        <v>0</v>
      </c>
      <c r="M23" s="102">
        <v>5.0209239501157938</v>
      </c>
      <c r="N23" s="102">
        <v>6.3552558554928966</v>
      </c>
      <c r="O23" s="102">
        <v>0.45401971889344939</v>
      </c>
    </row>
    <row r="24" spans="1:15" x14ac:dyDescent="0.25">
      <c r="A24" s="100" t="s">
        <v>496</v>
      </c>
      <c r="B24" s="102">
        <v>0</v>
      </c>
      <c r="C24" s="102">
        <v>0</v>
      </c>
      <c r="D24" s="102">
        <v>0</v>
      </c>
      <c r="E24" s="102">
        <v>0</v>
      </c>
      <c r="F24" s="102">
        <v>0</v>
      </c>
      <c r="G24" s="102">
        <v>0</v>
      </c>
      <c r="H24" s="102">
        <v>0</v>
      </c>
      <c r="I24" s="102">
        <v>0</v>
      </c>
      <c r="J24" s="102">
        <v>0</v>
      </c>
      <c r="K24" s="102">
        <v>0</v>
      </c>
      <c r="L24" s="102">
        <v>0</v>
      </c>
      <c r="M24" s="102">
        <v>0</v>
      </c>
      <c r="N24" s="102">
        <v>0</v>
      </c>
      <c r="O24" s="102">
        <v>0</v>
      </c>
    </row>
    <row r="25" spans="1:15" x14ac:dyDescent="0.25">
      <c r="A25" s="122" t="s">
        <v>519</v>
      </c>
      <c r="B25" s="102">
        <v>0</v>
      </c>
      <c r="C25" s="102">
        <v>0</v>
      </c>
      <c r="D25" s="102">
        <v>0</v>
      </c>
      <c r="E25" s="102">
        <v>0</v>
      </c>
      <c r="F25" s="102">
        <v>0</v>
      </c>
      <c r="G25" s="102">
        <v>0</v>
      </c>
      <c r="H25" s="102">
        <v>0</v>
      </c>
      <c r="I25" s="102">
        <v>0</v>
      </c>
      <c r="J25" s="102">
        <v>0</v>
      </c>
      <c r="K25" s="102">
        <v>0</v>
      </c>
      <c r="L25" s="102">
        <v>0</v>
      </c>
      <c r="M25" s="102">
        <v>0</v>
      </c>
      <c r="N25" s="102">
        <v>0</v>
      </c>
      <c r="O25" s="102">
        <v>0</v>
      </c>
    </row>
    <row r="26" spans="1:15" x14ac:dyDescent="0.25">
      <c r="A26" s="122" t="s">
        <v>520</v>
      </c>
      <c r="B26" s="102">
        <v>0</v>
      </c>
      <c r="C26" s="102">
        <v>0</v>
      </c>
      <c r="D26" s="102">
        <v>0</v>
      </c>
      <c r="E26" s="102">
        <v>0</v>
      </c>
      <c r="F26" s="102">
        <v>0</v>
      </c>
      <c r="G26" s="102">
        <v>0</v>
      </c>
      <c r="H26" s="102">
        <v>0</v>
      </c>
      <c r="I26" s="102">
        <v>0</v>
      </c>
      <c r="J26" s="102">
        <v>0</v>
      </c>
      <c r="K26" s="102">
        <v>0</v>
      </c>
      <c r="L26" s="102">
        <v>0</v>
      </c>
      <c r="M26" s="102">
        <v>0</v>
      </c>
      <c r="N26" s="102">
        <v>0</v>
      </c>
      <c r="O26" s="102">
        <v>0</v>
      </c>
    </row>
    <row r="27" spans="1:15" x14ac:dyDescent="0.25">
      <c r="A27" s="122" t="s">
        <v>521</v>
      </c>
      <c r="B27" s="102">
        <v>0</v>
      </c>
      <c r="C27" s="102">
        <v>0</v>
      </c>
      <c r="D27" s="102">
        <v>0</v>
      </c>
      <c r="E27" s="102">
        <v>0</v>
      </c>
      <c r="F27" s="102">
        <v>0</v>
      </c>
      <c r="G27" s="102">
        <v>0</v>
      </c>
      <c r="H27" s="102">
        <v>0</v>
      </c>
      <c r="I27" s="102">
        <v>0</v>
      </c>
      <c r="J27" s="102">
        <v>0</v>
      </c>
      <c r="K27" s="102">
        <v>0</v>
      </c>
      <c r="L27" s="102">
        <v>0</v>
      </c>
      <c r="M27" s="102">
        <v>0</v>
      </c>
      <c r="N27" s="102">
        <v>0</v>
      </c>
      <c r="O27" s="102">
        <v>0</v>
      </c>
    </row>
    <row r="28" spans="1:15" x14ac:dyDescent="0.25">
      <c r="A28" s="100" t="s">
        <v>497</v>
      </c>
      <c r="B28" s="102">
        <v>0</v>
      </c>
      <c r="C28" s="102">
        <v>0</v>
      </c>
      <c r="D28" s="102">
        <v>0</v>
      </c>
      <c r="E28" s="102">
        <v>0</v>
      </c>
      <c r="F28" s="102">
        <v>0</v>
      </c>
      <c r="G28" s="102">
        <v>0</v>
      </c>
      <c r="H28" s="102">
        <v>0</v>
      </c>
      <c r="I28" s="102">
        <v>0</v>
      </c>
      <c r="J28" s="102">
        <v>0</v>
      </c>
      <c r="K28" s="102">
        <v>0</v>
      </c>
      <c r="L28" s="102">
        <v>0</v>
      </c>
      <c r="M28" s="102">
        <v>0</v>
      </c>
      <c r="N28" s="102">
        <v>0</v>
      </c>
      <c r="O28" s="102">
        <v>0</v>
      </c>
    </row>
    <row r="29" spans="1:15" x14ac:dyDescent="0.25">
      <c r="A29" s="122" t="s">
        <v>519</v>
      </c>
      <c r="B29" s="102">
        <v>0</v>
      </c>
      <c r="C29" s="102">
        <v>0</v>
      </c>
      <c r="D29" s="102">
        <v>0</v>
      </c>
      <c r="E29" s="102">
        <v>0</v>
      </c>
      <c r="F29" s="102">
        <v>0</v>
      </c>
      <c r="G29" s="102">
        <v>0</v>
      </c>
      <c r="H29" s="102">
        <v>0</v>
      </c>
      <c r="I29" s="102">
        <v>0</v>
      </c>
      <c r="J29" s="102">
        <v>0</v>
      </c>
      <c r="K29" s="102">
        <v>0</v>
      </c>
      <c r="L29" s="102">
        <v>0</v>
      </c>
      <c r="M29" s="102">
        <v>0</v>
      </c>
      <c r="N29" s="102">
        <v>0</v>
      </c>
      <c r="O29" s="102">
        <v>0</v>
      </c>
    </row>
    <row r="30" spans="1:15" x14ac:dyDescent="0.25">
      <c r="A30" s="122" t="s">
        <v>520</v>
      </c>
      <c r="B30" s="102">
        <v>0</v>
      </c>
      <c r="C30" s="102">
        <v>0</v>
      </c>
      <c r="D30" s="102">
        <v>0</v>
      </c>
      <c r="E30" s="102">
        <v>0</v>
      </c>
      <c r="F30" s="102">
        <v>0</v>
      </c>
      <c r="G30" s="102">
        <v>0</v>
      </c>
      <c r="H30" s="102">
        <v>0</v>
      </c>
      <c r="I30" s="102">
        <v>0</v>
      </c>
      <c r="J30" s="102">
        <v>0</v>
      </c>
      <c r="K30" s="102">
        <v>0</v>
      </c>
      <c r="L30" s="102">
        <v>0</v>
      </c>
      <c r="M30" s="102">
        <v>0</v>
      </c>
      <c r="N30" s="102">
        <v>0</v>
      </c>
      <c r="O30" s="102">
        <v>0</v>
      </c>
    </row>
    <row r="31" spans="1:15" x14ac:dyDescent="0.25">
      <c r="A31" s="122" t="s">
        <v>521</v>
      </c>
      <c r="B31" s="102">
        <v>0</v>
      </c>
      <c r="C31" s="102">
        <v>0</v>
      </c>
      <c r="D31" s="102">
        <v>0</v>
      </c>
      <c r="E31" s="102">
        <v>0</v>
      </c>
      <c r="F31" s="102">
        <v>0</v>
      </c>
      <c r="G31" s="102">
        <v>0</v>
      </c>
      <c r="H31" s="102">
        <v>0</v>
      </c>
      <c r="I31" s="102">
        <v>0</v>
      </c>
      <c r="J31" s="102">
        <v>0</v>
      </c>
      <c r="K31" s="102">
        <v>0</v>
      </c>
      <c r="L31" s="102">
        <v>0</v>
      </c>
      <c r="M31" s="102">
        <v>0</v>
      </c>
      <c r="N31" s="102">
        <v>0</v>
      </c>
      <c r="O31" s="102">
        <v>0</v>
      </c>
    </row>
    <row r="32" spans="1:15" x14ac:dyDescent="0.25">
      <c r="A32" s="100" t="s">
        <v>498</v>
      </c>
      <c r="B32" s="102">
        <v>3948.5576325733746</v>
      </c>
      <c r="C32" s="102">
        <v>1607.582752015036</v>
      </c>
      <c r="D32" s="102">
        <v>62.307228163516108</v>
      </c>
      <c r="E32" s="102">
        <v>0</v>
      </c>
      <c r="F32" s="102">
        <v>433.91891833866708</v>
      </c>
      <c r="G32" s="102">
        <v>107.60314631888053</v>
      </c>
      <c r="H32" s="102">
        <v>169.47495545223686</v>
      </c>
      <c r="I32" s="102">
        <v>1232.2791758349902</v>
      </c>
      <c r="J32" s="102">
        <v>7777.6635054546741</v>
      </c>
      <c r="K32" s="102">
        <v>894.65025828175521</v>
      </c>
      <c r="L32" s="102">
        <v>0</v>
      </c>
      <c r="M32" s="102">
        <v>128.4208182982255</v>
      </c>
      <c r="N32" s="102">
        <v>162.54919723254616</v>
      </c>
      <c r="O32" s="102">
        <v>12.957560132548949</v>
      </c>
    </row>
    <row r="33" spans="1:15" x14ac:dyDescent="0.25">
      <c r="A33" s="122" t="s">
        <v>519</v>
      </c>
      <c r="B33" s="102">
        <v>1244.7490823536407</v>
      </c>
      <c r="C33" s="102">
        <v>506.7767376296672</v>
      </c>
      <c r="D33" s="102">
        <v>19.641821722629849</v>
      </c>
      <c r="E33" s="102">
        <v>0</v>
      </c>
      <c r="F33" s="102">
        <v>136.78923436807742</v>
      </c>
      <c r="G33" s="102">
        <v>33.920973201421837</v>
      </c>
      <c r="H33" s="102">
        <v>53.425532792239395</v>
      </c>
      <c r="I33" s="102">
        <v>388.46548944112476</v>
      </c>
      <c r="J33" s="102">
        <v>2451.8420172990104</v>
      </c>
      <c r="K33" s="102">
        <v>282.03085573247449</v>
      </c>
      <c r="L33" s="102">
        <v>0</v>
      </c>
      <c r="M33" s="102">
        <v>40.483566559376889</v>
      </c>
      <c r="N33" s="102">
        <v>51.242246643027293</v>
      </c>
      <c r="O33" s="102">
        <v>4.0847602049614276</v>
      </c>
    </row>
    <row r="34" spans="1:15" x14ac:dyDescent="0.25">
      <c r="A34" s="122" t="s">
        <v>520</v>
      </c>
      <c r="B34" s="102">
        <v>1202.2551834367121</v>
      </c>
      <c r="C34" s="102">
        <v>489.47612679365312</v>
      </c>
      <c r="D34" s="102">
        <v>18.971278880977337</v>
      </c>
      <c r="E34" s="102">
        <v>0</v>
      </c>
      <c r="F34" s="102">
        <v>132.11945153347583</v>
      </c>
      <c r="G34" s="102">
        <v>32.762961175689291</v>
      </c>
      <c r="H34" s="102">
        <v>51.60166385171064</v>
      </c>
      <c r="I34" s="102">
        <v>375.20385022801264</v>
      </c>
      <c r="J34" s="102">
        <v>2368.139744832677</v>
      </c>
      <c r="K34" s="102">
        <v>272.40273802999786</v>
      </c>
      <c r="L34" s="102">
        <v>0</v>
      </c>
      <c r="M34" s="102">
        <v>39.101517269637249</v>
      </c>
      <c r="N34" s="102">
        <v>49.49291187347854</v>
      </c>
      <c r="O34" s="102">
        <v>3.9453125124824631</v>
      </c>
    </row>
    <row r="35" spans="1:15" x14ac:dyDescent="0.25">
      <c r="A35" s="122" t="s">
        <v>521</v>
      </c>
      <c r="B35" s="102">
        <v>1501.5533667830216</v>
      </c>
      <c r="C35" s="102">
        <v>611.32988759171587</v>
      </c>
      <c r="D35" s="102">
        <v>23.694127559908921</v>
      </c>
      <c r="E35" s="102">
        <v>0</v>
      </c>
      <c r="F35" s="102">
        <v>165.01023243711387</v>
      </c>
      <c r="G35" s="102">
        <v>40.919211941769412</v>
      </c>
      <c r="H35" s="102">
        <v>64.447758808286821</v>
      </c>
      <c r="I35" s="102">
        <v>468.60983616585281</v>
      </c>
      <c r="J35" s="102">
        <v>2957.6817433229871</v>
      </c>
      <c r="K35" s="102">
        <v>340.21666451928286</v>
      </c>
      <c r="L35" s="102">
        <v>0</v>
      </c>
      <c r="M35" s="102">
        <v>48.835734469211367</v>
      </c>
      <c r="N35" s="102">
        <v>61.814038716040322</v>
      </c>
      <c r="O35" s="102">
        <v>4.9274874151050598</v>
      </c>
    </row>
    <row r="36" spans="1:15" x14ac:dyDescent="0.25">
      <c r="A36" s="100" t="s">
        <v>386</v>
      </c>
      <c r="B36" s="102">
        <v>896.96943311188147</v>
      </c>
      <c r="C36" s="102">
        <v>365.18463802074677</v>
      </c>
      <c r="D36" s="102">
        <v>62.307228163516108</v>
      </c>
      <c r="E36" s="102">
        <v>205.41335164636575</v>
      </c>
      <c r="F36" s="102">
        <v>601.86366356515578</v>
      </c>
      <c r="G36" s="102">
        <v>30.084359017890851</v>
      </c>
      <c r="H36" s="102">
        <v>47.382865453178084</v>
      </c>
      <c r="I36" s="102">
        <v>279.92924420452852</v>
      </c>
      <c r="J36" s="102">
        <v>2174.5276901572315</v>
      </c>
      <c r="K36" s="102">
        <v>203.23216973824225</v>
      </c>
      <c r="L36" s="102">
        <v>1003.9405168081054</v>
      </c>
      <c r="M36" s="102">
        <v>29.172563580805907</v>
      </c>
      <c r="N36" s="102">
        <v>36.925296490973501</v>
      </c>
      <c r="O36" s="102">
        <v>3.0139990668390628</v>
      </c>
    </row>
    <row r="37" spans="1:15" x14ac:dyDescent="0.25">
      <c r="A37" s="122" t="s">
        <v>519</v>
      </c>
      <c r="B37" s="102">
        <v>282.76195579742051</v>
      </c>
      <c r="C37" s="102">
        <v>115.12133932555031</v>
      </c>
      <c r="D37" s="102">
        <v>19.641821722629849</v>
      </c>
      <c r="E37" s="102">
        <v>64.754805363790808</v>
      </c>
      <c r="F37" s="102">
        <v>189.73238145101493</v>
      </c>
      <c r="G37" s="102">
        <v>9.4838373313324666</v>
      </c>
      <c r="H37" s="102">
        <v>14.937043796848634</v>
      </c>
      <c r="I37" s="102">
        <v>88.245304303801419</v>
      </c>
      <c r="J37" s="102">
        <v>685.50128901417213</v>
      </c>
      <c r="K37" s="102">
        <v>64.067206389374007</v>
      </c>
      <c r="L37" s="102">
        <v>316.48367665336519</v>
      </c>
      <c r="M37" s="102">
        <v>9.1964016043614407</v>
      </c>
      <c r="N37" s="102">
        <v>11.64038446434434</v>
      </c>
      <c r="O37" s="102">
        <v>0.95013747341902</v>
      </c>
    </row>
    <row r="38" spans="1:15" x14ac:dyDescent="0.25">
      <c r="A38" s="122" t="s">
        <v>520</v>
      </c>
      <c r="B38" s="102">
        <v>273.10887941636486</v>
      </c>
      <c r="C38" s="102">
        <v>111.19126648931942</v>
      </c>
      <c r="D38" s="102">
        <v>18.971278880977337</v>
      </c>
      <c r="E38" s="102">
        <v>62.54417175696679</v>
      </c>
      <c r="F38" s="102">
        <v>183.25519761296573</v>
      </c>
      <c r="G38" s="102">
        <v>9.1600731039749252</v>
      </c>
      <c r="H38" s="102">
        <v>14.427115138760504</v>
      </c>
      <c r="I38" s="102">
        <v>85.23273968805664</v>
      </c>
      <c r="J38" s="102">
        <v>662.09928543308683</v>
      </c>
      <c r="K38" s="102">
        <v>61.880046398018735</v>
      </c>
      <c r="L38" s="102">
        <v>305.6793904279545</v>
      </c>
      <c r="M38" s="102">
        <v>8.8824500090437031</v>
      </c>
      <c r="N38" s="102">
        <v>11.242998896606679</v>
      </c>
      <c r="O38" s="102">
        <v>0.9177011805749149</v>
      </c>
    </row>
    <row r="39" spans="1:15" x14ac:dyDescent="0.25">
      <c r="A39" s="122" t="s">
        <v>521</v>
      </c>
      <c r="B39" s="102">
        <v>341.09859789809616</v>
      </c>
      <c r="C39" s="102">
        <v>138.87203220587708</v>
      </c>
      <c r="D39" s="102">
        <v>23.694127559908921</v>
      </c>
      <c r="E39" s="102">
        <v>78.114374525608142</v>
      </c>
      <c r="F39" s="102">
        <v>228.87608450117506</v>
      </c>
      <c r="G39" s="102">
        <v>11.440448582583461</v>
      </c>
      <c r="H39" s="102">
        <v>18.018706517568948</v>
      </c>
      <c r="I39" s="102">
        <v>106.45120021267049</v>
      </c>
      <c r="J39" s="102">
        <v>826.92711570997255</v>
      </c>
      <c r="K39" s="102">
        <v>77.284916950849492</v>
      </c>
      <c r="L39" s="102">
        <v>381.77744972678568</v>
      </c>
      <c r="M39" s="102">
        <v>11.093711967400763</v>
      </c>
      <c r="N39" s="102">
        <v>14.041913130022481</v>
      </c>
      <c r="O39" s="102">
        <v>1.1461604128451279</v>
      </c>
    </row>
    <row r="40" spans="1:15" x14ac:dyDescent="0.25">
      <c r="A40" s="100" t="s">
        <v>499</v>
      </c>
      <c r="B40" s="102">
        <v>0</v>
      </c>
      <c r="C40" s="102">
        <v>0</v>
      </c>
      <c r="D40" s="102">
        <v>0</v>
      </c>
      <c r="E40" s="102">
        <v>0</v>
      </c>
      <c r="F40" s="102">
        <v>0</v>
      </c>
      <c r="G40" s="102">
        <v>0</v>
      </c>
      <c r="H40" s="102">
        <v>0</v>
      </c>
      <c r="I40" s="102">
        <v>0</v>
      </c>
      <c r="J40" s="102">
        <v>0</v>
      </c>
      <c r="K40" s="102">
        <v>0</v>
      </c>
      <c r="L40" s="102">
        <v>0</v>
      </c>
      <c r="M40" s="102">
        <v>0</v>
      </c>
      <c r="N40" s="102">
        <v>0</v>
      </c>
      <c r="O40" s="102">
        <v>0</v>
      </c>
    </row>
    <row r="41" spans="1:15" x14ac:dyDescent="0.25">
      <c r="A41" s="122" t="s">
        <v>519</v>
      </c>
      <c r="B41" s="102">
        <v>0</v>
      </c>
      <c r="C41" s="102">
        <v>0</v>
      </c>
      <c r="D41" s="102">
        <v>0</v>
      </c>
      <c r="E41" s="102">
        <v>0</v>
      </c>
      <c r="F41" s="102">
        <v>0</v>
      </c>
      <c r="G41" s="102">
        <v>0</v>
      </c>
      <c r="H41" s="102">
        <v>0</v>
      </c>
      <c r="I41" s="102">
        <v>0</v>
      </c>
      <c r="J41" s="102">
        <v>0</v>
      </c>
      <c r="K41" s="102">
        <v>0</v>
      </c>
      <c r="L41" s="102">
        <v>0</v>
      </c>
      <c r="M41" s="102">
        <v>0</v>
      </c>
      <c r="N41" s="102">
        <v>0</v>
      </c>
      <c r="O41" s="102">
        <v>0</v>
      </c>
    </row>
    <row r="42" spans="1:15" x14ac:dyDescent="0.25">
      <c r="A42" s="122" t="s">
        <v>520</v>
      </c>
      <c r="B42" s="102">
        <v>0</v>
      </c>
      <c r="C42" s="102">
        <v>0</v>
      </c>
      <c r="D42" s="102">
        <v>0</v>
      </c>
      <c r="E42" s="102">
        <v>0</v>
      </c>
      <c r="F42" s="102">
        <v>0</v>
      </c>
      <c r="G42" s="102">
        <v>0</v>
      </c>
      <c r="H42" s="102">
        <v>0</v>
      </c>
      <c r="I42" s="102">
        <v>0</v>
      </c>
      <c r="J42" s="102">
        <v>0</v>
      </c>
      <c r="K42" s="102">
        <v>0</v>
      </c>
      <c r="L42" s="102">
        <v>0</v>
      </c>
      <c r="M42" s="102">
        <v>0</v>
      </c>
      <c r="N42" s="102">
        <v>0</v>
      </c>
      <c r="O42" s="102">
        <v>0</v>
      </c>
    </row>
    <row r="43" spans="1:15" x14ac:dyDescent="0.25">
      <c r="A43" s="122" t="s">
        <v>521</v>
      </c>
      <c r="B43" s="102">
        <v>0</v>
      </c>
      <c r="C43" s="102">
        <v>0</v>
      </c>
      <c r="D43" s="102">
        <v>0</v>
      </c>
      <c r="E43" s="102">
        <v>0</v>
      </c>
      <c r="F43" s="102">
        <v>0</v>
      </c>
      <c r="G43" s="102">
        <v>0</v>
      </c>
      <c r="H43" s="102">
        <v>0</v>
      </c>
      <c r="I43" s="102">
        <v>0</v>
      </c>
      <c r="J43" s="102">
        <v>0</v>
      </c>
      <c r="K43" s="102">
        <v>0</v>
      </c>
      <c r="L43" s="102">
        <v>0</v>
      </c>
      <c r="M43" s="102">
        <v>0</v>
      </c>
      <c r="N43" s="102">
        <v>0</v>
      </c>
      <c r="O43" s="102">
        <v>0</v>
      </c>
    </row>
    <row r="44" spans="1:15" x14ac:dyDescent="0.25">
      <c r="A44" s="100" t="s">
        <v>388</v>
      </c>
      <c r="B44" s="102">
        <v>0</v>
      </c>
      <c r="C44" s="102">
        <v>0</v>
      </c>
      <c r="D44" s="102">
        <v>0</v>
      </c>
      <c r="E44" s="102">
        <v>0</v>
      </c>
      <c r="F44" s="102">
        <v>0</v>
      </c>
      <c r="G44" s="102">
        <v>0</v>
      </c>
      <c r="H44" s="102">
        <v>0</v>
      </c>
      <c r="I44" s="102">
        <v>0</v>
      </c>
      <c r="J44" s="102">
        <v>0</v>
      </c>
      <c r="K44" s="102">
        <v>0</v>
      </c>
      <c r="L44" s="102">
        <v>0</v>
      </c>
      <c r="M44" s="102">
        <v>0</v>
      </c>
      <c r="N44" s="102">
        <v>0</v>
      </c>
      <c r="O44" s="102">
        <v>0</v>
      </c>
    </row>
    <row r="45" spans="1:15" x14ac:dyDescent="0.25">
      <c r="A45" s="122" t="s">
        <v>519</v>
      </c>
      <c r="B45" s="102">
        <v>0</v>
      </c>
      <c r="C45" s="102">
        <v>0</v>
      </c>
      <c r="D45" s="102">
        <v>0</v>
      </c>
      <c r="E45" s="102">
        <v>0</v>
      </c>
      <c r="F45" s="102">
        <v>0</v>
      </c>
      <c r="G45" s="102">
        <v>0</v>
      </c>
      <c r="H45" s="102">
        <v>0</v>
      </c>
      <c r="I45" s="102">
        <v>0</v>
      </c>
      <c r="J45" s="102">
        <v>0</v>
      </c>
      <c r="K45" s="102">
        <v>0</v>
      </c>
      <c r="L45" s="102">
        <v>0</v>
      </c>
      <c r="M45" s="102">
        <v>0</v>
      </c>
      <c r="N45" s="102">
        <v>0</v>
      </c>
      <c r="O45" s="102">
        <v>0</v>
      </c>
    </row>
    <row r="46" spans="1:15" x14ac:dyDescent="0.25">
      <c r="A46" s="122" t="s">
        <v>520</v>
      </c>
      <c r="B46" s="102">
        <v>0</v>
      </c>
      <c r="C46" s="102">
        <v>0</v>
      </c>
      <c r="D46" s="102">
        <v>0</v>
      </c>
      <c r="E46" s="102">
        <v>0</v>
      </c>
      <c r="F46" s="102">
        <v>0</v>
      </c>
      <c r="G46" s="102">
        <v>0</v>
      </c>
      <c r="H46" s="102">
        <v>0</v>
      </c>
      <c r="I46" s="102">
        <v>0</v>
      </c>
      <c r="J46" s="102">
        <v>0</v>
      </c>
      <c r="K46" s="102">
        <v>0</v>
      </c>
      <c r="L46" s="102">
        <v>0</v>
      </c>
      <c r="M46" s="102">
        <v>0</v>
      </c>
      <c r="N46" s="102">
        <v>0</v>
      </c>
      <c r="O46" s="102">
        <v>0</v>
      </c>
    </row>
    <row r="47" spans="1:15" x14ac:dyDescent="0.25">
      <c r="A47" s="122" t="s">
        <v>521</v>
      </c>
      <c r="B47" s="102">
        <v>0</v>
      </c>
      <c r="C47" s="102">
        <v>0</v>
      </c>
      <c r="D47" s="102">
        <v>0</v>
      </c>
      <c r="E47" s="102">
        <v>0</v>
      </c>
      <c r="F47" s="102">
        <v>0</v>
      </c>
      <c r="G47" s="102">
        <v>0</v>
      </c>
      <c r="H47" s="102">
        <v>0</v>
      </c>
      <c r="I47" s="102">
        <v>0</v>
      </c>
      <c r="J47" s="102">
        <v>0</v>
      </c>
      <c r="K47" s="102">
        <v>0</v>
      </c>
      <c r="L47" s="102">
        <v>0</v>
      </c>
      <c r="M47" s="102">
        <v>0</v>
      </c>
      <c r="N47" s="102">
        <v>0</v>
      </c>
      <c r="O47" s="102">
        <v>0</v>
      </c>
    </row>
    <row r="48" spans="1:15" x14ac:dyDescent="0.25">
      <c r="A48" s="100" t="s">
        <v>500</v>
      </c>
      <c r="B48" s="102">
        <v>1074.997557522013</v>
      </c>
      <c r="C48" s="102">
        <v>437.66552061300467</v>
      </c>
      <c r="D48" s="102">
        <v>41.538152109010738</v>
      </c>
      <c r="E48" s="102">
        <v>218.8098745798244</v>
      </c>
      <c r="F48" s="102">
        <v>721.31997413683393</v>
      </c>
      <c r="G48" s="102">
        <v>36.055423150427551</v>
      </c>
      <c r="H48" s="102">
        <v>56.787291461923402</v>
      </c>
      <c r="I48" s="102">
        <v>335.48886137050368</v>
      </c>
      <c r="J48" s="102">
        <v>2606.1222037110733</v>
      </c>
      <c r="K48" s="102">
        <v>243.56915410210939</v>
      </c>
      <c r="L48" s="102">
        <v>1235.8245167742746</v>
      </c>
      <c r="M48" s="102">
        <v>34.962656962815707</v>
      </c>
      <c r="N48" s="102">
        <v>44.254131827947646</v>
      </c>
      <c r="O48" s="102">
        <v>3.6122096424009129</v>
      </c>
    </row>
    <row r="49" spans="1:15" x14ac:dyDescent="0.25">
      <c r="A49" s="122" t="s">
        <v>519</v>
      </c>
      <c r="B49" s="102">
        <v>338.88380207986381</v>
      </c>
      <c r="C49" s="102">
        <v>137.9703187479669</v>
      </c>
      <c r="D49" s="102">
        <v>13.094547815086566</v>
      </c>
      <c r="E49" s="102">
        <v>68.977944844038035</v>
      </c>
      <c r="F49" s="102">
        <v>227.3899634852275</v>
      </c>
      <c r="G49" s="102">
        <v>11.366164320391979</v>
      </c>
      <c r="H49" s="102">
        <v>17.901708804617368</v>
      </c>
      <c r="I49" s="102">
        <v>105.7599992680472</v>
      </c>
      <c r="J49" s="102">
        <v>821.55777461873618</v>
      </c>
      <c r="K49" s="102">
        <v>76.783096327927097</v>
      </c>
      <c r="L49" s="102">
        <v>389.58312790343308</v>
      </c>
      <c r="M49" s="102">
        <v>11.021679109378246</v>
      </c>
      <c r="N49" s="102">
        <v>13.95073723345768</v>
      </c>
      <c r="O49" s="102">
        <v>1.1387182500656983</v>
      </c>
    </row>
    <row r="50" spans="1:15" x14ac:dyDescent="0.25">
      <c r="A50" s="122" t="s">
        <v>520</v>
      </c>
      <c r="B50" s="102">
        <v>327.31480859007792</v>
      </c>
      <c r="C50" s="102">
        <v>133.26021543354898</v>
      </c>
      <c r="D50" s="102">
        <v>12.647519253984893</v>
      </c>
      <c r="E50" s="102">
        <v>66.623139480247232</v>
      </c>
      <c r="F50" s="102">
        <v>219.62720530363913</v>
      </c>
      <c r="G50" s="102">
        <v>10.978140224169575</v>
      </c>
      <c r="H50" s="102">
        <v>17.290570853067081</v>
      </c>
      <c r="I50" s="102">
        <v>102.14950878280575</v>
      </c>
      <c r="J50" s="102">
        <v>793.51100316576719</v>
      </c>
      <c r="K50" s="102">
        <v>74.161834597234986</v>
      </c>
      <c r="L50" s="102">
        <v>376.2833341606119</v>
      </c>
      <c r="M50" s="102">
        <v>10.645415230490178</v>
      </c>
      <c r="N50" s="102">
        <v>13.474479627632219</v>
      </c>
      <c r="O50" s="102">
        <v>1.0998440874741036</v>
      </c>
    </row>
    <row r="51" spans="1:15" x14ac:dyDescent="0.25">
      <c r="A51" s="122" t="s">
        <v>521</v>
      </c>
      <c r="B51" s="102">
        <v>408.79894685207137</v>
      </c>
      <c r="C51" s="102">
        <v>166.4349864314888</v>
      </c>
      <c r="D51" s="102">
        <v>15.796085039939282</v>
      </c>
      <c r="E51" s="102">
        <v>83.208790255539114</v>
      </c>
      <c r="F51" s="102">
        <v>274.30280534796736</v>
      </c>
      <c r="G51" s="102">
        <v>13.711118605865998</v>
      </c>
      <c r="H51" s="102">
        <v>21.595011804238947</v>
      </c>
      <c r="I51" s="102">
        <v>127.57935331965074</v>
      </c>
      <c r="J51" s="102">
        <v>991.05342592657018</v>
      </c>
      <c r="K51" s="102">
        <v>92.624223176947325</v>
      </c>
      <c r="L51" s="102">
        <v>469.95805471022965</v>
      </c>
      <c r="M51" s="102">
        <v>13.295562622947285</v>
      </c>
      <c r="N51" s="102">
        <v>16.828914966857749</v>
      </c>
      <c r="O51" s="102">
        <v>1.3736473048611111</v>
      </c>
    </row>
    <row r="52" spans="1:15" x14ac:dyDescent="0.25">
      <c r="A52" s="100" t="s">
        <v>390</v>
      </c>
      <c r="B52" s="102">
        <v>0</v>
      </c>
      <c r="C52" s="102">
        <v>0</v>
      </c>
      <c r="D52" s="102">
        <v>0</v>
      </c>
      <c r="E52" s="102">
        <v>0</v>
      </c>
      <c r="F52" s="102">
        <v>0</v>
      </c>
      <c r="G52" s="102">
        <v>0</v>
      </c>
      <c r="H52" s="102">
        <v>0</v>
      </c>
      <c r="I52" s="102">
        <v>0</v>
      </c>
      <c r="J52" s="102">
        <v>0</v>
      </c>
      <c r="K52" s="102">
        <v>0</v>
      </c>
      <c r="L52" s="102">
        <v>0</v>
      </c>
      <c r="M52" s="102">
        <v>0</v>
      </c>
      <c r="N52" s="102">
        <v>0</v>
      </c>
      <c r="O52" s="102">
        <v>0</v>
      </c>
    </row>
    <row r="53" spans="1:15" x14ac:dyDescent="0.25">
      <c r="A53" s="122" t="s">
        <v>519</v>
      </c>
      <c r="B53" s="102">
        <v>0</v>
      </c>
      <c r="C53" s="102">
        <v>0</v>
      </c>
      <c r="D53" s="102">
        <v>0</v>
      </c>
      <c r="E53" s="102">
        <v>0</v>
      </c>
      <c r="F53" s="102">
        <v>0</v>
      </c>
      <c r="G53" s="102">
        <v>0</v>
      </c>
      <c r="H53" s="102">
        <v>0</v>
      </c>
      <c r="I53" s="102">
        <v>0</v>
      </c>
      <c r="J53" s="102">
        <v>0</v>
      </c>
      <c r="K53" s="102">
        <v>0</v>
      </c>
      <c r="L53" s="102">
        <v>0</v>
      </c>
      <c r="M53" s="102">
        <v>0</v>
      </c>
      <c r="N53" s="102">
        <v>0</v>
      </c>
      <c r="O53" s="102">
        <v>0</v>
      </c>
    </row>
    <row r="54" spans="1:15" x14ac:dyDescent="0.25">
      <c r="A54" s="122" t="s">
        <v>520</v>
      </c>
      <c r="B54" s="102">
        <v>0</v>
      </c>
      <c r="C54" s="102">
        <v>0</v>
      </c>
      <c r="D54" s="102">
        <v>0</v>
      </c>
      <c r="E54" s="102">
        <v>0</v>
      </c>
      <c r="F54" s="102">
        <v>0</v>
      </c>
      <c r="G54" s="102">
        <v>0</v>
      </c>
      <c r="H54" s="102">
        <v>0</v>
      </c>
      <c r="I54" s="102">
        <v>0</v>
      </c>
      <c r="J54" s="102">
        <v>0</v>
      </c>
      <c r="K54" s="102">
        <v>0</v>
      </c>
      <c r="L54" s="102">
        <v>0</v>
      </c>
      <c r="M54" s="102">
        <v>0</v>
      </c>
      <c r="N54" s="102">
        <v>0</v>
      </c>
      <c r="O54" s="102">
        <v>0</v>
      </c>
    </row>
    <row r="55" spans="1:15" x14ac:dyDescent="0.25">
      <c r="A55" s="122" t="s">
        <v>521</v>
      </c>
      <c r="B55" s="102">
        <v>0</v>
      </c>
      <c r="C55" s="102">
        <v>0</v>
      </c>
      <c r="D55" s="102">
        <v>0</v>
      </c>
      <c r="E55" s="102">
        <v>0</v>
      </c>
      <c r="F55" s="102">
        <v>0</v>
      </c>
      <c r="G55" s="102">
        <v>0</v>
      </c>
      <c r="H55" s="102">
        <v>0</v>
      </c>
      <c r="I55" s="102">
        <v>0</v>
      </c>
      <c r="J55" s="102">
        <v>0</v>
      </c>
      <c r="K55" s="102">
        <v>0</v>
      </c>
      <c r="L55" s="102">
        <v>0</v>
      </c>
      <c r="M55" s="102">
        <v>0</v>
      </c>
      <c r="N55" s="102">
        <v>0</v>
      </c>
      <c r="O55" s="102">
        <v>0</v>
      </c>
    </row>
    <row r="56" spans="1:15" x14ac:dyDescent="0.25">
      <c r="A56" s="100" t="s">
        <v>391</v>
      </c>
      <c r="B56" s="102">
        <v>0</v>
      </c>
      <c r="C56" s="102">
        <v>0</v>
      </c>
      <c r="D56" s="102">
        <v>0</v>
      </c>
      <c r="E56" s="102">
        <v>0</v>
      </c>
      <c r="F56" s="102">
        <v>0</v>
      </c>
      <c r="G56" s="102">
        <v>0</v>
      </c>
      <c r="H56" s="102">
        <v>0</v>
      </c>
      <c r="I56" s="102">
        <v>0</v>
      </c>
      <c r="J56" s="102">
        <v>0</v>
      </c>
      <c r="K56" s="102">
        <v>0</v>
      </c>
      <c r="L56" s="102">
        <v>0</v>
      </c>
      <c r="M56" s="102">
        <v>0</v>
      </c>
      <c r="N56" s="102">
        <v>0</v>
      </c>
      <c r="O56" s="102">
        <v>0</v>
      </c>
    </row>
    <row r="57" spans="1:15" x14ac:dyDescent="0.25">
      <c r="A57" s="122" t="s">
        <v>519</v>
      </c>
      <c r="B57" s="102">
        <v>0</v>
      </c>
      <c r="C57" s="102">
        <v>0</v>
      </c>
      <c r="D57" s="102">
        <v>0</v>
      </c>
      <c r="E57" s="102">
        <v>0</v>
      </c>
      <c r="F57" s="102">
        <v>0</v>
      </c>
      <c r="G57" s="102">
        <v>0</v>
      </c>
      <c r="H57" s="102">
        <v>0</v>
      </c>
      <c r="I57" s="102">
        <v>0</v>
      </c>
      <c r="J57" s="102">
        <v>0</v>
      </c>
      <c r="K57" s="102">
        <v>0</v>
      </c>
      <c r="L57" s="102">
        <v>0</v>
      </c>
      <c r="M57" s="102">
        <v>0</v>
      </c>
      <c r="N57" s="102">
        <v>0</v>
      </c>
      <c r="O57" s="102">
        <v>0</v>
      </c>
    </row>
    <row r="58" spans="1:15" x14ac:dyDescent="0.25">
      <c r="A58" s="122" t="s">
        <v>520</v>
      </c>
      <c r="B58" s="102">
        <v>0</v>
      </c>
      <c r="C58" s="102">
        <v>0</v>
      </c>
      <c r="D58" s="102">
        <v>0</v>
      </c>
      <c r="E58" s="102">
        <v>0</v>
      </c>
      <c r="F58" s="102">
        <v>0</v>
      </c>
      <c r="G58" s="102">
        <v>0</v>
      </c>
      <c r="H58" s="102">
        <v>0</v>
      </c>
      <c r="I58" s="102">
        <v>0</v>
      </c>
      <c r="J58" s="102">
        <v>0</v>
      </c>
      <c r="K58" s="102">
        <v>0</v>
      </c>
      <c r="L58" s="102">
        <v>0</v>
      </c>
      <c r="M58" s="102">
        <v>0</v>
      </c>
      <c r="N58" s="102">
        <v>0</v>
      </c>
      <c r="O58" s="102">
        <v>0</v>
      </c>
    </row>
    <row r="59" spans="1:15" x14ac:dyDescent="0.25">
      <c r="A59" s="122" t="s">
        <v>521</v>
      </c>
      <c r="B59" s="102">
        <v>0</v>
      </c>
      <c r="C59" s="102">
        <v>0</v>
      </c>
      <c r="D59" s="102">
        <v>0</v>
      </c>
      <c r="E59" s="102">
        <v>0</v>
      </c>
      <c r="F59" s="102">
        <v>0</v>
      </c>
      <c r="G59" s="102">
        <v>0</v>
      </c>
      <c r="H59" s="102">
        <v>0</v>
      </c>
      <c r="I59" s="102">
        <v>0</v>
      </c>
      <c r="J59" s="102">
        <v>0</v>
      </c>
      <c r="K59" s="102">
        <v>0</v>
      </c>
      <c r="L59" s="102">
        <v>0</v>
      </c>
      <c r="M59" s="102">
        <v>0</v>
      </c>
      <c r="N59" s="102">
        <v>0</v>
      </c>
      <c r="O59" s="102">
        <v>0</v>
      </c>
    </row>
    <row r="60" spans="1:15" x14ac:dyDescent="0.25">
      <c r="A60" s="100" t="s">
        <v>157</v>
      </c>
      <c r="B60" s="102">
        <v>58148.325536014694</v>
      </c>
      <c r="C60" s="102">
        <v>21894.012115766804</v>
      </c>
      <c r="D60" s="102">
        <v>2529.1518921458778</v>
      </c>
      <c r="E60" s="102">
        <v>1027.0667582318285</v>
      </c>
      <c r="F60" s="102">
        <v>4140.2698377127999</v>
      </c>
      <c r="G60" s="102">
        <v>1488.502548162071</v>
      </c>
      <c r="H60" s="102">
        <v>2344.3915133552614</v>
      </c>
      <c r="I60" s="102">
        <v>17229.223489644704</v>
      </c>
      <c r="J60" s="102">
        <v>107590.45941192018</v>
      </c>
      <c r="K60" s="102">
        <v>12184.432539875521</v>
      </c>
      <c r="L60" s="102">
        <v>6364.1253656741983</v>
      </c>
      <c r="M60" s="102">
        <v>1748.9904940904335</v>
      </c>
      <c r="N60" s="102">
        <v>2213.7921604077064</v>
      </c>
      <c r="O60" s="102">
        <v>176.75967759424589</v>
      </c>
    </row>
    <row r="61" spans="1:15" x14ac:dyDescent="0.25">
      <c r="B61"/>
      <c r="C61"/>
      <c r="D61"/>
      <c r="E61"/>
      <c r="F61"/>
      <c r="G61"/>
      <c r="H61"/>
      <c r="I61"/>
      <c r="J61"/>
      <c r="K61"/>
      <c r="L61"/>
      <c r="M61"/>
      <c r="N61"/>
      <c r="O61"/>
    </row>
    <row r="62" spans="1:15" x14ac:dyDescent="0.25">
      <c r="B62"/>
      <c r="C62"/>
      <c r="D62"/>
      <c r="E62"/>
      <c r="F62"/>
      <c r="G62"/>
      <c r="H62"/>
      <c r="I62"/>
      <c r="J62"/>
      <c r="K62"/>
      <c r="L62"/>
      <c r="M62"/>
      <c r="N62"/>
      <c r="O62"/>
    </row>
    <row r="63" spans="1:15" x14ac:dyDescent="0.25">
      <c r="B63"/>
      <c r="C63"/>
      <c r="D63"/>
      <c r="E63"/>
      <c r="F63"/>
      <c r="G63"/>
      <c r="H63"/>
      <c r="I63"/>
      <c r="J63"/>
      <c r="K63"/>
      <c r="L63"/>
      <c r="M63"/>
      <c r="N63"/>
      <c r="O63"/>
    </row>
    <row r="64" spans="1:15" x14ac:dyDescent="0.25">
      <c r="B64"/>
      <c r="C64"/>
      <c r="D64"/>
      <c r="E64"/>
      <c r="F64"/>
      <c r="G64"/>
      <c r="H64"/>
      <c r="I64"/>
      <c r="J64"/>
      <c r="K64"/>
      <c r="L64"/>
      <c r="M64"/>
      <c r="N64"/>
      <c r="O64"/>
    </row>
    <row r="65" spans="2:15" x14ac:dyDescent="0.25">
      <c r="B65"/>
      <c r="C65"/>
      <c r="D65"/>
      <c r="E65"/>
      <c r="F65"/>
      <c r="G65"/>
      <c r="H65"/>
      <c r="I65"/>
      <c r="J65"/>
      <c r="K65"/>
      <c r="L65"/>
      <c r="M65"/>
      <c r="N65"/>
      <c r="O65"/>
    </row>
    <row r="66" spans="2:15" x14ac:dyDescent="0.25">
      <c r="B66"/>
      <c r="C66"/>
      <c r="D66"/>
      <c r="E66"/>
      <c r="F66"/>
      <c r="G66"/>
      <c r="H66"/>
      <c r="I66"/>
      <c r="J66"/>
      <c r="K66"/>
      <c r="L66"/>
      <c r="M66"/>
      <c r="N66"/>
      <c r="O66"/>
    </row>
    <row r="67" spans="2:15" x14ac:dyDescent="0.25">
      <c r="B67"/>
      <c r="C67"/>
      <c r="D67"/>
      <c r="E67"/>
      <c r="F67"/>
      <c r="G67"/>
      <c r="H67"/>
      <c r="I67"/>
      <c r="J67"/>
      <c r="K67"/>
      <c r="L67"/>
      <c r="M67"/>
      <c r="N67"/>
      <c r="O67"/>
    </row>
    <row r="68" spans="2:15" x14ac:dyDescent="0.25">
      <c r="B68"/>
      <c r="C68"/>
      <c r="D68"/>
      <c r="E68"/>
      <c r="F68"/>
      <c r="G68"/>
      <c r="H68"/>
      <c r="I68"/>
      <c r="J68"/>
      <c r="K68"/>
      <c r="L68"/>
      <c r="M68"/>
      <c r="N68"/>
      <c r="O68"/>
    </row>
    <row r="69" spans="2:15" x14ac:dyDescent="0.25">
      <c r="B69"/>
      <c r="C69"/>
      <c r="D69"/>
      <c r="E69"/>
      <c r="F69"/>
      <c r="G69"/>
      <c r="H69"/>
      <c r="I69"/>
      <c r="J69"/>
      <c r="K69"/>
      <c r="L69"/>
      <c r="M69"/>
      <c r="N69"/>
      <c r="O69"/>
    </row>
    <row r="70" spans="2: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</row>
    <row r="71" spans="2:15" x14ac:dyDescent="0.25">
      <c r="B71"/>
      <c r="C71"/>
      <c r="D71"/>
      <c r="E71"/>
      <c r="F71"/>
      <c r="G71"/>
      <c r="H71"/>
      <c r="I71"/>
      <c r="J71"/>
      <c r="K71"/>
      <c r="L71"/>
      <c r="M71"/>
      <c r="N71"/>
      <c r="O71"/>
    </row>
    <row r="72" spans="2:15" x14ac:dyDescent="0.25">
      <c r="B72"/>
      <c r="C72"/>
      <c r="D72"/>
      <c r="E72"/>
      <c r="F72"/>
      <c r="G72"/>
      <c r="H72"/>
      <c r="I72"/>
      <c r="J72"/>
      <c r="K72"/>
      <c r="L72"/>
      <c r="M72"/>
      <c r="N72"/>
      <c r="O72"/>
    </row>
    <row r="73" spans="2:15" x14ac:dyDescent="0.25">
      <c r="B73"/>
      <c r="C73"/>
      <c r="D73"/>
      <c r="E73"/>
      <c r="F73"/>
      <c r="G73"/>
      <c r="H73"/>
      <c r="I73"/>
      <c r="J73"/>
      <c r="K73"/>
      <c r="L73"/>
      <c r="M73"/>
      <c r="N73"/>
      <c r="O73"/>
    </row>
    <row r="74" spans="2:15" x14ac:dyDescent="0.25">
      <c r="B74"/>
      <c r="C74"/>
      <c r="D74"/>
      <c r="E74"/>
      <c r="F74"/>
      <c r="G74"/>
      <c r="H74"/>
      <c r="I74"/>
      <c r="J74"/>
      <c r="K74"/>
      <c r="L74"/>
      <c r="M74"/>
      <c r="N74"/>
      <c r="O74"/>
    </row>
    <row r="75" spans="2:15" x14ac:dyDescent="0.25">
      <c r="B75"/>
      <c r="C75"/>
      <c r="D75"/>
      <c r="E75"/>
      <c r="F75"/>
      <c r="G75"/>
      <c r="H75"/>
      <c r="I75"/>
      <c r="J75"/>
      <c r="K75"/>
      <c r="L75"/>
      <c r="M75"/>
      <c r="N75"/>
      <c r="O75"/>
    </row>
    <row r="76" spans="2:15" x14ac:dyDescent="0.25">
      <c r="B76"/>
      <c r="C76"/>
      <c r="D76"/>
      <c r="E76"/>
      <c r="F76"/>
      <c r="G76"/>
      <c r="H76"/>
      <c r="I76"/>
      <c r="J76"/>
      <c r="K76"/>
      <c r="L76"/>
      <c r="M76"/>
      <c r="N76"/>
      <c r="O76"/>
    </row>
    <row r="77" spans="2:15" x14ac:dyDescent="0.25">
      <c r="B77"/>
      <c r="C77"/>
      <c r="D77"/>
      <c r="E77"/>
      <c r="F77"/>
      <c r="G77"/>
      <c r="H77"/>
      <c r="I77"/>
      <c r="J77"/>
      <c r="K77"/>
      <c r="L77"/>
      <c r="M77"/>
      <c r="N77"/>
      <c r="O77"/>
    </row>
    <row r="78" spans="2:15" x14ac:dyDescent="0.25">
      <c r="B78"/>
      <c r="C78"/>
      <c r="D78"/>
      <c r="E78"/>
      <c r="F78"/>
      <c r="G78"/>
      <c r="H78"/>
      <c r="I78"/>
      <c r="J78"/>
      <c r="K78"/>
      <c r="L78"/>
      <c r="M78"/>
      <c r="N78"/>
      <c r="O78"/>
    </row>
    <row r="79" spans="2:15" x14ac:dyDescent="0.25">
      <c r="B79"/>
      <c r="C79"/>
      <c r="D79"/>
      <c r="E79"/>
      <c r="F79"/>
      <c r="G79"/>
      <c r="H79"/>
      <c r="I79"/>
      <c r="J79"/>
      <c r="K79"/>
      <c r="L79"/>
      <c r="M79"/>
      <c r="N79"/>
      <c r="O79"/>
    </row>
    <row r="80" spans="2:15" x14ac:dyDescent="0.25">
      <c r="B80"/>
      <c r="C80"/>
      <c r="D80"/>
      <c r="E80"/>
      <c r="F80"/>
      <c r="G80"/>
      <c r="H80"/>
      <c r="I80"/>
      <c r="J80"/>
      <c r="K80"/>
      <c r="L80"/>
      <c r="M80"/>
      <c r="N80"/>
      <c r="O80"/>
    </row>
    <row r="81" spans="2:15" x14ac:dyDescent="0.25">
      <c r="B81"/>
      <c r="C81"/>
      <c r="D81"/>
      <c r="E81"/>
      <c r="F81"/>
      <c r="G81"/>
      <c r="H81"/>
      <c r="I81"/>
      <c r="J81"/>
      <c r="K81"/>
      <c r="L81"/>
      <c r="M81"/>
      <c r="N81"/>
      <c r="O81"/>
    </row>
    <row r="82" spans="2:15" x14ac:dyDescent="0.25">
      <c r="B82"/>
      <c r="C82"/>
      <c r="D82"/>
      <c r="E82"/>
      <c r="F82"/>
      <c r="G82"/>
      <c r="H82"/>
      <c r="I82"/>
      <c r="J82"/>
      <c r="K82"/>
      <c r="L82"/>
      <c r="M82"/>
      <c r="N82"/>
      <c r="O82"/>
    </row>
    <row r="83" spans="2:15" x14ac:dyDescent="0.25">
      <c r="B83"/>
      <c r="C83"/>
      <c r="D83"/>
      <c r="E83"/>
      <c r="F83"/>
      <c r="G83"/>
      <c r="H83"/>
      <c r="I83"/>
      <c r="J83"/>
      <c r="K83"/>
      <c r="L83"/>
      <c r="M83"/>
      <c r="N83"/>
      <c r="O83"/>
    </row>
    <row r="84" spans="2:15" x14ac:dyDescent="0.25">
      <c r="B84"/>
      <c r="C84"/>
      <c r="D84"/>
      <c r="E84"/>
      <c r="F84"/>
      <c r="G84"/>
      <c r="H84"/>
      <c r="I84"/>
      <c r="J84"/>
      <c r="K84"/>
      <c r="L84"/>
      <c r="M84"/>
      <c r="N84"/>
      <c r="O84"/>
    </row>
    <row r="85" spans="2:15" x14ac:dyDescent="0.25">
      <c r="B85"/>
      <c r="C85"/>
      <c r="D85"/>
      <c r="E85"/>
      <c r="F85"/>
      <c r="G85"/>
      <c r="H85"/>
      <c r="I85"/>
      <c r="J85"/>
      <c r="K85"/>
      <c r="L85"/>
      <c r="M85"/>
      <c r="N85"/>
      <c r="O85"/>
    </row>
    <row r="86" spans="2:15" x14ac:dyDescent="0.25">
      <c r="B86"/>
      <c r="C86"/>
      <c r="D86"/>
      <c r="E86"/>
      <c r="F86"/>
      <c r="G86"/>
      <c r="H86"/>
      <c r="I86"/>
      <c r="J86"/>
      <c r="K86"/>
      <c r="L86"/>
      <c r="M86"/>
      <c r="N86"/>
      <c r="O86"/>
    </row>
    <row r="87" spans="2:15" x14ac:dyDescent="0.25">
      <c r="B87"/>
      <c r="C87"/>
      <c r="D87"/>
      <c r="E87"/>
      <c r="F87"/>
      <c r="G87"/>
      <c r="H87"/>
      <c r="I87"/>
      <c r="J87"/>
      <c r="K87"/>
      <c r="L87"/>
      <c r="M87"/>
      <c r="N87"/>
      <c r="O87"/>
    </row>
    <row r="88" spans="2:15" x14ac:dyDescent="0.25">
      <c r="B88"/>
      <c r="C88"/>
      <c r="D88"/>
      <c r="E88"/>
      <c r="F88"/>
      <c r="G88"/>
      <c r="H88"/>
      <c r="I88"/>
      <c r="J88"/>
      <c r="K88"/>
      <c r="L88"/>
      <c r="M88"/>
      <c r="N88"/>
      <c r="O88"/>
    </row>
    <row r="89" spans="2:15" x14ac:dyDescent="0.25">
      <c r="B89"/>
      <c r="C89"/>
      <c r="D89"/>
      <c r="E89"/>
      <c r="F89"/>
      <c r="G89"/>
      <c r="H89"/>
      <c r="I89"/>
      <c r="J89"/>
      <c r="K89"/>
      <c r="L89"/>
      <c r="M89"/>
      <c r="N89"/>
      <c r="O89"/>
    </row>
    <row r="90" spans="2:15" x14ac:dyDescent="0.25">
      <c r="B90"/>
      <c r="C90"/>
      <c r="D90"/>
      <c r="E90"/>
      <c r="F90"/>
      <c r="G90"/>
      <c r="H90"/>
      <c r="I90"/>
      <c r="J90"/>
      <c r="K90"/>
      <c r="L90"/>
      <c r="M90"/>
      <c r="N90"/>
      <c r="O90"/>
    </row>
    <row r="91" spans="2:15" x14ac:dyDescent="0.25">
      <c r="B91"/>
      <c r="C91"/>
      <c r="D91"/>
      <c r="E91"/>
      <c r="F91"/>
      <c r="G91"/>
      <c r="H91"/>
      <c r="I91"/>
      <c r="J91"/>
      <c r="K91"/>
      <c r="L91"/>
      <c r="M91"/>
      <c r="N91"/>
      <c r="O91"/>
    </row>
    <row r="92" spans="2:15" x14ac:dyDescent="0.25">
      <c r="B92"/>
      <c r="C92"/>
      <c r="D92"/>
      <c r="E92"/>
      <c r="F92"/>
      <c r="G92"/>
      <c r="H92"/>
      <c r="I92"/>
      <c r="J92"/>
      <c r="K92"/>
      <c r="L92"/>
      <c r="M92"/>
      <c r="N92"/>
      <c r="O92"/>
    </row>
    <row r="93" spans="2:15" x14ac:dyDescent="0.25">
      <c r="B93"/>
      <c r="C93"/>
      <c r="D93"/>
      <c r="E93"/>
      <c r="F93"/>
      <c r="G93"/>
      <c r="H93"/>
      <c r="I93"/>
      <c r="J93"/>
      <c r="K93"/>
      <c r="L93"/>
      <c r="M93"/>
      <c r="N93"/>
      <c r="O93"/>
    </row>
    <row r="94" spans="2:15" x14ac:dyDescent="0.25">
      <c r="B94"/>
      <c r="C94"/>
      <c r="D94"/>
      <c r="E94"/>
      <c r="F94"/>
      <c r="G94"/>
      <c r="H94"/>
      <c r="I94"/>
      <c r="J94"/>
      <c r="K94"/>
      <c r="L94"/>
      <c r="M94"/>
      <c r="N94"/>
      <c r="O94"/>
    </row>
    <row r="95" spans="2:15" x14ac:dyDescent="0.25">
      <c r="B95"/>
      <c r="C95"/>
      <c r="D95"/>
      <c r="E95"/>
      <c r="F95"/>
      <c r="G95"/>
      <c r="H95"/>
      <c r="I95"/>
      <c r="J95"/>
      <c r="K95"/>
      <c r="L95"/>
      <c r="M95"/>
      <c r="N95"/>
      <c r="O95"/>
    </row>
    <row r="96" spans="2:15" x14ac:dyDescent="0.25">
      <c r="B96"/>
      <c r="C96"/>
      <c r="D96"/>
      <c r="E96"/>
      <c r="F96"/>
      <c r="G96"/>
      <c r="H96"/>
      <c r="I96"/>
      <c r="J96"/>
      <c r="K96"/>
      <c r="L96"/>
      <c r="M96"/>
      <c r="N96"/>
      <c r="O96"/>
    </row>
    <row r="97" spans="2:15" x14ac:dyDescent="0.25">
      <c r="B97"/>
      <c r="C97"/>
      <c r="D97"/>
      <c r="E97"/>
      <c r="F97"/>
      <c r="G97"/>
      <c r="H97"/>
      <c r="I97"/>
      <c r="J97"/>
      <c r="K97"/>
      <c r="L97"/>
      <c r="M97"/>
      <c r="N97"/>
      <c r="O97"/>
    </row>
    <row r="98" spans="2:15" x14ac:dyDescent="0.25">
      <c r="B98"/>
      <c r="C98"/>
      <c r="D98"/>
      <c r="E98"/>
      <c r="F98"/>
      <c r="G98"/>
      <c r="H98"/>
      <c r="I98"/>
      <c r="J98"/>
      <c r="K98"/>
      <c r="L98"/>
      <c r="M98"/>
      <c r="N98"/>
      <c r="O98"/>
    </row>
    <row r="99" spans="2:15" x14ac:dyDescent="0.25">
      <c r="B99"/>
      <c r="C99"/>
      <c r="D99"/>
      <c r="E99"/>
      <c r="F99"/>
      <c r="G99"/>
      <c r="H99"/>
      <c r="I99"/>
      <c r="J99"/>
      <c r="K99"/>
      <c r="L99"/>
      <c r="M99"/>
      <c r="N99"/>
      <c r="O99"/>
    </row>
    <row r="100" spans="2:15" x14ac:dyDescent="0.25"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</row>
    <row r="101" spans="2:15" x14ac:dyDescent="0.25"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</row>
    <row r="102" spans="2:15" x14ac:dyDescent="0.25"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</row>
    <row r="103" spans="2:15" x14ac:dyDescent="0.25"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</row>
    <row r="104" spans="2:15" x14ac:dyDescent="0.25"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</row>
    <row r="105" spans="2:15" x14ac:dyDescent="0.25"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</row>
    <row r="106" spans="2:15" x14ac:dyDescent="0.25"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</row>
    <row r="107" spans="2:15" x14ac:dyDescent="0.25"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</row>
    <row r="108" spans="2:15" x14ac:dyDescent="0.25"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</row>
    <row r="109" spans="2:15" x14ac:dyDescent="0.25"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</row>
    <row r="110" spans="2:15" x14ac:dyDescent="0.25"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</row>
    <row r="111" spans="2:15" x14ac:dyDescent="0.25"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</row>
    <row r="112" spans="2:15" x14ac:dyDescent="0.25"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</row>
    <row r="113" spans="2:15" x14ac:dyDescent="0.25"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</row>
    <row r="114" spans="2:15" x14ac:dyDescent="0.25"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</row>
    <row r="115" spans="2:15" x14ac:dyDescent="0.25"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</row>
    <row r="116" spans="2:15" x14ac:dyDescent="0.25"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</row>
    <row r="117" spans="2:15" x14ac:dyDescent="0.25"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</row>
    <row r="118" spans="2:15" x14ac:dyDescent="0.25"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</row>
    <row r="119" spans="2:15" x14ac:dyDescent="0.25"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</row>
    <row r="120" spans="2:15" x14ac:dyDescent="0.25"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</row>
    <row r="121" spans="2:15" x14ac:dyDescent="0.25"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</row>
    <row r="122" spans="2:15" x14ac:dyDescent="0.25"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</row>
    <row r="123" spans="2:15" x14ac:dyDescent="0.25"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</row>
    <row r="124" spans="2:15" x14ac:dyDescent="0.25"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</row>
    <row r="125" spans="2:15" x14ac:dyDescent="0.25"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</row>
    <row r="126" spans="2:15" x14ac:dyDescent="0.25"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</row>
    <row r="127" spans="2:15" x14ac:dyDescent="0.25"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</row>
    <row r="128" spans="2:15" x14ac:dyDescent="0.25"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</row>
    <row r="129" spans="2:15" x14ac:dyDescent="0.25"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</row>
    <row r="130" spans="2:15" x14ac:dyDescent="0.25"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</row>
    <row r="131" spans="2:15" x14ac:dyDescent="0.25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 x14ac:dyDescent="0.2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 x14ac:dyDescent="0.2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 x14ac:dyDescent="0.2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 x14ac:dyDescent="0.2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 x14ac:dyDescent="0.2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 x14ac:dyDescent="0.2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 x14ac:dyDescent="0.2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 x14ac:dyDescent="0.2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 x14ac:dyDescent="0.2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 x14ac:dyDescent="0.2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 x14ac:dyDescent="0.2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 x14ac:dyDescent="0.2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 x14ac:dyDescent="0.2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 x14ac:dyDescent="0.2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 x14ac:dyDescent="0.2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 x14ac:dyDescent="0.2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 x14ac:dyDescent="0.2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 x14ac:dyDescent="0.2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 x14ac:dyDescent="0.2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 x14ac:dyDescent="0.2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 x14ac:dyDescent="0.2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 x14ac:dyDescent="0.2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 x14ac:dyDescent="0.2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 x14ac:dyDescent="0.2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 x14ac:dyDescent="0.2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 x14ac:dyDescent="0.2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 x14ac:dyDescent="0.2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 x14ac:dyDescent="0.2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 x14ac:dyDescent="0.2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 x14ac:dyDescent="0.2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 x14ac:dyDescent="0.2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 x14ac:dyDescent="0.2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 x14ac:dyDescent="0.2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 x14ac:dyDescent="0.2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 x14ac:dyDescent="0.2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 x14ac:dyDescent="0.2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 x14ac:dyDescent="0.2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 x14ac:dyDescent="0.2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 x14ac:dyDescent="0.2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 x14ac:dyDescent="0.2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 x14ac:dyDescent="0.2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 x14ac:dyDescent="0.2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 x14ac:dyDescent="0.2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 x14ac:dyDescent="0.2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 x14ac:dyDescent="0.2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 x14ac:dyDescent="0.2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 x14ac:dyDescent="0.2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 x14ac:dyDescent="0.2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 x14ac:dyDescent="0.2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 x14ac:dyDescent="0.2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 x14ac:dyDescent="0.2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29144-9472-4795-8BBE-6BDD063B98B3}">
  <dimension ref="A2:CV10"/>
  <sheetViews>
    <sheetView workbookViewId="0">
      <selection activeCell="D25" sqref="D25"/>
    </sheetView>
  </sheetViews>
  <sheetFormatPr baseColWidth="10" defaultRowHeight="15" x14ac:dyDescent="0.25"/>
  <cols>
    <col min="1" max="1" width="21" bestFit="1" customWidth="1"/>
    <col min="2" max="3" width="23.7109375" bestFit="1" customWidth="1"/>
    <col min="4" max="99" width="15.140625" customWidth="1"/>
  </cols>
  <sheetData>
    <row r="2" spans="1:100" s="97" customFormat="1" x14ac:dyDescent="0.25">
      <c r="A2" s="97" t="s">
        <v>52</v>
      </c>
      <c r="B2" s="98">
        <f>GETPIVOTDATA("Total HT",$A$3)</f>
        <v>179567.72</v>
      </c>
      <c r="C2" s="98">
        <f>GETPIVOTDATA("Hors taxes 1",$A$3)</f>
        <v>72655.48</v>
      </c>
      <c r="D2" s="98">
        <f>GETPIVOTDATA(" Prix Vente MO1",$A$3)</f>
        <v>34270</v>
      </c>
      <c r="E2" s="98">
        <f>GETPIVOTDATA(" Heures1",$A$3)</f>
        <v>546</v>
      </c>
      <c r="F2" s="98">
        <f>GETPIVOTDATA(" Prix Vente Matière1",$A$3)</f>
        <v>38385.480000000003</v>
      </c>
      <c r="G2" s="98">
        <f>GETPIVOTDATA(" PA Matière1",$A$3)</f>
        <v>27808</v>
      </c>
      <c r="H2" s="98">
        <f>GETPIVOTDATA("Somme de Marge Matière1",$A$3)</f>
        <v>10577.480000000001</v>
      </c>
      <c r="I2" s="98">
        <f>GETPIVOTDATA("Somme de Marge Brute1",$A$3)</f>
        <v>44847.48000000001</v>
      </c>
      <c r="J2" s="98">
        <f>GETPIVOTDATA("Somme de Hors Taxes2",$A$3)</f>
        <v>29103.96</v>
      </c>
      <c r="K2" s="98">
        <f>GETPIVOTDATA("Somme de Prix Vente MO2",$A$3)</f>
        <v>17068</v>
      </c>
      <c r="L2" s="98">
        <f>GETPIVOTDATA("Somme de Heures2",$A$3)</f>
        <v>197</v>
      </c>
      <c r="M2" s="98">
        <f>GETPIVOTDATA("Somme de Prix Vente Matière2",$A$3)</f>
        <v>12035.960000000001</v>
      </c>
      <c r="N2" s="98">
        <f>GETPIVOTDATA("Somme de PA Matière2",$A$3)</f>
        <v>8503</v>
      </c>
      <c r="O2" s="98">
        <f>GETPIVOTDATA("Somme de Marge Matière2",$A$3)</f>
        <v>3532.96</v>
      </c>
      <c r="P2" s="98">
        <f>GETPIVOTDATA("Somme de Marge Brute2",$A$3)</f>
        <v>20600.96</v>
      </c>
      <c r="Q2" s="98">
        <f>GETPIVOTDATA("Somme de Hors Taxes3",$A$3)</f>
        <v>6006.3600000000006</v>
      </c>
      <c r="R2" s="98">
        <f>GETPIVOTDATA("Somme de Prix Vente MO3",$A$3)</f>
        <v>3066</v>
      </c>
      <c r="S2" s="98">
        <f>GETPIVOTDATA("Somme de Heures3",$A$3)</f>
        <v>94</v>
      </c>
      <c r="T2" s="98">
        <f>GETPIVOTDATA("Somme de Prix Vente Matière3",$A$3)</f>
        <v>2940.3599999999997</v>
      </c>
      <c r="U2" s="98">
        <f>GETPIVOTDATA("Somme de PA Matière3",$A$3)</f>
        <v>2113</v>
      </c>
      <c r="V2" s="98">
        <f>GETPIVOTDATA("Somme de Marge Matière3",$A$3)</f>
        <v>827.3599999999999</v>
      </c>
      <c r="W2" s="98">
        <f>GETPIVOTDATA("Somme de Marge Brute3",$A$3)</f>
        <v>3893.3599999999997</v>
      </c>
      <c r="X2" s="98">
        <f>GETPIVOTDATA("Somme de Hors Taxes4",$A$3)</f>
        <v>8144.32</v>
      </c>
      <c r="Y2" s="98">
        <f>GETPIVOTDATA("Somme de Prix Vente MO4",$A$3)</f>
        <v>3568</v>
      </c>
      <c r="Z2" s="98">
        <f>GETPIVOTDATA("Somme de Heures4",$A$3)</f>
        <v>101</v>
      </c>
      <c r="AA2" s="98">
        <f>GETPIVOTDATA("Somme de Prix Vente Matière4",$A$3)</f>
        <v>4576.32</v>
      </c>
      <c r="AB2" s="98">
        <f>GETPIVOTDATA("Somme de PA Matière4",$A$3)</f>
        <v>3193</v>
      </c>
      <c r="AC2" s="98">
        <f>GETPIVOTDATA("Somme de Marge Matière4",$A$3)</f>
        <v>1383.3200000000002</v>
      </c>
      <c r="AD2" s="98">
        <f>GETPIVOTDATA("Somme de Marge Brute4",$A$3)</f>
        <v>4951.32</v>
      </c>
      <c r="AE2" s="98">
        <f>GETPIVOTDATA("Somme de Hors Taxes5",$A$3)</f>
        <v>5205.8999999999996</v>
      </c>
      <c r="AF2" s="98">
        <f>GETPIVOTDATA("Somme de Prix Vente MO5",$A$3)</f>
        <v>3853</v>
      </c>
      <c r="AG2" s="98">
        <f>GETPIVOTDATA("Somme de Heures5",$A$3)</f>
        <v>92</v>
      </c>
      <c r="AH2" s="98">
        <f>GETPIVOTDATA("Somme de Prix Vente Matière5",$A$3)</f>
        <v>1352.9</v>
      </c>
      <c r="AI2" s="98">
        <f>GETPIVOTDATA("Somme de PA Matière5",$A$3)</f>
        <v>802</v>
      </c>
      <c r="AJ2" s="98">
        <f>GETPIVOTDATA("Somme de Marge Matière5",$A$3)</f>
        <v>550.9</v>
      </c>
      <c r="AK2" s="98">
        <f>GETPIVOTDATA("Somme de Marge Brute5",$A$3)</f>
        <v>4403.8999999999996</v>
      </c>
      <c r="AL2" s="98">
        <f>GETPIVOTDATA("Somme de Hors Taxes6",$A$3)</f>
        <v>6943.59</v>
      </c>
      <c r="AM2" s="98">
        <f>GETPIVOTDATA("Somme de Prix Vente MO6",$A$3)</f>
        <v>5063</v>
      </c>
      <c r="AN2" s="98">
        <f>GETPIVOTDATA("Somme de Heures6",$A$3)</f>
        <v>104</v>
      </c>
      <c r="AO2" s="98">
        <f>GETPIVOTDATA("Somme de Prix Vente Matière6",$A$3)</f>
        <v>1880.5900000000001</v>
      </c>
      <c r="AP2" s="98">
        <f>GETPIVOTDATA("Somme de PA Matière6",$A$3)</f>
        <v>922</v>
      </c>
      <c r="AQ2" s="98">
        <f>GETPIVOTDATA("Somme de Marge Matière6",$A$3)</f>
        <v>958.59</v>
      </c>
      <c r="AR2" s="98">
        <f>GETPIVOTDATA("Somme de Marge Brute6",$A$3)</f>
        <v>6021.59</v>
      </c>
      <c r="AS2" s="98">
        <f>GETPIVOTDATA("Somme de Hors Taxes7",$A$3)</f>
        <v>9219.27</v>
      </c>
      <c r="AT2" s="98">
        <f>GETPIVOTDATA("Somme de Prix Vente MO7",$A$3)</f>
        <v>6477</v>
      </c>
      <c r="AU2" s="98">
        <f>GETPIVOTDATA("Somme de Heures7",$A$3)</f>
        <v>116</v>
      </c>
      <c r="AV2" s="98">
        <f>GETPIVOTDATA("Somme de Prix Vente Matière7",$A$3)</f>
        <v>2742.27</v>
      </c>
      <c r="AW2" s="98">
        <f>GETPIVOTDATA("Somme de PA Matière7",$A$3)</f>
        <v>1042</v>
      </c>
      <c r="AX2" s="98">
        <f>GETPIVOTDATA("Somme de Marge Matière7",$A$3)</f>
        <v>1700.27</v>
      </c>
      <c r="AY2" s="98">
        <f>GETPIVOTDATA("Somme de Marge Brute7",$A$3)</f>
        <v>8177.2699999999995</v>
      </c>
      <c r="AZ2" s="98">
        <f>GETPIVOTDATA("Somme de Hors Taxes8",$A$3)</f>
        <v>12532.97</v>
      </c>
      <c r="BA2" s="98">
        <f>GETPIVOTDATA("Somme de Prix Vente MO8",$A$3)</f>
        <v>8095</v>
      </c>
      <c r="BB2" s="98">
        <f>GETPIVOTDATA("Somme de Heures8",$A$3)</f>
        <v>128</v>
      </c>
      <c r="BC2" s="98">
        <f>GETPIVOTDATA("Somme de Prix Vente Matière8",$A$3)</f>
        <v>4437.9699999999993</v>
      </c>
      <c r="BD2" s="98">
        <f>GETPIVOTDATA("Somme de PA Matière8",$A$3)</f>
        <v>1162</v>
      </c>
      <c r="BE2" s="98">
        <f>GETPIVOTDATA("Somme de Marge Matière8",$A$3)</f>
        <v>3275.9700000000003</v>
      </c>
      <c r="BF2" s="98">
        <f>GETPIVOTDATA("Somme de Marge Brute8",$A$3)</f>
        <v>11370.97</v>
      </c>
      <c r="BG2" s="98">
        <f>GETPIVOTDATA("Somme de Hors Taxes9",$A$3)</f>
        <v>19384.719999999998</v>
      </c>
      <c r="BH2" s="98">
        <f>GETPIVOTDATA("Somme de Prix Vente MO9",$A$3)</f>
        <v>9917</v>
      </c>
      <c r="BI2" s="98">
        <f>GETPIVOTDATA("Somme de Heures9",$A$3)</f>
        <v>140</v>
      </c>
      <c r="BJ2" s="98">
        <f>GETPIVOTDATA("Somme de Prix Vente Matière9",$A$3)</f>
        <v>9467.7199999999993</v>
      </c>
      <c r="BK2" s="98">
        <f>GETPIVOTDATA("Somme de PA Matière9",$A$3)</f>
        <v>1282</v>
      </c>
      <c r="BL2" s="98">
        <f>GETPIVOTDATA("Somme de Marge Matière9",$A$3)</f>
        <v>8185.72</v>
      </c>
      <c r="BM2" s="98">
        <f>GETPIVOTDATA("Somme de Marge Brute9",$A$3)</f>
        <v>18102.719999999998</v>
      </c>
      <c r="BN2" s="98">
        <f>GETPIVOTDATA("Somme de Hors Taxes10",$A$3)</f>
        <v>3652.3199999999997</v>
      </c>
      <c r="BO2" s="98">
        <f>GETPIVOTDATA("Somme de Prix Vente MO10",$A$3)</f>
        <v>2043</v>
      </c>
      <c r="BP2" s="98">
        <f>GETPIVOTDATA("Somme de Heures10",$A$3)</f>
        <v>62</v>
      </c>
      <c r="BQ2" s="98">
        <f>GETPIVOTDATA("Somme de Prix Vente Matière10",$A$3)</f>
        <v>1609.3199999999997</v>
      </c>
      <c r="BR2" s="98">
        <f>GETPIVOTDATA("Somme de PA Matière10",$A$3)</f>
        <v>1402</v>
      </c>
      <c r="BS2" s="98">
        <f>GETPIVOTDATA("Somme de Marge Matière10",$A$3)</f>
        <v>207.32</v>
      </c>
      <c r="BT2" s="98">
        <f>GETPIVOTDATA("Somme de Marge Brute10",$A$3)</f>
        <v>2250.3199999999997</v>
      </c>
      <c r="BU2" s="98">
        <f>GETPIVOTDATA("Somme de Hors Taxes11",$A$3)</f>
        <v>3959.42</v>
      </c>
      <c r="BV2" s="98">
        <f>GETPIVOTDATA("Somme de Prix Vente MO11",$A$3)</f>
        <v>2194</v>
      </c>
      <c r="BW2" s="98">
        <f>GETPIVOTDATA("Somme de Heures11",$A$3)</f>
        <v>65</v>
      </c>
      <c r="BX2" s="98">
        <f>GETPIVOTDATA("Somme de Prix Vente Matière11",$A$3)</f>
        <v>1765.42</v>
      </c>
      <c r="BY2" s="98">
        <f>GETPIVOTDATA("Somme de PA Matière11",$A$3)</f>
        <v>1522</v>
      </c>
      <c r="BZ2" s="98">
        <f>GETPIVOTDATA("Somme de Marge Matière11",$A$3)</f>
        <v>243.42000000000002</v>
      </c>
      <c r="CA2" s="98">
        <f>GETPIVOTDATA("Somme de Marge Brute11",$A$3)</f>
        <v>2437.42</v>
      </c>
      <c r="CB2" s="98">
        <f>GETPIVOTDATA("Somme de Hors Taxes12",$A$3)</f>
        <v>4276.1499999999996</v>
      </c>
      <c r="CC2" s="98">
        <f>GETPIVOTDATA("Somme de Prix Vente MO12",$A$3)</f>
        <v>2351</v>
      </c>
      <c r="CD2" s="98">
        <f>GETPIVOTDATA("Somme de Heures12",$A$3)</f>
        <v>68</v>
      </c>
      <c r="CE2" s="98">
        <f>GETPIVOTDATA("Somme de Prix Vente Matière12",$A$3)</f>
        <v>1925.15</v>
      </c>
      <c r="CF2" s="98">
        <f>GETPIVOTDATA("Somme de PA Matière12",$A$3)</f>
        <v>1642</v>
      </c>
      <c r="CG2" s="98">
        <f>GETPIVOTDATA("Somme de Marge Matière12",$A$3)</f>
        <v>283.14999999999998</v>
      </c>
      <c r="CH2" s="98">
        <f>GETPIVOTDATA("Somme de Marge Brute12",$A$3)</f>
        <v>2634.15</v>
      </c>
      <c r="CI2" s="98">
        <f>GETPIVOTDATA("Somme de Hors Taxes13",$A$3)</f>
        <v>4602.6400000000003</v>
      </c>
      <c r="CJ2" s="98">
        <f>GETPIVOTDATA("Somme de Prix Vente MO13",$A$3)</f>
        <v>2514</v>
      </c>
      <c r="CK2" s="98">
        <f>GETPIVOTDATA("Somme de Heures13",$A$3)</f>
        <v>71</v>
      </c>
      <c r="CL2" s="98">
        <f>GETPIVOTDATA("Somme de Prix Vente Matière13",$A$3)</f>
        <v>2088.64</v>
      </c>
      <c r="CM2" s="98">
        <f>GETPIVOTDATA("Somme de PA Matière13",$A$3)</f>
        <v>1762</v>
      </c>
      <c r="CN2" s="98">
        <f>GETPIVOTDATA("Somme de Marge Matière13",$A$3)</f>
        <v>326.64</v>
      </c>
      <c r="CO2" s="98">
        <f>GETPIVOTDATA("Somme de Marge Brute13",$A$3)</f>
        <v>2840.6400000000003</v>
      </c>
      <c r="CP2" s="98">
        <f>GETPIVOTDATA("Somme de Hors Taxes14",$A$3)</f>
        <v>4939.04</v>
      </c>
      <c r="CQ2" s="98">
        <f>GETPIVOTDATA("Somme de Prix Vente MO14",$A$3)</f>
        <v>2683</v>
      </c>
      <c r="CR2" s="98">
        <f>GETPIVOTDATA("Somme de Heures14",$A$3)</f>
        <v>74</v>
      </c>
      <c r="CS2" s="98">
        <f>GETPIVOTDATA("Somme de Prix Vente Matière14",$A$3)</f>
        <v>2256.04</v>
      </c>
      <c r="CT2" s="98">
        <f>GETPIVOTDATA("Somme de PA Matière14",$A$3)</f>
        <v>1882</v>
      </c>
      <c r="CU2" s="98">
        <f>GETPIVOTDATA("Somme de Marge Matière14",$A$3)</f>
        <v>374.04</v>
      </c>
      <c r="CV2" s="98">
        <f>GETPIVOTDATA("Somme de Marge Brute14",$A$3)</f>
        <v>3057.04</v>
      </c>
    </row>
    <row r="3" spans="1:100" s="99" customFormat="1" ht="45" x14ac:dyDescent="0.25">
      <c r="A3" s="103" t="s">
        <v>53</v>
      </c>
      <c r="B3" s="99" t="s">
        <v>54</v>
      </c>
      <c r="C3" s="99" t="s">
        <v>55</v>
      </c>
      <c r="D3" s="99" t="s">
        <v>56</v>
      </c>
      <c r="E3" s="99" t="s">
        <v>57</v>
      </c>
      <c r="F3" s="99" t="s">
        <v>58</v>
      </c>
      <c r="G3" s="99" t="s">
        <v>59</v>
      </c>
      <c r="H3" s="99" t="s">
        <v>60</v>
      </c>
      <c r="I3" s="99" t="s">
        <v>61</v>
      </c>
      <c r="J3" s="99" t="s">
        <v>62</v>
      </c>
      <c r="K3" s="99" t="s">
        <v>63</v>
      </c>
      <c r="L3" s="99" t="s">
        <v>64</v>
      </c>
      <c r="M3" s="99" t="s">
        <v>65</v>
      </c>
      <c r="N3" s="99" t="s">
        <v>66</v>
      </c>
      <c r="O3" s="99" t="s">
        <v>67</v>
      </c>
      <c r="P3" s="99" t="s">
        <v>68</v>
      </c>
      <c r="Q3" s="99" t="s">
        <v>69</v>
      </c>
      <c r="R3" s="99" t="s">
        <v>70</v>
      </c>
      <c r="S3" s="99" t="s">
        <v>71</v>
      </c>
      <c r="T3" s="99" t="s">
        <v>72</v>
      </c>
      <c r="U3" s="99" t="s">
        <v>73</v>
      </c>
      <c r="V3" s="99" t="s">
        <v>74</v>
      </c>
      <c r="W3" s="99" t="s">
        <v>75</v>
      </c>
      <c r="X3" s="99" t="s">
        <v>76</v>
      </c>
      <c r="Y3" s="99" t="s">
        <v>77</v>
      </c>
      <c r="Z3" s="99" t="s">
        <v>78</v>
      </c>
      <c r="AA3" s="99" t="s">
        <v>79</v>
      </c>
      <c r="AB3" s="99" t="s">
        <v>80</v>
      </c>
      <c r="AC3" s="99" t="s">
        <v>81</v>
      </c>
      <c r="AD3" s="99" t="s">
        <v>82</v>
      </c>
      <c r="AE3" s="99" t="s">
        <v>83</v>
      </c>
      <c r="AF3" s="99" t="s">
        <v>84</v>
      </c>
      <c r="AG3" s="99" t="s">
        <v>85</v>
      </c>
      <c r="AH3" s="99" t="s">
        <v>86</v>
      </c>
      <c r="AI3" s="99" t="s">
        <v>87</v>
      </c>
      <c r="AJ3" s="99" t="s">
        <v>88</v>
      </c>
      <c r="AK3" s="99" t="s">
        <v>89</v>
      </c>
      <c r="AL3" s="99" t="s">
        <v>90</v>
      </c>
      <c r="AM3" s="99" t="s">
        <v>91</v>
      </c>
      <c r="AN3" s="99" t="s">
        <v>92</v>
      </c>
      <c r="AO3" s="99" t="s">
        <v>93</v>
      </c>
      <c r="AP3" s="99" t="s">
        <v>94</v>
      </c>
      <c r="AQ3" s="99" t="s">
        <v>95</v>
      </c>
      <c r="AR3" s="99" t="s">
        <v>96</v>
      </c>
      <c r="AS3" s="99" t="s">
        <v>97</v>
      </c>
      <c r="AT3" s="99" t="s">
        <v>98</v>
      </c>
      <c r="AU3" s="99" t="s">
        <v>99</v>
      </c>
      <c r="AV3" s="99" t="s">
        <v>100</v>
      </c>
      <c r="AW3" s="99" t="s">
        <v>101</v>
      </c>
      <c r="AX3" s="99" t="s">
        <v>102</v>
      </c>
      <c r="AY3" s="99" t="s">
        <v>103</v>
      </c>
      <c r="AZ3" s="99" t="s">
        <v>104</v>
      </c>
      <c r="BA3" s="99" t="s">
        <v>105</v>
      </c>
      <c r="BB3" s="99" t="s">
        <v>106</v>
      </c>
      <c r="BC3" s="99" t="s">
        <v>107</v>
      </c>
      <c r="BD3" s="99" t="s">
        <v>108</v>
      </c>
      <c r="BE3" s="99" t="s">
        <v>109</v>
      </c>
      <c r="BF3" s="99" t="s">
        <v>110</v>
      </c>
      <c r="BG3" s="99" t="s">
        <v>111</v>
      </c>
      <c r="BH3" s="99" t="s">
        <v>112</v>
      </c>
      <c r="BI3" s="99" t="s">
        <v>113</v>
      </c>
      <c r="BJ3" s="99" t="s">
        <v>114</v>
      </c>
      <c r="BK3" s="99" t="s">
        <v>115</v>
      </c>
      <c r="BL3" s="99" t="s">
        <v>116</v>
      </c>
      <c r="BM3" s="99" t="s">
        <v>117</v>
      </c>
      <c r="BN3" s="99" t="s">
        <v>118</v>
      </c>
      <c r="BO3" s="99" t="s">
        <v>119</v>
      </c>
      <c r="BP3" s="99" t="s">
        <v>120</v>
      </c>
      <c r="BQ3" s="99" t="s">
        <v>121</v>
      </c>
      <c r="BR3" s="99" t="s">
        <v>122</v>
      </c>
      <c r="BS3" s="99" t="s">
        <v>123</v>
      </c>
      <c r="BT3" s="99" t="s">
        <v>124</v>
      </c>
      <c r="BU3" s="99" t="s">
        <v>125</v>
      </c>
      <c r="BV3" s="99" t="s">
        <v>126</v>
      </c>
      <c r="BW3" s="99" t="s">
        <v>127</v>
      </c>
      <c r="BX3" s="99" t="s">
        <v>128</v>
      </c>
      <c r="BY3" s="99" t="s">
        <v>129</v>
      </c>
      <c r="BZ3" s="99" t="s">
        <v>130</v>
      </c>
      <c r="CA3" s="99" t="s">
        <v>131</v>
      </c>
      <c r="CB3" s="99" t="s">
        <v>132</v>
      </c>
      <c r="CC3" s="99" t="s">
        <v>133</v>
      </c>
      <c r="CD3" s="99" t="s">
        <v>134</v>
      </c>
      <c r="CE3" s="99" t="s">
        <v>135</v>
      </c>
      <c r="CF3" s="99" t="s">
        <v>136</v>
      </c>
      <c r="CG3" s="99" t="s">
        <v>137</v>
      </c>
      <c r="CH3" s="99" t="s">
        <v>138</v>
      </c>
      <c r="CI3" s="99" t="s">
        <v>139</v>
      </c>
      <c r="CJ3" s="99" t="s">
        <v>140</v>
      </c>
      <c r="CK3" s="99" t="s">
        <v>141</v>
      </c>
      <c r="CL3" s="99" t="s">
        <v>142</v>
      </c>
      <c r="CM3" s="99" t="s">
        <v>143</v>
      </c>
      <c r="CN3" s="99" t="s">
        <v>144</v>
      </c>
      <c r="CO3" s="99" t="s">
        <v>145</v>
      </c>
      <c r="CP3" s="99" t="s">
        <v>146</v>
      </c>
      <c r="CQ3" s="99" t="s">
        <v>147</v>
      </c>
      <c r="CR3" s="99" t="s">
        <v>148</v>
      </c>
      <c r="CS3" s="99" t="s">
        <v>149</v>
      </c>
      <c r="CT3" s="99" t="s">
        <v>150</v>
      </c>
      <c r="CU3" s="99" t="s">
        <v>151</v>
      </c>
      <c r="CV3" s="99" t="s">
        <v>152</v>
      </c>
    </row>
    <row r="4" spans="1:100" x14ac:dyDescent="0.25">
      <c r="A4" s="100" t="s">
        <v>153</v>
      </c>
      <c r="B4" s="101">
        <v>2556.67</v>
      </c>
      <c r="C4" s="101">
        <v>2556.67</v>
      </c>
      <c r="D4" s="101">
        <v>2500</v>
      </c>
      <c r="E4" s="101">
        <v>50</v>
      </c>
      <c r="F4" s="101">
        <v>56.67</v>
      </c>
      <c r="G4" s="101">
        <v>51</v>
      </c>
      <c r="H4" s="101">
        <v>5.67</v>
      </c>
      <c r="I4" s="101">
        <v>2505.67</v>
      </c>
      <c r="J4" s="101">
        <v>0</v>
      </c>
      <c r="K4" s="101">
        <v>0</v>
      </c>
      <c r="L4" s="101">
        <v>0</v>
      </c>
      <c r="M4" s="101">
        <v>0</v>
      </c>
      <c r="N4" s="101">
        <v>0</v>
      </c>
      <c r="O4" s="101">
        <v>0</v>
      </c>
      <c r="P4" s="101">
        <v>0</v>
      </c>
      <c r="Q4" s="101">
        <v>0</v>
      </c>
      <c r="R4" s="101">
        <v>0</v>
      </c>
      <c r="S4" s="101">
        <v>0</v>
      </c>
      <c r="T4" s="101">
        <v>0</v>
      </c>
      <c r="U4" s="101">
        <v>0</v>
      </c>
      <c r="V4" s="101">
        <v>0</v>
      </c>
      <c r="W4" s="101">
        <v>0</v>
      </c>
      <c r="X4" s="101">
        <v>0</v>
      </c>
      <c r="Y4" s="101">
        <v>0</v>
      </c>
      <c r="Z4" s="101">
        <v>0</v>
      </c>
      <c r="AA4" s="101">
        <v>0</v>
      </c>
      <c r="AB4" s="101">
        <v>0</v>
      </c>
      <c r="AC4" s="101">
        <v>0</v>
      </c>
      <c r="AD4" s="101">
        <v>0</v>
      </c>
      <c r="AE4" s="101">
        <v>0</v>
      </c>
      <c r="AF4" s="101">
        <v>0</v>
      </c>
      <c r="AG4" s="101">
        <v>0</v>
      </c>
      <c r="AH4" s="101">
        <v>0</v>
      </c>
      <c r="AI4" s="101">
        <v>0</v>
      </c>
      <c r="AJ4" s="101">
        <v>0</v>
      </c>
      <c r="AK4" s="101">
        <v>0</v>
      </c>
      <c r="AL4" s="101">
        <v>0</v>
      </c>
      <c r="AM4" s="101">
        <v>0</v>
      </c>
      <c r="AN4" s="101">
        <v>0</v>
      </c>
      <c r="AO4" s="101">
        <v>0</v>
      </c>
      <c r="AP4" s="101">
        <v>0</v>
      </c>
      <c r="AQ4" s="101">
        <v>0</v>
      </c>
      <c r="AR4" s="101">
        <v>0</v>
      </c>
      <c r="AS4" s="101">
        <v>0</v>
      </c>
      <c r="AT4" s="101">
        <v>0</v>
      </c>
      <c r="AU4" s="101">
        <v>0</v>
      </c>
      <c r="AV4" s="101">
        <v>0</v>
      </c>
      <c r="AW4" s="101">
        <v>0</v>
      </c>
      <c r="AX4" s="101">
        <v>0</v>
      </c>
      <c r="AY4" s="101">
        <v>0</v>
      </c>
      <c r="AZ4" s="101">
        <v>0</v>
      </c>
      <c r="BA4" s="101">
        <v>0</v>
      </c>
      <c r="BB4" s="101">
        <v>0</v>
      </c>
      <c r="BC4" s="101">
        <v>0</v>
      </c>
      <c r="BD4" s="101">
        <v>0</v>
      </c>
      <c r="BE4" s="101">
        <v>0</v>
      </c>
      <c r="BF4" s="101">
        <v>0</v>
      </c>
      <c r="BG4" s="101">
        <v>0</v>
      </c>
      <c r="BH4" s="101">
        <v>0</v>
      </c>
      <c r="BI4" s="101">
        <v>0</v>
      </c>
      <c r="BJ4" s="101">
        <v>0</v>
      </c>
      <c r="BK4" s="101">
        <v>0</v>
      </c>
      <c r="BL4" s="101">
        <v>0</v>
      </c>
      <c r="BM4" s="101">
        <v>0</v>
      </c>
      <c r="BN4" s="101">
        <v>0</v>
      </c>
      <c r="BO4" s="101">
        <v>0</v>
      </c>
      <c r="BP4" s="101">
        <v>0</v>
      </c>
      <c r="BQ4" s="101">
        <v>0</v>
      </c>
      <c r="BR4" s="101">
        <v>0</v>
      </c>
      <c r="BS4" s="101">
        <v>0</v>
      </c>
      <c r="BT4" s="101">
        <v>0</v>
      </c>
      <c r="BU4" s="101">
        <v>0</v>
      </c>
      <c r="BV4" s="101">
        <v>0</v>
      </c>
      <c r="BW4" s="101">
        <v>0</v>
      </c>
      <c r="BX4" s="101">
        <v>0</v>
      </c>
      <c r="BY4" s="101">
        <v>0</v>
      </c>
      <c r="BZ4" s="101">
        <v>0</v>
      </c>
      <c r="CA4" s="101">
        <v>0</v>
      </c>
      <c r="CB4" s="101">
        <v>0</v>
      </c>
      <c r="CC4" s="101">
        <v>0</v>
      </c>
      <c r="CD4" s="101">
        <v>0</v>
      </c>
      <c r="CE4" s="101">
        <v>0</v>
      </c>
      <c r="CF4" s="101">
        <v>0</v>
      </c>
      <c r="CG4" s="101">
        <v>0</v>
      </c>
      <c r="CH4" s="101">
        <v>0</v>
      </c>
      <c r="CI4" s="101">
        <v>0</v>
      </c>
      <c r="CJ4" s="101">
        <v>0</v>
      </c>
      <c r="CK4" s="101">
        <v>0</v>
      </c>
      <c r="CL4" s="101">
        <v>0</v>
      </c>
      <c r="CM4" s="101">
        <v>0</v>
      </c>
      <c r="CN4" s="101">
        <v>0</v>
      </c>
      <c r="CO4" s="101">
        <v>0</v>
      </c>
      <c r="CP4" s="101">
        <v>0</v>
      </c>
      <c r="CQ4" s="101">
        <v>0</v>
      </c>
      <c r="CR4" s="101">
        <v>0</v>
      </c>
      <c r="CS4" s="101">
        <v>0</v>
      </c>
      <c r="CT4" s="101">
        <v>0</v>
      </c>
      <c r="CU4" s="101">
        <v>0</v>
      </c>
      <c r="CV4" s="101">
        <v>0</v>
      </c>
    </row>
    <row r="5" spans="1:100" x14ac:dyDescent="0.25">
      <c r="A5" s="100" t="s">
        <v>154</v>
      </c>
      <c r="B5" s="101">
        <v>117860.43999999999</v>
      </c>
      <c r="C5" s="101">
        <v>65873.41</v>
      </c>
      <c r="D5" s="101">
        <v>31270</v>
      </c>
      <c r="E5" s="101">
        <v>456</v>
      </c>
      <c r="F5" s="101">
        <v>34603.410000000003</v>
      </c>
      <c r="G5" s="101">
        <v>24547</v>
      </c>
      <c r="H5" s="101">
        <v>10056.41</v>
      </c>
      <c r="I5" s="101">
        <v>41326.410000000011</v>
      </c>
      <c r="J5" s="101">
        <v>28209.360000000001</v>
      </c>
      <c r="K5" s="101">
        <v>16547</v>
      </c>
      <c r="L5" s="101">
        <v>166</v>
      </c>
      <c r="M5" s="101">
        <v>11662.36</v>
      </c>
      <c r="N5" s="101">
        <v>8193</v>
      </c>
      <c r="O5" s="101">
        <v>3469.36</v>
      </c>
      <c r="P5" s="101">
        <v>20016.36</v>
      </c>
      <c r="Q5" s="101">
        <v>4397.43</v>
      </c>
      <c r="R5" s="101">
        <v>2022</v>
      </c>
      <c r="S5" s="101">
        <v>52</v>
      </c>
      <c r="T5" s="101">
        <v>2375.4299999999998</v>
      </c>
      <c r="U5" s="101">
        <v>1693</v>
      </c>
      <c r="V5" s="101">
        <v>682.43</v>
      </c>
      <c r="W5" s="101">
        <v>2704.43</v>
      </c>
      <c r="X5" s="101">
        <v>5559.22</v>
      </c>
      <c r="Y5" s="101">
        <v>1799</v>
      </c>
      <c r="Z5" s="101">
        <v>48</v>
      </c>
      <c r="AA5" s="101">
        <v>3760.22</v>
      </c>
      <c r="AB5" s="101">
        <v>2663</v>
      </c>
      <c r="AC5" s="101">
        <v>1097.22</v>
      </c>
      <c r="AD5" s="101">
        <v>2896.2200000000003</v>
      </c>
      <c r="AE5" s="101">
        <v>1347.1100000000001</v>
      </c>
      <c r="AF5" s="101">
        <v>1157</v>
      </c>
      <c r="AG5" s="101">
        <v>28</v>
      </c>
      <c r="AH5" s="101">
        <v>190.11</v>
      </c>
      <c r="AI5" s="101">
        <v>162</v>
      </c>
      <c r="AJ5" s="101">
        <v>28.11</v>
      </c>
      <c r="AK5" s="101">
        <v>1185.1100000000001</v>
      </c>
      <c r="AL5" s="101">
        <v>1442.12</v>
      </c>
      <c r="AM5" s="101">
        <v>1238</v>
      </c>
      <c r="AN5" s="101">
        <v>29</v>
      </c>
      <c r="AO5" s="101">
        <v>204.12</v>
      </c>
      <c r="AP5" s="101">
        <v>172</v>
      </c>
      <c r="AQ5" s="101">
        <v>32.119999999999997</v>
      </c>
      <c r="AR5" s="101">
        <v>1270.1199999999999</v>
      </c>
      <c r="AS5" s="101">
        <v>1539.46</v>
      </c>
      <c r="AT5" s="101">
        <v>1321</v>
      </c>
      <c r="AU5" s="101">
        <v>30</v>
      </c>
      <c r="AV5" s="101">
        <v>218.45999999999998</v>
      </c>
      <c r="AW5" s="101">
        <v>182</v>
      </c>
      <c r="AX5" s="101">
        <v>36.46</v>
      </c>
      <c r="AY5" s="101">
        <v>1357.46</v>
      </c>
      <c r="AZ5" s="101">
        <v>1639.15</v>
      </c>
      <c r="BA5" s="101">
        <v>1406</v>
      </c>
      <c r="BB5" s="101">
        <v>31</v>
      </c>
      <c r="BC5" s="101">
        <v>233.14999999999998</v>
      </c>
      <c r="BD5" s="101">
        <v>192</v>
      </c>
      <c r="BE5" s="101">
        <v>41.15</v>
      </c>
      <c r="BF5" s="101">
        <v>1447.15</v>
      </c>
      <c r="BG5" s="101">
        <v>1741.21</v>
      </c>
      <c r="BH5" s="101">
        <v>1493</v>
      </c>
      <c r="BI5" s="101">
        <v>32</v>
      </c>
      <c r="BJ5" s="101">
        <v>248.20999999999998</v>
      </c>
      <c r="BK5" s="101">
        <v>202</v>
      </c>
      <c r="BL5" s="101">
        <v>46.21</v>
      </c>
      <c r="BM5" s="101">
        <v>1539.21</v>
      </c>
      <c r="BN5" s="101">
        <v>1845.6399999999999</v>
      </c>
      <c r="BO5" s="101">
        <v>1582</v>
      </c>
      <c r="BP5" s="101">
        <v>33</v>
      </c>
      <c r="BQ5" s="101">
        <v>263.64</v>
      </c>
      <c r="BR5" s="101">
        <v>212</v>
      </c>
      <c r="BS5" s="101">
        <v>51.64</v>
      </c>
      <c r="BT5" s="101">
        <v>1633.6399999999999</v>
      </c>
      <c r="BU5" s="101">
        <v>1952.46</v>
      </c>
      <c r="BV5" s="101">
        <v>1673</v>
      </c>
      <c r="BW5" s="101">
        <v>34</v>
      </c>
      <c r="BX5" s="101">
        <v>279.45999999999998</v>
      </c>
      <c r="BY5" s="101">
        <v>222</v>
      </c>
      <c r="BZ5" s="101">
        <v>57.46</v>
      </c>
      <c r="CA5" s="101">
        <v>1730.46</v>
      </c>
      <c r="CB5" s="101">
        <v>2061.69</v>
      </c>
      <c r="CC5" s="101">
        <v>1766</v>
      </c>
      <c r="CD5" s="101">
        <v>35</v>
      </c>
      <c r="CE5" s="101">
        <v>295.69</v>
      </c>
      <c r="CF5" s="101">
        <v>232</v>
      </c>
      <c r="CG5" s="101">
        <v>63.69</v>
      </c>
      <c r="CH5" s="101">
        <v>1829.69</v>
      </c>
      <c r="CI5" s="101">
        <v>2173.34</v>
      </c>
      <c r="CJ5" s="101">
        <v>1861</v>
      </c>
      <c r="CK5" s="101">
        <v>36</v>
      </c>
      <c r="CL5" s="101">
        <v>312.33999999999997</v>
      </c>
      <c r="CM5" s="101">
        <v>242</v>
      </c>
      <c r="CN5" s="101">
        <v>70.34</v>
      </c>
      <c r="CO5" s="101">
        <v>1931.3400000000001</v>
      </c>
      <c r="CP5" s="101">
        <v>2287.4299999999998</v>
      </c>
      <c r="CQ5" s="101">
        <v>1958</v>
      </c>
      <c r="CR5" s="101">
        <v>37</v>
      </c>
      <c r="CS5" s="101">
        <v>329.43</v>
      </c>
      <c r="CT5" s="101">
        <v>252</v>
      </c>
      <c r="CU5" s="101">
        <v>77.430000000000007</v>
      </c>
      <c r="CV5" s="101">
        <v>2035.4299999999998</v>
      </c>
    </row>
    <row r="6" spans="1:100" x14ac:dyDescent="0.25">
      <c r="A6" s="100" t="s">
        <v>155</v>
      </c>
      <c r="B6" s="101">
        <v>56272.83</v>
      </c>
      <c r="C6" s="101">
        <v>1347.6200000000001</v>
      </c>
      <c r="D6" s="101">
        <v>400</v>
      </c>
      <c r="E6" s="101">
        <v>30</v>
      </c>
      <c r="F6" s="101">
        <v>947.62</v>
      </c>
      <c r="G6" s="101">
        <v>710</v>
      </c>
      <c r="H6" s="101">
        <v>237.61999999999998</v>
      </c>
      <c r="I6" s="101">
        <v>637.62</v>
      </c>
      <c r="J6" s="101">
        <v>894.6</v>
      </c>
      <c r="K6" s="101">
        <v>521</v>
      </c>
      <c r="L6" s="101">
        <v>31</v>
      </c>
      <c r="M6" s="101">
        <v>373.6</v>
      </c>
      <c r="N6" s="101">
        <v>310</v>
      </c>
      <c r="O6" s="101">
        <v>63.6</v>
      </c>
      <c r="P6" s="101">
        <v>584.6</v>
      </c>
      <c r="Q6" s="101">
        <v>1608.9299999999998</v>
      </c>
      <c r="R6" s="101">
        <v>1044</v>
      </c>
      <c r="S6" s="101">
        <v>42</v>
      </c>
      <c r="T6" s="101">
        <v>564.93000000000006</v>
      </c>
      <c r="U6" s="101">
        <v>420</v>
      </c>
      <c r="V6" s="101">
        <v>144.93</v>
      </c>
      <c r="W6" s="101">
        <v>1188.9299999999998</v>
      </c>
      <c r="X6" s="101">
        <v>2585.1</v>
      </c>
      <c r="Y6" s="101">
        <v>1769</v>
      </c>
      <c r="Z6" s="101">
        <v>53</v>
      </c>
      <c r="AA6" s="101">
        <v>816.09999999999991</v>
      </c>
      <c r="AB6" s="101">
        <v>530</v>
      </c>
      <c r="AC6" s="101">
        <v>286.10000000000002</v>
      </c>
      <c r="AD6" s="101">
        <v>2055.1</v>
      </c>
      <c r="AE6" s="101">
        <v>3858.79</v>
      </c>
      <c r="AF6" s="101">
        <v>2696</v>
      </c>
      <c r="AG6" s="101">
        <v>64</v>
      </c>
      <c r="AH6" s="101">
        <v>1162.79</v>
      </c>
      <c r="AI6" s="101">
        <v>640</v>
      </c>
      <c r="AJ6" s="101">
        <v>522.79</v>
      </c>
      <c r="AK6" s="101">
        <v>3218.79</v>
      </c>
      <c r="AL6" s="101">
        <v>5501.47</v>
      </c>
      <c r="AM6" s="101">
        <v>3825</v>
      </c>
      <c r="AN6" s="101">
        <v>75</v>
      </c>
      <c r="AO6" s="101">
        <v>1676.47</v>
      </c>
      <c r="AP6" s="101">
        <v>750</v>
      </c>
      <c r="AQ6" s="101">
        <v>926.47</v>
      </c>
      <c r="AR6" s="101">
        <v>4751.47</v>
      </c>
      <c r="AS6" s="101">
        <v>7679.8099999999995</v>
      </c>
      <c r="AT6" s="101">
        <v>5156</v>
      </c>
      <c r="AU6" s="101">
        <v>86</v>
      </c>
      <c r="AV6" s="101">
        <v>2523.81</v>
      </c>
      <c r="AW6" s="101">
        <v>860</v>
      </c>
      <c r="AX6" s="101">
        <v>1663.81</v>
      </c>
      <c r="AY6" s="101">
        <v>6819.8099999999995</v>
      </c>
      <c r="AZ6" s="101">
        <v>10893.82</v>
      </c>
      <c r="BA6" s="101">
        <v>6689</v>
      </c>
      <c r="BB6" s="101">
        <v>97</v>
      </c>
      <c r="BC6" s="101">
        <v>4204.82</v>
      </c>
      <c r="BD6" s="101">
        <v>970</v>
      </c>
      <c r="BE6" s="101">
        <v>3234.82</v>
      </c>
      <c r="BF6" s="101">
        <v>9923.82</v>
      </c>
      <c r="BG6" s="101">
        <v>17643.509999999998</v>
      </c>
      <c r="BH6" s="101">
        <v>8424</v>
      </c>
      <c r="BI6" s="101">
        <v>108</v>
      </c>
      <c r="BJ6" s="101">
        <v>9219.51</v>
      </c>
      <c r="BK6" s="101">
        <v>1080</v>
      </c>
      <c r="BL6" s="101">
        <v>8139.51</v>
      </c>
      <c r="BM6" s="101">
        <v>16563.509999999998</v>
      </c>
      <c r="BN6" s="101">
        <v>1806.6799999999998</v>
      </c>
      <c r="BO6" s="101">
        <v>461</v>
      </c>
      <c r="BP6" s="101">
        <v>29</v>
      </c>
      <c r="BQ6" s="101">
        <v>1345.6799999999998</v>
      </c>
      <c r="BR6" s="101">
        <v>1190</v>
      </c>
      <c r="BS6" s="101">
        <v>155.68</v>
      </c>
      <c r="BT6" s="101">
        <v>616.68000000000006</v>
      </c>
      <c r="BU6" s="101">
        <v>2006.96</v>
      </c>
      <c r="BV6" s="101">
        <v>521</v>
      </c>
      <c r="BW6" s="101">
        <v>31</v>
      </c>
      <c r="BX6" s="101">
        <v>1485.96</v>
      </c>
      <c r="BY6" s="101">
        <v>1300</v>
      </c>
      <c r="BZ6" s="101">
        <v>185.96</v>
      </c>
      <c r="CA6" s="101">
        <v>706.96</v>
      </c>
      <c r="CB6" s="101">
        <v>2214.46</v>
      </c>
      <c r="CC6" s="101">
        <v>585</v>
      </c>
      <c r="CD6" s="101">
        <v>33</v>
      </c>
      <c r="CE6" s="101">
        <v>1629.46</v>
      </c>
      <c r="CF6" s="101">
        <v>1410</v>
      </c>
      <c r="CG6" s="101">
        <v>219.45999999999998</v>
      </c>
      <c r="CH6" s="101">
        <v>804.46</v>
      </c>
      <c r="CI6" s="101">
        <v>2429.3000000000002</v>
      </c>
      <c r="CJ6" s="101">
        <v>653</v>
      </c>
      <c r="CK6" s="101">
        <v>35</v>
      </c>
      <c r="CL6" s="101">
        <v>1776.3</v>
      </c>
      <c r="CM6" s="101">
        <v>1520</v>
      </c>
      <c r="CN6" s="101">
        <v>256.3</v>
      </c>
      <c r="CO6" s="101">
        <v>909.3</v>
      </c>
      <c r="CP6" s="101">
        <v>2651.61</v>
      </c>
      <c r="CQ6" s="101">
        <v>725</v>
      </c>
      <c r="CR6" s="101">
        <v>37</v>
      </c>
      <c r="CS6" s="101">
        <v>1926.6100000000001</v>
      </c>
      <c r="CT6" s="101">
        <v>1630</v>
      </c>
      <c r="CU6" s="101">
        <v>296.61</v>
      </c>
      <c r="CV6" s="101">
        <v>1021.6100000000001</v>
      </c>
    </row>
    <row r="7" spans="1:100" x14ac:dyDescent="0.25">
      <c r="A7" s="100" t="s">
        <v>156</v>
      </c>
      <c r="B7" s="101">
        <v>2877.78</v>
      </c>
      <c r="C7" s="101">
        <v>2877.78</v>
      </c>
      <c r="D7" s="101">
        <v>100</v>
      </c>
      <c r="E7" s="101">
        <v>10</v>
      </c>
      <c r="F7" s="101">
        <v>2777.78</v>
      </c>
      <c r="G7" s="101">
        <v>2500</v>
      </c>
      <c r="H7" s="101">
        <v>277.77999999999997</v>
      </c>
      <c r="I7" s="101">
        <v>377.78</v>
      </c>
      <c r="J7" s="101">
        <v>0</v>
      </c>
      <c r="K7" s="101">
        <v>0</v>
      </c>
      <c r="L7" s="101">
        <v>0</v>
      </c>
      <c r="M7" s="101">
        <v>0</v>
      </c>
      <c r="N7" s="101">
        <v>0</v>
      </c>
      <c r="O7" s="101">
        <v>0</v>
      </c>
      <c r="P7" s="101">
        <v>0</v>
      </c>
      <c r="Q7" s="101">
        <v>0</v>
      </c>
      <c r="R7" s="101">
        <v>0</v>
      </c>
      <c r="S7" s="101">
        <v>0</v>
      </c>
      <c r="T7" s="101">
        <v>0</v>
      </c>
      <c r="U7" s="101">
        <v>0</v>
      </c>
      <c r="V7" s="101">
        <v>0</v>
      </c>
      <c r="W7" s="101">
        <v>0</v>
      </c>
      <c r="X7" s="101">
        <v>0</v>
      </c>
      <c r="Y7" s="101">
        <v>0</v>
      </c>
      <c r="Z7" s="101">
        <v>0</v>
      </c>
      <c r="AA7" s="101">
        <v>0</v>
      </c>
      <c r="AB7" s="101">
        <v>0</v>
      </c>
      <c r="AC7" s="101">
        <v>0</v>
      </c>
      <c r="AD7" s="101">
        <v>0</v>
      </c>
      <c r="AE7" s="101">
        <v>0</v>
      </c>
      <c r="AF7" s="101">
        <v>0</v>
      </c>
      <c r="AG7" s="101">
        <v>0</v>
      </c>
      <c r="AH7" s="101">
        <v>0</v>
      </c>
      <c r="AI7" s="101">
        <v>0</v>
      </c>
      <c r="AJ7" s="101">
        <v>0</v>
      </c>
      <c r="AK7" s="101">
        <v>0</v>
      </c>
      <c r="AL7" s="101">
        <v>0</v>
      </c>
      <c r="AM7" s="101">
        <v>0</v>
      </c>
      <c r="AN7" s="101">
        <v>0</v>
      </c>
      <c r="AO7" s="101">
        <v>0</v>
      </c>
      <c r="AP7" s="101">
        <v>0</v>
      </c>
      <c r="AQ7" s="101">
        <v>0</v>
      </c>
      <c r="AR7" s="101">
        <v>0</v>
      </c>
      <c r="AS7" s="101">
        <v>0</v>
      </c>
      <c r="AT7" s="101">
        <v>0</v>
      </c>
      <c r="AU7" s="101">
        <v>0</v>
      </c>
      <c r="AV7" s="101">
        <v>0</v>
      </c>
      <c r="AW7" s="101">
        <v>0</v>
      </c>
      <c r="AX7" s="101">
        <v>0</v>
      </c>
      <c r="AY7" s="101">
        <v>0</v>
      </c>
      <c r="AZ7" s="101">
        <v>0</v>
      </c>
      <c r="BA7" s="101">
        <v>0</v>
      </c>
      <c r="BB7" s="101">
        <v>0</v>
      </c>
      <c r="BC7" s="101">
        <v>0</v>
      </c>
      <c r="BD7" s="101">
        <v>0</v>
      </c>
      <c r="BE7" s="101">
        <v>0</v>
      </c>
      <c r="BF7" s="101">
        <v>0</v>
      </c>
      <c r="BG7" s="101">
        <v>0</v>
      </c>
      <c r="BH7" s="101">
        <v>0</v>
      </c>
      <c r="BI7" s="101">
        <v>0</v>
      </c>
      <c r="BJ7" s="101">
        <v>0</v>
      </c>
      <c r="BK7" s="101">
        <v>0</v>
      </c>
      <c r="BL7" s="101">
        <v>0</v>
      </c>
      <c r="BM7" s="101">
        <v>0</v>
      </c>
      <c r="BN7" s="101">
        <v>0</v>
      </c>
      <c r="BO7" s="101">
        <v>0</v>
      </c>
      <c r="BP7" s="101">
        <v>0</v>
      </c>
      <c r="BQ7" s="101">
        <v>0</v>
      </c>
      <c r="BR7" s="101">
        <v>0</v>
      </c>
      <c r="BS7" s="101">
        <v>0</v>
      </c>
      <c r="BT7" s="101">
        <v>0</v>
      </c>
      <c r="BU7" s="101">
        <v>0</v>
      </c>
      <c r="BV7" s="101">
        <v>0</v>
      </c>
      <c r="BW7" s="101">
        <v>0</v>
      </c>
      <c r="BX7" s="101">
        <v>0</v>
      </c>
      <c r="BY7" s="101">
        <v>0</v>
      </c>
      <c r="BZ7" s="101">
        <v>0</v>
      </c>
      <c r="CA7" s="101">
        <v>0</v>
      </c>
      <c r="CB7" s="101">
        <v>0</v>
      </c>
      <c r="CC7" s="101">
        <v>0</v>
      </c>
      <c r="CD7" s="101">
        <v>0</v>
      </c>
      <c r="CE7" s="101">
        <v>0</v>
      </c>
      <c r="CF7" s="101">
        <v>0</v>
      </c>
      <c r="CG7" s="101">
        <v>0</v>
      </c>
      <c r="CH7" s="101">
        <v>0</v>
      </c>
      <c r="CI7" s="101">
        <v>0</v>
      </c>
      <c r="CJ7" s="101">
        <v>0</v>
      </c>
      <c r="CK7" s="101">
        <v>0</v>
      </c>
      <c r="CL7" s="101">
        <v>0</v>
      </c>
      <c r="CM7" s="101">
        <v>0</v>
      </c>
      <c r="CN7" s="101">
        <v>0</v>
      </c>
      <c r="CO7" s="101">
        <v>0</v>
      </c>
      <c r="CP7" s="101">
        <v>0</v>
      </c>
      <c r="CQ7" s="101">
        <v>0</v>
      </c>
      <c r="CR7" s="101">
        <v>0</v>
      </c>
      <c r="CS7" s="101">
        <v>0</v>
      </c>
      <c r="CT7" s="101">
        <v>0</v>
      </c>
      <c r="CU7" s="101">
        <v>0</v>
      </c>
      <c r="CV7" s="101">
        <v>0</v>
      </c>
    </row>
    <row r="8" spans="1:100" x14ac:dyDescent="0.25">
      <c r="A8" s="100" t="s">
        <v>157</v>
      </c>
      <c r="B8" s="101">
        <v>179567.72</v>
      </c>
      <c r="C8" s="101">
        <v>72655.48</v>
      </c>
      <c r="D8" s="101">
        <v>34270</v>
      </c>
      <c r="E8" s="101">
        <v>546</v>
      </c>
      <c r="F8" s="101">
        <v>38385.480000000003</v>
      </c>
      <c r="G8" s="101">
        <v>27808</v>
      </c>
      <c r="H8" s="101">
        <v>10577.480000000001</v>
      </c>
      <c r="I8" s="101">
        <v>44847.48000000001</v>
      </c>
      <c r="J8" s="101">
        <v>29103.96</v>
      </c>
      <c r="K8" s="101">
        <v>17068</v>
      </c>
      <c r="L8" s="101">
        <v>197</v>
      </c>
      <c r="M8" s="101">
        <v>12035.960000000001</v>
      </c>
      <c r="N8" s="101">
        <v>8503</v>
      </c>
      <c r="O8" s="101">
        <v>3532.96</v>
      </c>
      <c r="P8" s="101">
        <v>20600.96</v>
      </c>
      <c r="Q8" s="101">
        <v>6006.3600000000006</v>
      </c>
      <c r="R8" s="101">
        <v>3066</v>
      </c>
      <c r="S8" s="101">
        <v>94</v>
      </c>
      <c r="T8" s="101">
        <v>2940.3599999999997</v>
      </c>
      <c r="U8" s="101">
        <v>2113</v>
      </c>
      <c r="V8" s="101">
        <v>827.3599999999999</v>
      </c>
      <c r="W8" s="101">
        <v>3893.3599999999997</v>
      </c>
      <c r="X8" s="101">
        <v>8144.32</v>
      </c>
      <c r="Y8" s="101">
        <v>3568</v>
      </c>
      <c r="Z8" s="101">
        <v>101</v>
      </c>
      <c r="AA8" s="101">
        <v>4576.32</v>
      </c>
      <c r="AB8" s="101">
        <v>3193</v>
      </c>
      <c r="AC8" s="101">
        <v>1383.3200000000002</v>
      </c>
      <c r="AD8" s="101">
        <v>4951.32</v>
      </c>
      <c r="AE8" s="101">
        <v>5205.8999999999996</v>
      </c>
      <c r="AF8" s="101">
        <v>3853</v>
      </c>
      <c r="AG8" s="101">
        <v>92</v>
      </c>
      <c r="AH8" s="101">
        <v>1352.9</v>
      </c>
      <c r="AI8" s="101">
        <v>802</v>
      </c>
      <c r="AJ8" s="101">
        <v>550.9</v>
      </c>
      <c r="AK8" s="101">
        <v>4403.8999999999996</v>
      </c>
      <c r="AL8" s="101">
        <v>6943.59</v>
      </c>
      <c r="AM8" s="101">
        <v>5063</v>
      </c>
      <c r="AN8" s="101">
        <v>104</v>
      </c>
      <c r="AO8" s="101">
        <v>1880.5900000000001</v>
      </c>
      <c r="AP8" s="101">
        <v>922</v>
      </c>
      <c r="AQ8" s="101">
        <v>958.59</v>
      </c>
      <c r="AR8" s="101">
        <v>6021.59</v>
      </c>
      <c r="AS8" s="101">
        <v>9219.27</v>
      </c>
      <c r="AT8" s="101">
        <v>6477</v>
      </c>
      <c r="AU8" s="101">
        <v>116</v>
      </c>
      <c r="AV8" s="101">
        <v>2742.27</v>
      </c>
      <c r="AW8" s="101">
        <v>1042</v>
      </c>
      <c r="AX8" s="101">
        <v>1700.27</v>
      </c>
      <c r="AY8" s="101">
        <v>8177.2699999999995</v>
      </c>
      <c r="AZ8" s="101">
        <v>12532.97</v>
      </c>
      <c r="BA8" s="101">
        <v>8095</v>
      </c>
      <c r="BB8" s="101">
        <v>128</v>
      </c>
      <c r="BC8" s="101">
        <v>4437.9699999999993</v>
      </c>
      <c r="BD8" s="101">
        <v>1162</v>
      </c>
      <c r="BE8" s="101">
        <v>3275.9700000000003</v>
      </c>
      <c r="BF8" s="101">
        <v>11370.97</v>
      </c>
      <c r="BG8" s="101">
        <v>19384.719999999998</v>
      </c>
      <c r="BH8" s="101">
        <v>9917</v>
      </c>
      <c r="BI8" s="101">
        <v>140</v>
      </c>
      <c r="BJ8" s="101">
        <v>9467.7199999999993</v>
      </c>
      <c r="BK8" s="101">
        <v>1282</v>
      </c>
      <c r="BL8" s="101">
        <v>8185.72</v>
      </c>
      <c r="BM8" s="101">
        <v>18102.719999999998</v>
      </c>
      <c r="BN8" s="101">
        <v>3652.3199999999997</v>
      </c>
      <c r="BO8" s="101">
        <v>2043</v>
      </c>
      <c r="BP8" s="101">
        <v>62</v>
      </c>
      <c r="BQ8" s="101">
        <v>1609.3199999999997</v>
      </c>
      <c r="BR8" s="101">
        <v>1402</v>
      </c>
      <c r="BS8" s="101">
        <v>207.32</v>
      </c>
      <c r="BT8" s="101">
        <v>2250.3199999999997</v>
      </c>
      <c r="BU8" s="101">
        <v>3959.42</v>
      </c>
      <c r="BV8" s="101">
        <v>2194</v>
      </c>
      <c r="BW8" s="101">
        <v>65</v>
      </c>
      <c r="BX8" s="101">
        <v>1765.42</v>
      </c>
      <c r="BY8" s="101">
        <v>1522</v>
      </c>
      <c r="BZ8" s="101">
        <v>243.42000000000002</v>
      </c>
      <c r="CA8" s="101">
        <v>2437.42</v>
      </c>
      <c r="CB8" s="101">
        <v>4276.1499999999996</v>
      </c>
      <c r="CC8" s="101">
        <v>2351</v>
      </c>
      <c r="CD8" s="101">
        <v>68</v>
      </c>
      <c r="CE8" s="101">
        <v>1925.15</v>
      </c>
      <c r="CF8" s="101">
        <v>1642</v>
      </c>
      <c r="CG8" s="101">
        <v>283.14999999999998</v>
      </c>
      <c r="CH8" s="101">
        <v>2634.15</v>
      </c>
      <c r="CI8" s="101">
        <v>4602.6400000000003</v>
      </c>
      <c r="CJ8" s="101">
        <v>2514</v>
      </c>
      <c r="CK8" s="101">
        <v>71</v>
      </c>
      <c r="CL8" s="101">
        <v>2088.64</v>
      </c>
      <c r="CM8" s="101">
        <v>1762</v>
      </c>
      <c r="CN8" s="101">
        <v>326.64</v>
      </c>
      <c r="CO8" s="101">
        <v>2840.6400000000003</v>
      </c>
      <c r="CP8" s="101">
        <v>4939.04</v>
      </c>
      <c r="CQ8" s="101">
        <v>2683</v>
      </c>
      <c r="CR8" s="101">
        <v>74</v>
      </c>
      <c r="CS8" s="101">
        <v>2256.04</v>
      </c>
      <c r="CT8" s="101">
        <v>1882</v>
      </c>
      <c r="CU8" s="101">
        <v>374.04</v>
      </c>
      <c r="CV8" s="101">
        <v>3057.04</v>
      </c>
    </row>
    <row r="10" spans="1:100" x14ac:dyDescent="0.25">
      <c r="B10" s="102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3BB584-D13E-4A40-BEA2-18B52DA858F1}">
  <dimension ref="A1:IA97"/>
  <sheetViews>
    <sheetView workbookViewId="0">
      <selection activeCell="F27" sqref="F27"/>
    </sheetView>
  </sheetViews>
  <sheetFormatPr baseColWidth="10" defaultRowHeight="15" x14ac:dyDescent="0.25"/>
  <cols>
    <col min="2" max="2" width="15.85546875" style="115" customWidth="1"/>
    <col min="4" max="4" width="26.42578125" customWidth="1"/>
    <col min="6" max="6" width="20.140625" customWidth="1"/>
    <col min="7" max="7" width="24" customWidth="1"/>
    <col min="8" max="8" width="32.7109375" customWidth="1"/>
    <col min="9" max="9" width="13.85546875" style="116" customWidth="1"/>
    <col min="10" max="10" width="20.140625" customWidth="1"/>
    <col min="11" max="11" width="14.28515625" style="117" bestFit="1" customWidth="1"/>
    <col min="12" max="12" width="11.5703125" customWidth="1"/>
    <col min="13" max="13" width="45.85546875" bestFit="1" customWidth="1"/>
    <col min="15" max="15" width="14.28515625" customWidth="1"/>
    <col min="19" max="19" width="26.28515625" customWidth="1"/>
    <col min="20" max="20" width="14.28515625" style="118" customWidth="1"/>
    <col min="21" max="21" width="17.7109375" style="118" customWidth="1"/>
    <col min="22" max="22" width="21.140625" style="118" customWidth="1"/>
    <col min="23" max="23" width="19.5703125" style="119" customWidth="1"/>
    <col min="24" max="24" width="11.42578125" style="119"/>
    <col min="25" max="25" width="12" style="119" customWidth="1"/>
    <col min="26" max="26" width="17" style="119" customWidth="1"/>
    <col min="27" max="27" width="15.42578125" style="119" customWidth="1"/>
    <col min="28" max="28" width="15.85546875" style="119" customWidth="1"/>
    <col min="29" max="29" width="14.140625" style="119" customWidth="1"/>
    <col min="30" max="30" width="12.140625" style="119" customWidth="1"/>
    <col min="31" max="31" width="11.42578125" style="119"/>
    <col min="32" max="32" width="27.5703125" customWidth="1"/>
    <col min="33" max="33" width="14.28515625" style="119" customWidth="1"/>
    <col min="34" max="34" width="17.7109375" style="119" customWidth="1"/>
    <col min="35" max="35" width="21.140625" style="119" customWidth="1"/>
    <col min="36" max="36" width="19.5703125" style="119" customWidth="1"/>
    <col min="37" max="37" width="11.42578125" style="119"/>
    <col min="38" max="38" width="12" style="119" customWidth="1"/>
    <col min="39" max="39" width="17" style="119" customWidth="1"/>
    <col min="40" max="40" width="15.42578125" style="119" customWidth="1"/>
    <col min="41" max="41" width="15.85546875" style="119" customWidth="1"/>
    <col min="42" max="42" width="14.140625" style="119" customWidth="1"/>
    <col min="43" max="43" width="12.140625" style="119" customWidth="1"/>
    <col min="44" max="44" width="11.42578125" style="119"/>
    <col min="45" max="45" width="24.7109375" customWidth="1"/>
    <col min="46" max="46" width="14.28515625" style="119" customWidth="1"/>
    <col min="47" max="47" width="17.7109375" style="119" customWidth="1"/>
    <col min="48" max="48" width="21.140625" style="119" customWidth="1"/>
    <col min="49" max="49" width="19.5703125" style="119" customWidth="1"/>
    <col min="50" max="50" width="11.42578125" style="119"/>
    <col min="51" max="51" width="12" style="119" customWidth="1"/>
    <col min="52" max="52" width="17" style="119" customWidth="1"/>
    <col min="53" max="53" width="15.42578125" style="119" customWidth="1"/>
    <col min="54" max="54" width="15.85546875" style="119" customWidth="1"/>
    <col min="55" max="55" width="14.140625" style="119" customWidth="1"/>
    <col min="56" max="56" width="12.140625" style="119" customWidth="1"/>
    <col min="57" max="57" width="11.42578125" style="119"/>
    <col min="58" max="58" width="26.42578125" customWidth="1"/>
    <col min="59" max="59" width="14.28515625" style="119" customWidth="1"/>
    <col min="60" max="60" width="17.7109375" style="119" customWidth="1"/>
    <col min="61" max="61" width="21.140625" style="119" customWidth="1"/>
    <col min="62" max="62" width="19.5703125" style="119" customWidth="1"/>
    <col min="63" max="63" width="11.42578125" style="119"/>
    <col min="64" max="64" width="12" style="119" customWidth="1"/>
    <col min="65" max="65" width="17" style="119" customWidth="1"/>
    <col min="66" max="66" width="15.42578125" style="119" customWidth="1"/>
    <col min="67" max="67" width="15.85546875" style="119" customWidth="1"/>
    <col min="68" max="68" width="14.140625" style="119" customWidth="1"/>
    <col min="69" max="69" width="12.140625" style="119" customWidth="1"/>
    <col min="70" max="70" width="11.42578125" style="119"/>
    <col min="71" max="71" width="26.42578125" customWidth="1"/>
    <col min="72" max="72" width="14.28515625" style="119" customWidth="1"/>
    <col min="73" max="73" width="17.7109375" style="119" customWidth="1"/>
    <col min="74" max="74" width="21.140625" style="119" customWidth="1"/>
    <col min="75" max="75" width="19.5703125" style="119" customWidth="1"/>
    <col min="76" max="76" width="11.42578125" style="119"/>
    <col min="77" max="77" width="12" style="119" customWidth="1"/>
    <col min="78" max="78" width="17" style="119" customWidth="1"/>
    <col min="79" max="79" width="15.42578125" style="119" customWidth="1"/>
    <col min="80" max="80" width="15.85546875" style="119" customWidth="1"/>
    <col min="81" max="81" width="14.140625" style="119" customWidth="1"/>
    <col min="82" max="82" width="12.140625" style="119" customWidth="1"/>
    <col min="83" max="83" width="11.42578125" style="119"/>
    <col min="84" max="84" width="28.140625" customWidth="1"/>
    <col min="85" max="85" width="14.28515625" style="119" customWidth="1"/>
    <col min="86" max="86" width="17.7109375" style="119" customWidth="1"/>
    <col min="87" max="87" width="21.140625" style="119" customWidth="1"/>
    <col min="88" max="88" width="19.5703125" style="119" customWidth="1"/>
    <col min="89" max="89" width="11.42578125" style="119"/>
    <col min="90" max="90" width="12" style="119" customWidth="1"/>
    <col min="91" max="91" width="17" style="119" customWidth="1"/>
    <col min="92" max="92" width="15.42578125" style="119" customWidth="1"/>
    <col min="93" max="93" width="15.85546875" style="119" customWidth="1"/>
    <col min="94" max="94" width="14.140625" style="119" customWidth="1"/>
    <col min="95" max="95" width="12.140625" style="119" customWidth="1"/>
    <col min="96" max="96" width="11.42578125" style="119"/>
    <col min="97" max="97" width="28" customWidth="1"/>
    <col min="98" max="98" width="14.28515625" style="119" customWidth="1"/>
    <col min="99" max="99" width="17.7109375" style="119" customWidth="1"/>
    <col min="100" max="100" width="21.140625" style="119" customWidth="1"/>
    <col min="101" max="101" width="19.5703125" style="119" customWidth="1"/>
    <col min="102" max="102" width="11.42578125" style="119"/>
    <col min="103" max="103" width="12" style="119" customWidth="1"/>
    <col min="104" max="104" width="17" style="119" customWidth="1"/>
    <col min="105" max="105" width="15.42578125" style="119" customWidth="1"/>
    <col min="106" max="106" width="15.85546875" style="119" customWidth="1"/>
    <col min="107" max="107" width="14.140625" style="119" customWidth="1"/>
    <col min="108" max="108" width="12.140625" style="119" customWidth="1"/>
    <col min="109" max="109" width="11.42578125" style="119"/>
    <col min="110" max="110" width="34.42578125" customWidth="1"/>
    <col min="111" max="111" width="14.28515625" style="119" customWidth="1"/>
    <col min="112" max="112" width="17.7109375" style="119" customWidth="1"/>
    <col min="113" max="113" width="21.140625" style="119" customWidth="1"/>
    <col min="114" max="114" width="19.5703125" style="119" customWidth="1"/>
    <col min="115" max="115" width="11.42578125" style="119"/>
    <col min="116" max="116" width="12" style="119" customWidth="1"/>
    <col min="117" max="117" width="17" style="119" customWidth="1"/>
    <col min="118" max="118" width="15.42578125" style="119" customWidth="1"/>
    <col min="119" max="119" width="15.85546875" style="119" customWidth="1"/>
    <col min="120" max="120" width="14.140625" style="119" customWidth="1"/>
    <col min="121" max="121" width="12.140625" style="119" customWidth="1"/>
    <col min="122" max="122" width="11.42578125" style="119"/>
    <col min="123" max="123" width="30.140625" customWidth="1"/>
    <col min="124" max="124" width="14.28515625" style="119" customWidth="1"/>
    <col min="125" max="125" width="17.7109375" style="119" customWidth="1"/>
    <col min="126" max="126" width="21.140625" style="119" customWidth="1"/>
    <col min="127" max="127" width="19.5703125" style="119" customWidth="1"/>
    <col min="128" max="128" width="11.42578125" style="119"/>
    <col min="129" max="129" width="12" style="119" customWidth="1"/>
    <col min="130" max="130" width="17" style="119" customWidth="1"/>
    <col min="131" max="131" width="15.42578125" style="119" customWidth="1"/>
    <col min="132" max="132" width="15.85546875" style="119" customWidth="1"/>
    <col min="133" max="133" width="14.140625" style="119" customWidth="1"/>
    <col min="134" max="134" width="12.140625" style="119" customWidth="1"/>
    <col min="135" max="135" width="11.42578125" style="119"/>
    <col min="136" max="136" width="29.7109375" customWidth="1"/>
    <col min="137" max="137" width="15.42578125" style="119" customWidth="1"/>
    <col min="138" max="138" width="18.85546875" style="119" customWidth="1"/>
    <col min="139" max="139" width="22.28515625" style="119" customWidth="1"/>
    <col min="140" max="140" width="20.7109375" style="119" customWidth="1"/>
    <col min="141" max="141" width="12" style="119" customWidth="1"/>
    <col min="142" max="142" width="13.140625" style="119" customWidth="1"/>
    <col min="143" max="143" width="18.140625" style="119" customWidth="1"/>
    <col min="144" max="144" width="16.5703125" style="119" customWidth="1"/>
    <col min="145" max="145" width="17" style="119" customWidth="1"/>
    <col min="146" max="146" width="15.28515625" style="119" customWidth="1"/>
    <col min="147" max="147" width="13.28515625" style="119" customWidth="1"/>
    <col min="148" max="148" width="11.42578125" style="119"/>
    <col min="149" max="149" width="33.140625" customWidth="1"/>
    <col min="150" max="150" width="15.42578125" style="119" customWidth="1"/>
    <col min="151" max="151" width="18.85546875" style="119" customWidth="1"/>
    <col min="152" max="152" width="22.28515625" style="119" customWidth="1"/>
    <col min="153" max="153" width="20.7109375" style="119" customWidth="1"/>
    <col min="154" max="154" width="12" style="119" customWidth="1"/>
    <col min="155" max="155" width="13.140625" style="119" customWidth="1"/>
    <col min="156" max="156" width="18.140625" style="119" customWidth="1"/>
    <col min="157" max="157" width="16.5703125" style="119" customWidth="1"/>
    <col min="158" max="158" width="17" style="119" customWidth="1"/>
    <col min="159" max="159" width="15.28515625" style="119" customWidth="1"/>
    <col min="160" max="160" width="13.28515625" style="119" customWidth="1"/>
    <col min="161" max="161" width="11.42578125" style="119"/>
    <col min="162" max="162" width="30.7109375" customWidth="1"/>
    <col min="163" max="163" width="15.42578125" style="119" customWidth="1"/>
    <col min="164" max="164" width="18.85546875" style="119" customWidth="1"/>
    <col min="165" max="165" width="22.28515625" style="119" customWidth="1"/>
    <col min="166" max="166" width="20.7109375" style="119" customWidth="1"/>
    <col min="167" max="167" width="12" style="119" customWidth="1"/>
    <col min="168" max="168" width="13.140625" style="119" customWidth="1"/>
    <col min="169" max="169" width="18.140625" style="119" customWidth="1"/>
    <col min="170" max="170" width="16.5703125" style="119" customWidth="1"/>
    <col min="171" max="171" width="17" style="119" customWidth="1"/>
    <col min="172" max="172" width="15.28515625" style="119" customWidth="1"/>
    <col min="173" max="173" width="13.28515625" style="119" customWidth="1"/>
    <col min="174" max="174" width="11.42578125" style="119"/>
    <col min="175" max="175" width="22.85546875" customWidth="1"/>
    <col min="176" max="176" width="15.42578125" style="119" customWidth="1"/>
    <col min="177" max="177" width="18.85546875" style="119" customWidth="1"/>
    <col min="178" max="178" width="22.28515625" style="119" customWidth="1"/>
    <col min="179" max="179" width="20.7109375" style="119" customWidth="1"/>
    <col min="180" max="180" width="12" style="119" customWidth="1"/>
    <col min="181" max="181" width="13.140625" style="119" customWidth="1"/>
    <col min="182" max="182" width="18.140625" style="119" customWidth="1"/>
    <col min="183" max="183" width="16.5703125" style="119" customWidth="1"/>
    <col min="184" max="184" width="17" style="119" customWidth="1"/>
    <col min="185" max="185" width="15.28515625" style="119" customWidth="1"/>
    <col min="186" max="186" width="13.28515625" style="119" customWidth="1"/>
    <col min="187" max="187" width="11.42578125" style="119"/>
    <col min="188" max="188" width="22.85546875" customWidth="1"/>
    <col min="189" max="189" width="15.42578125" style="119" customWidth="1"/>
    <col min="190" max="190" width="18.85546875" style="119" customWidth="1"/>
    <col min="191" max="191" width="22.28515625" style="119" customWidth="1"/>
    <col min="192" max="192" width="20.7109375" style="119" customWidth="1"/>
    <col min="193" max="193" width="12" style="119" customWidth="1"/>
    <col min="194" max="194" width="13.140625" style="119" customWidth="1"/>
    <col min="195" max="195" width="18.140625" style="119" customWidth="1"/>
    <col min="196" max="196" width="16.5703125" style="119" customWidth="1"/>
    <col min="197" max="197" width="17" style="119" customWidth="1"/>
    <col min="198" max="198" width="15.28515625" style="119" customWidth="1"/>
    <col min="199" max="199" width="13.28515625" style="119" customWidth="1"/>
    <col min="200" max="200" width="11.42578125" style="119"/>
    <col min="218" max="218" width="11.42578125" style="121"/>
    <col min="219" max="219" width="12" bestFit="1" customWidth="1"/>
    <col min="228" max="228" width="14.28515625" bestFit="1" customWidth="1"/>
    <col min="233" max="235" width="11.42578125" style="119"/>
  </cols>
  <sheetData>
    <row r="1" spans="1:235" s="99" customFormat="1" ht="73.5" customHeight="1" x14ac:dyDescent="0.25">
      <c r="A1" s="104" t="s">
        <v>158</v>
      </c>
      <c r="B1" s="105" t="s">
        <v>159</v>
      </c>
      <c r="C1" s="106" t="s">
        <v>160</v>
      </c>
      <c r="D1" s="106" t="s">
        <v>161</v>
      </c>
      <c r="E1" s="106" t="s">
        <v>162</v>
      </c>
      <c r="F1" s="106" t="s">
        <v>163</v>
      </c>
      <c r="G1" s="106" t="s">
        <v>164</v>
      </c>
      <c r="H1" s="106" t="s">
        <v>165</v>
      </c>
      <c r="I1" s="107" t="s">
        <v>166</v>
      </c>
      <c r="J1" s="106" t="s">
        <v>167</v>
      </c>
      <c r="K1" s="108" t="s">
        <v>168</v>
      </c>
      <c r="L1" s="106" t="s">
        <v>169</v>
      </c>
      <c r="M1" s="106" t="s">
        <v>170</v>
      </c>
      <c r="N1" s="106" t="s">
        <v>171</v>
      </c>
      <c r="O1" s="106" t="s">
        <v>172</v>
      </c>
      <c r="P1" s="106" t="s">
        <v>173</v>
      </c>
      <c r="Q1" s="106" t="s">
        <v>174</v>
      </c>
      <c r="R1" s="106" t="s">
        <v>175</v>
      </c>
      <c r="S1" s="109" t="s">
        <v>176</v>
      </c>
      <c r="T1" s="110" t="s">
        <v>177</v>
      </c>
      <c r="U1" s="110" t="s">
        <v>178</v>
      </c>
      <c r="V1" s="110" t="s">
        <v>179</v>
      </c>
      <c r="W1" s="111" t="s">
        <v>180</v>
      </c>
      <c r="X1" s="111" t="s">
        <v>181</v>
      </c>
      <c r="Y1" s="111" t="s">
        <v>182</v>
      </c>
      <c r="Z1" s="111" t="s">
        <v>183</v>
      </c>
      <c r="AA1" s="111" t="s">
        <v>184</v>
      </c>
      <c r="AB1" s="111" t="s">
        <v>185</v>
      </c>
      <c r="AC1" s="111" t="s">
        <v>186</v>
      </c>
      <c r="AD1" s="111" t="s">
        <v>187</v>
      </c>
      <c r="AE1" s="111" t="s">
        <v>188</v>
      </c>
      <c r="AF1" s="106" t="s">
        <v>189</v>
      </c>
      <c r="AG1" s="112" t="s">
        <v>190</v>
      </c>
      <c r="AH1" s="112" t="s">
        <v>191</v>
      </c>
      <c r="AI1" s="112" t="s">
        <v>192</v>
      </c>
      <c r="AJ1" s="112" t="s">
        <v>193</v>
      </c>
      <c r="AK1" s="112" t="s">
        <v>194</v>
      </c>
      <c r="AL1" s="112" t="s">
        <v>195</v>
      </c>
      <c r="AM1" s="112" t="s">
        <v>196</v>
      </c>
      <c r="AN1" s="112" t="s">
        <v>197</v>
      </c>
      <c r="AO1" s="112" t="s">
        <v>198</v>
      </c>
      <c r="AP1" s="112" t="s">
        <v>199</v>
      </c>
      <c r="AQ1" s="112" t="s">
        <v>200</v>
      </c>
      <c r="AR1" s="112" t="s">
        <v>201</v>
      </c>
      <c r="AS1" s="109" t="s">
        <v>202</v>
      </c>
      <c r="AT1" s="110" t="s">
        <v>203</v>
      </c>
      <c r="AU1" s="110" t="s">
        <v>204</v>
      </c>
      <c r="AV1" s="110" t="s">
        <v>205</v>
      </c>
      <c r="AW1" s="111" t="s">
        <v>206</v>
      </c>
      <c r="AX1" s="111" t="s">
        <v>207</v>
      </c>
      <c r="AY1" s="111" t="s">
        <v>208</v>
      </c>
      <c r="AZ1" s="111" t="s">
        <v>209</v>
      </c>
      <c r="BA1" s="111" t="s">
        <v>210</v>
      </c>
      <c r="BB1" s="111" t="s">
        <v>211</v>
      </c>
      <c r="BC1" s="111" t="s">
        <v>212</v>
      </c>
      <c r="BD1" s="111" t="s">
        <v>213</v>
      </c>
      <c r="BE1" s="111" t="s">
        <v>214</v>
      </c>
      <c r="BF1" s="106" t="s">
        <v>215</v>
      </c>
      <c r="BG1" s="112" t="s">
        <v>216</v>
      </c>
      <c r="BH1" s="112" t="s">
        <v>217</v>
      </c>
      <c r="BI1" s="112" t="s">
        <v>218</v>
      </c>
      <c r="BJ1" s="112" t="s">
        <v>219</v>
      </c>
      <c r="BK1" s="112" t="s">
        <v>220</v>
      </c>
      <c r="BL1" s="112" t="s">
        <v>221</v>
      </c>
      <c r="BM1" s="112" t="s">
        <v>222</v>
      </c>
      <c r="BN1" s="112" t="s">
        <v>223</v>
      </c>
      <c r="BO1" s="112" t="s">
        <v>224</v>
      </c>
      <c r="BP1" s="112" t="s">
        <v>225</v>
      </c>
      <c r="BQ1" s="112" t="s">
        <v>226</v>
      </c>
      <c r="BR1" s="112" t="s">
        <v>227</v>
      </c>
      <c r="BS1" s="109" t="s">
        <v>228</v>
      </c>
      <c r="BT1" s="110" t="s">
        <v>229</v>
      </c>
      <c r="BU1" s="110" t="s">
        <v>230</v>
      </c>
      <c r="BV1" s="110" t="s">
        <v>231</v>
      </c>
      <c r="BW1" s="111" t="s">
        <v>232</v>
      </c>
      <c r="BX1" s="111" t="s">
        <v>233</v>
      </c>
      <c r="BY1" s="111" t="s">
        <v>234</v>
      </c>
      <c r="BZ1" s="111" t="s">
        <v>235</v>
      </c>
      <c r="CA1" s="111" t="s">
        <v>236</v>
      </c>
      <c r="CB1" s="111" t="s">
        <v>237</v>
      </c>
      <c r="CC1" s="111" t="s">
        <v>238</v>
      </c>
      <c r="CD1" s="111" t="s">
        <v>239</v>
      </c>
      <c r="CE1" s="111" t="s">
        <v>240</v>
      </c>
      <c r="CF1" s="106" t="s">
        <v>241</v>
      </c>
      <c r="CG1" s="112" t="s">
        <v>242</v>
      </c>
      <c r="CH1" s="112" t="s">
        <v>243</v>
      </c>
      <c r="CI1" s="112" t="s">
        <v>244</v>
      </c>
      <c r="CJ1" s="112" t="s">
        <v>245</v>
      </c>
      <c r="CK1" s="112" t="s">
        <v>246</v>
      </c>
      <c r="CL1" s="112" t="s">
        <v>247</v>
      </c>
      <c r="CM1" s="112" t="s">
        <v>248</v>
      </c>
      <c r="CN1" s="112" t="s">
        <v>249</v>
      </c>
      <c r="CO1" s="112" t="s">
        <v>250</v>
      </c>
      <c r="CP1" s="112" t="s">
        <v>251</v>
      </c>
      <c r="CQ1" s="112" t="s">
        <v>252</v>
      </c>
      <c r="CR1" s="112" t="s">
        <v>253</v>
      </c>
      <c r="CS1" s="109" t="s">
        <v>254</v>
      </c>
      <c r="CT1" s="110" t="s">
        <v>255</v>
      </c>
      <c r="CU1" s="110" t="s">
        <v>256</v>
      </c>
      <c r="CV1" s="110" t="s">
        <v>257</v>
      </c>
      <c r="CW1" s="111" t="s">
        <v>258</v>
      </c>
      <c r="CX1" s="111" t="s">
        <v>259</v>
      </c>
      <c r="CY1" s="111" t="s">
        <v>260</v>
      </c>
      <c r="CZ1" s="111" t="s">
        <v>261</v>
      </c>
      <c r="DA1" s="111" t="s">
        <v>262</v>
      </c>
      <c r="DB1" s="111" t="s">
        <v>263</v>
      </c>
      <c r="DC1" s="111" t="s">
        <v>264</v>
      </c>
      <c r="DD1" s="111" t="s">
        <v>265</v>
      </c>
      <c r="DE1" s="111" t="s">
        <v>266</v>
      </c>
      <c r="DF1" s="106" t="s">
        <v>267</v>
      </c>
      <c r="DG1" s="112" t="s">
        <v>268</v>
      </c>
      <c r="DH1" s="112" t="s">
        <v>269</v>
      </c>
      <c r="DI1" s="112" t="s">
        <v>270</v>
      </c>
      <c r="DJ1" s="112" t="s">
        <v>271</v>
      </c>
      <c r="DK1" s="112" t="s">
        <v>272</v>
      </c>
      <c r="DL1" s="112" t="s">
        <v>273</v>
      </c>
      <c r="DM1" s="112" t="s">
        <v>274</v>
      </c>
      <c r="DN1" s="112" t="s">
        <v>275</v>
      </c>
      <c r="DO1" s="112" t="s">
        <v>276</v>
      </c>
      <c r="DP1" s="112" t="s">
        <v>277</v>
      </c>
      <c r="DQ1" s="112" t="s">
        <v>278</v>
      </c>
      <c r="DR1" s="112" t="s">
        <v>279</v>
      </c>
      <c r="DS1" s="109" t="s">
        <v>280</v>
      </c>
      <c r="DT1" s="110" t="s">
        <v>281</v>
      </c>
      <c r="DU1" s="110" t="s">
        <v>282</v>
      </c>
      <c r="DV1" s="110" t="s">
        <v>283</v>
      </c>
      <c r="DW1" s="111" t="s">
        <v>284</v>
      </c>
      <c r="DX1" s="111" t="s">
        <v>285</v>
      </c>
      <c r="DY1" s="111" t="s">
        <v>286</v>
      </c>
      <c r="DZ1" s="111" t="s">
        <v>287</v>
      </c>
      <c r="EA1" s="111" t="s">
        <v>288</v>
      </c>
      <c r="EB1" s="111" t="s">
        <v>289</v>
      </c>
      <c r="EC1" s="111" t="s">
        <v>290</v>
      </c>
      <c r="ED1" s="111" t="s">
        <v>291</v>
      </c>
      <c r="EE1" s="111" t="s">
        <v>292</v>
      </c>
      <c r="EF1" s="106" t="s">
        <v>293</v>
      </c>
      <c r="EG1" s="112" t="s">
        <v>294</v>
      </c>
      <c r="EH1" s="112" t="s">
        <v>295</v>
      </c>
      <c r="EI1" s="112" t="s">
        <v>296</v>
      </c>
      <c r="EJ1" s="112" t="s">
        <v>297</v>
      </c>
      <c r="EK1" s="112" t="s">
        <v>298</v>
      </c>
      <c r="EL1" s="112" t="s">
        <v>299</v>
      </c>
      <c r="EM1" s="112" t="s">
        <v>300</v>
      </c>
      <c r="EN1" s="112" t="s">
        <v>301</v>
      </c>
      <c r="EO1" s="112" t="s">
        <v>302</v>
      </c>
      <c r="EP1" s="112" t="s">
        <v>303</v>
      </c>
      <c r="EQ1" s="112" t="s">
        <v>304</v>
      </c>
      <c r="ER1" s="112" t="s">
        <v>305</v>
      </c>
      <c r="ES1" s="109" t="s">
        <v>306</v>
      </c>
      <c r="ET1" s="110" t="s">
        <v>307</v>
      </c>
      <c r="EU1" s="110" t="s">
        <v>308</v>
      </c>
      <c r="EV1" s="110" t="s">
        <v>309</v>
      </c>
      <c r="EW1" s="111" t="s">
        <v>310</v>
      </c>
      <c r="EX1" s="111" t="s">
        <v>311</v>
      </c>
      <c r="EY1" s="111" t="s">
        <v>312</v>
      </c>
      <c r="EZ1" s="111" t="s">
        <v>313</v>
      </c>
      <c r="FA1" s="111" t="s">
        <v>314</v>
      </c>
      <c r="FB1" s="111" t="s">
        <v>315</v>
      </c>
      <c r="FC1" s="111" t="s">
        <v>316</v>
      </c>
      <c r="FD1" s="111" t="s">
        <v>317</v>
      </c>
      <c r="FE1" s="111" t="s">
        <v>318</v>
      </c>
      <c r="FF1" s="106" t="s">
        <v>319</v>
      </c>
      <c r="FG1" s="112" t="s">
        <v>320</v>
      </c>
      <c r="FH1" s="112" t="s">
        <v>321</v>
      </c>
      <c r="FI1" s="112" t="s">
        <v>322</v>
      </c>
      <c r="FJ1" s="112" t="s">
        <v>323</v>
      </c>
      <c r="FK1" s="112" t="s">
        <v>324</v>
      </c>
      <c r="FL1" s="112" t="s">
        <v>325</v>
      </c>
      <c r="FM1" s="112" t="s">
        <v>326</v>
      </c>
      <c r="FN1" s="112" t="s">
        <v>327</v>
      </c>
      <c r="FO1" s="112" t="s">
        <v>328</v>
      </c>
      <c r="FP1" s="112" t="s">
        <v>329</v>
      </c>
      <c r="FQ1" s="112" t="s">
        <v>330</v>
      </c>
      <c r="FR1" s="112" t="s">
        <v>331</v>
      </c>
      <c r="FS1" s="109" t="s">
        <v>332</v>
      </c>
      <c r="FT1" s="110" t="s">
        <v>333</v>
      </c>
      <c r="FU1" s="110" t="s">
        <v>334</v>
      </c>
      <c r="FV1" s="110" t="s">
        <v>335</v>
      </c>
      <c r="FW1" s="111" t="s">
        <v>336</v>
      </c>
      <c r="FX1" s="111" t="s">
        <v>337</v>
      </c>
      <c r="FY1" s="111" t="s">
        <v>338</v>
      </c>
      <c r="FZ1" s="111" t="s">
        <v>339</v>
      </c>
      <c r="GA1" s="111" t="s">
        <v>340</v>
      </c>
      <c r="GB1" s="111" t="s">
        <v>341</v>
      </c>
      <c r="GC1" s="111" t="s">
        <v>342</v>
      </c>
      <c r="GD1" s="111" t="s">
        <v>343</v>
      </c>
      <c r="GE1" s="111" t="s">
        <v>344</v>
      </c>
      <c r="GF1" s="106" t="s">
        <v>345</v>
      </c>
      <c r="GG1" s="112" t="s">
        <v>346</v>
      </c>
      <c r="GH1" s="112" t="s">
        <v>347</v>
      </c>
      <c r="GI1" s="112" t="s">
        <v>348</v>
      </c>
      <c r="GJ1" s="112" t="s">
        <v>349</v>
      </c>
      <c r="GK1" s="112" t="s">
        <v>350</v>
      </c>
      <c r="GL1" s="112" t="s">
        <v>351</v>
      </c>
      <c r="GM1" s="112" t="s">
        <v>352</v>
      </c>
      <c r="GN1" s="112" t="s">
        <v>353</v>
      </c>
      <c r="GO1" s="112" t="s">
        <v>354</v>
      </c>
      <c r="GP1" s="112" t="s">
        <v>355</v>
      </c>
      <c r="GQ1" s="112" t="s">
        <v>356</v>
      </c>
      <c r="GR1" s="112" t="s">
        <v>357</v>
      </c>
      <c r="GT1" s="113" t="s">
        <v>358</v>
      </c>
      <c r="GU1" s="113" t="s">
        <v>359</v>
      </c>
      <c r="GV1" s="113" t="s">
        <v>360</v>
      </c>
      <c r="GW1" s="113" t="s">
        <v>361</v>
      </c>
      <c r="GX1" s="113" t="s">
        <v>22</v>
      </c>
      <c r="GY1" s="113" t="s">
        <v>362</v>
      </c>
      <c r="GZ1" s="113" t="s">
        <v>363</v>
      </c>
      <c r="HA1" s="113" t="s">
        <v>364</v>
      </c>
      <c r="HB1" s="113" t="s">
        <v>365</v>
      </c>
      <c r="HC1" s="113" t="s">
        <v>44</v>
      </c>
      <c r="HD1" s="112" t="s">
        <v>366</v>
      </c>
      <c r="HE1" s="113" t="s">
        <v>367</v>
      </c>
      <c r="HF1" s="99" t="s">
        <v>357</v>
      </c>
      <c r="HG1" s="104" t="s">
        <v>158</v>
      </c>
      <c r="HH1" s="106" t="s">
        <v>368</v>
      </c>
      <c r="HI1"/>
      <c r="HJ1" s="114" t="s">
        <v>158</v>
      </c>
      <c r="HK1" s="106" t="s">
        <v>159</v>
      </c>
      <c r="HL1" s="106" t="s">
        <v>160</v>
      </c>
      <c r="HM1" s="106" t="s">
        <v>161</v>
      </c>
      <c r="HN1" s="106" t="s">
        <v>162</v>
      </c>
      <c r="HO1" s="106" t="s">
        <v>163</v>
      </c>
      <c r="HP1" s="106" t="s">
        <v>164</v>
      </c>
      <c r="HQ1" s="106" t="s">
        <v>165</v>
      </c>
      <c r="HR1" s="107" t="s">
        <v>166</v>
      </c>
      <c r="HS1" s="106" t="s">
        <v>167</v>
      </c>
      <c r="HT1" s="108" t="s">
        <v>168</v>
      </c>
      <c r="HU1" s="106" t="s">
        <v>169</v>
      </c>
      <c r="HV1" s="106" t="s">
        <v>170</v>
      </c>
      <c r="HW1" s="106" t="s">
        <v>171</v>
      </c>
      <c r="HX1" s="106" t="s">
        <v>172</v>
      </c>
      <c r="HY1" s="112" t="s">
        <v>173</v>
      </c>
      <c r="HZ1" s="112" t="s">
        <v>174</v>
      </c>
      <c r="IA1" s="112" t="s">
        <v>175</v>
      </c>
    </row>
    <row r="2" spans="1:235" x14ac:dyDescent="0.25">
      <c r="A2">
        <v>1</v>
      </c>
      <c r="B2" s="115">
        <v>43101</v>
      </c>
      <c r="C2" t="s">
        <v>369</v>
      </c>
      <c r="D2" t="s">
        <v>370</v>
      </c>
      <c r="E2" t="s">
        <v>371</v>
      </c>
      <c r="F2" t="s">
        <v>372</v>
      </c>
      <c r="H2" t="s">
        <v>373</v>
      </c>
      <c r="I2" s="116">
        <v>39100</v>
      </c>
      <c r="J2" t="s">
        <v>374</v>
      </c>
      <c r="K2" s="117" t="s">
        <v>375</v>
      </c>
      <c r="L2">
        <v>4586</v>
      </c>
      <c r="M2" t="s">
        <v>376</v>
      </c>
      <c r="N2" t="s">
        <v>154</v>
      </c>
      <c r="O2" t="s">
        <v>377</v>
      </c>
      <c r="P2">
        <v>4457.1400000000003</v>
      </c>
      <c r="Q2">
        <v>3714.29</v>
      </c>
      <c r="R2">
        <v>742.86</v>
      </c>
      <c r="S2" t="s">
        <v>378</v>
      </c>
      <c r="T2" s="118">
        <v>500</v>
      </c>
      <c r="U2" s="118">
        <v>214.29</v>
      </c>
      <c r="V2" s="118">
        <v>714.29</v>
      </c>
      <c r="W2" s="119">
        <v>30</v>
      </c>
      <c r="X2" s="119">
        <v>50</v>
      </c>
      <c r="Y2" s="119">
        <v>60</v>
      </c>
      <c r="Z2" s="119">
        <v>3000</v>
      </c>
      <c r="AA2" s="119">
        <v>3214.29</v>
      </c>
      <c r="AB2" s="119">
        <v>64.290000000000006</v>
      </c>
      <c r="AC2" s="119">
        <v>3714.29</v>
      </c>
      <c r="AD2" s="119">
        <v>20</v>
      </c>
      <c r="AE2" s="119">
        <v>742.86</v>
      </c>
      <c r="AF2" t="s">
        <v>379</v>
      </c>
      <c r="AG2" s="119">
        <v>0</v>
      </c>
      <c r="AH2" s="119">
        <v>0</v>
      </c>
      <c r="AI2" s="119">
        <v>0</v>
      </c>
      <c r="AJ2" s="119">
        <v>0</v>
      </c>
      <c r="AK2" s="119">
        <v>0</v>
      </c>
      <c r="AL2" s="119">
        <v>0</v>
      </c>
      <c r="AM2" s="119">
        <v>0</v>
      </c>
      <c r="AN2" s="119">
        <v>0</v>
      </c>
      <c r="AO2" s="119">
        <v>0</v>
      </c>
      <c r="AP2" s="119">
        <v>0</v>
      </c>
      <c r="AQ2" s="119">
        <v>20</v>
      </c>
      <c r="AR2" s="119">
        <v>0</v>
      </c>
      <c r="AS2" t="s">
        <v>380</v>
      </c>
      <c r="AT2" s="119">
        <v>0</v>
      </c>
      <c r="AU2" s="119">
        <v>0</v>
      </c>
      <c r="AV2" s="119">
        <v>0</v>
      </c>
      <c r="AW2" s="119">
        <v>0</v>
      </c>
      <c r="AX2" s="119">
        <v>0</v>
      </c>
      <c r="AY2" s="119">
        <v>0</v>
      </c>
      <c r="AZ2" s="119">
        <v>0</v>
      </c>
      <c r="BA2" s="119">
        <v>0</v>
      </c>
      <c r="BB2" s="119">
        <v>0</v>
      </c>
      <c r="BC2" s="119">
        <v>0</v>
      </c>
      <c r="BD2" s="119">
        <v>20</v>
      </c>
      <c r="BE2" s="119">
        <v>0</v>
      </c>
      <c r="BF2" t="s">
        <v>381</v>
      </c>
      <c r="BG2" s="119">
        <v>0</v>
      </c>
      <c r="BH2" s="119">
        <v>0</v>
      </c>
      <c r="BI2" s="119">
        <v>0</v>
      </c>
      <c r="BJ2" s="119">
        <v>0</v>
      </c>
      <c r="BK2" s="119">
        <v>0</v>
      </c>
      <c r="BL2" s="119">
        <v>0</v>
      </c>
      <c r="BM2" s="119">
        <v>0</v>
      </c>
      <c r="BN2" s="119">
        <v>0</v>
      </c>
      <c r="BO2" s="119">
        <v>0</v>
      </c>
      <c r="BP2" s="119">
        <v>0</v>
      </c>
      <c r="BQ2" s="119">
        <v>20</v>
      </c>
      <c r="BR2" s="119">
        <v>0</v>
      </c>
      <c r="BS2" t="s">
        <v>382</v>
      </c>
      <c r="BT2" s="119">
        <v>0</v>
      </c>
      <c r="BU2" s="119">
        <v>0</v>
      </c>
      <c r="BV2" s="119">
        <v>0</v>
      </c>
      <c r="BW2" s="119">
        <v>0</v>
      </c>
      <c r="BX2" s="119">
        <v>0</v>
      </c>
      <c r="BY2" s="119">
        <v>0</v>
      </c>
      <c r="BZ2" s="119">
        <v>0</v>
      </c>
      <c r="CA2" s="119">
        <v>0</v>
      </c>
      <c r="CB2" s="119">
        <v>0</v>
      </c>
      <c r="CC2" s="119">
        <v>0</v>
      </c>
      <c r="CD2" s="119">
        <v>20</v>
      </c>
      <c r="CE2" s="119">
        <v>0</v>
      </c>
      <c r="CF2" t="s">
        <v>383</v>
      </c>
      <c r="CG2" s="119">
        <v>0</v>
      </c>
      <c r="CH2" s="119">
        <v>0</v>
      </c>
      <c r="CI2" s="119">
        <v>0</v>
      </c>
      <c r="CJ2" s="119">
        <v>0</v>
      </c>
      <c r="CK2" s="119">
        <v>0</v>
      </c>
      <c r="CL2" s="119">
        <v>0</v>
      </c>
      <c r="CM2" s="119">
        <v>0</v>
      </c>
      <c r="CN2" s="119">
        <v>0</v>
      </c>
      <c r="CO2" s="119">
        <v>0</v>
      </c>
      <c r="CP2" s="119">
        <v>0</v>
      </c>
      <c r="CQ2" s="119">
        <v>20</v>
      </c>
      <c r="CR2" s="119">
        <v>0</v>
      </c>
      <c r="CS2" t="s">
        <v>384</v>
      </c>
      <c r="CT2" s="119">
        <v>0</v>
      </c>
      <c r="CU2" s="119">
        <v>0</v>
      </c>
      <c r="CV2" s="119">
        <v>0</v>
      </c>
      <c r="CW2" s="119">
        <v>0</v>
      </c>
      <c r="CX2" s="119">
        <v>0</v>
      </c>
      <c r="CY2" s="119">
        <v>0</v>
      </c>
      <c r="CZ2" s="119">
        <v>0</v>
      </c>
      <c r="DA2" s="119">
        <v>0</v>
      </c>
      <c r="DB2" s="119">
        <v>0</v>
      </c>
      <c r="DC2" s="119">
        <v>0</v>
      </c>
      <c r="DD2" s="119">
        <v>20</v>
      </c>
      <c r="DE2" s="119">
        <v>0</v>
      </c>
      <c r="DF2" t="s">
        <v>385</v>
      </c>
      <c r="DG2" s="119">
        <v>0</v>
      </c>
      <c r="DH2" s="119">
        <v>0</v>
      </c>
      <c r="DI2" s="119">
        <v>0</v>
      </c>
      <c r="DJ2" s="119">
        <v>0</v>
      </c>
      <c r="DK2" s="119">
        <v>0</v>
      </c>
      <c r="DL2" s="119">
        <v>0</v>
      </c>
      <c r="DM2" s="119">
        <v>0</v>
      </c>
      <c r="DN2" s="119">
        <v>0</v>
      </c>
      <c r="DO2" s="119">
        <v>0</v>
      </c>
      <c r="DP2" s="119">
        <v>0</v>
      </c>
      <c r="DQ2" s="119">
        <v>20</v>
      </c>
      <c r="DR2" s="119">
        <v>0</v>
      </c>
      <c r="DS2" t="s">
        <v>386</v>
      </c>
      <c r="DT2" s="119">
        <v>0</v>
      </c>
      <c r="DU2" s="119">
        <v>0</v>
      </c>
      <c r="DV2" s="119">
        <v>0</v>
      </c>
      <c r="DW2" s="119">
        <v>0</v>
      </c>
      <c r="DX2" s="119">
        <v>0</v>
      </c>
      <c r="DY2" s="119">
        <v>0</v>
      </c>
      <c r="DZ2" s="119">
        <v>0</v>
      </c>
      <c r="EA2" s="119">
        <v>0</v>
      </c>
      <c r="EB2" s="119">
        <v>0</v>
      </c>
      <c r="EC2" s="119">
        <v>0</v>
      </c>
      <c r="ED2" s="119">
        <v>20</v>
      </c>
      <c r="EE2" s="119">
        <v>0</v>
      </c>
      <c r="EF2" t="s">
        <v>387</v>
      </c>
      <c r="EG2" s="119">
        <v>0</v>
      </c>
      <c r="EH2" s="119">
        <v>0</v>
      </c>
      <c r="EI2" s="119">
        <v>0</v>
      </c>
      <c r="EJ2" s="119">
        <v>0</v>
      </c>
      <c r="EK2" s="119">
        <v>0</v>
      </c>
      <c r="EL2" s="119">
        <v>0</v>
      </c>
      <c r="EM2" s="119">
        <v>0</v>
      </c>
      <c r="EN2" s="119">
        <v>0</v>
      </c>
      <c r="EO2" s="119">
        <v>0</v>
      </c>
      <c r="EP2" s="119">
        <v>0</v>
      </c>
      <c r="EQ2" s="119">
        <v>20</v>
      </c>
      <c r="ER2" s="119">
        <v>0</v>
      </c>
      <c r="ES2" t="s">
        <v>388</v>
      </c>
      <c r="ET2" s="119">
        <v>0</v>
      </c>
      <c r="EU2" s="119">
        <v>0</v>
      </c>
      <c r="EV2" s="119">
        <v>0</v>
      </c>
      <c r="EW2" s="119">
        <v>0</v>
      </c>
      <c r="EX2" s="119">
        <v>0</v>
      </c>
      <c r="EY2" s="119">
        <v>0</v>
      </c>
      <c r="EZ2" s="119">
        <v>0</v>
      </c>
      <c r="FA2" s="119">
        <v>0</v>
      </c>
      <c r="FB2" s="119">
        <v>0</v>
      </c>
      <c r="FC2" s="119">
        <v>0</v>
      </c>
      <c r="FD2" s="119">
        <v>20</v>
      </c>
      <c r="FE2" s="119">
        <v>0</v>
      </c>
      <c r="FF2" t="s">
        <v>389</v>
      </c>
      <c r="FG2" s="119">
        <v>0</v>
      </c>
      <c r="FH2" s="119">
        <v>0</v>
      </c>
      <c r="FI2" s="119">
        <v>0</v>
      </c>
      <c r="FJ2" s="119">
        <v>0</v>
      </c>
      <c r="FK2" s="119">
        <v>0</v>
      </c>
      <c r="FL2" s="119">
        <v>0</v>
      </c>
      <c r="FM2" s="119">
        <v>0</v>
      </c>
      <c r="FN2" s="119">
        <v>0</v>
      </c>
      <c r="FO2" s="119">
        <v>0</v>
      </c>
      <c r="FP2" s="119">
        <v>0</v>
      </c>
      <c r="FQ2" s="119">
        <v>20</v>
      </c>
      <c r="FR2" s="119">
        <v>0</v>
      </c>
      <c r="FS2" t="s">
        <v>390</v>
      </c>
      <c r="FT2" s="119">
        <v>0</v>
      </c>
      <c r="FU2" s="119">
        <v>0</v>
      </c>
      <c r="FV2" s="119">
        <v>0</v>
      </c>
      <c r="FW2" s="119">
        <v>0</v>
      </c>
      <c r="FX2" s="119">
        <v>0</v>
      </c>
      <c r="FY2" s="119">
        <v>0</v>
      </c>
      <c r="FZ2" s="119">
        <v>0</v>
      </c>
      <c r="GA2" s="119">
        <v>0</v>
      </c>
      <c r="GB2" s="119">
        <v>0</v>
      </c>
      <c r="GC2" s="119">
        <v>0</v>
      </c>
      <c r="GD2" s="119">
        <v>20</v>
      </c>
      <c r="GE2" s="119">
        <v>0</v>
      </c>
      <c r="GF2" t="s">
        <v>391</v>
      </c>
      <c r="GG2" s="119">
        <v>0</v>
      </c>
      <c r="GH2" s="119">
        <v>0</v>
      </c>
      <c r="GI2" s="119">
        <v>0</v>
      </c>
      <c r="GJ2" s="119">
        <v>0</v>
      </c>
      <c r="GK2" s="119">
        <v>0</v>
      </c>
      <c r="GL2" s="119">
        <v>0</v>
      </c>
      <c r="GM2" s="119">
        <v>0</v>
      </c>
      <c r="GN2" s="119">
        <v>0</v>
      </c>
      <c r="GO2" s="119">
        <v>0</v>
      </c>
      <c r="GP2" s="119">
        <v>0</v>
      </c>
      <c r="GQ2" s="119">
        <v>20</v>
      </c>
      <c r="GR2" s="119">
        <v>0</v>
      </c>
      <c r="GT2" s="102"/>
      <c r="GU2" s="119"/>
      <c r="GV2" s="119"/>
      <c r="GW2" s="119"/>
      <c r="GX2" s="119"/>
      <c r="GY2" s="119"/>
      <c r="GZ2" s="119"/>
      <c r="HA2" s="119"/>
      <c r="HB2" s="119"/>
      <c r="HC2" s="119"/>
      <c r="HD2" s="119"/>
      <c r="HG2">
        <v>16</v>
      </c>
      <c r="HH2" s="120">
        <f>COUNTA(HM2:HM9992)</f>
        <v>1</v>
      </c>
      <c r="HJ2">
        <v>16</v>
      </c>
      <c r="HK2" s="115">
        <v>43297</v>
      </c>
      <c r="HL2" t="s">
        <v>392</v>
      </c>
      <c r="HM2" t="s">
        <v>393</v>
      </c>
      <c r="HN2" t="s">
        <v>394</v>
      </c>
      <c r="HO2" t="s">
        <v>395</v>
      </c>
      <c r="HP2" t="s">
        <v>396</v>
      </c>
      <c r="HQ2" t="s">
        <v>397</v>
      </c>
      <c r="HR2" s="116">
        <v>2500</v>
      </c>
      <c r="HS2" t="s">
        <v>398</v>
      </c>
      <c r="HT2" s="117" t="s">
        <v>399</v>
      </c>
      <c r="HU2">
        <v>8646</v>
      </c>
      <c r="HV2">
        <v>25675</v>
      </c>
      <c r="HW2" t="s">
        <v>154</v>
      </c>
      <c r="HX2">
        <v>8546</v>
      </c>
      <c r="HY2">
        <v>5805.71</v>
      </c>
      <c r="HZ2">
        <v>4838.1000000000004</v>
      </c>
      <c r="IA2">
        <v>967.62</v>
      </c>
    </row>
    <row r="3" spans="1:235" x14ac:dyDescent="0.25">
      <c r="A3">
        <v>2</v>
      </c>
      <c r="B3" s="115">
        <v>43132</v>
      </c>
      <c r="C3" t="s">
        <v>400</v>
      </c>
      <c r="D3" t="s">
        <v>401</v>
      </c>
      <c r="E3" t="s">
        <v>402</v>
      </c>
      <c r="H3" t="s">
        <v>403</v>
      </c>
      <c r="I3" s="116">
        <v>21000</v>
      </c>
      <c r="J3" t="s">
        <v>404</v>
      </c>
      <c r="K3" s="117" t="s">
        <v>405</v>
      </c>
      <c r="L3">
        <v>85475</v>
      </c>
      <c r="M3" t="s">
        <v>406</v>
      </c>
      <c r="N3" t="s">
        <v>154</v>
      </c>
      <c r="O3" t="s">
        <v>407</v>
      </c>
      <c r="P3">
        <v>2400</v>
      </c>
      <c r="Q3">
        <v>2000</v>
      </c>
      <c r="R3">
        <v>400</v>
      </c>
      <c r="S3" t="s">
        <v>378</v>
      </c>
      <c r="T3" s="118">
        <v>800</v>
      </c>
      <c r="U3" s="118">
        <v>200</v>
      </c>
      <c r="V3" s="118">
        <v>1000</v>
      </c>
      <c r="W3" s="119">
        <v>20</v>
      </c>
      <c r="X3" s="119">
        <v>20</v>
      </c>
      <c r="Y3" s="119">
        <v>50</v>
      </c>
      <c r="Z3" s="119">
        <v>1000</v>
      </c>
      <c r="AA3" s="119">
        <v>1200</v>
      </c>
      <c r="AB3" s="119">
        <v>60</v>
      </c>
      <c r="AC3" s="119">
        <v>2000</v>
      </c>
      <c r="AD3" s="119">
        <v>20</v>
      </c>
      <c r="AE3" s="119">
        <v>400</v>
      </c>
      <c r="AF3" t="s">
        <v>379</v>
      </c>
      <c r="AG3" s="119">
        <v>0</v>
      </c>
      <c r="AH3" s="119">
        <v>0</v>
      </c>
      <c r="AI3" s="119">
        <v>0</v>
      </c>
      <c r="AJ3" s="119">
        <v>0</v>
      </c>
      <c r="AK3" s="119">
        <v>0</v>
      </c>
      <c r="AL3" s="119">
        <v>0</v>
      </c>
      <c r="AM3" s="119">
        <v>0</v>
      </c>
      <c r="AN3" s="119">
        <v>0</v>
      </c>
      <c r="AO3" s="119">
        <v>0</v>
      </c>
      <c r="AP3" s="119">
        <v>0</v>
      </c>
      <c r="AQ3" s="119">
        <v>20</v>
      </c>
      <c r="AR3" s="119">
        <v>0</v>
      </c>
      <c r="AS3" t="s">
        <v>380</v>
      </c>
      <c r="AT3" s="119">
        <v>0</v>
      </c>
      <c r="AU3" s="119">
        <v>0</v>
      </c>
      <c r="AV3" s="119">
        <v>0</v>
      </c>
      <c r="AW3" s="119">
        <v>0</v>
      </c>
      <c r="AX3" s="119">
        <v>0</v>
      </c>
      <c r="AY3" s="119">
        <v>0</v>
      </c>
      <c r="AZ3" s="119">
        <v>0</v>
      </c>
      <c r="BA3" s="119">
        <v>0</v>
      </c>
      <c r="BB3" s="119">
        <v>0</v>
      </c>
      <c r="BC3" s="119">
        <v>0</v>
      </c>
      <c r="BD3" s="119">
        <v>20</v>
      </c>
      <c r="BE3" s="119">
        <v>0</v>
      </c>
      <c r="BF3" t="s">
        <v>381</v>
      </c>
      <c r="BG3" s="119">
        <v>0</v>
      </c>
      <c r="BH3" s="119">
        <v>0</v>
      </c>
      <c r="BI3" s="119">
        <v>0</v>
      </c>
      <c r="BJ3" s="119">
        <v>0</v>
      </c>
      <c r="BK3" s="119">
        <v>0</v>
      </c>
      <c r="BL3" s="119">
        <v>0</v>
      </c>
      <c r="BM3" s="119">
        <v>0</v>
      </c>
      <c r="BN3" s="119">
        <v>0</v>
      </c>
      <c r="BO3" s="119">
        <v>0</v>
      </c>
      <c r="BP3" s="119">
        <v>0</v>
      </c>
      <c r="BQ3" s="119">
        <v>20</v>
      </c>
      <c r="BR3" s="119">
        <v>0</v>
      </c>
      <c r="BS3" t="s">
        <v>382</v>
      </c>
      <c r="BT3" s="119">
        <v>0</v>
      </c>
      <c r="BU3" s="119">
        <v>0</v>
      </c>
      <c r="BV3" s="119">
        <v>0</v>
      </c>
      <c r="BW3" s="119">
        <v>0</v>
      </c>
      <c r="BX3" s="119">
        <v>0</v>
      </c>
      <c r="BY3" s="119">
        <v>0</v>
      </c>
      <c r="BZ3" s="119">
        <v>0</v>
      </c>
      <c r="CA3" s="119">
        <v>0</v>
      </c>
      <c r="CB3" s="119">
        <v>0</v>
      </c>
      <c r="CC3" s="119">
        <v>0</v>
      </c>
      <c r="CD3" s="119">
        <v>20</v>
      </c>
      <c r="CE3" s="119">
        <v>0</v>
      </c>
      <c r="CF3" t="s">
        <v>383</v>
      </c>
      <c r="CG3" s="119">
        <v>0</v>
      </c>
      <c r="CH3" s="119">
        <v>0</v>
      </c>
      <c r="CI3" s="119">
        <v>0</v>
      </c>
      <c r="CJ3" s="119">
        <v>0</v>
      </c>
      <c r="CK3" s="119">
        <v>0</v>
      </c>
      <c r="CL3" s="119">
        <v>0</v>
      </c>
      <c r="CM3" s="119">
        <v>0</v>
      </c>
      <c r="CN3" s="119">
        <v>0</v>
      </c>
      <c r="CO3" s="119">
        <v>0</v>
      </c>
      <c r="CP3" s="119">
        <v>0</v>
      </c>
      <c r="CQ3" s="119">
        <v>20</v>
      </c>
      <c r="CR3" s="119">
        <v>0</v>
      </c>
      <c r="CS3" t="s">
        <v>384</v>
      </c>
      <c r="CT3" s="119">
        <v>0</v>
      </c>
      <c r="CU3" s="119">
        <v>0</v>
      </c>
      <c r="CV3" s="119">
        <v>0</v>
      </c>
      <c r="CW3" s="119">
        <v>0</v>
      </c>
      <c r="CX3" s="119">
        <v>0</v>
      </c>
      <c r="CY3" s="119">
        <v>0</v>
      </c>
      <c r="CZ3" s="119">
        <v>0</v>
      </c>
      <c r="DA3" s="119">
        <v>0</v>
      </c>
      <c r="DB3" s="119">
        <v>0</v>
      </c>
      <c r="DC3" s="119">
        <v>0</v>
      </c>
      <c r="DD3" s="119">
        <v>20</v>
      </c>
      <c r="DE3" s="119">
        <v>0</v>
      </c>
      <c r="DF3" t="s">
        <v>385</v>
      </c>
      <c r="DG3" s="119">
        <v>0</v>
      </c>
      <c r="DH3" s="119">
        <v>0</v>
      </c>
      <c r="DI3" s="119">
        <v>0</v>
      </c>
      <c r="DJ3" s="119">
        <v>0</v>
      </c>
      <c r="DK3" s="119">
        <v>0</v>
      </c>
      <c r="DL3" s="119">
        <v>0</v>
      </c>
      <c r="DM3" s="119">
        <v>0</v>
      </c>
      <c r="DN3" s="119">
        <v>0</v>
      </c>
      <c r="DO3" s="119">
        <v>0</v>
      </c>
      <c r="DP3" s="119">
        <v>0</v>
      </c>
      <c r="DQ3" s="119">
        <v>20</v>
      </c>
      <c r="DR3" s="119">
        <v>0</v>
      </c>
      <c r="DS3" t="s">
        <v>386</v>
      </c>
      <c r="DT3" s="119">
        <v>0</v>
      </c>
      <c r="DU3" s="119">
        <v>0</v>
      </c>
      <c r="DV3" s="119">
        <v>0</v>
      </c>
      <c r="DW3" s="119">
        <v>0</v>
      </c>
      <c r="DX3" s="119">
        <v>0</v>
      </c>
      <c r="DY3" s="119">
        <v>0</v>
      </c>
      <c r="DZ3" s="119">
        <v>0</v>
      </c>
      <c r="EA3" s="119">
        <v>0</v>
      </c>
      <c r="EB3" s="119">
        <v>0</v>
      </c>
      <c r="EC3" s="119">
        <v>0</v>
      </c>
      <c r="ED3" s="119">
        <v>20</v>
      </c>
      <c r="EE3" s="119">
        <v>0</v>
      </c>
      <c r="EF3" t="s">
        <v>387</v>
      </c>
      <c r="EG3" s="119">
        <v>0</v>
      </c>
      <c r="EH3" s="119">
        <v>0</v>
      </c>
      <c r="EI3" s="119">
        <v>0</v>
      </c>
      <c r="EJ3" s="119">
        <v>0</v>
      </c>
      <c r="EK3" s="119">
        <v>0</v>
      </c>
      <c r="EL3" s="119">
        <v>0</v>
      </c>
      <c r="EM3" s="119">
        <v>0</v>
      </c>
      <c r="EN3" s="119">
        <v>0</v>
      </c>
      <c r="EO3" s="119">
        <v>0</v>
      </c>
      <c r="EP3" s="119">
        <v>0</v>
      </c>
      <c r="EQ3" s="119">
        <v>20</v>
      </c>
      <c r="ER3" s="119">
        <v>0</v>
      </c>
      <c r="ES3" t="s">
        <v>388</v>
      </c>
      <c r="ET3" s="119">
        <v>0</v>
      </c>
      <c r="EU3" s="119">
        <v>0</v>
      </c>
      <c r="EV3" s="119">
        <v>0</v>
      </c>
      <c r="EW3" s="119">
        <v>0</v>
      </c>
      <c r="EX3" s="119">
        <v>0</v>
      </c>
      <c r="EY3" s="119">
        <v>0</v>
      </c>
      <c r="EZ3" s="119">
        <v>0</v>
      </c>
      <c r="FA3" s="119">
        <v>0</v>
      </c>
      <c r="FB3" s="119">
        <v>0</v>
      </c>
      <c r="FC3" s="119">
        <v>0</v>
      </c>
      <c r="FD3" s="119">
        <v>20</v>
      </c>
      <c r="FE3" s="119">
        <v>0</v>
      </c>
      <c r="FF3" t="s">
        <v>389</v>
      </c>
      <c r="FG3" s="119">
        <v>0</v>
      </c>
      <c r="FH3" s="119">
        <v>0</v>
      </c>
      <c r="FI3" s="119">
        <v>0</v>
      </c>
      <c r="FJ3" s="119">
        <v>0</v>
      </c>
      <c r="FK3" s="119">
        <v>0</v>
      </c>
      <c r="FL3" s="119">
        <v>0</v>
      </c>
      <c r="FM3" s="119">
        <v>0</v>
      </c>
      <c r="FN3" s="119">
        <v>0</v>
      </c>
      <c r="FO3" s="119">
        <v>0</v>
      </c>
      <c r="FP3" s="119">
        <v>0</v>
      </c>
      <c r="FQ3" s="119">
        <v>20</v>
      </c>
      <c r="FR3" s="119">
        <v>0</v>
      </c>
      <c r="FS3" t="s">
        <v>390</v>
      </c>
      <c r="FT3" s="119">
        <v>0</v>
      </c>
      <c r="FU3" s="119">
        <v>0</v>
      </c>
      <c r="FV3" s="119">
        <v>0</v>
      </c>
      <c r="FW3" s="119">
        <v>0</v>
      </c>
      <c r="FX3" s="119">
        <v>0</v>
      </c>
      <c r="FY3" s="119">
        <v>0</v>
      </c>
      <c r="FZ3" s="119">
        <v>0</v>
      </c>
      <c r="GA3" s="119">
        <v>0</v>
      </c>
      <c r="GB3" s="119">
        <v>0</v>
      </c>
      <c r="GC3" s="119">
        <v>0</v>
      </c>
      <c r="GD3" s="119">
        <v>20</v>
      </c>
      <c r="GE3" s="119">
        <v>0</v>
      </c>
      <c r="GF3" t="s">
        <v>391</v>
      </c>
      <c r="GG3" s="119">
        <v>0</v>
      </c>
      <c r="GH3" s="119">
        <v>0</v>
      </c>
      <c r="GI3" s="119">
        <v>0</v>
      </c>
      <c r="GJ3" s="119">
        <v>0</v>
      </c>
      <c r="GK3" s="119">
        <v>0</v>
      </c>
      <c r="GL3" s="119">
        <v>0</v>
      </c>
      <c r="GM3" s="119">
        <v>0</v>
      </c>
      <c r="GN3" s="119">
        <v>0</v>
      </c>
      <c r="GO3" s="119">
        <v>0</v>
      </c>
      <c r="GP3" s="119">
        <v>0</v>
      </c>
      <c r="GQ3" s="119">
        <v>20</v>
      </c>
      <c r="GR3" s="119">
        <v>0</v>
      </c>
      <c r="GT3" s="102"/>
      <c r="GU3" s="119"/>
      <c r="GV3" s="119"/>
      <c r="GW3" s="119"/>
      <c r="GX3" s="119"/>
      <c r="GY3" s="119"/>
      <c r="GZ3" s="119"/>
      <c r="HA3" s="119"/>
      <c r="HB3" s="119"/>
      <c r="HC3" s="119"/>
      <c r="HD3" s="119"/>
      <c r="HH3" s="120"/>
      <c r="HJ3"/>
      <c r="HK3" s="115"/>
      <c r="HR3" s="116"/>
      <c r="HT3" s="117"/>
      <c r="HY3"/>
      <c r="HZ3"/>
      <c r="IA3"/>
    </row>
    <row r="4" spans="1:235" x14ac:dyDescent="0.25">
      <c r="A4">
        <v>3</v>
      </c>
      <c r="B4" s="115">
        <v>43160</v>
      </c>
      <c r="C4" t="s">
        <v>369</v>
      </c>
      <c r="D4" t="s">
        <v>408</v>
      </c>
      <c r="E4" t="s">
        <v>409</v>
      </c>
      <c r="H4" t="s">
        <v>410</v>
      </c>
      <c r="I4" s="116">
        <v>39100</v>
      </c>
      <c r="J4" t="s">
        <v>374</v>
      </c>
      <c r="K4" s="117">
        <v>385456598</v>
      </c>
      <c r="L4" t="s">
        <v>411</v>
      </c>
      <c r="M4" t="s">
        <v>412</v>
      </c>
      <c r="N4" t="s">
        <v>154</v>
      </c>
      <c r="O4" t="s">
        <v>413</v>
      </c>
      <c r="P4">
        <v>2100</v>
      </c>
      <c r="Q4">
        <v>1750</v>
      </c>
      <c r="R4">
        <v>350</v>
      </c>
      <c r="S4" t="s">
        <v>378</v>
      </c>
      <c r="T4" s="118">
        <v>1000</v>
      </c>
      <c r="U4" s="118">
        <v>250</v>
      </c>
      <c r="V4" s="118">
        <v>1250</v>
      </c>
      <c r="W4" s="119">
        <v>20</v>
      </c>
      <c r="X4" s="119">
        <v>10</v>
      </c>
      <c r="Y4" s="119">
        <v>50</v>
      </c>
      <c r="Z4" s="119">
        <v>500</v>
      </c>
      <c r="AA4" s="119">
        <v>750</v>
      </c>
      <c r="AB4" s="119">
        <v>75</v>
      </c>
      <c r="AC4" s="119">
        <v>1750</v>
      </c>
      <c r="AD4" s="119">
        <v>20</v>
      </c>
      <c r="AE4" s="119">
        <v>350</v>
      </c>
      <c r="AF4" t="s">
        <v>379</v>
      </c>
      <c r="AG4" s="119">
        <v>0</v>
      </c>
      <c r="AH4" s="119">
        <v>0</v>
      </c>
      <c r="AI4" s="119">
        <v>0</v>
      </c>
      <c r="AJ4" s="119">
        <v>0</v>
      </c>
      <c r="AK4" s="119">
        <v>0</v>
      </c>
      <c r="AL4" s="119">
        <v>0</v>
      </c>
      <c r="AM4" s="119">
        <v>0</v>
      </c>
      <c r="AN4" s="119">
        <v>0</v>
      </c>
      <c r="AO4" s="119">
        <v>0</v>
      </c>
      <c r="AP4" s="119">
        <v>0</v>
      </c>
      <c r="AQ4" s="119">
        <v>20</v>
      </c>
      <c r="AR4" s="119">
        <v>0</v>
      </c>
      <c r="AS4" t="s">
        <v>380</v>
      </c>
      <c r="AT4" s="119">
        <v>0</v>
      </c>
      <c r="AU4" s="119">
        <v>0</v>
      </c>
      <c r="AV4" s="119">
        <v>0</v>
      </c>
      <c r="AW4" s="119">
        <v>0</v>
      </c>
      <c r="AX4" s="119">
        <v>0</v>
      </c>
      <c r="AY4" s="119">
        <v>0</v>
      </c>
      <c r="AZ4" s="119">
        <v>0</v>
      </c>
      <c r="BA4" s="119">
        <v>0</v>
      </c>
      <c r="BB4" s="119">
        <v>0</v>
      </c>
      <c r="BC4" s="119">
        <v>0</v>
      </c>
      <c r="BD4" s="119">
        <v>20</v>
      </c>
      <c r="BE4" s="119">
        <v>0</v>
      </c>
      <c r="BF4" t="s">
        <v>381</v>
      </c>
      <c r="BG4" s="119">
        <v>0</v>
      </c>
      <c r="BH4" s="119">
        <v>0</v>
      </c>
      <c r="BI4" s="119">
        <v>0</v>
      </c>
      <c r="BJ4" s="119">
        <v>0</v>
      </c>
      <c r="BK4" s="119">
        <v>0</v>
      </c>
      <c r="BL4" s="119">
        <v>0</v>
      </c>
      <c r="BM4" s="119">
        <v>0</v>
      </c>
      <c r="BN4" s="119">
        <v>0</v>
      </c>
      <c r="BO4" s="119">
        <v>0</v>
      </c>
      <c r="BP4" s="119">
        <v>0</v>
      </c>
      <c r="BQ4" s="119">
        <v>20</v>
      </c>
      <c r="BR4" s="119">
        <v>0</v>
      </c>
      <c r="BS4" t="s">
        <v>382</v>
      </c>
      <c r="BT4" s="119">
        <v>0</v>
      </c>
      <c r="BU4" s="119">
        <v>0</v>
      </c>
      <c r="BV4" s="119">
        <v>0</v>
      </c>
      <c r="BW4" s="119">
        <v>0</v>
      </c>
      <c r="BX4" s="119">
        <v>0</v>
      </c>
      <c r="BY4" s="119">
        <v>0</v>
      </c>
      <c r="BZ4" s="119">
        <v>0</v>
      </c>
      <c r="CA4" s="119">
        <v>0</v>
      </c>
      <c r="CB4" s="119">
        <v>0</v>
      </c>
      <c r="CC4" s="119">
        <v>0</v>
      </c>
      <c r="CD4" s="119">
        <v>20</v>
      </c>
      <c r="CE4" s="119">
        <v>0</v>
      </c>
      <c r="CF4" t="s">
        <v>383</v>
      </c>
      <c r="CG4" s="119">
        <v>0</v>
      </c>
      <c r="CH4" s="119">
        <v>0</v>
      </c>
      <c r="CI4" s="119">
        <v>0</v>
      </c>
      <c r="CJ4" s="119">
        <v>0</v>
      </c>
      <c r="CK4" s="119">
        <v>0</v>
      </c>
      <c r="CL4" s="119">
        <v>0</v>
      </c>
      <c r="CM4" s="119">
        <v>0</v>
      </c>
      <c r="CN4" s="119">
        <v>0</v>
      </c>
      <c r="CO4" s="119">
        <v>0</v>
      </c>
      <c r="CP4" s="119">
        <v>0</v>
      </c>
      <c r="CQ4" s="119">
        <v>20</v>
      </c>
      <c r="CR4" s="119">
        <v>0</v>
      </c>
      <c r="CS4" t="s">
        <v>384</v>
      </c>
      <c r="CT4" s="119">
        <v>0</v>
      </c>
      <c r="CU4" s="119">
        <v>0</v>
      </c>
      <c r="CV4" s="119">
        <v>0</v>
      </c>
      <c r="CW4" s="119">
        <v>0</v>
      </c>
      <c r="CX4" s="119">
        <v>0</v>
      </c>
      <c r="CY4" s="119">
        <v>0</v>
      </c>
      <c r="CZ4" s="119">
        <v>0</v>
      </c>
      <c r="DA4" s="119">
        <v>0</v>
      </c>
      <c r="DB4" s="119">
        <v>0</v>
      </c>
      <c r="DC4" s="119">
        <v>0</v>
      </c>
      <c r="DD4" s="119">
        <v>20</v>
      </c>
      <c r="DE4" s="119">
        <v>0</v>
      </c>
      <c r="DF4" t="s">
        <v>385</v>
      </c>
      <c r="DG4" s="119">
        <v>0</v>
      </c>
      <c r="DH4" s="119">
        <v>0</v>
      </c>
      <c r="DI4" s="119">
        <v>0</v>
      </c>
      <c r="DJ4" s="119">
        <v>0</v>
      </c>
      <c r="DK4" s="119">
        <v>0</v>
      </c>
      <c r="DL4" s="119">
        <v>0</v>
      </c>
      <c r="DM4" s="119">
        <v>0</v>
      </c>
      <c r="DN4" s="119">
        <v>0</v>
      </c>
      <c r="DO4" s="119">
        <v>0</v>
      </c>
      <c r="DP4" s="119">
        <v>0</v>
      </c>
      <c r="DQ4" s="119">
        <v>20</v>
      </c>
      <c r="DR4" s="119">
        <v>0</v>
      </c>
      <c r="DS4" t="s">
        <v>386</v>
      </c>
      <c r="DT4" s="119">
        <v>0</v>
      </c>
      <c r="DU4" s="119">
        <v>0</v>
      </c>
      <c r="DV4" s="119">
        <v>0</v>
      </c>
      <c r="DW4" s="119">
        <v>0</v>
      </c>
      <c r="DX4" s="119">
        <v>0</v>
      </c>
      <c r="DY4" s="119">
        <v>0</v>
      </c>
      <c r="DZ4" s="119">
        <v>0</v>
      </c>
      <c r="EA4" s="119">
        <v>0</v>
      </c>
      <c r="EB4" s="119">
        <v>0</v>
      </c>
      <c r="EC4" s="119">
        <v>0</v>
      </c>
      <c r="ED4" s="119">
        <v>20</v>
      </c>
      <c r="EE4" s="119">
        <v>0</v>
      </c>
      <c r="EF4" t="s">
        <v>387</v>
      </c>
      <c r="EG4" s="119">
        <v>0</v>
      </c>
      <c r="EH4" s="119">
        <v>0</v>
      </c>
      <c r="EI4" s="119">
        <v>0</v>
      </c>
      <c r="EJ4" s="119">
        <v>0</v>
      </c>
      <c r="EK4" s="119">
        <v>0</v>
      </c>
      <c r="EL4" s="119">
        <v>0</v>
      </c>
      <c r="EM4" s="119">
        <v>0</v>
      </c>
      <c r="EN4" s="119">
        <v>0</v>
      </c>
      <c r="EO4" s="119">
        <v>0</v>
      </c>
      <c r="EP4" s="119">
        <v>0</v>
      </c>
      <c r="EQ4" s="119">
        <v>20</v>
      </c>
      <c r="ER4" s="119">
        <v>0</v>
      </c>
      <c r="ES4" t="s">
        <v>388</v>
      </c>
      <c r="ET4" s="119">
        <v>0</v>
      </c>
      <c r="EU4" s="119">
        <v>0</v>
      </c>
      <c r="EV4" s="119">
        <v>0</v>
      </c>
      <c r="EW4" s="119">
        <v>0</v>
      </c>
      <c r="EX4" s="119">
        <v>0</v>
      </c>
      <c r="EY4" s="119">
        <v>0</v>
      </c>
      <c r="EZ4" s="119">
        <v>0</v>
      </c>
      <c r="FA4" s="119">
        <v>0</v>
      </c>
      <c r="FB4" s="119">
        <v>0</v>
      </c>
      <c r="FC4" s="119">
        <v>0</v>
      </c>
      <c r="FD4" s="119">
        <v>20</v>
      </c>
      <c r="FE4" s="119">
        <v>0</v>
      </c>
      <c r="FF4" t="s">
        <v>389</v>
      </c>
      <c r="FG4" s="119">
        <v>0</v>
      </c>
      <c r="FH4" s="119">
        <v>0</v>
      </c>
      <c r="FI4" s="119">
        <v>0</v>
      </c>
      <c r="FJ4" s="119">
        <v>0</v>
      </c>
      <c r="FK4" s="119">
        <v>0</v>
      </c>
      <c r="FL4" s="119">
        <v>0</v>
      </c>
      <c r="FM4" s="119">
        <v>0</v>
      </c>
      <c r="FN4" s="119">
        <v>0</v>
      </c>
      <c r="FO4" s="119">
        <v>0</v>
      </c>
      <c r="FP4" s="119">
        <v>0</v>
      </c>
      <c r="FQ4" s="119">
        <v>20</v>
      </c>
      <c r="FR4" s="119">
        <v>0</v>
      </c>
      <c r="FS4" t="s">
        <v>390</v>
      </c>
      <c r="FT4" s="119">
        <v>0</v>
      </c>
      <c r="FU4" s="119">
        <v>0</v>
      </c>
      <c r="FV4" s="119">
        <v>0</v>
      </c>
      <c r="FW4" s="119">
        <v>0</v>
      </c>
      <c r="FX4" s="119">
        <v>0</v>
      </c>
      <c r="FY4" s="119">
        <v>0</v>
      </c>
      <c r="FZ4" s="119">
        <v>0</v>
      </c>
      <c r="GA4" s="119">
        <v>0</v>
      </c>
      <c r="GB4" s="119">
        <v>0</v>
      </c>
      <c r="GC4" s="119">
        <v>0</v>
      </c>
      <c r="GD4" s="119">
        <v>20</v>
      </c>
      <c r="GE4" s="119">
        <v>0</v>
      </c>
      <c r="GF4" t="s">
        <v>391</v>
      </c>
      <c r="GG4" s="119">
        <v>0</v>
      </c>
      <c r="GH4" s="119">
        <v>0</v>
      </c>
      <c r="GI4" s="119">
        <v>0</v>
      </c>
      <c r="GJ4" s="119">
        <v>0</v>
      </c>
      <c r="GK4" s="119">
        <v>0</v>
      </c>
      <c r="GL4" s="119">
        <v>0</v>
      </c>
      <c r="GM4" s="119">
        <v>0</v>
      </c>
      <c r="GN4" s="119">
        <v>0</v>
      </c>
      <c r="GO4" s="119">
        <v>0</v>
      </c>
      <c r="GP4" s="119">
        <v>0</v>
      </c>
      <c r="GQ4" s="119">
        <v>20</v>
      </c>
      <c r="GR4" s="119">
        <v>0</v>
      </c>
      <c r="GT4" s="102"/>
      <c r="GU4" s="119"/>
      <c r="GV4" s="119"/>
      <c r="GW4" s="119"/>
      <c r="GX4" s="119"/>
      <c r="GY4" s="119"/>
      <c r="GZ4" s="119"/>
      <c r="HA4" s="119"/>
      <c r="HB4" s="119"/>
      <c r="HC4" s="119"/>
      <c r="HD4" s="119"/>
      <c r="HH4" s="120"/>
      <c r="HJ4"/>
      <c r="HK4" s="115"/>
      <c r="HR4" s="116"/>
      <c r="HT4" s="117"/>
      <c r="HY4"/>
      <c r="HZ4"/>
      <c r="IA4"/>
    </row>
    <row r="5" spans="1:235" x14ac:dyDescent="0.25">
      <c r="A5">
        <v>4</v>
      </c>
      <c r="B5" s="115">
        <v>43200</v>
      </c>
      <c r="C5" t="s">
        <v>400</v>
      </c>
      <c r="D5" t="s">
        <v>414</v>
      </c>
      <c r="E5" t="s">
        <v>415</v>
      </c>
      <c r="H5" t="s">
        <v>416</v>
      </c>
      <c r="I5" s="116">
        <v>21130</v>
      </c>
      <c r="J5" t="s">
        <v>417</v>
      </c>
      <c r="L5">
        <v>78954</v>
      </c>
      <c r="M5" t="s">
        <v>418</v>
      </c>
      <c r="N5" t="s">
        <v>154</v>
      </c>
      <c r="O5">
        <v>56879</v>
      </c>
      <c r="P5">
        <v>825</v>
      </c>
      <c r="Q5">
        <v>687.5</v>
      </c>
      <c r="R5">
        <v>137.5</v>
      </c>
      <c r="S5" t="s">
        <v>378</v>
      </c>
      <c r="T5" s="118">
        <v>150</v>
      </c>
      <c r="U5" s="118">
        <v>37.5</v>
      </c>
      <c r="V5" s="118">
        <v>187.5</v>
      </c>
      <c r="W5" s="119">
        <v>20</v>
      </c>
      <c r="X5" s="119">
        <v>10</v>
      </c>
      <c r="Y5" s="119">
        <v>50</v>
      </c>
      <c r="Z5" s="119">
        <v>500</v>
      </c>
      <c r="AA5" s="119">
        <v>537.5</v>
      </c>
      <c r="AB5" s="119">
        <v>53.75</v>
      </c>
      <c r="AC5" s="119">
        <v>687.5</v>
      </c>
      <c r="AD5" s="119">
        <v>20</v>
      </c>
      <c r="AE5" s="119">
        <v>137.5</v>
      </c>
      <c r="AF5" t="s">
        <v>379</v>
      </c>
      <c r="AG5" s="119">
        <v>0</v>
      </c>
      <c r="AH5" s="119">
        <v>0</v>
      </c>
      <c r="AI5" s="119">
        <v>0</v>
      </c>
      <c r="AJ5" s="119">
        <v>0</v>
      </c>
      <c r="AK5" s="119">
        <v>0</v>
      </c>
      <c r="AL5" s="119">
        <v>0</v>
      </c>
      <c r="AM5" s="119">
        <v>0</v>
      </c>
      <c r="AN5" s="119">
        <v>0</v>
      </c>
      <c r="AO5" s="119">
        <v>0</v>
      </c>
      <c r="AP5" s="119">
        <v>0</v>
      </c>
      <c r="AQ5" s="119">
        <v>20</v>
      </c>
      <c r="AR5" s="119">
        <v>0</v>
      </c>
      <c r="AS5" t="s">
        <v>380</v>
      </c>
      <c r="AT5" s="119">
        <v>0</v>
      </c>
      <c r="AU5" s="119">
        <v>0</v>
      </c>
      <c r="AV5" s="119">
        <v>0</v>
      </c>
      <c r="AW5" s="119">
        <v>0</v>
      </c>
      <c r="AX5" s="119">
        <v>0</v>
      </c>
      <c r="AY5" s="119">
        <v>0</v>
      </c>
      <c r="AZ5" s="119">
        <v>0</v>
      </c>
      <c r="BA5" s="119">
        <v>0</v>
      </c>
      <c r="BB5" s="119">
        <v>0</v>
      </c>
      <c r="BC5" s="119">
        <v>0</v>
      </c>
      <c r="BD5" s="119">
        <v>20</v>
      </c>
      <c r="BE5" s="119">
        <v>0</v>
      </c>
      <c r="BF5" t="s">
        <v>381</v>
      </c>
      <c r="BG5" s="119">
        <v>0</v>
      </c>
      <c r="BH5" s="119">
        <v>0</v>
      </c>
      <c r="BI5" s="119">
        <v>0</v>
      </c>
      <c r="BJ5" s="119">
        <v>0</v>
      </c>
      <c r="BK5" s="119">
        <v>0</v>
      </c>
      <c r="BL5" s="119">
        <v>0</v>
      </c>
      <c r="BM5" s="119">
        <v>0</v>
      </c>
      <c r="BN5" s="119">
        <v>0</v>
      </c>
      <c r="BO5" s="119">
        <v>0</v>
      </c>
      <c r="BP5" s="119">
        <v>0</v>
      </c>
      <c r="BQ5" s="119">
        <v>20</v>
      </c>
      <c r="BR5" s="119">
        <v>0</v>
      </c>
      <c r="BS5" t="s">
        <v>382</v>
      </c>
      <c r="BT5" s="119">
        <v>0</v>
      </c>
      <c r="BU5" s="119">
        <v>0</v>
      </c>
      <c r="BV5" s="119">
        <v>0</v>
      </c>
      <c r="BW5" s="119">
        <v>0</v>
      </c>
      <c r="BX5" s="119">
        <v>0</v>
      </c>
      <c r="BY5" s="119">
        <v>0</v>
      </c>
      <c r="BZ5" s="119">
        <v>0</v>
      </c>
      <c r="CA5" s="119">
        <v>0</v>
      </c>
      <c r="CB5" s="119">
        <v>0</v>
      </c>
      <c r="CC5" s="119">
        <v>0</v>
      </c>
      <c r="CD5" s="119">
        <v>20</v>
      </c>
      <c r="CE5" s="119">
        <v>0</v>
      </c>
      <c r="CF5" t="s">
        <v>383</v>
      </c>
      <c r="CG5" s="119">
        <v>0</v>
      </c>
      <c r="CH5" s="119">
        <v>0</v>
      </c>
      <c r="CI5" s="119">
        <v>0</v>
      </c>
      <c r="CJ5" s="119">
        <v>0</v>
      </c>
      <c r="CK5" s="119">
        <v>0</v>
      </c>
      <c r="CL5" s="119">
        <v>0</v>
      </c>
      <c r="CM5" s="119">
        <v>0</v>
      </c>
      <c r="CN5" s="119">
        <v>0</v>
      </c>
      <c r="CO5" s="119">
        <v>0</v>
      </c>
      <c r="CP5" s="119">
        <v>0</v>
      </c>
      <c r="CQ5" s="119">
        <v>20</v>
      </c>
      <c r="CR5" s="119">
        <v>0</v>
      </c>
      <c r="CS5" t="s">
        <v>384</v>
      </c>
      <c r="CT5" s="119">
        <v>0</v>
      </c>
      <c r="CU5" s="119">
        <v>0</v>
      </c>
      <c r="CV5" s="119">
        <v>0</v>
      </c>
      <c r="CW5" s="119">
        <v>0</v>
      </c>
      <c r="CX5" s="119">
        <v>0</v>
      </c>
      <c r="CY5" s="119">
        <v>0</v>
      </c>
      <c r="CZ5" s="119">
        <v>0</v>
      </c>
      <c r="DA5" s="119">
        <v>0</v>
      </c>
      <c r="DB5" s="119">
        <v>0</v>
      </c>
      <c r="DC5" s="119">
        <v>0</v>
      </c>
      <c r="DD5" s="119">
        <v>20</v>
      </c>
      <c r="DE5" s="119">
        <v>0</v>
      </c>
      <c r="DF5" t="s">
        <v>385</v>
      </c>
      <c r="DG5" s="119">
        <v>0</v>
      </c>
      <c r="DH5" s="119">
        <v>0</v>
      </c>
      <c r="DI5" s="119">
        <v>0</v>
      </c>
      <c r="DJ5" s="119">
        <v>0</v>
      </c>
      <c r="DK5" s="119">
        <v>0</v>
      </c>
      <c r="DL5" s="119">
        <v>0</v>
      </c>
      <c r="DM5" s="119">
        <v>0</v>
      </c>
      <c r="DN5" s="119">
        <v>0</v>
      </c>
      <c r="DO5" s="119">
        <v>0</v>
      </c>
      <c r="DP5" s="119">
        <v>0</v>
      </c>
      <c r="DQ5" s="119">
        <v>20</v>
      </c>
      <c r="DR5" s="119">
        <v>0</v>
      </c>
      <c r="DS5" t="s">
        <v>386</v>
      </c>
      <c r="DT5" s="119">
        <v>0</v>
      </c>
      <c r="DU5" s="119">
        <v>0</v>
      </c>
      <c r="DV5" s="119">
        <v>0</v>
      </c>
      <c r="DW5" s="119">
        <v>0</v>
      </c>
      <c r="DX5" s="119">
        <v>0</v>
      </c>
      <c r="DY5" s="119">
        <v>0</v>
      </c>
      <c r="DZ5" s="119">
        <v>0</v>
      </c>
      <c r="EA5" s="119">
        <v>0</v>
      </c>
      <c r="EB5" s="119">
        <v>0</v>
      </c>
      <c r="EC5" s="119">
        <v>0</v>
      </c>
      <c r="ED5" s="119">
        <v>20</v>
      </c>
      <c r="EE5" s="119">
        <v>0</v>
      </c>
      <c r="EF5" t="s">
        <v>387</v>
      </c>
      <c r="EG5" s="119">
        <v>0</v>
      </c>
      <c r="EH5" s="119">
        <v>0</v>
      </c>
      <c r="EI5" s="119">
        <v>0</v>
      </c>
      <c r="EJ5" s="119">
        <v>0</v>
      </c>
      <c r="EK5" s="119">
        <v>0</v>
      </c>
      <c r="EL5" s="119">
        <v>0</v>
      </c>
      <c r="EM5" s="119">
        <v>0</v>
      </c>
      <c r="EN5" s="119">
        <v>0</v>
      </c>
      <c r="EO5" s="119">
        <v>0</v>
      </c>
      <c r="EP5" s="119">
        <v>0</v>
      </c>
      <c r="EQ5" s="119">
        <v>20</v>
      </c>
      <c r="ER5" s="119">
        <v>0</v>
      </c>
      <c r="ES5" t="s">
        <v>388</v>
      </c>
      <c r="ET5" s="119">
        <v>0</v>
      </c>
      <c r="EU5" s="119">
        <v>0</v>
      </c>
      <c r="EV5" s="119">
        <v>0</v>
      </c>
      <c r="EW5" s="119">
        <v>0</v>
      </c>
      <c r="EX5" s="119">
        <v>0</v>
      </c>
      <c r="EY5" s="119">
        <v>0</v>
      </c>
      <c r="EZ5" s="119">
        <v>0</v>
      </c>
      <c r="FA5" s="119">
        <v>0</v>
      </c>
      <c r="FB5" s="119">
        <v>0</v>
      </c>
      <c r="FC5" s="119">
        <v>0</v>
      </c>
      <c r="FD5" s="119">
        <v>20</v>
      </c>
      <c r="FE5" s="119">
        <v>0</v>
      </c>
      <c r="FF5" t="s">
        <v>389</v>
      </c>
      <c r="FG5" s="119">
        <v>0</v>
      </c>
      <c r="FH5" s="119">
        <v>0</v>
      </c>
      <c r="FI5" s="119">
        <v>0</v>
      </c>
      <c r="FJ5" s="119">
        <v>0</v>
      </c>
      <c r="FK5" s="119">
        <v>0</v>
      </c>
      <c r="FL5" s="119">
        <v>0</v>
      </c>
      <c r="FM5" s="119">
        <v>0</v>
      </c>
      <c r="FN5" s="119">
        <v>0</v>
      </c>
      <c r="FO5" s="119">
        <v>0</v>
      </c>
      <c r="FP5" s="119">
        <v>0</v>
      </c>
      <c r="FQ5" s="119">
        <v>20</v>
      </c>
      <c r="FR5" s="119">
        <v>0</v>
      </c>
      <c r="FS5" t="s">
        <v>390</v>
      </c>
      <c r="FT5" s="119">
        <v>0</v>
      </c>
      <c r="FU5" s="119">
        <v>0</v>
      </c>
      <c r="FV5" s="119">
        <v>0</v>
      </c>
      <c r="FW5" s="119">
        <v>0</v>
      </c>
      <c r="FX5" s="119">
        <v>0</v>
      </c>
      <c r="FY5" s="119">
        <v>0</v>
      </c>
      <c r="FZ5" s="119">
        <v>0</v>
      </c>
      <c r="GA5" s="119">
        <v>0</v>
      </c>
      <c r="GB5" s="119">
        <v>0</v>
      </c>
      <c r="GC5" s="119">
        <v>0</v>
      </c>
      <c r="GD5" s="119">
        <v>20</v>
      </c>
      <c r="GE5" s="119">
        <v>0</v>
      </c>
      <c r="GF5" t="s">
        <v>391</v>
      </c>
      <c r="GG5" s="119">
        <v>0</v>
      </c>
      <c r="GH5" s="119">
        <v>0</v>
      </c>
      <c r="GI5" s="119">
        <v>0</v>
      </c>
      <c r="GJ5" s="119">
        <v>0</v>
      </c>
      <c r="GK5" s="119">
        <v>0</v>
      </c>
      <c r="GL5" s="119">
        <v>0</v>
      </c>
      <c r="GM5" s="119">
        <v>0</v>
      </c>
      <c r="GN5" s="119">
        <v>0</v>
      </c>
      <c r="GO5" s="119">
        <v>0</v>
      </c>
      <c r="GP5" s="119">
        <v>0</v>
      </c>
      <c r="GQ5" s="119">
        <v>20</v>
      </c>
      <c r="GR5" s="119">
        <v>0</v>
      </c>
      <c r="GT5" s="102"/>
      <c r="GU5" s="119"/>
      <c r="GV5" s="119"/>
      <c r="GW5" s="119"/>
      <c r="GX5" s="119"/>
      <c r="GY5" s="119"/>
      <c r="GZ5" s="119"/>
      <c r="HA5" s="119"/>
      <c r="HB5" s="119"/>
      <c r="HC5" s="119"/>
      <c r="HD5" s="119"/>
      <c r="HH5" s="120"/>
      <c r="HJ5"/>
      <c r="HK5" s="115"/>
      <c r="HR5" s="116"/>
      <c r="HT5" s="117"/>
      <c r="HY5"/>
      <c r="HZ5"/>
      <c r="IA5"/>
    </row>
    <row r="6" spans="1:235" x14ac:dyDescent="0.25">
      <c r="A6">
        <v>5</v>
      </c>
      <c r="B6" s="115">
        <v>43235</v>
      </c>
      <c r="C6" t="s">
        <v>392</v>
      </c>
      <c r="D6" t="s">
        <v>393</v>
      </c>
      <c r="E6" t="s">
        <v>394</v>
      </c>
      <c r="H6" t="s">
        <v>397</v>
      </c>
      <c r="I6" s="116">
        <v>2500</v>
      </c>
      <c r="J6" t="s">
        <v>398</v>
      </c>
      <c r="K6" s="117" t="s">
        <v>399</v>
      </c>
      <c r="L6">
        <v>546</v>
      </c>
      <c r="M6">
        <v>46166</v>
      </c>
      <c r="N6" t="s">
        <v>154</v>
      </c>
      <c r="O6">
        <v>180254</v>
      </c>
      <c r="P6">
        <v>1760</v>
      </c>
      <c r="Q6">
        <v>1466.67</v>
      </c>
      <c r="R6">
        <v>293.33</v>
      </c>
      <c r="S6" t="s">
        <v>378</v>
      </c>
      <c r="T6" s="118">
        <v>500</v>
      </c>
      <c r="U6" s="118">
        <v>166.67</v>
      </c>
      <c r="V6" s="118">
        <v>666.67</v>
      </c>
      <c r="W6" s="119">
        <v>25</v>
      </c>
      <c r="X6" s="119">
        <v>16</v>
      </c>
      <c r="Y6" s="119">
        <v>50</v>
      </c>
      <c r="Z6" s="119">
        <v>800</v>
      </c>
      <c r="AA6" s="119">
        <v>966.67</v>
      </c>
      <c r="AB6" s="119">
        <v>60.42</v>
      </c>
      <c r="AC6" s="119">
        <v>1466.67</v>
      </c>
      <c r="AD6" s="119">
        <v>20</v>
      </c>
      <c r="AE6" s="119">
        <v>293.33</v>
      </c>
      <c r="AF6" t="s">
        <v>379</v>
      </c>
      <c r="AG6" s="119">
        <v>0</v>
      </c>
      <c r="AH6" s="119">
        <v>0</v>
      </c>
      <c r="AI6" s="119">
        <v>0</v>
      </c>
      <c r="AJ6" s="119">
        <v>0</v>
      </c>
      <c r="AK6" s="119">
        <v>0</v>
      </c>
      <c r="AL6" s="119">
        <v>0</v>
      </c>
      <c r="AM6" s="119">
        <v>0</v>
      </c>
      <c r="AN6" s="119">
        <v>0</v>
      </c>
      <c r="AO6" s="119">
        <v>0</v>
      </c>
      <c r="AP6" s="119">
        <v>0</v>
      </c>
      <c r="AQ6" s="119">
        <v>20</v>
      </c>
      <c r="AR6" s="119">
        <v>0</v>
      </c>
      <c r="AS6" t="s">
        <v>380</v>
      </c>
      <c r="AT6" s="119">
        <v>0</v>
      </c>
      <c r="AU6" s="119">
        <v>0</v>
      </c>
      <c r="AV6" s="119">
        <v>0</v>
      </c>
      <c r="AW6" s="119">
        <v>0</v>
      </c>
      <c r="AX6" s="119">
        <v>0</v>
      </c>
      <c r="AY6" s="119">
        <v>0</v>
      </c>
      <c r="AZ6" s="119">
        <v>0</v>
      </c>
      <c r="BA6" s="119">
        <v>0</v>
      </c>
      <c r="BB6" s="119">
        <v>0</v>
      </c>
      <c r="BC6" s="119">
        <v>0</v>
      </c>
      <c r="BD6" s="119">
        <v>20</v>
      </c>
      <c r="BE6" s="119">
        <v>0</v>
      </c>
      <c r="BF6" t="s">
        <v>381</v>
      </c>
      <c r="BG6" s="119">
        <v>0</v>
      </c>
      <c r="BH6" s="119">
        <v>0</v>
      </c>
      <c r="BI6" s="119">
        <v>0</v>
      </c>
      <c r="BJ6" s="119">
        <v>0</v>
      </c>
      <c r="BK6" s="119">
        <v>0</v>
      </c>
      <c r="BL6" s="119">
        <v>0</v>
      </c>
      <c r="BM6" s="119">
        <v>0</v>
      </c>
      <c r="BN6" s="119">
        <v>0</v>
      </c>
      <c r="BO6" s="119">
        <v>0</v>
      </c>
      <c r="BP6" s="119">
        <v>0</v>
      </c>
      <c r="BQ6" s="119">
        <v>20</v>
      </c>
      <c r="BR6" s="119">
        <v>0</v>
      </c>
      <c r="BS6" t="s">
        <v>382</v>
      </c>
      <c r="BT6" s="119">
        <v>0</v>
      </c>
      <c r="BU6" s="119">
        <v>0</v>
      </c>
      <c r="BV6" s="119">
        <v>0</v>
      </c>
      <c r="BW6" s="119">
        <v>0</v>
      </c>
      <c r="BX6" s="119">
        <v>0</v>
      </c>
      <c r="BY6" s="119">
        <v>0</v>
      </c>
      <c r="BZ6" s="119">
        <v>0</v>
      </c>
      <c r="CA6" s="119">
        <v>0</v>
      </c>
      <c r="CB6" s="119">
        <v>0</v>
      </c>
      <c r="CC6" s="119">
        <v>0</v>
      </c>
      <c r="CD6" s="119">
        <v>20</v>
      </c>
      <c r="CE6" s="119">
        <v>0</v>
      </c>
      <c r="CF6" t="s">
        <v>383</v>
      </c>
      <c r="CG6" s="119">
        <v>0</v>
      </c>
      <c r="CH6" s="119">
        <v>0</v>
      </c>
      <c r="CI6" s="119">
        <v>0</v>
      </c>
      <c r="CJ6" s="119">
        <v>0</v>
      </c>
      <c r="CK6" s="119">
        <v>0</v>
      </c>
      <c r="CL6" s="119">
        <v>0</v>
      </c>
      <c r="CM6" s="119">
        <v>0</v>
      </c>
      <c r="CN6" s="119">
        <v>0</v>
      </c>
      <c r="CO6" s="119">
        <v>0</v>
      </c>
      <c r="CP6" s="119">
        <v>0</v>
      </c>
      <c r="CQ6" s="119">
        <v>20</v>
      </c>
      <c r="CR6" s="119">
        <v>0</v>
      </c>
      <c r="CS6" t="s">
        <v>384</v>
      </c>
      <c r="CT6" s="119">
        <v>0</v>
      </c>
      <c r="CU6" s="119">
        <v>0</v>
      </c>
      <c r="CV6" s="119">
        <v>0</v>
      </c>
      <c r="CW6" s="119">
        <v>0</v>
      </c>
      <c r="CX6" s="119">
        <v>0</v>
      </c>
      <c r="CY6" s="119">
        <v>0</v>
      </c>
      <c r="CZ6" s="119">
        <v>0</v>
      </c>
      <c r="DA6" s="119">
        <v>0</v>
      </c>
      <c r="DB6" s="119">
        <v>0</v>
      </c>
      <c r="DC6" s="119">
        <v>0</v>
      </c>
      <c r="DD6" s="119">
        <v>20</v>
      </c>
      <c r="DE6" s="119">
        <v>0</v>
      </c>
      <c r="DF6" t="s">
        <v>385</v>
      </c>
      <c r="DG6" s="119">
        <v>0</v>
      </c>
      <c r="DH6" s="119">
        <v>0</v>
      </c>
      <c r="DI6" s="119">
        <v>0</v>
      </c>
      <c r="DJ6" s="119">
        <v>0</v>
      </c>
      <c r="DK6" s="119">
        <v>0</v>
      </c>
      <c r="DL6" s="119">
        <v>0</v>
      </c>
      <c r="DM6" s="119">
        <v>0</v>
      </c>
      <c r="DN6" s="119">
        <v>0</v>
      </c>
      <c r="DO6" s="119">
        <v>0</v>
      </c>
      <c r="DP6" s="119">
        <v>0</v>
      </c>
      <c r="DQ6" s="119">
        <v>20</v>
      </c>
      <c r="DR6" s="119">
        <v>0</v>
      </c>
      <c r="DS6" t="s">
        <v>386</v>
      </c>
      <c r="DT6" s="119">
        <v>0</v>
      </c>
      <c r="DU6" s="119">
        <v>0</v>
      </c>
      <c r="DV6" s="119">
        <v>0</v>
      </c>
      <c r="DW6" s="119">
        <v>0</v>
      </c>
      <c r="DX6" s="119">
        <v>0</v>
      </c>
      <c r="DY6" s="119">
        <v>0</v>
      </c>
      <c r="DZ6" s="119">
        <v>0</v>
      </c>
      <c r="EA6" s="119">
        <v>0</v>
      </c>
      <c r="EB6" s="119">
        <v>0</v>
      </c>
      <c r="EC6" s="119">
        <v>0</v>
      </c>
      <c r="ED6" s="119">
        <v>20</v>
      </c>
      <c r="EE6" s="119">
        <v>0</v>
      </c>
      <c r="EF6" t="s">
        <v>387</v>
      </c>
      <c r="EG6" s="119">
        <v>0</v>
      </c>
      <c r="EH6" s="119">
        <v>0</v>
      </c>
      <c r="EI6" s="119">
        <v>0</v>
      </c>
      <c r="EJ6" s="119">
        <v>0</v>
      </c>
      <c r="EK6" s="119">
        <v>0</v>
      </c>
      <c r="EL6" s="119">
        <v>0</v>
      </c>
      <c r="EM6" s="119">
        <v>0</v>
      </c>
      <c r="EN6" s="119">
        <v>0</v>
      </c>
      <c r="EO6" s="119">
        <v>0</v>
      </c>
      <c r="EP6" s="119">
        <v>0</v>
      </c>
      <c r="EQ6" s="119">
        <v>20</v>
      </c>
      <c r="ER6" s="119">
        <v>0</v>
      </c>
      <c r="ES6" t="s">
        <v>388</v>
      </c>
      <c r="ET6" s="119">
        <v>0</v>
      </c>
      <c r="EU6" s="119">
        <v>0</v>
      </c>
      <c r="EV6" s="119">
        <v>0</v>
      </c>
      <c r="EW6" s="119">
        <v>0</v>
      </c>
      <c r="EX6" s="119">
        <v>0</v>
      </c>
      <c r="EY6" s="119">
        <v>0</v>
      </c>
      <c r="EZ6" s="119">
        <v>0</v>
      </c>
      <c r="FA6" s="119">
        <v>0</v>
      </c>
      <c r="FB6" s="119">
        <v>0</v>
      </c>
      <c r="FC6" s="119">
        <v>0</v>
      </c>
      <c r="FD6" s="119">
        <v>20</v>
      </c>
      <c r="FE6" s="119">
        <v>0</v>
      </c>
      <c r="FF6" t="s">
        <v>389</v>
      </c>
      <c r="FG6" s="119">
        <v>0</v>
      </c>
      <c r="FH6" s="119">
        <v>0</v>
      </c>
      <c r="FI6" s="119">
        <v>0</v>
      </c>
      <c r="FJ6" s="119">
        <v>0</v>
      </c>
      <c r="FK6" s="119">
        <v>0</v>
      </c>
      <c r="FL6" s="119">
        <v>0</v>
      </c>
      <c r="FM6" s="119">
        <v>0</v>
      </c>
      <c r="FN6" s="119">
        <v>0</v>
      </c>
      <c r="FO6" s="119">
        <v>0</v>
      </c>
      <c r="FP6" s="119">
        <v>0</v>
      </c>
      <c r="FQ6" s="119">
        <v>20</v>
      </c>
      <c r="FR6" s="119">
        <v>0</v>
      </c>
      <c r="FS6" t="s">
        <v>390</v>
      </c>
      <c r="FT6" s="119">
        <v>0</v>
      </c>
      <c r="FU6" s="119">
        <v>0</v>
      </c>
      <c r="FV6" s="119">
        <v>0</v>
      </c>
      <c r="FW6" s="119">
        <v>0</v>
      </c>
      <c r="FX6" s="119">
        <v>0</v>
      </c>
      <c r="FY6" s="119">
        <v>0</v>
      </c>
      <c r="FZ6" s="119">
        <v>0</v>
      </c>
      <c r="GA6" s="119">
        <v>0</v>
      </c>
      <c r="GB6" s="119">
        <v>0</v>
      </c>
      <c r="GC6" s="119">
        <v>0</v>
      </c>
      <c r="GD6" s="119">
        <v>20</v>
      </c>
      <c r="GE6" s="119">
        <v>0</v>
      </c>
      <c r="GF6" t="s">
        <v>391</v>
      </c>
      <c r="GG6" s="119">
        <v>0</v>
      </c>
      <c r="GH6" s="119">
        <v>0</v>
      </c>
      <c r="GI6" s="119">
        <v>0</v>
      </c>
      <c r="GJ6" s="119">
        <v>0</v>
      </c>
      <c r="GK6" s="119">
        <v>0</v>
      </c>
      <c r="GL6" s="119">
        <v>0</v>
      </c>
      <c r="GM6" s="119">
        <v>0</v>
      </c>
      <c r="GN6" s="119">
        <v>0</v>
      </c>
      <c r="GO6" s="119">
        <v>0</v>
      </c>
      <c r="GP6" s="119">
        <v>0</v>
      </c>
      <c r="GQ6" s="119">
        <v>20</v>
      </c>
      <c r="GR6" s="119">
        <v>0</v>
      </c>
      <c r="GT6" s="102"/>
      <c r="GU6" s="119"/>
      <c r="GV6" s="119"/>
      <c r="GW6" s="119"/>
      <c r="GX6" s="119"/>
      <c r="GY6" s="119"/>
      <c r="GZ6" s="119"/>
      <c r="HA6" s="119"/>
      <c r="HB6" s="119"/>
      <c r="HC6" s="119"/>
      <c r="HD6" s="119"/>
      <c r="HH6" s="120"/>
      <c r="HJ6"/>
      <c r="HK6" s="115"/>
      <c r="HR6" s="116"/>
      <c r="HT6" s="117"/>
      <c r="HY6"/>
      <c r="HZ6"/>
      <c r="IA6"/>
    </row>
    <row r="7" spans="1:235" x14ac:dyDescent="0.25">
      <c r="A7">
        <v>6</v>
      </c>
      <c r="B7" s="115">
        <v>43266</v>
      </c>
      <c r="C7" t="s">
        <v>400</v>
      </c>
      <c r="D7" t="s">
        <v>419</v>
      </c>
      <c r="E7" t="s">
        <v>420</v>
      </c>
      <c r="H7" t="s">
        <v>421</v>
      </c>
      <c r="I7" s="116">
        <v>21000</v>
      </c>
      <c r="J7" t="s">
        <v>404</v>
      </c>
      <c r="K7" s="117" t="s">
        <v>422</v>
      </c>
      <c r="L7">
        <v>8546</v>
      </c>
      <c r="M7">
        <v>58565</v>
      </c>
      <c r="N7" t="s">
        <v>423</v>
      </c>
      <c r="O7">
        <v>182546</v>
      </c>
      <c r="P7">
        <v>1941</v>
      </c>
      <c r="Q7">
        <v>1617.5</v>
      </c>
      <c r="R7">
        <v>323.5</v>
      </c>
      <c r="S7" t="s">
        <v>378</v>
      </c>
      <c r="T7" s="118">
        <v>150</v>
      </c>
      <c r="U7" s="118">
        <v>37.5</v>
      </c>
      <c r="V7" s="118">
        <v>187.5</v>
      </c>
      <c r="W7" s="119">
        <v>20</v>
      </c>
      <c r="X7" s="119">
        <v>10</v>
      </c>
      <c r="Y7" s="119">
        <v>50</v>
      </c>
      <c r="Z7" s="119">
        <v>500</v>
      </c>
      <c r="AA7" s="119">
        <v>537.5</v>
      </c>
      <c r="AB7" s="119">
        <v>53.75</v>
      </c>
      <c r="AC7" s="119">
        <v>687.5</v>
      </c>
      <c r="AD7" s="119">
        <v>20</v>
      </c>
      <c r="AE7" s="119">
        <v>137.5</v>
      </c>
      <c r="AF7" t="s">
        <v>379</v>
      </c>
      <c r="AG7" s="119">
        <v>50</v>
      </c>
      <c r="AH7" s="119">
        <v>0</v>
      </c>
      <c r="AI7" s="119">
        <v>50</v>
      </c>
      <c r="AJ7" s="119">
        <v>0</v>
      </c>
      <c r="AK7" s="119">
        <v>0</v>
      </c>
      <c r="AL7" s="119">
        <v>0</v>
      </c>
      <c r="AM7" s="119">
        <v>0</v>
      </c>
      <c r="AN7" s="119">
        <v>0</v>
      </c>
      <c r="AO7" s="119">
        <v>0</v>
      </c>
      <c r="AP7" s="119">
        <v>50</v>
      </c>
      <c r="AQ7" s="119">
        <v>20</v>
      </c>
      <c r="AR7" s="119">
        <v>10</v>
      </c>
      <c r="AS7" t="s">
        <v>380</v>
      </c>
      <c r="AT7" s="119">
        <v>280</v>
      </c>
      <c r="AU7" s="119">
        <v>120</v>
      </c>
      <c r="AV7" s="119">
        <v>400</v>
      </c>
      <c r="AW7" s="119">
        <v>30</v>
      </c>
      <c r="AX7" s="119">
        <v>8</v>
      </c>
      <c r="AY7" s="119">
        <v>60</v>
      </c>
      <c r="AZ7" s="119">
        <v>480</v>
      </c>
      <c r="BA7" s="119">
        <v>600</v>
      </c>
      <c r="BB7" s="119">
        <v>75</v>
      </c>
      <c r="BC7" s="119">
        <v>880</v>
      </c>
      <c r="BD7" s="119">
        <v>20</v>
      </c>
      <c r="BE7" s="119">
        <v>176</v>
      </c>
      <c r="BF7" t="s">
        <v>381</v>
      </c>
      <c r="BG7" s="119">
        <v>0</v>
      </c>
      <c r="BH7" s="119">
        <v>0</v>
      </c>
      <c r="BI7" s="119">
        <v>0</v>
      </c>
      <c r="BJ7" s="119">
        <v>0</v>
      </c>
      <c r="BK7" s="119">
        <v>0</v>
      </c>
      <c r="BL7" s="119">
        <v>0</v>
      </c>
      <c r="BM7" s="119">
        <v>0</v>
      </c>
      <c r="BN7" s="119">
        <v>0</v>
      </c>
      <c r="BO7" s="119">
        <v>0</v>
      </c>
      <c r="BP7" s="119">
        <v>0</v>
      </c>
      <c r="BQ7" s="119">
        <v>20</v>
      </c>
      <c r="BR7" s="119">
        <v>0</v>
      </c>
      <c r="BS7" t="s">
        <v>382</v>
      </c>
      <c r="BT7" s="119">
        <v>0</v>
      </c>
      <c r="BU7" s="119">
        <v>0</v>
      </c>
      <c r="BV7" s="119">
        <v>0</v>
      </c>
      <c r="BW7" s="119">
        <v>0</v>
      </c>
      <c r="BX7" s="119">
        <v>0</v>
      </c>
      <c r="BY7" s="119">
        <v>0</v>
      </c>
      <c r="BZ7" s="119">
        <v>0</v>
      </c>
      <c r="CA7" s="119">
        <v>0</v>
      </c>
      <c r="CB7" s="119">
        <v>0</v>
      </c>
      <c r="CC7" s="119">
        <v>0</v>
      </c>
      <c r="CD7" s="119">
        <v>20</v>
      </c>
      <c r="CE7" s="119">
        <v>0</v>
      </c>
      <c r="CF7" t="s">
        <v>383</v>
      </c>
      <c r="CG7" s="119">
        <v>0</v>
      </c>
      <c r="CH7" s="119">
        <v>0</v>
      </c>
      <c r="CI7" s="119">
        <v>0</v>
      </c>
      <c r="CJ7" s="119">
        <v>0</v>
      </c>
      <c r="CK7" s="119">
        <v>0</v>
      </c>
      <c r="CL7" s="119">
        <v>0</v>
      </c>
      <c r="CM7" s="119">
        <v>0</v>
      </c>
      <c r="CN7" s="119">
        <v>0</v>
      </c>
      <c r="CO7" s="119">
        <v>0</v>
      </c>
      <c r="CP7" s="119">
        <v>0</v>
      </c>
      <c r="CQ7" s="119">
        <v>20</v>
      </c>
      <c r="CR7" s="119">
        <v>0</v>
      </c>
      <c r="CS7" t="s">
        <v>384</v>
      </c>
      <c r="CT7" s="119">
        <v>0</v>
      </c>
      <c r="CU7" s="119">
        <v>0</v>
      </c>
      <c r="CV7" s="119">
        <v>0</v>
      </c>
      <c r="CW7" s="119">
        <v>0</v>
      </c>
      <c r="CX7" s="119">
        <v>0</v>
      </c>
      <c r="CY7" s="119">
        <v>0</v>
      </c>
      <c r="CZ7" s="119">
        <v>0</v>
      </c>
      <c r="DA7" s="119">
        <v>0</v>
      </c>
      <c r="DB7" s="119">
        <v>0</v>
      </c>
      <c r="DC7" s="119">
        <v>0</v>
      </c>
      <c r="DD7" s="119">
        <v>20</v>
      </c>
      <c r="DE7" s="119">
        <v>0</v>
      </c>
      <c r="DF7" t="s">
        <v>385</v>
      </c>
      <c r="DG7" s="119">
        <v>0</v>
      </c>
      <c r="DH7" s="119">
        <v>0</v>
      </c>
      <c r="DI7" s="119">
        <v>0</v>
      </c>
      <c r="DJ7" s="119">
        <v>0</v>
      </c>
      <c r="DK7" s="119">
        <v>0</v>
      </c>
      <c r="DL7" s="119">
        <v>0</v>
      </c>
      <c r="DM7" s="119">
        <v>0</v>
      </c>
      <c r="DN7" s="119">
        <v>0</v>
      </c>
      <c r="DO7" s="119">
        <v>0</v>
      </c>
      <c r="DP7" s="119">
        <v>0</v>
      </c>
      <c r="DQ7" s="119">
        <v>20</v>
      </c>
      <c r="DR7" s="119">
        <v>0</v>
      </c>
      <c r="DS7" t="s">
        <v>386</v>
      </c>
      <c r="DT7" s="119">
        <v>0</v>
      </c>
      <c r="DU7" s="119">
        <v>0</v>
      </c>
      <c r="DV7" s="119">
        <v>0</v>
      </c>
      <c r="DW7" s="119">
        <v>0</v>
      </c>
      <c r="DX7" s="119">
        <v>0</v>
      </c>
      <c r="DY7" s="119">
        <v>0</v>
      </c>
      <c r="DZ7" s="119">
        <v>0</v>
      </c>
      <c r="EA7" s="119">
        <v>0</v>
      </c>
      <c r="EB7" s="119">
        <v>0</v>
      </c>
      <c r="EC7" s="119">
        <v>0</v>
      </c>
      <c r="ED7" s="119">
        <v>20</v>
      </c>
      <c r="EE7" s="119">
        <v>0</v>
      </c>
      <c r="EF7" t="s">
        <v>387</v>
      </c>
      <c r="EG7" s="119">
        <v>0</v>
      </c>
      <c r="EH7" s="119">
        <v>0</v>
      </c>
      <c r="EI7" s="119">
        <v>0</v>
      </c>
      <c r="EJ7" s="119">
        <v>0</v>
      </c>
      <c r="EK7" s="119">
        <v>0</v>
      </c>
      <c r="EL7" s="119">
        <v>0</v>
      </c>
      <c r="EM7" s="119">
        <v>0</v>
      </c>
      <c r="EN7" s="119">
        <v>0</v>
      </c>
      <c r="EO7" s="119">
        <v>0</v>
      </c>
      <c r="EP7" s="119">
        <v>0</v>
      </c>
      <c r="EQ7" s="119">
        <v>20</v>
      </c>
      <c r="ER7" s="119">
        <v>0</v>
      </c>
      <c r="ES7" t="s">
        <v>388</v>
      </c>
      <c r="ET7" s="119">
        <v>0</v>
      </c>
      <c r="EU7" s="119">
        <v>0</v>
      </c>
      <c r="EV7" s="119">
        <v>0</v>
      </c>
      <c r="EW7" s="119">
        <v>0</v>
      </c>
      <c r="EX7" s="119">
        <v>0</v>
      </c>
      <c r="EY7" s="119">
        <v>0</v>
      </c>
      <c r="EZ7" s="119">
        <v>0</v>
      </c>
      <c r="FA7" s="119">
        <v>0</v>
      </c>
      <c r="FB7" s="119">
        <v>0</v>
      </c>
      <c r="FC7" s="119">
        <v>0</v>
      </c>
      <c r="FD7" s="119">
        <v>20</v>
      </c>
      <c r="FE7" s="119">
        <v>0</v>
      </c>
      <c r="FF7" t="s">
        <v>389</v>
      </c>
      <c r="FG7" s="119">
        <v>0</v>
      </c>
      <c r="FH7" s="119">
        <v>0</v>
      </c>
      <c r="FI7" s="119">
        <v>0</v>
      </c>
      <c r="FJ7" s="119">
        <v>0</v>
      </c>
      <c r="FK7" s="119">
        <v>0</v>
      </c>
      <c r="FL7" s="119">
        <v>0</v>
      </c>
      <c r="FM7" s="119">
        <v>0</v>
      </c>
      <c r="FN7" s="119">
        <v>0</v>
      </c>
      <c r="FO7" s="119">
        <v>0</v>
      </c>
      <c r="FP7" s="119">
        <v>0</v>
      </c>
      <c r="FQ7" s="119">
        <v>20</v>
      </c>
      <c r="FR7" s="119">
        <v>0</v>
      </c>
      <c r="FS7" t="s">
        <v>390</v>
      </c>
      <c r="FT7" s="119">
        <v>0</v>
      </c>
      <c r="FU7" s="119">
        <v>0</v>
      </c>
      <c r="FV7" s="119">
        <v>0</v>
      </c>
      <c r="FW7" s="119">
        <v>0</v>
      </c>
      <c r="FX7" s="119">
        <v>0</v>
      </c>
      <c r="FY7" s="119">
        <v>0</v>
      </c>
      <c r="FZ7" s="119">
        <v>0</v>
      </c>
      <c r="GA7" s="119">
        <v>0</v>
      </c>
      <c r="GB7" s="119">
        <v>0</v>
      </c>
      <c r="GC7" s="119">
        <v>0</v>
      </c>
      <c r="GD7" s="119">
        <v>20</v>
      </c>
      <c r="GE7" s="119">
        <v>0</v>
      </c>
      <c r="GF7" t="s">
        <v>391</v>
      </c>
      <c r="GG7" s="119">
        <v>0</v>
      </c>
      <c r="GH7" s="119">
        <v>0</v>
      </c>
      <c r="GI7" s="119">
        <v>0</v>
      </c>
      <c r="GJ7" s="119">
        <v>0</v>
      </c>
      <c r="GK7" s="119">
        <v>0</v>
      </c>
      <c r="GL7" s="119">
        <v>0</v>
      </c>
      <c r="GM7" s="119">
        <v>0</v>
      </c>
      <c r="GN7" s="119">
        <v>0</v>
      </c>
      <c r="GO7" s="119">
        <v>0</v>
      </c>
      <c r="GP7" s="119">
        <v>0</v>
      </c>
      <c r="GQ7" s="119">
        <v>20</v>
      </c>
      <c r="GR7" s="119">
        <v>0</v>
      </c>
      <c r="GT7" s="102"/>
      <c r="GU7" s="119"/>
      <c r="GV7" s="119"/>
      <c r="GW7" s="119"/>
      <c r="GX7" s="119"/>
      <c r="GY7" s="119"/>
      <c r="GZ7" s="119"/>
      <c r="HA7" s="119"/>
      <c r="HB7" s="119"/>
      <c r="HC7" s="119"/>
      <c r="HD7" s="119"/>
      <c r="HH7" s="120"/>
      <c r="HJ7"/>
      <c r="HK7" s="115"/>
      <c r="HR7" s="116"/>
      <c r="HT7" s="117"/>
      <c r="HY7"/>
      <c r="HZ7"/>
      <c r="IA7"/>
    </row>
    <row r="8" spans="1:235" x14ac:dyDescent="0.25">
      <c r="A8">
        <v>8</v>
      </c>
      <c r="B8" s="115">
        <v>43297</v>
      </c>
      <c r="C8" t="s">
        <v>392</v>
      </c>
      <c r="D8" t="s">
        <v>393</v>
      </c>
      <c r="E8" t="s">
        <v>394</v>
      </c>
      <c r="H8" t="s">
        <v>397</v>
      </c>
      <c r="I8" s="116">
        <v>2500</v>
      </c>
      <c r="J8" t="s">
        <v>398</v>
      </c>
      <c r="K8" s="117" t="s">
        <v>399</v>
      </c>
      <c r="N8" t="s">
        <v>423</v>
      </c>
      <c r="P8">
        <v>3788.57</v>
      </c>
      <c r="Q8">
        <v>3157.14</v>
      </c>
      <c r="R8">
        <v>631.42999999999995</v>
      </c>
      <c r="S8" t="s">
        <v>378</v>
      </c>
      <c r="T8" s="118">
        <v>150</v>
      </c>
      <c r="U8" s="118">
        <v>50</v>
      </c>
      <c r="V8" s="118">
        <v>200</v>
      </c>
      <c r="W8" s="119">
        <v>25</v>
      </c>
      <c r="X8" s="119">
        <v>0</v>
      </c>
      <c r="Y8" s="119">
        <v>0</v>
      </c>
      <c r="Z8" s="119">
        <v>0</v>
      </c>
      <c r="AA8" s="119">
        <v>50</v>
      </c>
      <c r="AB8" s="119">
        <v>0</v>
      </c>
      <c r="AC8" s="119">
        <v>200</v>
      </c>
      <c r="AD8" s="119">
        <v>20</v>
      </c>
      <c r="AE8" s="119">
        <v>40</v>
      </c>
      <c r="AF8" t="s">
        <v>379</v>
      </c>
      <c r="AG8" s="119">
        <v>0</v>
      </c>
      <c r="AH8" s="119">
        <v>0</v>
      </c>
      <c r="AI8" s="119">
        <v>0</v>
      </c>
      <c r="AJ8" s="119">
        <v>0</v>
      </c>
      <c r="AK8" s="119">
        <v>0</v>
      </c>
      <c r="AL8" s="119">
        <v>0</v>
      </c>
      <c r="AM8" s="119">
        <v>0</v>
      </c>
      <c r="AN8" s="119">
        <v>0</v>
      </c>
      <c r="AO8" s="119">
        <v>0</v>
      </c>
      <c r="AP8" s="119">
        <v>0</v>
      </c>
      <c r="AQ8" s="119">
        <v>20</v>
      </c>
      <c r="AR8" s="119">
        <v>0</v>
      </c>
      <c r="AS8" t="s">
        <v>380</v>
      </c>
      <c r="AT8" s="119">
        <v>0</v>
      </c>
      <c r="AU8" s="119">
        <v>0</v>
      </c>
      <c r="AV8" s="119">
        <v>0</v>
      </c>
      <c r="AW8" s="119">
        <v>0</v>
      </c>
      <c r="AX8" s="119">
        <v>0</v>
      </c>
      <c r="AY8" s="119">
        <v>0</v>
      </c>
      <c r="AZ8" s="119">
        <v>0</v>
      </c>
      <c r="BA8" s="119">
        <v>0</v>
      </c>
      <c r="BB8" s="119">
        <v>0</v>
      </c>
      <c r="BC8" s="119">
        <v>0</v>
      </c>
      <c r="BD8" s="119">
        <v>20</v>
      </c>
      <c r="BE8" s="119">
        <v>0</v>
      </c>
      <c r="BF8" t="s">
        <v>381</v>
      </c>
      <c r="BG8" s="119">
        <v>600</v>
      </c>
      <c r="BH8" s="119">
        <v>257.14</v>
      </c>
      <c r="BI8" s="119">
        <v>857.14</v>
      </c>
      <c r="BJ8" s="119">
        <v>30</v>
      </c>
      <c r="BK8" s="119">
        <v>30</v>
      </c>
      <c r="BL8" s="119">
        <v>70</v>
      </c>
      <c r="BM8" s="119">
        <v>2100</v>
      </c>
      <c r="BN8" s="119">
        <v>2357.14</v>
      </c>
      <c r="BO8" s="119">
        <v>78.569999999999993</v>
      </c>
      <c r="BP8" s="119">
        <v>2957.14</v>
      </c>
      <c r="BQ8" s="119">
        <v>20</v>
      </c>
      <c r="BR8" s="119">
        <v>591.42999999999995</v>
      </c>
      <c r="BS8" t="s">
        <v>382</v>
      </c>
      <c r="BT8" s="119">
        <v>0</v>
      </c>
      <c r="BU8" s="119">
        <v>0</v>
      </c>
      <c r="BV8" s="119">
        <v>0</v>
      </c>
      <c r="BW8" s="119">
        <v>0</v>
      </c>
      <c r="BX8" s="119">
        <v>0</v>
      </c>
      <c r="BY8" s="119">
        <v>0</v>
      </c>
      <c r="BZ8" s="119">
        <v>0</v>
      </c>
      <c r="CA8" s="119">
        <v>0</v>
      </c>
      <c r="CB8" s="119">
        <v>0</v>
      </c>
      <c r="CC8" s="119">
        <v>0</v>
      </c>
      <c r="CD8" s="119">
        <v>20</v>
      </c>
      <c r="CE8" s="119">
        <v>0</v>
      </c>
      <c r="CF8" t="s">
        <v>383</v>
      </c>
      <c r="CG8" s="119">
        <v>0</v>
      </c>
      <c r="CH8" s="119">
        <v>0</v>
      </c>
      <c r="CI8" s="119">
        <v>0</v>
      </c>
      <c r="CJ8" s="119">
        <v>0</v>
      </c>
      <c r="CK8" s="119">
        <v>0</v>
      </c>
      <c r="CL8" s="119">
        <v>0</v>
      </c>
      <c r="CM8" s="119">
        <v>0</v>
      </c>
      <c r="CN8" s="119">
        <v>0</v>
      </c>
      <c r="CO8" s="119">
        <v>0</v>
      </c>
      <c r="CP8" s="119">
        <v>0</v>
      </c>
      <c r="CQ8" s="119">
        <v>20</v>
      </c>
      <c r="CR8" s="119">
        <v>0</v>
      </c>
      <c r="CS8" t="s">
        <v>384</v>
      </c>
      <c r="CT8" s="119">
        <v>0</v>
      </c>
      <c r="CU8" s="119">
        <v>0</v>
      </c>
      <c r="CV8" s="119">
        <v>0</v>
      </c>
      <c r="CW8" s="119">
        <v>0</v>
      </c>
      <c r="CX8" s="119">
        <v>0</v>
      </c>
      <c r="CY8" s="119">
        <v>0</v>
      </c>
      <c r="CZ8" s="119">
        <v>0</v>
      </c>
      <c r="DA8" s="119">
        <v>0</v>
      </c>
      <c r="DB8" s="119">
        <v>0</v>
      </c>
      <c r="DC8" s="119">
        <v>0</v>
      </c>
      <c r="DD8" s="119">
        <v>20</v>
      </c>
      <c r="DE8" s="119">
        <v>0</v>
      </c>
      <c r="DF8" t="s">
        <v>385</v>
      </c>
      <c r="DG8" s="119">
        <v>0</v>
      </c>
      <c r="DH8" s="119">
        <v>0</v>
      </c>
      <c r="DI8" s="119">
        <v>0</v>
      </c>
      <c r="DJ8" s="119">
        <v>0</v>
      </c>
      <c r="DK8" s="119">
        <v>0</v>
      </c>
      <c r="DL8" s="119">
        <v>0</v>
      </c>
      <c r="DM8" s="119">
        <v>0</v>
      </c>
      <c r="DN8" s="119">
        <v>0</v>
      </c>
      <c r="DO8" s="119">
        <v>0</v>
      </c>
      <c r="DP8" s="119">
        <v>0</v>
      </c>
      <c r="DQ8" s="119">
        <v>20</v>
      </c>
      <c r="DR8" s="119">
        <v>0</v>
      </c>
      <c r="DS8" t="s">
        <v>386</v>
      </c>
      <c r="DT8" s="119">
        <v>0</v>
      </c>
      <c r="DU8" s="119">
        <v>0</v>
      </c>
      <c r="DV8" s="119">
        <v>0</v>
      </c>
      <c r="DW8" s="119">
        <v>0</v>
      </c>
      <c r="DX8" s="119">
        <v>0</v>
      </c>
      <c r="DY8" s="119">
        <v>0</v>
      </c>
      <c r="DZ8" s="119">
        <v>0</v>
      </c>
      <c r="EA8" s="119">
        <v>0</v>
      </c>
      <c r="EB8" s="119">
        <v>0</v>
      </c>
      <c r="EC8" s="119">
        <v>0</v>
      </c>
      <c r="ED8" s="119">
        <v>20</v>
      </c>
      <c r="EE8" s="119">
        <v>0</v>
      </c>
      <c r="EF8" t="s">
        <v>387</v>
      </c>
      <c r="EG8" s="119">
        <v>0</v>
      </c>
      <c r="EH8" s="119">
        <v>0</v>
      </c>
      <c r="EI8" s="119">
        <v>0</v>
      </c>
      <c r="EJ8" s="119">
        <v>0</v>
      </c>
      <c r="EK8" s="119">
        <v>0</v>
      </c>
      <c r="EL8" s="119">
        <v>0</v>
      </c>
      <c r="EM8" s="119">
        <v>0</v>
      </c>
      <c r="EN8" s="119">
        <v>0</v>
      </c>
      <c r="EO8" s="119">
        <v>0</v>
      </c>
      <c r="EP8" s="119">
        <v>0</v>
      </c>
      <c r="EQ8" s="119">
        <v>20</v>
      </c>
      <c r="ER8" s="119">
        <v>0</v>
      </c>
      <c r="ES8" t="s">
        <v>388</v>
      </c>
      <c r="ET8" s="119">
        <v>0</v>
      </c>
      <c r="EU8" s="119">
        <v>0</v>
      </c>
      <c r="EV8" s="119">
        <v>0</v>
      </c>
      <c r="EW8" s="119">
        <v>0</v>
      </c>
      <c r="EX8" s="119">
        <v>0</v>
      </c>
      <c r="EY8" s="119">
        <v>0</v>
      </c>
      <c r="EZ8" s="119">
        <v>0</v>
      </c>
      <c r="FA8" s="119">
        <v>0</v>
      </c>
      <c r="FB8" s="119">
        <v>0</v>
      </c>
      <c r="FC8" s="119">
        <v>0</v>
      </c>
      <c r="FD8" s="119">
        <v>20</v>
      </c>
      <c r="FE8" s="119">
        <v>0</v>
      </c>
      <c r="FF8" t="s">
        <v>389</v>
      </c>
      <c r="FG8" s="119">
        <v>0</v>
      </c>
      <c r="FH8" s="119">
        <v>0</v>
      </c>
      <c r="FI8" s="119">
        <v>0</v>
      </c>
      <c r="FJ8" s="119">
        <v>0</v>
      </c>
      <c r="FK8" s="119">
        <v>0</v>
      </c>
      <c r="FL8" s="119">
        <v>0</v>
      </c>
      <c r="FM8" s="119">
        <v>0</v>
      </c>
      <c r="FN8" s="119">
        <v>0</v>
      </c>
      <c r="FO8" s="119">
        <v>0</v>
      </c>
      <c r="FP8" s="119">
        <v>0</v>
      </c>
      <c r="FQ8" s="119">
        <v>20</v>
      </c>
      <c r="FR8" s="119">
        <v>0</v>
      </c>
      <c r="FS8" t="s">
        <v>390</v>
      </c>
      <c r="FT8" s="119">
        <v>0</v>
      </c>
      <c r="FU8" s="119">
        <v>0</v>
      </c>
      <c r="FV8" s="119">
        <v>0</v>
      </c>
      <c r="FW8" s="119">
        <v>0</v>
      </c>
      <c r="FX8" s="119">
        <v>0</v>
      </c>
      <c r="FY8" s="119">
        <v>0</v>
      </c>
      <c r="FZ8" s="119">
        <v>0</v>
      </c>
      <c r="GA8" s="119">
        <v>0</v>
      </c>
      <c r="GB8" s="119">
        <v>0</v>
      </c>
      <c r="GC8" s="119">
        <v>0</v>
      </c>
      <c r="GD8" s="119">
        <v>20</v>
      </c>
      <c r="GE8" s="119">
        <v>0</v>
      </c>
      <c r="GF8" t="s">
        <v>391</v>
      </c>
      <c r="GG8" s="119">
        <v>0</v>
      </c>
      <c r="GH8" s="119">
        <v>0</v>
      </c>
      <c r="GI8" s="119">
        <v>0</v>
      </c>
      <c r="GJ8" s="119">
        <v>0</v>
      </c>
      <c r="GK8" s="119">
        <v>0</v>
      </c>
      <c r="GL8" s="119">
        <v>0</v>
      </c>
      <c r="GM8" s="119">
        <v>0</v>
      </c>
      <c r="GN8" s="119">
        <v>0</v>
      </c>
      <c r="GO8" s="119">
        <v>0</v>
      </c>
      <c r="GP8" s="119">
        <v>0</v>
      </c>
      <c r="GQ8" s="119">
        <v>20</v>
      </c>
      <c r="GR8" s="119">
        <v>0</v>
      </c>
      <c r="GT8" s="102"/>
      <c r="GU8" s="119"/>
      <c r="GV8" s="119"/>
      <c r="GW8" s="119"/>
      <c r="GX8" s="119"/>
      <c r="GY8" s="119"/>
      <c r="GZ8" s="119"/>
      <c r="HA8" s="119"/>
      <c r="HB8" s="119"/>
      <c r="HC8" s="119"/>
      <c r="HD8" s="119"/>
      <c r="HH8" s="120"/>
      <c r="HJ8"/>
      <c r="HK8" s="115"/>
      <c r="HR8" s="116"/>
      <c r="HT8" s="117"/>
      <c r="HY8"/>
      <c r="HZ8"/>
      <c r="IA8"/>
    </row>
    <row r="9" spans="1:235" x14ac:dyDescent="0.25">
      <c r="A9">
        <v>9</v>
      </c>
      <c r="B9" s="115">
        <v>43297</v>
      </c>
      <c r="C9" t="s">
        <v>392</v>
      </c>
      <c r="D9" t="s">
        <v>393</v>
      </c>
      <c r="E9" t="s">
        <v>394</v>
      </c>
      <c r="F9" t="s">
        <v>395</v>
      </c>
      <c r="G9" t="s">
        <v>396</v>
      </c>
      <c r="H9" t="s">
        <v>397</v>
      </c>
      <c r="I9" s="116">
        <v>2500</v>
      </c>
      <c r="J9" t="s">
        <v>398</v>
      </c>
      <c r="K9" s="117" t="s">
        <v>399</v>
      </c>
      <c r="L9">
        <v>8646</v>
      </c>
      <c r="M9">
        <v>25675</v>
      </c>
      <c r="N9" t="s">
        <v>154</v>
      </c>
      <c r="O9">
        <v>8546</v>
      </c>
      <c r="P9">
        <v>5805.71</v>
      </c>
      <c r="Q9">
        <v>4838.1000000000004</v>
      </c>
      <c r="R9">
        <v>967.62</v>
      </c>
      <c r="S9" t="s">
        <v>378</v>
      </c>
      <c r="T9" s="118">
        <v>500</v>
      </c>
      <c r="U9" s="118">
        <v>166.67</v>
      </c>
      <c r="V9" s="118">
        <v>666.67</v>
      </c>
      <c r="W9" s="119">
        <v>25</v>
      </c>
      <c r="X9" s="119">
        <v>0</v>
      </c>
      <c r="Y9" s="119">
        <v>0</v>
      </c>
      <c r="Z9" s="119">
        <v>0</v>
      </c>
      <c r="AA9" s="119">
        <v>166.67</v>
      </c>
      <c r="AB9" s="119">
        <v>0</v>
      </c>
      <c r="AC9" s="119">
        <v>666.67</v>
      </c>
      <c r="AD9" s="119">
        <v>20</v>
      </c>
      <c r="AE9" s="119">
        <v>133.33000000000001</v>
      </c>
      <c r="AF9" t="s">
        <v>379</v>
      </c>
      <c r="AG9" s="119">
        <v>0</v>
      </c>
      <c r="AH9" s="119">
        <v>0</v>
      </c>
      <c r="AI9" s="119">
        <v>0</v>
      </c>
      <c r="AJ9" s="119">
        <v>0</v>
      </c>
      <c r="AK9" s="119">
        <v>0</v>
      </c>
      <c r="AL9" s="119">
        <v>0</v>
      </c>
      <c r="AM9" s="119">
        <v>0</v>
      </c>
      <c r="AN9" s="119">
        <v>0</v>
      </c>
      <c r="AO9" s="119">
        <v>0</v>
      </c>
      <c r="AP9" s="119">
        <v>0</v>
      </c>
      <c r="AQ9" s="119">
        <v>20</v>
      </c>
      <c r="AR9" s="119">
        <v>0</v>
      </c>
      <c r="AS9" t="s">
        <v>380</v>
      </c>
      <c r="AT9" s="119">
        <v>0</v>
      </c>
      <c r="AU9" s="119">
        <v>0</v>
      </c>
      <c r="AV9" s="119">
        <v>0</v>
      </c>
      <c r="AW9" s="119">
        <v>0</v>
      </c>
      <c r="AX9" s="119">
        <v>0</v>
      </c>
      <c r="AY9" s="119">
        <v>0</v>
      </c>
      <c r="AZ9" s="119">
        <v>0</v>
      </c>
      <c r="BA9" s="119">
        <v>0</v>
      </c>
      <c r="BB9" s="119">
        <v>0</v>
      </c>
      <c r="BC9" s="119">
        <v>0</v>
      </c>
      <c r="BD9" s="119">
        <v>20</v>
      </c>
      <c r="BE9" s="119">
        <v>0</v>
      </c>
      <c r="BF9" t="s">
        <v>381</v>
      </c>
      <c r="BG9" s="119">
        <v>2500</v>
      </c>
      <c r="BH9" s="119">
        <v>1071.43</v>
      </c>
      <c r="BI9" s="119">
        <v>3571.43</v>
      </c>
      <c r="BJ9" s="119">
        <v>30</v>
      </c>
      <c r="BK9" s="119">
        <v>10</v>
      </c>
      <c r="BL9" s="119">
        <v>60</v>
      </c>
      <c r="BM9" s="119">
        <v>600</v>
      </c>
      <c r="BN9" s="119">
        <v>1671.43</v>
      </c>
      <c r="BO9" s="119">
        <v>167.14</v>
      </c>
      <c r="BP9" s="119">
        <v>4171.43</v>
      </c>
      <c r="BQ9" s="119">
        <v>20</v>
      </c>
      <c r="BR9" s="119">
        <v>834.29</v>
      </c>
      <c r="BS9" t="s">
        <v>382</v>
      </c>
      <c r="BT9" s="119">
        <v>0</v>
      </c>
      <c r="BU9" s="119">
        <v>0</v>
      </c>
      <c r="BV9" s="119">
        <v>0</v>
      </c>
      <c r="BW9" s="119">
        <v>0</v>
      </c>
      <c r="BX9" s="119">
        <v>0</v>
      </c>
      <c r="BY9" s="119">
        <v>0</v>
      </c>
      <c r="BZ9" s="119">
        <v>0</v>
      </c>
      <c r="CA9" s="119">
        <v>0</v>
      </c>
      <c r="CB9" s="119">
        <v>0</v>
      </c>
      <c r="CC9" s="119">
        <v>0</v>
      </c>
      <c r="CD9" s="119">
        <v>20</v>
      </c>
      <c r="CE9" s="119">
        <v>0</v>
      </c>
      <c r="CF9" t="s">
        <v>383</v>
      </c>
      <c r="CG9" s="119">
        <v>0</v>
      </c>
      <c r="CH9" s="119">
        <v>0</v>
      </c>
      <c r="CI9" s="119">
        <v>0</v>
      </c>
      <c r="CJ9" s="119">
        <v>0</v>
      </c>
      <c r="CK9" s="119">
        <v>0</v>
      </c>
      <c r="CL9" s="119">
        <v>0</v>
      </c>
      <c r="CM9" s="119">
        <v>0</v>
      </c>
      <c r="CN9" s="119">
        <v>0</v>
      </c>
      <c r="CO9" s="119">
        <v>0</v>
      </c>
      <c r="CP9" s="119">
        <v>0</v>
      </c>
      <c r="CQ9" s="119">
        <v>20</v>
      </c>
      <c r="CR9" s="119">
        <v>0</v>
      </c>
      <c r="CS9" t="s">
        <v>384</v>
      </c>
      <c r="CT9" s="119">
        <v>0</v>
      </c>
      <c r="CU9" s="119">
        <v>0</v>
      </c>
      <c r="CV9" s="119">
        <v>0</v>
      </c>
      <c r="CW9" s="119">
        <v>0</v>
      </c>
      <c r="CX9" s="119">
        <v>0</v>
      </c>
      <c r="CY9" s="119">
        <v>0</v>
      </c>
      <c r="CZ9" s="119">
        <v>0</v>
      </c>
      <c r="DA9" s="119">
        <v>0</v>
      </c>
      <c r="DB9" s="119">
        <v>0</v>
      </c>
      <c r="DC9" s="119">
        <v>0</v>
      </c>
      <c r="DD9" s="119">
        <v>20</v>
      </c>
      <c r="DE9" s="119">
        <v>0</v>
      </c>
      <c r="DF9" t="s">
        <v>385</v>
      </c>
      <c r="DG9" s="119">
        <v>0</v>
      </c>
      <c r="DH9" s="119">
        <v>0</v>
      </c>
      <c r="DI9" s="119">
        <v>0</v>
      </c>
      <c r="DJ9" s="119">
        <v>0</v>
      </c>
      <c r="DK9" s="119">
        <v>0</v>
      </c>
      <c r="DL9" s="119">
        <v>0</v>
      </c>
      <c r="DM9" s="119">
        <v>0</v>
      </c>
      <c r="DN9" s="119">
        <v>0</v>
      </c>
      <c r="DO9" s="119">
        <v>0</v>
      </c>
      <c r="DP9" s="119">
        <v>0</v>
      </c>
      <c r="DQ9" s="119">
        <v>20</v>
      </c>
      <c r="DR9" s="119">
        <v>0</v>
      </c>
      <c r="DS9" t="s">
        <v>386</v>
      </c>
      <c r="DT9" s="119">
        <v>0</v>
      </c>
      <c r="DU9" s="119">
        <v>0</v>
      </c>
      <c r="DV9" s="119">
        <v>0</v>
      </c>
      <c r="DW9" s="119">
        <v>0</v>
      </c>
      <c r="DX9" s="119">
        <v>0</v>
      </c>
      <c r="DY9" s="119">
        <v>0</v>
      </c>
      <c r="DZ9" s="119">
        <v>0</v>
      </c>
      <c r="EA9" s="119">
        <v>0</v>
      </c>
      <c r="EB9" s="119">
        <v>0</v>
      </c>
      <c r="EC9" s="119">
        <v>0</v>
      </c>
      <c r="ED9" s="119">
        <v>20</v>
      </c>
      <c r="EE9" s="119">
        <v>0</v>
      </c>
      <c r="EF9" t="s">
        <v>387</v>
      </c>
      <c r="EG9" s="119">
        <v>0</v>
      </c>
      <c r="EH9" s="119">
        <v>0</v>
      </c>
      <c r="EI9" s="119">
        <v>0</v>
      </c>
      <c r="EJ9" s="119">
        <v>0</v>
      </c>
      <c r="EK9" s="119">
        <v>0</v>
      </c>
      <c r="EL9" s="119">
        <v>0</v>
      </c>
      <c r="EM9" s="119">
        <v>0</v>
      </c>
      <c r="EN9" s="119">
        <v>0</v>
      </c>
      <c r="EO9" s="119">
        <v>0</v>
      </c>
      <c r="EP9" s="119">
        <v>0</v>
      </c>
      <c r="EQ9" s="119">
        <v>20</v>
      </c>
      <c r="ER9" s="119">
        <v>0</v>
      </c>
      <c r="ES9" t="s">
        <v>388</v>
      </c>
      <c r="ET9" s="119">
        <v>0</v>
      </c>
      <c r="EU9" s="119">
        <v>0</v>
      </c>
      <c r="EV9" s="119">
        <v>0</v>
      </c>
      <c r="EW9" s="119">
        <v>0</v>
      </c>
      <c r="EX9" s="119">
        <v>0</v>
      </c>
      <c r="EY9" s="119">
        <v>0</v>
      </c>
      <c r="EZ9" s="119">
        <v>0</v>
      </c>
      <c r="FA9" s="119">
        <v>0</v>
      </c>
      <c r="FB9" s="119">
        <v>0</v>
      </c>
      <c r="FC9" s="119">
        <v>0</v>
      </c>
      <c r="FD9" s="119">
        <v>20</v>
      </c>
      <c r="FE9" s="119">
        <v>0</v>
      </c>
      <c r="FF9" t="s">
        <v>389</v>
      </c>
      <c r="FG9" s="119">
        <v>0</v>
      </c>
      <c r="FH9" s="119">
        <v>0</v>
      </c>
      <c r="FI9" s="119">
        <v>0</v>
      </c>
      <c r="FJ9" s="119">
        <v>0</v>
      </c>
      <c r="FK9" s="119">
        <v>0</v>
      </c>
      <c r="FL9" s="119">
        <v>0</v>
      </c>
      <c r="FM9" s="119">
        <v>0</v>
      </c>
      <c r="FN9" s="119">
        <v>0</v>
      </c>
      <c r="FO9" s="119">
        <v>0</v>
      </c>
      <c r="FP9" s="119">
        <v>0</v>
      </c>
      <c r="FQ9" s="119">
        <v>20</v>
      </c>
      <c r="FR9" s="119">
        <v>0</v>
      </c>
      <c r="FS9" t="s">
        <v>390</v>
      </c>
      <c r="FT9" s="119">
        <v>0</v>
      </c>
      <c r="FU9" s="119">
        <v>0</v>
      </c>
      <c r="FV9" s="119">
        <v>0</v>
      </c>
      <c r="FW9" s="119">
        <v>0</v>
      </c>
      <c r="FX9" s="119">
        <v>0</v>
      </c>
      <c r="FY9" s="119">
        <v>0</v>
      </c>
      <c r="FZ9" s="119">
        <v>0</v>
      </c>
      <c r="GA9" s="119">
        <v>0</v>
      </c>
      <c r="GB9" s="119">
        <v>0</v>
      </c>
      <c r="GC9" s="119">
        <v>0</v>
      </c>
      <c r="GD9" s="119">
        <v>20</v>
      </c>
      <c r="GE9" s="119">
        <v>0</v>
      </c>
      <c r="GF9" t="s">
        <v>391</v>
      </c>
      <c r="GG9" s="119">
        <v>0</v>
      </c>
      <c r="GH9" s="119">
        <v>0</v>
      </c>
      <c r="GI9" s="119">
        <v>0</v>
      </c>
      <c r="GJ9" s="119">
        <v>0</v>
      </c>
      <c r="GK9" s="119">
        <v>0</v>
      </c>
      <c r="GL9" s="119">
        <v>0</v>
      </c>
      <c r="GM9" s="119">
        <v>0</v>
      </c>
      <c r="GN9" s="119">
        <v>0</v>
      </c>
      <c r="GO9" s="119">
        <v>0</v>
      </c>
      <c r="GP9" s="119">
        <v>0</v>
      </c>
      <c r="GQ9" s="119">
        <v>20</v>
      </c>
      <c r="GR9" s="119">
        <v>0</v>
      </c>
      <c r="GT9" s="102"/>
      <c r="GU9" s="119"/>
      <c r="GV9" s="119"/>
      <c r="GW9" s="119"/>
      <c r="GX9" s="119"/>
      <c r="GY9" s="119"/>
      <c r="GZ9" s="119"/>
      <c r="HA9" s="119"/>
      <c r="HB9" s="119"/>
      <c r="HC9" s="119"/>
      <c r="HD9" s="119"/>
      <c r="HH9" s="120"/>
      <c r="HJ9"/>
      <c r="HK9" s="115"/>
      <c r="HR9" s="116"/>
      <c r="HT9" s="117"/>
      <c r="HY9"/>
      <c r="HZ9"/>
      <c r="IA9"/>
    </row>
    <row r="10" spans="1:235" x14ac:dyDescent="0.25">
      <c r="A10">
        <v>10</v>
      </c>
      <c r="B10" s="115">
        <v>43297</v>
      </c>
      <c r="C10" t="s">
        <v>392</v>
      </c>
      <c r="D10" t="s">
        <v>393</v>
      </c>
      <c r="E10" t="s">
        <v>394</v>
      </c>
      <c r="H10" t="s">
        <v>397</v>
      </c>
      <c r="I10" s="116">
        <v>2500</v>
      </c>
      <c r="J10" t="s">
        <v>398</v>
      </c>
      <c r="K10" s="117" t="s">
        <v>399</v>
      </c>
      <c r="L10">
        <v>57546</v>
      </c>
      <c r="M10">
        <v>85236</v>
      </c>
      <c r="N10" t="s">
        <v>423</v>
      </c>
      <c r="P10">
        <v>1700</v>
      </c>
      <c r="Q10">
        <v>1416.67</v>
      </c>
      <c r="R10">
        <v>283.33</v>
      </c>
      <c r="S10" t="s">
        <v>378</v>
      </c>
      <c r="T10" s="118">
        <v>500</v>
      </c>
      <c r="U10" s="118">
        <v>166.67</v>
      </c>
      <c r="V10" s="118">
        <v>666.67</v>
      </c>
      <c r="W10" s="119">
        <v>25</v>
      </c>
      <c r="X10" s="119">
        <v>15</v>
      </c>
      <c r="Y10" s="119">
        <v>50</v>
      </c>
      <c r="Z10" s="119">
        <v>750</v>
      </c>
      <c r="AA10" s="119">
        <v>916.67</v>
      </c>
      <c r="AB10" s="119">
        <v>61.11</v>
      </c>
      <c r="AC10" s="119">
        <v>1416.67</v>
      </c>
      <c r="AD10" s="119">
        <v>20</v>
      </c>
      <c r="AE10" s="119">
        <v>283.33</v>
      </c>
      <c r="AF10" t="s">
        <v>379</v>
      </c>
      <c r="AG10" s="119">
        <v>0</v>
      </c>
      <c r="AH10" s="119">
        <v>0</v>
      </c>
      <c r="AI10" s="119">
        <v>0</v>
      </c>
      <c r="AJ10" s="119">
        <v>0</v>
      </c>
      <c r="AK10" s="119">
        <v>0</v>
      </c>
      <c r="AL10" s="119">
        <v>0</v>
      </c>
      <c r="AM10" s="119">
        <v>0</v>
      </c>
      <c r="AN10" s="119">
        <v>0</v>
      </c>
      <c r="AO10" s="119">
        <v>0</v>
      </c>
      <c r="AP10" s="119">
        <v>0</v>
      </c>
      <c r="AQ10" s="119">
        <v>20</v>
      </c>
      <c r="AR10" s="119">
        <v>0</v>
      </c>
      <c r="AS10" t="s">
        <v>380</v>
      </c>
      <c r="AT10" s="119">
        <v>0</v>
      </c>
      <c r="AU10" s="119">
        <v>0</v>
      </c>
      <c r="AV10" s="119">
        <v>0</v>
      </c>
      <c r="AW10" s="119">
        <v>0</v>
      </c>
      <c r="AX10" s="119">
        <v>0</v>
      </c>
      <c r="AY10" s="119">
        <v>0</v>
      </c>
      <c r="AZ10" s="119">
        <v>0</v>
      </c>
      <c r="BA10" s="119">
        <v>0</v>
      </c>
      <c r="BB10" s="119">
        <v>0</v>
      </c>
      <c r="BC10" s="119">
        <v>0</v>
      </c>
      <c r="BD10" s="119">
        <v>20</v>
      </c>
      <c r="BE10" s="119">
        <v>0</v>
      </c>
      <c r="BF10" t="s">
        <v>381</v>
      </c>
      <c r="BG10" s="119">
        <v>0</v>
      </c>
      <c r="BH10" s="119">
        <v>0</v>
      </c>
      <c r="BI10" s="119">
        <v>0</v>
      </c>
      <c r="BJ10" s="119">
        <v>0</v>
      </c>
      <c r="BK10" s="119">
        <v>0</v>
      </c>
      <c r="BL10" s="119">
        <v>0</v>
      </c>
      <c r="BM10" s="119">
        <v>0</v>
      </c>
      <c r="BN10" s="119">
        <v>0</v>
      </c>
      <c r="BO10" s="119">
        <v>0</v>
      </c>
      <c r="BP10" s="119">
        <v>0</v>
      </c>
      <c r="BQ10" s="119">
        <v>20</v>
      </c>
      <c r="BR10" s="119">
        <v>0</v>
      </c>
      <c r="BS10" t="s">
        <v>382</v>
      </c>
      <c r="BT10" s="119">
        <v>0</v>
      </c>
      <c r="BU10" s="119">
        <v>0</v>
      </c>
      <c r="BV10" s="119">
        <v>0</v>
      </c>
      <c r="BW10" s="119">
        <v>0</v>
      </c>
      <c r="BX10" s="119">
        <v>0</v>
      </c>
      <c r="BY10" s="119">
        <v>0</v>
      </c>
      <c r="BZ10" s="119">
        <v>0</v>
      </c>
      <c r="CA10" s="119">
        <v>0</v>
      </c>
      <c r="CB10" s="119">
        <v>0</v>
      </c>
      <c r="CC10" s="119">
        <v>0</v>
      </c>
      <c r="CD10" s="119">
        <v>20</v>
      </c>
      <c r="CE10" s="119">
        <v>0</v>
      </c>
      <c r="CF10" t="s">
        <v>383</v>
      </c>
      <c r="CG10" s="119">
        <v>0</v>
      </c>
      <c r="CH10" s="119">
        <v>0</v>
      </c>
      <c r="CI10" s="119">
        <v>0</v>
      </c>
      <c r="CJ10" s="119">
        <v>0</v>
      </c>
      <c r="CK10" s="119">
        <v>0</v>
      </c>
      <c r="CL10" s="119">
        <v>0</v>
      </c>
      <c r="CM10" s="119">
        <v>0</v>
      </c>
      <c r="CN10" s="119">
        <v>0</v>
      </c>
      <c r="CO10" s="119">
        <v>0</v>
      </c>
      <c r="CP10" s="119">
        <v>0</v>
      </c>
      <c r="CQ10" s="119">
        <v>20</v>
      </c>
      <c r="CR10" s="119">
        <v>0</v>
      </c>
      <c r="CS10" t="s">
        <v>384</v>
      </c>
      <c r="CT10" s="119">
        <v>0</v>
      </c>
      <c r="CU10" s="119">
        <v>0</v>
      </c>
      <c r="CV10" s="119">
        <v>0</v>
      </c>
      <c r="CW10" s="119">
        <v>0</v>
      </c>
      <c r="CX10" s="119">
        <v>0</v>
      </c>
      <c r="CY10" s="119">
        <v>0</v>
      </c>
      <c r="CZ10" s="119">
        <v>0</v>
      </c>
      <c r="DA10" s="119">
        <v>0</v>
      </c>
      <c r="DB10" s="119">
        <v>0</v>
      </c>
      <c r="DC10" s="119">
        <v>0</v>
      </c>
      <c r="DD10" s="119">
        <v>20</v>
      </c>
      <c r="DE10" s="119">
        <v>0</v>
      </c>
      <c r="DF10" t="s">
        <v>385</v>
      </c>
      <c r="DG10" s="119">
        <v>0</v>
      </c>
      <c r="DH10" s="119">
        <v>0</v>
      </c>
      <c r="DI10" s="119">
        <v>0</v>
      </c>
      <c r="DJ10" s="119">
        <v>0</v>
      </c>
      <c r="DK10" s="119">
        <v>0</v>
      </c>
      <c r="DL10" s="119">
        <v>0</v>
      </c>
      <c r="DM10" s="119">
        <v>0</v>
      </c>
      <c r="DN10" s="119">
        <v>0</v>
      </c>
      <c r="DO10" s="119">
        <v>0</v>
      </c>
      <c r="DP10" s="119">
        <v>0</v>
      </c>
      <c r="DQ10" s="119">
        <v>20</v>
      </c>
      <c r="DR10" s="119">
        <v>0</v>
      </c>
      <c r="DS10" t="s">
        <v>386</v>
      </c>
      <c r="DT10" s="119">
        <v>0</v>
      </c>
      <c r="DU10" s="119">
        <v>0</v>
      </c>
      <c r="DV10" s="119">
        <v>0</v>
      </c>
      <c r="DW10" s="119">
        <v>0</v>
      </c>
      <c r="DX10" s="119">
        <v>0</v>
      </c>
      <c r="DY10" s="119">
        <v>0</v>
      </c>
      <c r="DZ10" s="119">
        <v>0</v>
      </c>
      <c r="EA10" s="119">
        <v>0</v>
      </c>
      <c r="EB10" s="119">
        <v>0</v>
      </c>
      <c r="EC10" s="119">
        <v>0</v>
      </c>
      <c r="ED10" s="119">
        <v>20</v>
      </c>
      <c r="EE10" s="119">
        <v>0</v>
      </c>
      <c r="EF10" t="s">
        <v>387</v>
      </c>
      <c r="EG10" s="119">
        <v>0</v>
      </c>
      <c r="EH10" s="119">
        <v>0</v>
      </c>
      <c r="EI10" s="119">
        <v>0</v>
      </c>
      <c r="EJ10" s="119">
        <v>0</v>
      </c>
      <c r="EK10" s="119">
        <v>0</v>
      </c>
      <c r="EL10" s="119">
        <v>0</v>
      </c>
      <c r="EM10" s="119">
        <v>0</v>
      </c>
      <c r="EN10" s="119">
        <v>0</v>
      </c>
      <c r="EO10" s="119">
        <v>0</v>
      </c>
      <c r="EP10" s="119">
        <v>0</v>
      </c>
      <c r="EQ10" s="119">
        <v>20</v>
      </c>
      <c r="ER10" s="119">
        <v>0</v>
      </c>
      <c r="ES10" t="s">
        <v>388</v>
      </c>
      <c r="ET10" s="119">
        <v>0</v>
      </c>
      <c r="EU10" s="119">
        <v>0</v>
      </c>
      <c r="EV10" s="119">
        <v>0</v>
      </c>
      <c r="EW10" s="119">
        <v>0</v>
      </c>
      <c r="EX10" s="119">
        <v>0</v>
      </c>
      <c r="EY10" s="119">
        <v>0</v>
      </c>
      <c r="EZ10" s="119">
        <v>0</v>
      </c>
      <c r="FA10" s="119">
        <v>0</v>
      </c>
      <c r="FB10" s="119">
        <v>0</v>
      </c>
      <c r="FC10" s="119">
        <v>0</v>
      </c>
      <c r="FD10" s="119">
        <v>20</v>
      </c>
      <c r="FE10" s="119">
        <v>0</v>
      </c>
      <c r="FF10" t="s">
        <v>389</v>
      </c>
      <c r="FG10" s="119">
        <v>0</v>
      </c>
      <c r="FH10" s="119">
        <v>0</v>
      </c>
      <c r="FI10" s="119">
        <v>0</v>
      </c>
      <c r="FJ10" s="119">
        <v>0</v>
      </c>
      <c r="FK10" s="119">
        <v>0</v>
      </c>
      <c r="FL10" s="119">
        <v>0</v>
      </c>
      <c r="FM10" s="119">
        <v>0</v>
      </c>
      <c r="FN10" s="119">
        <v>0</v>
      </c>
      <c r="FO10" s="119">
        <v>0</v>
      </c>
      <c r="FP10" s="119">
        <v>0</v>
      </c>
      <c r="FQ10" s="119">
        <v>20</v>
      </c>
      <c r="FR10" s="119">
        <v>0</v>
      </c>
      <c r="FS10" t="s">
        <v>390</v>
      </c>
      <c r="FT10" s="119">
        <v>0</v>
      </c>
      <c r="FU10" s="119">
        <v>0</v>
      </c>
      <c r="FV10" s="119">
        <v>0</v>
      </c>
      <c r="FW10" s="119">
        <v>0</v>
      </c>
      <c r="FX10" s="119">
        <v>0</v>
      </c>
      <c r="FY10" s="119">
        <v>0</v>
      </c>
      <c r="FZ10" s="119">
        <v>0</v>
      </c>
      <c r="GA10" s="119">
        <v>0</v>
      </c>
      <c r="GB10" s="119">
        <v>0</v>
      </c>
      <c r="GC10" s="119">
        <v>0</v>
      </c>
      <c r="GD10" s="119">
        <v>20</v>
      </c>
      <c r="GE10" s="119">
        <v>0</v>
      </c>
      <c r="GF10" t="s">
        <v>391</v>
      </c>
      <c r="GG10" s="119">
        <v>0</v>
      </c>
      <c r="GH10" s="119">
        <v>0</v>
      </c>
      <c r="GI10" s="119">
        <v>0</v>
      </c>
      <c r="GJ10" s="119">
        <v>0</v>
      </c>
      <c r="GK10" s="119">
        <v>0</v>
      </c>
      <c r="GL10" s="119">
        <v>0</v>
      </c>
      <c r="GM10" s="119">
        <v>0</v>
      </c>
      <c r="GN10" s="119">
        <v>0</v>
      </c>
      <c r="GO10" s="119">
        <v>0</v>
      </c>
      <c r="GP10" s="119">
        <v>0</v>
      </c>
      <c r="GQ10" s="119">
        <v>20</v>
      </c>
      <c r="GR10" s="119">
        <v>0</v>
      </c>
      <c r="GU10" s="119">
        <f t="shared" ref="GU10:HD45" si="0">+T3+AG3+AT3+BG3+BT3+CG3+CT3+DG3+DT3+EG3+ET3+FG3+FT3+GG3</f>
        <v>800</v>
      </c>
      <c r="GV10" s="119">
        <f t="shared" si="0"/>
        <v>200</v>
      </c>
      <c r="GW10" s="119">
        <f t="shared" si="0"/>
        <v>1000</v>
      </c>
      <c r="GX10" s="119">
        <f t="shared" si="0"/>
        <v>20</v>
      </c>
      <c r="GY10" s="119">
        <f t="shared" si="0"/>
        <v>20</v>
      </c>
      <c r="GZ10" s="119">
        <f t="shared" si="0"/>
        <v>50</v>
      </c>
      <c r="HA10" s="119">
        <f t="shared" si="0"/>
        <v>1000</v>
      </c>
      <c r="HB10" s="119">
        <f t="shared" si="0"/>
        <v>1200</v>
      </c>
      <c r="HC10" s="119">
        <f t="shared" si="0"/>
        <v>60</v>
      </c>
      <c r="HD10" s="119">
        <f t="shared" si="0"/>
        <v>2000</v>
      </c>
      <c r="HJ10"/>
      <c r="HK10" s="115"/>
      <c r="HR10" s="116"/>
      <c r="HT10" s="117"/>
      <c r="HY10"/>
      <c r="HZ10"/>
      <c r="IA10"/>
    </row>
    <row r="11" spans="1:235" x14ac:dyDescent="0.25">
      <c r="A11">
        <v>11</v>
      </c>
      <c r="B11" s="115">
        <v>43297</v>
      </c>
      <c r="C11" t="s">
        <v>424</v>
      </c>
      <c r="D11" t="s">
        <v>425</v>
      </c>
      <c r="F11" t="s">
        <v>426</v>
      </c>
      <c r="G11" t="s">
        <v>427</v>
      </c>
      <c r="H11" t="s">
        <v>428</v>
      </c>
      <c r="I11" s="116">
        <v>21130</v>
      </c>
      <c r="J11" t="s">
        <v>429</v>
      </c>
      <c r="K11" s="117">
        <v>373739820</v>
      </c>
      <c r="N11" t="s">
        <v>423</v>
      </c>
      <c r="P11">
        <v>8000</v>
      </c>
      <c r="Q11">
        <v>6666.67</v>
      </c>
      <c r="R11">
        <v>1333.33</v>
      </c>
      <c r="S11" t="s">
        <v>378</v>
      </c>
      <c r="T11" s="118">
        <v>500</v>
      </c>
      <c r="U11" s="118">
        <v>166.67</v>
      </c>
      <c r="V11" s="118">
        <v>666.67</v>
      </c>
      <c r="W11" s="119">
        <v>25</v>
      </c>
      <c r="X11" s="119">
        <v>120</v>
      </c>
      <c r="Y11" s="119">
        <v>50</v>
      </c>
      <c r="Z11" s="119">
        <v>6000</v>
      </c>
      <c r="AA11" s="119">
        <v>6166.67</v>
      </c>
      <c r="AB11" s="119">
        <v>51.39</v>
      </c>
      <c r="AC11" s="119">
        <v>6666.67</v>
      </c>
      <c r="AD11" s="119">
        <v>20</v>
      </c>
      <c r="AE11" s="119">
        <v>1333.33</v>
      </c>
      <c r="AF11" t="s">
        <v>379</v>
      </c>
      <c r="AG11" s="119">
        <v>0</v>
      </c>
      <c r="AH11" s="119">
        <v>0</v>
      </c>
      <c r="AI11" s="119">
        <v>0</v>
      </c>
      <c r="AJ11" s="119">
        <v>0</v>
      </c>
      <c r="AK11" s="119">
        <v>0</v>
      </c>
      <c r="AL11" s="119">
        <v>0</v>
      </c>
      <c r="AM11" s="119">
        <v>0</v>
      </c>
      <c r="AN11" s="119">
        <v>0</v>
      </c>
      <c r="AO11" s="119">
        <v>0</v>
      </c>
      <c r="AP11" s="119">
        <v>0</v>
      </c>
      <c r="AQ11" s="119">
        <v>20</v>
      </c>
      <c r="AR11" s="119">
        <v>0</v>
      </c>
      <c r="AS11" t="s">
        <v>380</v>
      </c>
      <c r="AT11" s="119">
        <v>0</v>
      </c>
      <c r="AU11" s="119">
        <v>0</v>
      </c>
      <c r="AV11" s="119">
        <v>0</v>
      </c>
      <c r="AW11" s="119">
        <v>0</v>
      </c>
      <c r="AX11" s="119">
        <v>0</v>
      </c>
      <c r="AY11" s="119">
        <v>0</v>
      </c>
      <c r="AZ11" s="119">
        <v>0</v>
      </c>
      <c r="BA11" s="119">
        <v>0</v>
      </c>
      <c r="BB11" s="119">
        <v>0</v>
      </c>
      <c r="BC11" s="119">
        <v>0</v>
      </c>
      <c r="BD11" s="119">
        <v>20</v>
      </c>
      <c r="BE11" s="119">
        <v>0</v>
      </c>
      <c r="BF11" t="s">
        <v>381</v>
      </c>
      <c r="BG11" s="119">
        <v>0</v>
      </c>
      <c r="BH11" s="119">
        <v>0</v>
      </c>
      <c r="BI11" s="119">
        <v>0</v>
      </c>
      <c r="BJ11" s="119">
        <v>0</v>
      </c>
      <c r="BK11" s="119">
        <v>0</v>
      </c>
      <c r="BL11" s="119">
        <v>0</v>
      </c>
      <c r="BM11" s="119">
        <v>0</v>
      </c>
      <c r="BN11" s="119">
        <v>0</v>
      </c>
      <c r="BO11" s="119">
        <v>0</v>
      </c>
      <c r="BP11" s="119">
        <v>0</v>
      </c>
      <c r="BQ11" s="119">
        <v>20</v>
      </c>
      <c r="BR11" s="119">
        <v>0</v>
      </c>
      <c r="BS11" t="s">
        <v>382</v>
      </c>
      <c r="BT11" s="119">
        <v>0</v>
      </c>
      <c r="BU11" s="119">
        <v>0</v>
      </c>
      <c r="BV11" s="119">
        <v>0</v>
      </c>
      <c r="BW11" s="119">
        <v>0</v>
      </c>
      <c r="BX11" s="119">
        <v>0</v>
      </c>
      <c r="BY11" s="119">
        <v>0</v>
      </c>
      <c r="BZ11" s="119">
        <v>0</v>
      </c>
      <c r="CA11" s="119">
        <v>0</v>
      </c>
      <c r="CB11" s="119">
        <v>0</v>
      </c>
      <c r="CC11" s="119">
        <v>0</v>
      </c>
      <c r="CD11" s="119">
        <v>20</v>
      </c>
      <c r="CE11" s="119">
        <v>0</v>
      </c>
      <c r="CF11" t="s">
        <v>383</v>
      </c>
      <c r="CG11" s="119">
        <v>0</v>
      </c>
      <c r="CH11" s="119">
        <v>0</v>
      </c>
      <c r="CI11" s="119">
        <v>0</v>
      </c>
      <c r="CJ11" s="119">
        <v>0</v>
      </c>
      <c r="CK11" s="119">
        <v>0</v>
      </c>
      <c r="CL11" s="119">
        <v>0</v>
      </c>
      <c r="CM11" s="119">
        <v>0</v>
      </c>
      <c r="CN11" s="119">
        <v>0</v>
      </c>
      <c r="CO11" s="119">
        <v>0</v>
      </c>
      <c r="CP11" s="119">
        <v>0</v>
      </c>
      <c r="CQ11" s="119">
        <v>20</v>
      </c>
      <c r="CR11" s="119">
        <v>0</v>
      </c>
      <c r="CS11" t="s">
        <v>384</v>
      </c>
      <c r="CT11" s="119">
        <v>0</v>
      </c>
      <c r="CU11" s="119">
        <v>0</v>
      </c>
      <c r="CV11" s="119">
        <v>0</v>
      </c>
      <c r="CW11" s="119">
        <v>0</v>
      </c>
      <c r="CX11" s="119">
        <v>0</v>
      </c>
      <c r="CY11" s="119">
        <v>0</v>
      </c>
      <c r="CZ11" s="119">
        <v>0</v>
      </c>
      <c r="DA11" s="119">
        <v>0</v>
      </c>
      <c r="DB11" s="119">
        <v>0</v>
      </c>
      <c r="DC11" s="119">
        <v>0</v>
      </c>
      <c r="DD11" s="119">
        <v>20</v>
      </c>
      <c r="DE11" s="119">
        <v>0</v>
      </c>
      <c r="DF11" t="s">
        <v>385</v>
      </c>
      <c r="DG11" s="119">
        <v>0</v>
      </c>
      <c r="DH11" s="119">
        <v>0</v>
      </c>
      <c r="DI11" s="119">
        <v>0</v>
      </c>
      <c r="DJ11" s="119">
        <v>0</v>
      </c>
      <c r="DK11" s="119">
        <v>0</v>
      </c>
      <c r="DL11" s="119">
        <v>0</v>
      </c>
      <c r="DM11" s="119">
        <v>0</v>
      </c>
      <c r="DN11" s="119">
        <v>0</v>
      </c>
      <c r="DO11" s="119">
        <v>0</v>
      </c>
      <c r="DP11" s="119">
        <v>0</v>
      </c>
      <c r="DQ11" s="119">
        <v>20</v>
      </c>
      <c r="DR11" s="119">
        <v>0</v>
      </c>
      <c r="DS11" t="s">
        <v>386</v>
      </c>
      <c r="DT11" s="119">
        <v>0</v>
      </c>
      <c r="DU11" s="119">
        <v>0</v>
      </c>
      <c r="DV11" s="119">
        <v>0</v>
      </c>
      <c r="DW11" s="119">
        <v>0</v>
      </c>
      <c r="DX11" s="119">
        <v>0</v>
      </c>
      <c r="DY11" s="119">
        <v>0</v>
      </c>
      <c r="DZ11" s="119">
        <v>0</v>
      </c>
      <c r="EA11" s="119">
        <v>0</v>
      </c>
      <c r="EB11" s="119">
        <v>0</v>
      </c>
      <c r="EC11" s="119">
        <v>0</v>
      </c>
      <c r="ED11" s="119">
        <v>20</v>
      </c>
      <c r="EE11" s="119">
        <v>0</v>
      </c>
      <c r="EF11" t="s">
        <v>387</v>
      </c>
      <c r="EG11" s="119">
        <v>0</v>
      </c>
      <c r="EH11" s="119">
        <v>0</v>
      </c>
      <c r="EI11" s="119">
        <v>0</v>
      </c>
      <c r="EJ11" s="119">
        <v>0</v>
      </c>
      <c r="EK11" s="119">
        <v>0</v>
      </c>
      <c r="EL11" s="119">
        <v>0</v>
      </c>
      <c r="EM11" s="119">
        <v>0</v>
      </c>
      <c r="EN11" s="119">
        <v>0</v>
      </c>
      <c r="EO11" s="119">
        <v>0</v>
      </c>
      <c r="EP11" s="119">
        <v>0</v>
      </c>
      <c r="EQ11" s="119">
        <v>20</v>
      </c>
      <c r="ER11" s="119">
        <v>0</v>
      </c>
      <c r="ES11" t="s">
        <v>388</v>
      </c>
      <c r="ET11" s="119">
        <v>0</v>
      </c>
      <c r="EU11" s="119">
        <v>0</v>
      </c>
      <c r="EV11" s="119">
        <v>0</v>
      </c>
      <c r="EW11" s="119">
        <v>0</v>
      </c>
      <c r="EX11" s="119">
        <v>0</v>
      </c>
      <c r="EY11" s="119">
        <v>0</v>
      </c>
      <c r="EZ11" s="119">
        <v>0</v>
      </c>
      <c r="FA11" s="119">
        <v>0</v>
      </c>
      <c r="FB11" s="119">
        <v>0</v>
      </c>
      <c r="FC11" s="119">
        <v>0</v>
      </c>
      <c r="FD11" s="119">
        <v>20</v>
      </c>
      <c r="FE11" s="119">
        <v>0</v>
      </c>
      <c r="FF11" t="s">
        <v>389</v>
      </c>
      <c r="FG11" s="119">
        <v>0</v>
      </c>
      <c r="FH11" s="119">
        <v>0</v>
      </c>
      <c r="FI11" s="119">
        <v>0</v>
      </c>
      <c r="FJ11" s="119">
        <v>0</v>
      </c>
      <c r="FK11" s="119">
        <v>0</v>
      </c>
      <c r="FL11" s="119">
        <v>0</v>
      </c>
      <c r="FM11" s="119">
        <v>0</v>
      </c>
      <c r="FN11" s="119">
        <v>0</v>
      </c>
      <c r="FO11" s="119">
        <v>0</v>
      </c>
      <c r="FP11" s="119">
        <v>0</v>
      </c>
      <c r="FQ11" s="119">
        <v>20</v>
      </c>
      <c r="FR11" s="119">
        <v>0</v>
      </c>
      <c r="FS11" t="s">
        <v>390</v>
      </c>
      <c r="FT11" s="119">
        <v>0</v>
      </c>
      <c r="FU11" s="119">
        <v>0</v>
      </c>
      <c r="FV11" s="119">
        <v>0</v>
      </c>
      <c r="FW11" s="119">
        <v>0</v>
      </c>
      <c r="FX11" s="119">
        <v>0</v>
      </c>
      <c r="FY11" s="119">
        <v>0</v>
      </c>
      <c r="FZ11" s="119">
        <v>0</v>
      </c>
      <c r="GA11" s="119">
        <v>0</v>
      </c>
      <c r="GB11" s="119">
        <v>0</v>
      </c>
      <c r="GC11" s="119">
        <v>0</v>
      </c>
      <c r="GD11" s="119">
        <v>20</v>
      </c>
      <c r="GE11" s="119">
        <v>0</v>
      </c>
      <c r="GF11" t="s">
        <v>391</v>
      </c>
      <c r="GG11" s="119">
        <v>0</v>
      </c>
      <c r="GH11" s="119">
        <v>0</v>
      </c>
      <c r="GI11" s="119">
        <v>0</v>
      </c>
      <c r="GJ11" s="119">
        <v>0</v>
      </c>
      <c r="GK11" s="119">
        <v>0</v>
      </c>
      <c r="GL11" s="119">
        <v>0</v>
      </c>
      <c r="GM11" s="119">
        <v>0</v>
      </c>
      <c r="GN11" s="119">
        <v>0</v>
      </c>
      <c r="GO11" s="119">
        <v>0</v>
      </c>
      <c r="GP11" s="119">
        <v>0</v>
      </c>
      <c r="GQ11" s="119">
        <v>20</v>
      </c>
      <c r="GR11" s="119">
        <v>0</v>
      </c>
      <c r="GU11" s="119">
        <f t="shared" si="0"/>
        <v>1000</v>
      </c>
      <c r="GV11" s="119">
        <f t="shared" si="0"/>
        <v>250</v>
      </c>
      <c r="GW11" s="119">
        <f t="shared" si="0"/>
        <v>1250</v>
      </c>
      <c r="GX11" s="119">
        <f t="shared" si="0"/>
        <v>20</v>
      </c>
      <c r="GY11" s="119">
        <f t="shared" si="0"/>
        <v>10</v>
      </c>
      <c r="GZ11" s="119">
        <f t="shared" si="0"/>
        <v>50</v>
      </c>
      <c r="HA11" s="119">
        <f t="shared" si="0"/>
        <v>500</v>
      </c>
      <c r="HB11" s="119">
        <f t="shared" si="0"/>
        <v>750</v>
      </c>
      <c r="HC11" s="119">
        <f t="shared" si="0"/>
        <v>75</v>
      </c>
      <c r="HD11" s="119">
        <f t="shared" si="0"/>
        <v>1750</v>
      </c>
      <c r="HJ11"/>
      <c r="HK11" s="115"/>
      <c r="HR11" s="116"/>
      <c r="HT11" s="117"/>
      <c r="HY11"/>
      <c r="HZ11"/>
      <c r="IA11"/>
    </row>
    <row r="12" spans="1:235" x14ac:dyDescent="0.25">
      <c r="A12">
        <v>12</v>
      </c>
      <c r="B12" s="115">
        <v>43297</v>
      </c>
      <c r="C12" t="s">
        <v>424</v>
      </c>
      <c r="D12" t="s">
        <v>425</v>
      </c>
      <c r="E12" t="s">
        <v>430</v>
      </c>
      <c r="F12" t="s">
        <v>426</v>
      </c>
      <c r="G12" t="s">
        <v>427</v>
      </c>
      <c r="H12" t="s">
        <v>428</v>
      </c>
      <c r="I12" s="116">
        <v>21130</v>
      </c>
      <c r="J12" t="s">
        <v>429</v>
      </c>
      <c r="K12" s="117" t="s">
        <v>431</v>
      </c>
      <c r="L12">
        <v>6645</v>
      </c>
      <c r="M12">
        <v>984</v>
      </c>
      <c r="N12" t="s">
        <v>423</v>
      </c>
      <c r="O12" t="s">
        <v>432</v>
      </c>
      <c r="P12">
        <v>1080</v>
      </c>
      <c r="Q12">
        <v>900</v>
      </c>
      <c r="R12">
        <v>180</v>
      </c>
      <c r="S12" t="s">
        <v>378</v>
      </c>
      <c r="T12" s="118">
        <v>300</v>
      </c>
      <c r="U12" s="118">
        <v>100</v>
      </c>
      <c r="V12" s="118">
        <v>400</v>
      </c>
      <c r="W12" s="119">
        <v>25</v>
      </c>
      <c r="X12" s="119">
        <v>10</v>
      </c>
      <c r="Y12" s="119">
        <v>50</v>
      </c>
      <c r="Z12" s="119">
        <v>500</v>
      </c>
      <c r="AA12" s="119">
        <v>600</v>
      </c>
      <c r="AB12" s="119">
        <v>60</v>
      </c>
      <c r="AC12" s="119">
        <v>900</v>
      </c>
      <c r="AD12" s="119">
        <v>20</v>
      </c>
      <c r="AE12" s="119">
        <v>180</v>
      </c>
      <c r="AF12" t="s">
        <v>379</v>
      </c>
      <c r="AG12" s="119">
        <v>0</v>
      </c>
      <c r="AH12" s="119">
        <v>0</v>
      </c>
      <c r="AI12" s="119">
        <v>0</v>
      </c>
      <c r="AJ12" s="119">
        <v>0</v>
      </c>
      <c r="AK12" s="119">
        <v>0</v>
      </c>
      <c r="AL12" s="119">
        <v>0</v>
      </c>
      <c r="AM12" s="119">
        <v>0</v>
      </c>
      <c r="AN12" s="119">
        <v>0</v>
      </c>
      <c r="AO12" s="119">
        <v>0</v>
      </c>
      <c r="AP12" s="119">
        <v>0</v>
      </c>
      <c r="AQ12" s="119">
        <v>20</v>
      </c>
      <c r="AR12" s="119">
        <v>0</v>
      </c>
      <c r="AS12" t="s">
        <v>380</v>
      </c>
      <c r="AT12" s="119">
        <v>0</v>
      </c>
      <c r="AU12" s="119">
        <v>0</v>
      </c>
      <c r="AV12" s="119">
        <v>0</v>
      </c>
      <c r="AW12" s="119">
        <v>0</v>
      </c>
      <c r="AX12" s="119">
        <v>0</v>
      </c>
      <c r="AY12" s="119">
        <v>0</v>
      </c>
      <c r="AZ12" s="119">
        <v>0</v>
      </c>
      <c r="BA12" s="119">
        <v>0</v>
      </c>
      <c r="BB12" s="119">
        <v>0</v>
      </c>
      <c r="BC12" s="119">
        <v>0</v>
      </c>
      <c r="BD12" s="119">
        <v>20</v>
      </c>
      <c r="BE12" s="119">
        <v>0</v>
      </c>
      <c r="BF12" t="s">
        <v>381</v>
      </c>
      <c r="BG12" s="119">
        <v>0</v>
      </c>
      <c r="BH12" s="119">
        <v>0</v>
      </c>
      <c r="BI12" s="119">
        <v>0</v>
      </c>
      <c r="BJ12" s="119">
        <v>0</v>
      </c>
      <c r="BK12" s="119">
        <v>0</v>
      </c>
      <c r="BL12" s="119">
        <v>0</v>
      </c>
      <c r="BM12" s="119">
        <v>0</v>
      </c>
      <c r="BN12" s="119">
        <v>0</v>
      </c>
      <c r="BO12" s="119">
        <v>0</v>
      </c>
      <c r="BP12" s="119">
        <v>0</v>
      </c>
      <c r="BQ12" s="119">
        <v>20</v>
      </c>
      <c r="BR12" s="119">
        <v>0</v>
      </c>
      <c r="BS12" t="s">
        <v>382</v>
      </c>
      <c r="BT12" s="119">
        <v>0</v>
      </c>
      <c r="BU12" s="119">
        <v>0</v>
      </c>
      <c r="BV12" s="119">
        <v>0</v>
      </c>
      <c r="BW12" s="119">
        <v>0</v>
      </c>
      <c r="BX12" s="119">
        <v>0</v>
      </c>
      <c r="BY12" s="119">
        <v>0</v>
      </c>
      <c r="BZ12" s="119">
        <v>0</v>
      </c>
      <c r="CA12" s="119">
        <v>0</v>
      </c>
      <c r="CB12" s="119">
        <v>0</v>
      </c>
      <c r="CC12" s="119">
        <v>0</v>
      </c>
      <c r="CD12" s="119">
        <v>20</v>
      </c>
      <c r="CE12" s="119">
        <v>0</v>
      </c>
      <c r="CF12" t="s">
        <v>383</v>
      </c>
      <c r="CG12" s="119">
        <v>0</v>
      </c>
      <c r="CH12" s="119">
        <v>0</v>
      </c>
      <c r="CI12" s="119">
        <v>0</v>
      </c>
      <c r="CJ12" s="119">
        <v>0</v>
      </c>
      <c r="CK12" s="119">
        <v>0</v>
      </c>
      <c r="CL12" s="119">
        <v>0</v>
      </c>
      <c r="CM12" s="119">
        <v>0</v>
      </c>
      <c r="CN12" s="119">
        <v>0</v>
      </c>
      <c r="CO12" s="119">
        <v>0</v>
      </c>
      <c r="CP12" s="119">
        <v>0</v>
      </c>
      <c r="CQ12" s="119">
        <v>20</v>
      </c>
      <c r="CR12" s="119">
        <v>0</v>
      </c>
      <c r="CS12" t="s">
        <v>384</v>
      </c>
      <c r="CT12" s="119">
        <v>0</v>
      </c>
      <c r="CU12" s="119">
        <v>0</v>
      </c>
      <c r="CV12" s="119">
        <v>0</v>
      </c>
      <c r="CW12" s="119">
        <v>0</v>
      </c>
      <c r="CX12" s="119">
        <v>0</v>
      </c>
      <c r="CY12" s="119">
        <v>0</v>
      </c>
      <c r="CZ12" s="119">
        <v>0</v>
      </c>
      <c r="DA12" s="119">
        <v>0</v>
      </c>
      <c r="DB12" s="119">
        <v>0</v>
      </c>
      <c r="DC12" s="119">
        <v>0</v>
      </c>
      <c r="DD12" s="119">
        <v>20</v>
      </c>
      <c r="DE12" s="119">
        <v>0</v>
      </c>
      <c r="DF12" t="s">
        <v>385</v>
      </c>
      <c r="DG12" s="119">
        <v>0</v>
      </c>
      <c r="DH12" s="119">
        <v>0</v>
      </c>
      <c r="DI12" s="119">
        <v>0</v>
      </c>
      <c r="DJ12" s="119">
        <v>0</v>
      </c>
      <c r="DK12" s="119">
        <v>0</v>
      </c>
      <c r="DL12" s="119">
        <v>0</v>
      </c>
      <c r="DM12" s="119">
        <v>0</v>
      </c>
      <c r="DN12" s="119">
        <v>0</v>
      </c>
      <c r="DO12" s="119">
        <v>0</v>
      </c>
      <c r="DP12" s="119">
        <v>0</v>
      </c>
      <c r="DQ12" s="119">
        <v>20</v>
      </c>
      <c r="DR12" s="119">
        <v>0</v>
      </c>
      <c r="DS12" t="s">
        <v>386</v>
      </c>
      <c r="DT12" s="119">
        <v>0</v>
      </c>
      <c r="DU12" s="119">
        <v>0</v>
      </c>
      <c r="DV12" s="119">
        <v>0</v>
      </c>
      <c r="DW12" s="119">
        <v>0</v>
      </c>
      <c r="DX12" s="119">
        <v>0</v>
      </c>
      <c r="DY12" s="119">
        <v>0</v>
      </c>
      <c r="DZ12" s="119">
        <v>0</v>
      </c>
      <c r="EA12" s="119">
        <v>0</v>
      </c>
      <c r="EB12" s="119">
        <v>0</v>
      </c>
      <c r="EC12" s="119">
        <v>0</v>
      </c>
      <c r="ED12" s="119">
        <v>20</v>
      </c>
      <c r="EE12" s="119">
        <v>0</v>
      </c>
      <c r="EF12" t="s">
        <v>387</v>
      </c>
      <c r="EG12" s="119">
        <v>0</v>
      </c>
      <c r="EH12" s="119">
        <v>0</v>
      </c>
      <c r="EI12" s="119">
        <v>0</v>
      </c>
      <c r="EJ12" s="119">
        <v>0</v>
      </c>
      <c r="EK12" s="119">
        <v>0</v>
      </c>
      <c r="EL12" s="119">
        <v>0</v>
      </c>
      <c r="EM12" s="119">
        <v>0</v>
      </c>
      <c r="EN12" s="119">
        <v>0</v>
      </c>
      <c r="EO12" s="119">
        <v>0</v>
      </c>
      <c r="EP12" s="119">
        <v>0</v>
      </c>
      <c r="EQ12" s="119">
        <v>20</v>
      </c>
      <c r="ER12" s="119">
        <v>0</v>
      </c>
      <c r="ES12" t="s">
        <v>388</v>
      </c>
      <c r="ET12" s="119">
        <v>0</v>
      </c>
      <c r="EU12" s="119">
        <v>0</v>
      </c>
      <c r="EV12" s="119">
        <v>0</v>
      </c>
      <c r="EW12" s="119">
        <v>0</v>
      </c>
      <c r="EX12" s="119">
        <v>0</v>
      </c>
      <c r="EY12" s="119">
        <v>0</v>
      </c>
      <c r="EZ12" s="119">
        <v>0</v>
      </c>
      <c r="FA12" s="119">
        <v>0</v>
      </c>
      <c r="FB12" s="119">
        <v>0</v>
      </c>
      <c r="FC12" s="119">
        <v>0</v>
      </c>
      <c r="FD12" s="119">
        <v>20</v>
      </c>
      <c r="FE12" s="119">
        <v>0</v>
      </c>
      <c r="FF12" t="s">
        <v>389</v>
      </c>
      <c r="FG12" s="119">
        <v>0</v>
      </c>
      <c r="FH12" s="119">
        <v>0</v>
      </c>
      <c r="FI12" s="119">
        <v>0</v>
      </c>
      <c r="FJ12" s="119">
        <v>0</v>
      </c>
      <c r="FK12" s="119">
        <v>0</v>
      </c>
      <c r="FL12" s="119">
        <v>0</v>
      </c>
      <c r="FM12" s="119">
        <v>0</v>
      </c>
      <c r="FN12" s="119">
        <v>0</v>
      </c>
      <c r="FO12" s="119">
        <v>0</v>
      </c>
      <c r="FP12" s="119">
        <v>0</v>
      </c>
      <c r="FQ12" s="119">
        <v>20</v>
      </c>
      <c r="FR12" s="119">
        <v>0</v>
      </c>
      <c r="FS12" t="s">
        <v>390</v>
      </c>
      <c r="FT12" s="119">
        <v>0</v>
      </c>
      <c r="FU12" s="119">
        <v>0</v>
      </c>
      <c r="FV12" s="119">
        <v>0</v>
      </c>
      <c r="FW12" s="119">
        <v>0</v>
      </c>
      <c r="FX12" s="119">
        <v>0</v>
      </c>
      <c r="FY12" s="119">
        <v>0</v>
      </c>
      <c r="FZ12" s="119">
        <v>0</v>
      </c>
      <c r="GA12" s="119">
        <v>0</v>
      </c>
      <c r="GB12" s="119">
        <v>0</v>
      </c>
      <c r="GC12" s="119">
        <v>0</v>
      </c>
      <c r="GD12" s="119">
        <v>20</v>
      </c>
      <c r="GE12" s="119">
        <v>0</v>
      </c>
      <c r="GF12" t="s">
        <v>391</v>
      </c>
      <c r="GG12" s="119">
        <v>0</v>
      </c>
      <c r="GH12" s="119">
        <v>0</v>
      </c>
      <c r="GI12" s="119">
        <v>0</v>
      </c>
      <c r="GJ12" s="119">
        <v>0</v>
      </c>
      <c r="GK12" s="119">
        <v>0</v>
      </c>
      <c r="GL12" s="119">
        <v>0</v>
      </c>
      <c r="GM12" s="119">
        <v>0</v>
      </c>
      <c r="GN12" s="119">
        <v>0</v>
      </c>
      <c r="GO12" s="119">
        <v>0</v>
      </c>
      <c r="GP12" s="119">
        <v>0</v>
      </c>
      <c r="GQ12" s="119">
        <v>20</v>
      </c>
      <c r="GR12" s="119">
        <v>0</v>
      </c>
      <c r="GU12" s="119">
        <f t="shared" si="0"/>
        <v>150</v>
      </c>
      <c r="GV12" s="119">
        <f t="shared" si="0"/>
        <v>37.5</v>
      </c>
      <c r="GW12" s="119">
        <f t="shared" si="0"/>
        <v>187.5</v>
      </c>
      <c r="GX12" s="119">
        <f t="shared" si="0"/>
        <v>20</v>
      </c>
      <c r="GY12" s="119">
        <f t="shared" si="0"/>
        <v>10</v>
      </c>
      <c r="GZ12" s="119">
        <f t="shared" si="0"/>
        <v>50</v>
      </c>
      <c r="HA12" s="119">
        <f t="shared" si="0"/>
        <v>500</v>
      </c>
      <c r="HB12" s="119">
        <f t="shared" si="0"/>
        <v>537.5</v>
      </c>
      <c r="HC12" s="119">
        <f t="shared" si="0"/>
        <v>53.75</v>
      </c>
      <c r="HD12" s="119">
        <f t="shared" si="0"/>
        <v>687.5</v>
      </c>
      <c r="HJ12"/>
      <c r="HK12" s="115"/>
      <c r="HR12" s="116"/>
      <c r="HT12" s="117"/>
      <c r="HY12"/>
      <c r="HZ12"/>
      <c r="IA12"/>
    </row>
    <row r="13" spans="1:235" x14ac:dyDescent="0.25">
      <c r="A13">
        <v>13</v>
      </c>
      <c r="B13" s="115">
        <v>43297</v>
      </c>
      <c r="C13" t="s">
        <v>400</v>
      </c>
      <c r="D13" t="s">
        <v>433</v>
      </c>
      <c r="E13" t="s">
        <v>372</v>
      </c>
      <c r="F13" t="s">
        <v>434</v>
      </c>
      <c r="G13" t="s">
        <v>435</v>
      </c>
      <c r="H13" t="s">
        <v>436</v>
      </c>
      <c r="I13" s="116">
        <v>21300</v>
      </c>
      <c r="J13" t="s">
        <v>437</v>
      </c>
      <c r="K13" s="117">
        <v>380456545</v>
      </c>
      <c r="N13" t="s">
        <v>423</v>
      </c>
      <c r="P13">
        <v>1082.95</v>
      </c>
      <c r="Q13">
        <v>902.46</v>
      </c>
      <c r="R13">
        <v>180.49</v>
      </c>
      <c r="S13" t="s">
        <v>378</v>
      </c>
      <c r="T13" s="118">
        <v>250</v>
      </c>
      <c r="U13" s="118">
        <v>83.33</v>
      </c>
      <c r="V13" s="118">
        <v>333.33</v>
      </c>
      <c r="W13" s="119">
        <v>25</v>
      </c>
      <c r="X13" s="119">
        <v>12.5</v>
      </c>
      <c r="Y13" s="119">
        <v>45.53</v>
      </c>
      <c r="Z13" s="119">
        <v>569.13</v>
      </c>
      <c r="AA13" s="119">
        <v>652.46</v>
      </c>
      <c r="AB13" s="119">
        <v>52.2</v>
      </c>
      <c r="AC13" s="119">
        <v>902.46</v>
      </c>
      <c r="AD13" s="119">
        <v>20</v>
      </c>
      <c r="AE13" s="119">
        <v>180.49</v>
      </c>
      <c r="AF13" t="s">
        <v>379</v>
      </c>
      <c r="AG13" s="119">
        <v>0</v>
      </c>
      <c r="AH13" s="119">
        <v>0</v>
      </c>
      <c r="AI13" s="119">
        <v>0</v>
      </c>
      <c r="AJ13" s="119">
        <v>0</v>
      </c>
      <c r="AK13" s="119">
        <v>0</v>
      </c>
      <c r="AL13" s="119">
        <v>0</v>
      </c>
      <c r="AM13" s="119">
        <v>0</v>
      </c>
      <c r="AN13" s="119">
        <v>0</v>
      </c>
      <c r="AO13" s="119">
        <v>0</v>
      </c>
      <c r="AP13" s="119">
        <v>0</v>
      </c>
      <c r="AQ13" s="119">
        <v>20</v>
      </c>
      <c r="AR13" s="119">
        <v>0</v>
      </c>
      <c r="AS13" t="s">
        <v>380</v>
      </c>
      <c r="AT13" s="119">
        <v>0</v>
      </c>
      <c r="AU13" s="119">
        <v>0</v>
      </c>
      <c r="AV13" s="119">
        <v>0</v>
      </c>
      <c r="AW13" s="119">
        <v>0</v>
      </c>
      <c r="AX13" s="119">
        <v>0</v>
      </c>
      <c r="AY13" s="119">
        <v>0</v>
      </c>
      <c r="AZ13" s="119">
        <v>0</v>
      </c>
      <c r="BA13" s="119">
        <v>0</v>
      </c>
      <c r="BB13" s="119">
        <v>0</v>
      </c>
      <c r="BC13" s="119">
        <v>0</v>
      </c>
      <c r="BD13" s="119">
        <v>20</v>
      </c>
      <c r="BE13" s="119">
        <v>0</v>
      </c>
      <c r="BF13" t="s">
        <v>381</v>
      </c>
      <c r="BG13" s="119">
        <v>0</v>
      </c>
      <c r="BH13" s="119">
        <v>0</v>
      </c>
      <c r="BI13" s="119">
        <v>0</v>
      </c>
      <c r="BJ13" s="119">
        <v>0</v>
      </c>
      <c r="BK13" s="119">
        <v>0</v>
      </c>
      <c r="BL13" s="119">
        <v>0</v>
      </c>
      <c r="BM13" s="119">
        <v>0</v>
      </c>
      <c r="BN13" s="119">
        <v>0</v>
      </c>
      <c r="BO13" s="119">
        <v>0</v>
      </c>
      <c r="BP13" s="119">
        <v>0</v>
      </c>
      <c r="BQ13" s="119">
        <v>20</v>
      </c>
      <c r="BR13" s="119">
        <v>0</v>
      </c>
      <c r="BS13" t="s">
        <v>382</v>
      </c>
      <c r="BT13" s="119">
        <v>0</v>
      </c>
      <c r="BU13" s="119">
        <v>0</v>
      </c>
      <c r="BV13" s="119">
        <v>0</v>
      </c>
      <c r="BW13" s="119">
        <v>0</v>
      </c>
      <c r="BX13" s="119">
        <v>0</v>
      </c>
      <c r="BY13" s="119">
        <v>0</v>
      </c>
      <c r="BZ13" s="119">
        <v>0</v>
      </c>
      <c r="CA13" s="119">
        <v>0</v>
      </c>
      <c r="CB13" s="119">
        <v>0</v>
      </c>
      <c r="CC13" s="119">
        <v>0</v>
      </c>
      <c r="CD13" s="119">
        <v>20</v>
      </c>
      <c r="CE13" s="119">
        <v>0</v>
      </c>
      <c r="CF13" t="s">
        <v>383</v>
      </c>
      <c r="CG13" s="119">
        <v>0</v>
      </c>
      <c r="CH13" s="119">
        <v>0</v>
      </c>
      <c r="CI13" s="119">
        <v>0</v>
      </c>
      <c r="CJ13" s="119">
        <v>0</v>
      </c>
      <c r="CK13" s="119">
        <v>0</v>
      </c>
      <c r="CL13" s="119">
        <v>0</v>
      </c>
      <c r="CM13" s="119">
        <v>0</v>
      </c>
      <c r="CN13" s="119">
        <v>0</v>
      </c>
      <c r="CO13" s="119">
        <v>0</v>
      </c>
      <c r="CP13" s="119">
        <v>0</v>
      </c>
      <c r="CQ13" s="119">
        <v>20</v>
      </c>
      <c r="CR13" s="119">
        <v>0</v>
      </c>
      <c r="CS13" t="s">
        <v>384</v>
      </c>
      <c r="CT13" s="119">
        <v>0</v>
      </c>
      <c r="CU13" s="119">
        <v>0</v>
      </c>
      <c r="CV13" s="119">
        <v>0</v>
      </c>
      <c r="CW13" s="119">
        <v>0</v>
      </c>
      <c r="CX13" s="119">
        <v>0</v>
      </c>
      <c r="CY13" s="119">
        <v>0</v>
      </c>
      <c r="CZ13" s="119">
        <v>0</v>
      </c>
      <c r="DA13" s="119">
        <v>0</v>
      </c>
      <c r="DB13" s="119">
        <v>0</v>
      </c>
      <c r="DC13" s="119">
        <v>0</v>
      </c>
      <c r="DD13" s="119">
        <v>20</v>
      </c>
      <c r="DE13" s="119">
        <v>0</v>
      </c>
      <c r="DF13" t="s">
        <v>385</v>
      </c>
      <c r="DG13" s="119">
        <v>0</v>
      </c>
      <c r="DH13" s="119">
        <v>0</v>
      </c>
      <c r="DI13" s="119">
        <v>0</v>
      </c>
      <c r="DJ13" s="119">
        <v>0</v>
      </c>
      <c r="DK13" s="119">
        <v>0</v>
      </c>
      <c r="DL13" s="119">
        <v>0</v>
      </c>
      <c r="DM13" s="119">
        <v>0</v>
      </c>
      <c r="DN13" s="119">
        <v>0</v>
      </c>
      <c r="DO13" s="119">
        <v>0</v>
      </c>
      <c r="DP13" s="119">
        <v>0</v>
      </c>
      <c r="DQ13" s="119">
        <v>20</v>
      </c>
      <c r="DR13" s="119">
        <v>0</v>
      </c>
      <c r="DS13" t="s">
        <v>386</v>
      </c>
      <c r="DT13" s="119">
        <v>0</v>
      </c>
      <c r="DU13" s="119">
        <v>0</v>
      </c>
      <c r="DV13" s="119">
        <v>0</v>
      </c>
      <c r="DW13" s="119">
        <v>0</v>
      </c>
      <c r="DX13" s="119">
        <v>0</v>
      </c>
      <c r="DY13" s="119">
        <v>0</v>
      </c>
      <c r="DZ13" s="119">
        <v>0</v>
      </c>
      <c r="EA13" s="119">
        <v>0</v>
      </c>
      <c r="EB13" s="119">
        <v>0</v>
      </c>
      <c r="EC13" s="119">
        <v>0</v>
      </c>
      <c r="ED13" s="119">
        <v>20</v>
      </c>
      <c r="EE13" s="119">
        <v>0</v>
      </c>
      <c r="EF13" t="s">
        <v>387</v>
      </c>
      <c r="EG13" s="119">
        <v>0</v>
      </c>
      <c r="EH13" s="119">
        <v>0</v>
      </c>
      <c r="EI13" s="119">
        <v>0</v>
      </c>
      <c r="EJ13" s="119">
        <v>0</v>
      </c>
      <c r="EK13" s="119">
        <v>0</v>
      </c>
      <c r="EL13" s="119">
        <v>0</v>
      </c>
      <c r="EM13" s="119">
        <v>0</v>
      </c>
      <c r="EN13" s="119">
        <v>0</v>
      </c>
      <c r="EO13" s="119">
        <v>0</v>
      </c>
      <c r="EP13" s="119">
        <v>0</v>
      </c>
      <c r="EQ13" s="119">
        <v>20</v>
      </c>
      <c r="ER13" s="119">
        <v>0</v>
      </c>
      <c r="ES13" t="s">
        <v>388</v>
      </c>
      <c r="ET13" s="119">
        <v>0</v>
      </c>
      <c r="EU13" s="119">
        <v>0</v>
      </c>
      <c r="EV13" s="119">
        <v>0</v>
      </c>
      <c r="EW13" s="119">
        <v>0</v>
      </c>
      <c r="EX13" s="119">
        <v>0</v>
      </c>
      <c r="EY13" s="119">
        <v>0</v>
      </c>
      <c r="EZ13" s="119">
        <v>0</v>
      </c>
      <c r="FA13" s="119">
        <v>0</v>
      </c>
      <c r="FB13" s="119">
        <v>0</v>
      </c>
      <c r="FC13" s="119">
        <v>0</v>
      </c>
      <c r="FD13" s="119">
        <v>20</v>
      </c>
      <c r="FE13" s="119">
        <v>0</v>
      </c>
      <c r="FF13" t="s">
        <v>389</v>
      </c>
      <c r="FG13" s="119">
        <v>0</v>
      </c>
      <c r="FH13" s="119">
        <v>0</v>
      </c>
      <c r="FI13" s="119">
        <v>0</v>
      </c>
      <c r="FJ13" s="119">
        <v>0</v>
      </c>
      <c r="FK13" s="119">
        <v>0</v>
      </c>
      <c r="FL13" s="119">
        <v>0</v>
      </c>
      <c r="FM13" s="119">
        <v>0</v>
      </c>
      <c r="FN13" s="119">
        <v>0</v>
      </c>
      <c r="FO13" s="119">
        <v>0</v>
      </c>
      <c r="FP13" s="119">
        <v>0</v>
      </c>
      <c r="FQ13" s="119">
        <v>20</v>
      </c>
      <c r="FR13" s="119">
        <v>0</v>
      </c>
      <c r="FS13" t="s">
        <v>390</v>
      </c>
      <c r="FT13" s="119">
        <v>0</v>
      </c>
      <c r="FU13" s="119">
        <v>0</v>
      </c>
      <c r="FV13" s="119">
        <v>0</v>
      </c>
      <c r="FW13" s="119">
        <v>0</v>
      </c>
      <c r="FX13" s="119">
        <v>0</v>
      </c>
      <c r="FY13" s="119">
        <v>0</v>
      </c>
      <c r="FZ13" s="119">
        <v>0</v>
      </c>
      <c r="GA13" s="119">
        <v>0</v>
      </c>
      <c r="GB13" s="119">
        <v>0</v>
      </c>
      <c r="GC13" s="119">
        <v>0</v>
      </c>
      <c r="GD13" s="119">
        <v>20</v>
      </c>
      <c r="GE13" s="119">
        <v>0</v>
      </c>
      <c r="GF13" t="s">
        <v>391</v>
      </c>
      <c r="GG13" s="119">
        <v>0</v>
      </c>
      <c r="GH13" s="119">
        <v>0</v>
      </c>
      <c r="GI13" s="119">
        <v>0</v>
      </c>
      <c r="GJ13" s="119">
        <v>0</v>
      </c>
      <c r="GK13" s="119">
        <v>0</v>
      </c>
      <c r="GL13" s="119">
        <v>0</v>
      </c>
      <c r="GM13" s="119">
        <v>0</v>
      </c>
      <c r="GN13" s="119">
        <v>0</v>
      </c>
      <c r="GO13" s="119">
        <v>0</v>
      </c>
      <c r="GP13" s="119">
        <v>0</v>
      </c>
      <c r="GQ13" s="119">
        <v>20</v>
      </c>
      <c r="GR13" s="119">
        <v>0</v>
      </c>
      <c r="GU13" s="119">
        <f t="shared" si="0"/>
        <v>500</v>
      </c>
      <c r="GV13" s="119">
        <f t="shared" si="0"/>
        <v>166.67</v>
      </c>
      <c r="GW13" s="119">
        <f t="shared" si="0"/>
        <v>666.67</v>
      </c>
      <c r="GX13" s="119">
        <f t="shared" si="0"/>
        <v>25</v>
      </c>
      <c r="GY13" s="119">
        <f t="shared" si="0"/>
        <v>16</v>
      </c>
      <c r="GZ13" s="119">
        <f t="shared" si="0"/>
        <v>50</v>
      </c>
      <c r="HA13" s="119">
        <f t="shared" si="0"/>
        <v>800</v>
      </c>
      <c r="HB13" s="119">
        <f t="shared" si="0"/>
        <v>966.67</v>
      </c>
      <c r="HC13" s="119">
        <f t="shared" si="0"/>
        <v>60.42</v>
      </c>
      <c r="HD13" s="119">
        <f t="shared" si="0"/>
        <v>1466.67</v>
      </c>
      <c r="HJ13"/>
      <c r="HK13" s="115"/>
      <c r="HR13" s="116"/>
      <c r="HT13" s="117"/>
      <c r="HY13"/>
      <c r="HZ13"/>
      <c r="IA13"/>
    </row>
    <row r="14" spans="1:235" x14ac:dyDescent="0.25">
      <c r="A14">
        <v>14</v>
      </c>
      <c r="B14" s="115">
        <v>43297</v>
      </c>
      <c r="C14" t="s">
        <v>424</v>
      </c>
      <c r="D14" t="s">
        <v>425</v>
      </c>
      <c r="F14" t="s">
        <v>426</v>
      </c>
      <c r="G14" t="s">
        <v>427</v>
      </c>
      <c r="H14" t="s">
        <v>428</v>
      </c>
      <c r="I14" s="116">
        <v>21130</v>
      </c>
      <c r="J14" t="s">
        <v>429</v>
      </c>
      <c r="K14" s="117">
        <v>373739820</v>
      </c>
      <c r="L14">
        <v>124832</v>
      </c>
      <c r="M14" t="s">
        <v>438</v>
      </c>
      <c r="N14" t="s">
        <v>423</v>
      </c>
      <c r="O14" t="s">
        <v>439</v>
      </c>
      <c r="P14">
        <v>160.03</v>
      </c>
      <c r="Q14">
        <v>133.36000000000001</v>
      </c>
      <c r="R14">
        <v>26.67</v>
      </c>
      <c r="S14" t="s">
        <v>378</v>
      </c>
      <c r="T14" s="118">
        <v>11</v>
      </c>
      <c r="U14" s="118">
        <v>1.36</v>
      </c>
      <c r="V14" s="118">
        <v>12.36</v>
      </c>
      <c r="W14" s="119">
        <v>11</v>
      </c>
      <c r="X14" s="119">
        <v>11</v>
      </c>
      <c r="Y14" s="119">
        <v>11</v>
      </c>
      <c r="Z14" s="119">
        <v>121</v>
      </c>
      <c r="AA14" s="119">
        <v>122.36</v>
      </c>
      <c r="AB14" s="119">
        <v>11.12</v>
      </c>
      <c r="AC14" s="119">
        <v>133.36000000000001</v>
      </c>
      <c r="AD14" s="119">
        <v>20</v>
      </c>
      <c r="AE14" s="119">
        <v>26.67</v>
      </c>
      <c r="AF14" t="s">
        <v>379</v>
      </c>
      <c r="AG14" s="119">
        <v>0</v>
      </c>
      <c r="AH14" s="119">
        <v>0</v>
      </c>
      <c r="AI14" s="119">
        <v>0</v>
      </c>
      <c r="AJ14" s="119">
        <v>0</v>
      </c>
      <c r="AK14" s="119">
        <v>0</v>
      </c>
      <c r="AL14" s="119">
        <v>0</v>
      </c>
      <c r="AM14" s="119">
        <v>0</v>
      </c>
      <c r="AN14" s="119">
        <v>0</v>
      </c>
      <c r="AO14" s="119">
        <v>0</v>
      </c>
      <c r="AP14" s="119">
        <v>0</v>
      </c>
      <c r="AQ14" s="119">
        <v>20</v>
      </c>
      <c r="AR14" s="119">
        <v>0</v>
      </c>
      <c r="AS14" t="s">
        <v>380</v>
      </c>
      <c r="AT14" s="119">
        <v>0</v>
      </c>
      <c r="AU14" s="119">
        <v>0</v>
      </c>
      <c r="AV14" s="119">
        <v>0</v>
      </c>
      <c r="AW14" s="119">
        <v>0</v>
      </c>
      <c r="AX14" s="119">
        <v>0</v>
      </c>
      <c r="AY14" s="119">
        <v>0</v>
      </c>
      <c r="AZ14" s="119">
        <v>0</v>
      </c>
      <c r="BA14" s="119">
        <v>0</v>
      </c>
      <c r="BB14" s="119">
        <v>0</v>
      </c>
      <c r="BC14" s="119">
        <v>0</v>
      </c>
      <c r="BD14" s="119">
        <v>20</v>
      </c>
      <c r="BE14" s="119">
        <v>0</v>
      </c>
      <c r="BF14" t="s">
        <v>381</v>
      </c>
      <c r="BG14" s="119">
        <v>0</v>
      </c>
      <c r="BH14" s="119">
        <v>0</v>
      </c>
      <c r="BI14" s="119">
        <v>0</v>
      </c>
      <c r="BJ14" s="119">
        <v>0</v>
      </c>
      <c r="BK14" s="119">
        <v>0</v>
      </c>
      <c r="BL14" s="119">
        <v>0</v>
      </c>
      <c r="BM14" s="119">
        <v>0</v>
      </c>
      <c r="BN14" s="119">
        <v>0</v>
      </c>
      <c r="BO14" s="119">
        <v>0</v>
      </c>
      <c r="BP14" s="119">
        <v>0</v>
      </c>
      <c r="BQ14" s="119">
        <v>20</v>
      </c>
      <c r="BR14" s="119">
        <v>0</v>
      </c>
      <c r="BS14" t="s">
        <v>382</v>
      </c>
      <c r="BT14" s="119">
        <v>0</v>
      </c>
      <c r="BU14" s="119">
        <v>0</v>
      </c>
      <c r="BV14" s="119">
        <v>0</v>
      </c>
      <c r="BW14" s="119">
        <v>0</v>
      </c>
      <c r="BX14" s="119">
        <v>0</v>
      </c>
      <c r="BY14" s="119">
        <v>0</v>
      </c>
      <c r="BZ14" s="119">
        <v>0</v>
      </c>
      <c r="CA14" s="119">
        <v>0</v>
      </c>
      <c r="CB14" s="119">
        <v>0</v>
      </c>
      <c r="CC14" s="119">
        <v>0</v>
      </c>
      <c r="CD14" s="119">
        <v>20</v>
      </c>
      <c r="CE14" s="119">
        <v>0</v>
      </c>
      <c r="CF14" t="s">
        <v>383</v>
      </c>
      <c r="CG14" s="119">
        <v>0</v>
      </c>
      <c r="CH14" s="119">
        <v>0</v>
      </c>
      <c r="CI14" s="119">
        <v>0</v>
      </c>
      <c r="CJ14" s="119">
        <v>0</v>
      </c>
      <c r="CK14" s="119">
        <v>0</v>
      </c>
      <c r="CL14" s="119">
        <v>0</v>
      </c>
      <c r="CM14" s="119">
        <v>0</v>
      </c>
      <c r="CN14" s="119">
        <v>0</v>
      </c>
      <c r="CO14" s="119">
        <v>0</v>
      </c>
      <c r="CP14" s="119">
        <v>0</v>
      </c>
      <c r="CQ14" s="119">
        <v>20</v>
      </c>
      <c r="CR14" s="119">
        <v>0</v>
      </c>
      <c r="CS14" t="s">
        <v>384</v>
      </c>
      <c r="CT14" s="119">
        <v>0</v>
      </c>
      <c r="CU14" s="119">
        <v>0</v>
      </c>
      <c r="CV14" s="119">
        <v>0</v>
      </c>
      <c r="CW14" s="119">
        <v>0</v>
      </c>
      <c r="CX14" s="119">
        <v>0</v>
      </c>
      <c r="CY14" s="119">
        <v>0</v>
      </c>
      <c r="CZ14" s="119">
        <v>0</v>
      </c>
      <c r="DA14" s="119">
        <v>0</v>
      </c>
      <c r="DB14" s="119">
        <v>0</v>
      </c>
      <c r="DC14" s="119">
        <v>0</v>
      </c>
      <c r="DD14" s="119">
        <v>20</v>
      </c>
      <c r="DE14" s="119">
        <v>0</v>
      </c>
      <c r="DF14" t="s">
        <v>385</v>
      </c>
      <c r="DG14" s="119">
        <v>0</v>
      </c>
      <c r="DH14" s="119">
        <v>0</v>
      </c>
      <c r="DI14" s="119">
        <v>0</v>
      </c>
      <c r="DJ14" s="119">
        <v>0</v>
      </c>
      <c r="DK14" s="119">
        <v>0</v>
      </c>
      <c r="DL14" s="119">
        <v>0</v>
      </c>
      <c r="DM14" s="119">
        <v>0</v>
      </c>
      <c r="DN14" s="119">
        <v>0</v>
      </c>
      <c r="DO14" s="119">
        <v>0</v>
      </c>
      <c r="DP14" s="119">
        <v>0</v>
      </c>
      <c r="DQ14" s="119">
        <v>20</v>
      </c>
      <c r="DR14" s="119">
        <v>0</v>
      </c>
      <c r="DS14" t="s">
        <v>386</v>
      </c>
      <c r="DT14" s="119">
        <v>0</v>
      </c>
      <c r="DU14" s="119">
        <v>0</v>
      </c>
      <c r="DV14" s="119">
        <v>0</v>
      </c>
      <c r="DW14" s="119">
        <v>0</v>
      </c>
      <c r="DX14" s="119">
        <v>0</v>
      </c>
      <c r="DY14" s="119">
        <v>0</v>
      </c>
      <c r="DZ14" s="119">
        <v>0</v>
      </c>
      <c r="EA14" s="119">
        <v>0</v>
      </c>
      <c r="EB14" s="119">
        <v>0</v>
      </c>
      <c r="EC14" s="119">
        <v>0</v>
      </c>
      <c r="ED14" s="119">
        <v>20</v>
      </c>
      <c r="EE14" s="119">
        <v>0</v>
      </c>
      <c r="EF14" t="s">
        <v>387</v>
      </c>
      <c r="EG14" s="119">
        <v>0</v>
      </c>
      <c r="EH14" s="119">
        <v>0</v>
      </c>
      <c r="EI14" s="119">
        <v>0</v>
      </c>
      <c r="EJ14" s="119">
        <v>0</v>
      </c>
      <c r="EK14" s="119">
        <v>0</v>
      </c>
      <c r="EL14" s="119">
        <v>0</v>
      </c>
      <c r="EM14" s="119">
        <v>0</v>
      </c>
      <c r="EN14" s="119">
        <v>0</v>
      </c>
      <c r="EO14" s="119">
        <v>0</v>
      </c>
      <c r="EP14" s="119">
        <v>0</v>
      </c>
      <c r="EQ14" s="119">
        <v>20</v>
      </c>
      <c r="ER14" s="119">
        <v>0</v>
      </c>
      <c r="ES14" t="s">
        <v>388</v>
      </c>
      <c r="ET14" s="119">
        <v>0</v>
      </c>
      <c r="EU14" s="119">
        <v>0</v>
      </c>
      <c r="EV14" s="119">
        <v>0</v>
      </c>
      <c r="EW14" s="119">
        <v>0</v>
      </c>
      <c r="EX14" s="119">
        <v>0</v>
      </c>
      <c r="EY14" s="119">
        <v>0</v>
      </c>
      <c r="EZ14" s="119">
        <v>0</v>
      </c>
      <c r="FA14" s="119">
        <v>0</v>
      </c>
      <c r="FB14" s="119">
        <v>0</v>
      </c>
      <c r="FC14" s="119">
        <v>0</v>
      </c>
      <c r="FD14" s="119">
        <v>20</v>
      </c>
      <c r="FE14" s="119">
        <v>0</v>
      </c>
      <c r="FF14" t="s">
        <v>389</v>
      </c>
      <c r="FG14" s="119">
        <v>0</v>
      </c>
      <c r="FH14" s="119">
        <v>0</v>
      </c>
      <c r="FI14" s="119">
        <v>0</v>
      </c>
      <c r="FJ14" s="119">
        <v>0</v>
      </c>
      <c r="FK14" s="119">
        <v>0</v>
      </c>
      <c r="FL14" s="119">
        <v>0</v>
      </c>
      <c r="FM14" s="119">
        <v>0</v>
      </c>
      <c r="FN14" s="119">
        <v>0</v>
      </c>
      <c r="FO14" s="119">
        <v>0</v>
      </c>
      <c r="FP14" s="119">
        <v>0</v>
      </c>
      <c r="FQ14" s="119">
        <v>20</v>
      </c>
      <c r="FR14" s="119">
        <v>0</v>
      </c>
      <c r="FS14" t="s">
        <v>390</v>
      </c>
      <c r="FT14" s="119">
        <v>0</v>
      </c>
      <c r="FU14" s="119">
        <v>0</v>
      </c>
      <c r="FV14" s="119">
        <v>0</v>
      </c>
      <c r="FW14" s="119">
        <v>0</v>
      </c>
      <c r="FX14" s="119">
        <v>0</v>
      </c>
      <c r="FY14" s="119">
        <v>0</v>
      </c>
      <c r="FZ14" s="119">
        <v>0</v>
      </c>
      <c r="GA14" s="119">
        <v>0</v>
      </c>
      <c r="GB14" s="119">
        <v>0</v>
      </c>
      <c r="GC14" s="119">
        <v>0</v>
      </c>
      <c r="GD14" s="119">
        <v>20</v>
      </c>
      <c r="GE14" s="119">
        <v>0</v>
      </c>
      <c r="GF14" t="s">
        <v>391</v>
      </c>
      <c r="GG14" s="119">
        <v>0</v>
      </c>
      <c r="GH14" s="119">
        <v>0</v>
      </c>
      <c r="GI14" s="119">
        <v>0</v>
      </c>
      <c r="GJ14" s="119">
        <v>0</v>
      </c>
      <c r="GK14" s="119">
        <v>0</v>
      </c>
      <c r="GL14" s="119">
        <v>0</v>
      </c>
      <c r="GM14" s="119">
        <v>0</v>
      </c>
      <c r="GN14" s="119">
        <v>0</v>
      </c>
      <c r="GO14" s="119">
        <v>0</v>
      </c>
      <c r="GP14" s="119">
        <v>0</v>
      </c>
      <c r="GQ14" s="119">
        <v>20</v>
      </c>
      <c r="GR14" s="119">
        <v>0</v>
      </c>
      <c r="GU14" s="119">
        <f t="shared" si="0"/>
        <v>480</v>
      </c>
      <c r="GV14" s="119">
        <f t="shared" si="0"/>
        <v>157.5</v>
      </c>
      <c r="GW14" s="119">
        <f t="shared" si="0"/>
        <v>637.5</v>
      </c>
      <c r="GX14" s="119">
        <f t="shared" si="0"/>
        <v>50</v>
      </c>
      <c r="GY14" s="119">
        <f t="shared" si="0"/>
        <v>18</v>
      </c>
      <c r="GZ14" s="119">
        <f t="shared" si="0"/>
        <v>110</v>
      </c>
      <c r="HA14" s="119">
        <f t="shared" si="0"/>
        <v>980</v>
      </c>
      <c r="HB14" s="119">
        <f t="shared" si="0"/>
        <v>1137.5</v>
      </c>
      <c r="HC14" s="119">
        <f t="shared" si="0"/>
        <v>128.75</v>
      </c>
      <c r="HD14" s="119">
        <f t="shared" si="0"/>
        <v>1617.5</v>
      </c>
      <c r="HJ14"/>
      <c r="HK14" s="115"/>
      <c r="HR14" s="116"/>
      <c r="HT14" s="117"/>
      <c r="HY14"/>
      <c r="HZ14"/>
      <c r="IA14"/>
    </row>
    <row r="15" spans="1:235" x14ac:dyDescent="0.25">
      <c r="A15">
        <v>15</v>
      </c>
      <c r="B15" s="115">
        <v>43297</v>
      </c>
      <c r="C15" t="s">
        <v>424</v>
      </c>
      <c r="D15" t="s">
        <v>425</v>
      </c>
      <c r="F15" t="s">
        <v>426</v>
      </c>
      <c r="G15" t="s">
        <v>427</v>
      </c>
      <c r="H15" t="s">
        <v>428</v>
      </c>
      <c r="I15" s="116">
        <v>21130</v>
      </c>
      <c r="J15" t="s">
        <v>429</v>
      </c>
      <c r="K15" s="117">
        <v>373739820</v>
      </c>
      <c r="L15">
        <v>321</v>
      </c>
      <c r="M15" t="s">
        <v>440</v>
      </c>
      <c r="N15" t="s">
        <v>423</v>
      </c>
      <c r="O15">
        <v>321</v>
      </c>
      <c r="P15">
        <v>5336</v>
      </c>
      <c r="Q15">
        <v>4446.67</v>
      </c>
      <c r="R15">
        <v>889.33</v>
      </c>
      <c r="S15" t="s">
        <v>378</v>
      </c>
      <c r="T15" s="118">
        <v>0</v>
      </c>
      <c r="U15" s="118">
        <v>0</v>
      </c>
      <c r="V15" s="118">
        <v>0</v>
      </c>
      <c r="W15" s="119">
        <v>0</v>
      </c>
      <c r="X15" s="119">
        <v>0</v>
      </c>
      <c r="Y15" s="119">
        <v>0</v>
      </c>
      <c r="Z15" s="119">
        <v>0</v>
      </c>
      <c r="AA15" s="119">
        <v>0</v>
      </c>
      <c r="AB15" s="119">
        <v>0</v>
      </c>
      <c r="AC15" s="119">
        <v>0</v>
      </c>
      <c r="AD15" s="119">
        <v>20</v>
      </c>
      <c r="AE15" s="119">
        <v>0</v>
      </c>
      <c r="AF15" t="s">
        <v>379</v>
      </c>
      <c r="AG15" s="119">
        <v>0</v>
      </c>
      <c r="AH15" s="119">
        <v>0</v>
      </c>
      <c r="AI15" s="119">
        <v>0</v>
      </c>
      <c r="AJ15" s="119">
        <v>0</v>
      </c>
      <c r="AK15" s="119">
        <v>0</v>
      </c>
      <c r="AL15" s="119">
        <v>0</v>
      </c>
      <c r="AM15" s="119">
        <v>0</v>
      </c>
      <c r="AN15" s="119">
        <v>0</v>
      </c>
      <c r="AO15" s="119">
        <v>0</v>
      </c>
      <c r="AP15" s="118">
        <v>0</v>
      </c>
      <c r="AQ15" s="119">
        <v>20</v>
      </c>
      <c r="AR15" s="119">
        <v>0</v>
      </c>
      <c r="AS15" t="s">
        <v>380</v>
      </c>
      <c r="AT15" s="119">
        <v>0</v>
      </c>
      <c r="AU15" s="119">
        <v>0</v>
      </c>
      <c r="AV15" s="119">
        <v>0</v>
      </c>
      <c r="AW15" s="119">
        <v>0</v>
      </c>
      <c r="AX15" s="119">
        <v>0</v>
      </c>
      <c r="AY15" s="119">
        <v>0</v>
      </c>
      <c r="AZ15" s="119">
        <v>0</v>
      </c>
      <c r="BA15" s="119">
        <v>0</v>
      </c>
      <c r="BB15" s="119">
        <v>0</v>
      </c>
      <c r="BC15" s="118">
        <v>0</v>
      </c>
      <c r="BD15" s="119">
        <v>20</v>
      </c>
      <c r="BE15" s="119">
        <v>0</v>
      </c>
      <c r="BF15" t="s">
        <v>381</v>
      </c>
      <c r="BG15" s="119">
        <v>0</v>
      </c>
      <c r="BH15" s="119">
        <v>0</v>
      </c>
      <c r="BI15" s="119">
        <v>0</v>
      </c>
      <c r="BJ15" s="119">
        <v>0</v>
      </c>
      <c r="BK15" s="119">
        <v>0</v>
      </c>
      <c r="BL15" s="119">
        <v>0</v>
      </c>
      <c r="BM15" s="119">
        <v>0</v>
      </c>
      <c r="BN15" s="119">
        <v>0</v>
      </c>
      <c r="BO15" s="119">
        <v>0</v>
      </c>
      <c r="BP15" s="118">
        <v>0</v>
      </c>
      <c r="BQ15" s="119">
        <v>20</v>
      </c>
      <c r="BR15" s="119">
        <v>0</v>
      </c>
      <c r="BS15" t="s">
        <v>382</v>
      </c>
      <c r="BT15" s="119">
        <v>0</v>
      </c>
      <c r="BU15" s="119">
        <v>0</v>
      </c>
      <c r="BV15" s="119">
        <v>0</v>
      </c>
      <c r="BW15" s="119">
        <v>0</v>
      </c>
      <c r="BX15" s="119">
        <v>0</v>
      </c>
      <c r="BY15" s="119">
        <v>0</v>
      </c>
      <c r="BZ15" s="119">
        <v>0</v>
      </c>
      <c r="CA15" s="119">
        <v>0</v>
      </c>
      <c r="CB15" s="119">
        <v>0</v>
      </c>
      <c r="CC15" s="118">
        <v>0</v>
      </c>
      <c r="CD15" s="119">
        <v>20</v>
      </c>
      <c r="CE15" s="119">
        <v>0</v>
      </c>
      <c r="CF15" t="s">
        <v>383</v>
      </c>
      <c r="CG15" s="119">
        <v>2500</v>
      </c>
      <c r="CH15" s="119">
        <v>1666.67</v>
      </c>
      <c r="CI15" s="119">
        <v>4166.67</v>
      </c>
      <c r="CJ15" s="119">
        <v>40</v>
      </c>
      <c r="CK15" s="119">
        <v>4</v>
      </c>
      <c r="CL15" s="119">
        <v>70</v>
      </c>
      <c r="CM15" s="119">
        <v>280</v>
      </c>
      <c r="CN15" s="119">
        <v>1946.67</v>
      </c>
      <c r="CO15" s="119">
        <v>486.67</v>
      </c>
      <c r="CP15" s="118">
        <v>4446.67</v>
      </c>
      <c r="CQ15" s="119">
        <v>20</v>
      </c>
      <c r="CR15" s="119">
        <v>889.33</v>
      </c>
      <c r="CS15" t="s">
        <v>384</v>
      </c>
      <c r="CT15" s="119">
        <v>0</v>
      </c>
      <c r="CU15" s="119">
        <v>0</v>
      </c>
      <c r="CV15" s="119">
        <v>0</v>
      </c>
      <c r="CW15" s="119">
        <v>0</v>
      </c>
      <c r="CX15" s="119">
        <v>0</v>
      </c>
      <c r="CY15" s="119">
        <v>0</v>
      </c>
      <c r="CZ15" s="119">
        <v>0</v>
      </c>
      <c r="DA15" s="119">
        <v>0</v>
      </c>
      <c r="DB15" s="119">
        <v>0</v>
      </c>
      <c r="DC15" s="118">
        <v>0</v>
      </c>
      <c r="DD15" s="119">
        <v>20</v>
      </c>
      <c r="DE15" s="119">
        <v>0</v>
      </c>
      <c r="DF15" t="s">
        <v>385</v>
      </c>
      <c r="DG15" s="119">
        <v>0</v>
      </c>
      <c r="DH15" s="119">
        <v>0</v>
      </c>
      <c r="DI15" s="119">
        <v>0</v>
      </c>
      <c r="DJ15" s="119">
        <v>0</v>
      </c>
      <c r="DK15" s="119">
        <v>0</v>
      </c>
      <c r="DL15" s="119">
        <v>0</v>
      </c>
      <c r="DM15" s="119">
        <v>0</v>
      </c>
      <c r="DN15" s="119">
        <v>0</v>
      </c>
      <c r="DO15" s="119">
        <v>0</v>
      </c>
      <c r="DP15" s="118">
        <v>0</v>
      </c>
      <c r="DQ15" s="119">
        <v>20</v>
      </c>
      <c r="DR15" s="119">
        <v>0</v>
      </c>
      <c r="DS15" t="s">
        <v>386</v>
      </c>
      <c r="DT15" s="119">
        <v>0</v>
      </c>
      <c r="DU15" s="119">
        <v>0</v>
      </c>
      <c r="DV15" s="119">
        <v>0</v>
      </c>
      <c r="DW15" s="119">
        <v>0</v>
      </c>
      <c r="DX15" s="119">
        <v>0</v>
      </c>
      <c r="DY15" s="119">
        <v>0</v>
      </c>
      <c r="DZ15" s="119">
        <v>0</v>
      </c>
      <c r="EA15" s="119">
        <v>0</v>
      </c>
      <c r="EB15" s="119">
        <v>0</v>
      </c>
      <c r="EC15" s="118">
        <v>0</v>
      </c>
      <c r="ED15" s="119">
        <v>20</v>
      </c>
      <c r="EE15" s="119">
        <v>0</v>
      </c>
      <c r="EF15" t="s">
        <v>387</v>
      </c>
      <c r="EG15" s="119">
        <v>0</v>
      </c>
      <c r="EH15" s="119">
        <v>0</v>
      </c>
      <c r="EI15" s="119">
        <v>0</v>
      </c>
      <c r="EJ15" s="119">
        <v>0</v>
      </c>
      <c r="EK15" s="119">
        <v>0</v>
      </c>
      <c r="EL15" s="119">
        <v>0</v>
      </c>
      <c r="EM15" s="119">
        <v>0</v>
      </c>
      <c r="EN15" s="119">
        <v>0</v>
      </c>
      <c r="EO15" s="119">
        <v>0</v>
      </c>
      <c r="EP15" s="118">
        <v>0</v>
      </c>
      <c r="EQ15" s="119">
        <v>20</v>
      </c>
      <c r="ER15" s="119">
        <v>0</v>
      </c>
      <c r="ES15" t="s">
        <v>388</v>
      </c>
      <c r="ET15" s="119">
        <v>0</v>
      </c>
      <c r="EU15" s="119">
        <v>0</v>
      </c>
      <c r="EV15" s="119">
        <v>0</v>
      </c>
      <c r="EW15" s="119">
        <v>0</v>
      </c>
      <c r="EX15" s="119">
        <v>0</v>
      </c>
      <c r="EY15" s="119">
        <v>0</v>
      </c>
      <c r="EZ15" s="119">
        <v>0</v>
      </c>
      <c r="FA15" s="119">
        <v>0</v>
      </c>
      <c r="FB15" s="119">
        <v>0</v>
      </c>
      <c r="FC15" s="118">
        <v>0</v>
      </c>
      <c r="FD15" s="119">
        <v>20</v>
      </c>
      <c r="FE15" s="119">
        <v>0</v>
      </c>
      <c r="FF15" t="s">
        <v>389</v>
      </c>
      <c r="FG15" s="119">
        <v>0</v>
      </c>
      <c r="FH15" s="119">
        <v>0</v>
      </c>
      <c r="FI15" s="119">
        <v>0</v>
      </c>
      <c r="FJ15" s="119">
        <v>0</v>
      </c>
      <c r="FK15" s="119">
        <v>0</v>
      </c>
      <c r="FL15" s="119">
        <v>0</v>
      </c>
      <c r="FM15" s="119">
        <v>0</v>
      </c>
      <c r="FN15" s="119">
        <v>0</v>
      </c>
      <c r="FO15" s="119">
        <v>0</v>
      </c>
      <c r="FP15" s="118">
        <v>0</v>
      </c>
      <c r="FQ15" s="119">
        <v>20</v>
      </c>
      <c r="FR15" s="119">
        <v>0</v>
      </c>
      <c r="FS15" t="s">
        <v>390</v>
      </c>
      <c r="FT15" s="119">
        <v>0</v>
      </c>
      <c r="FU15" s="119">
        <v>0</v>
      </c>
      <c r="FV15" s="119">
        <v>0</v>
      </c>
      <c r="FW15" s="119">
        <v>0</v>
      </c>
      <c r="FX15" s="119">
        <v>0</v>
      </c>
      <c r="FY15" s="119">
        <v>0</v>
      </c>
      <c r="FZ15" s="119">
        <v>0</v>
      </c>
      <c r="GA15" s="119">
        <v>0</v>
      </c>
      <c r="GB15" s="119">
        <v>0</v>
      </c>
      <c r="GC15" s="118">
        <v>0</v>
      </c>
      <c r="GD15" s="119">
        <v>20</v>
      </c>
      <c r="GE15" s="119">
        <v>0</v>
      </c>
      <c r="GF15" t="s">
        <v>391</v>
      </c>
      <c r="GG15" s="119">
        <v>0</v>
      </c>
      <c r="GH15" s="119">
        <v>0</v>
      </c>
      <c r="GI15" s="119">
        <v>0</v>
      </c>
      <c r="GJ15" s="119">
        <v>0</v>
      </c>
      <c r="GK15" s="119">
        <v>0</v>
      </c>
      <c r="GL15" s="119">
        <v>0</v>
      </c>
      <c r="GM15" s="119">
        <v>0</v>
      </c>
      <c r="GN15" s="119">
        <v>0</v>
      </c>
      <c r="GO15" s="119">
        <v>0</v>
      </c>
      <c r="GP15" s="118">
        <v>0</v>
      </c>
      <c r="GQ15" s="119">
        <v>20</v>
      </c>
      <c r="GR15" s="119">
        <v>0</v>
      </c>
      <c r="GU15" s="119">
        <f t="shared" si="0"/>
        <v>750</v>
      </c>
      <c r="GV15" s="119">
        <f t="shared" si="0"/>
        <v>307.14</v>
      </c>
      <c r="GW15" s="119">
        <f t="shared" si="0"/>
        <v>1057.1399999999999</v>
      </c>
      <c r="GX15" s="119">
        <f t="shared" si="0"/>
        <v>55</v>
      </c>
      <c r="GY15" s="119">
        <f t="shared" si="0"/>
        <v>30</v>
      </c>
      <c r="GZ15" s="119">
        <f t="shared" si="0"/>
        <v>70</v>
      </c>
      <c r="HA15" s="119">
        <f t="shared" si="0"/>
        <v>2100</v>
      </c>
      <c r="HB15" s="119">
        <f t="shared" si="0"/>
        <v>2407.14</v>
      </c>
      <c r="HC15" s="119">
        <f t="shared" si="0"/>
        <v>78.569999999999993</v>
      </c>
      <c r="HD15" s="119">
        <f t="shared" si="0"/>
        <v>3157.14</v>
      </c>
      <c r="HJ15"/>
      <c r="HK15" s="115"/>
      <c r="HR15" s="116"/>
      <c r="HT15" s="117"/>
      <c r="HY15"/>
      <c r="HZ15"/>
      <c r="IA15"/>
    </row>
    <row r="16" spans="1:235" x14ac:dyDescent="0.25">
      <c r="A16">
        <v>16</v>
      </c>
      <c r="B16" s="115">
        <v>43297</v>
      </c>
      <c r="C16" t="s">
        <v>369</v>
      </c>
      <c r="D16" t="s">
        <v>425</v>
      </c>
      <c r="E16" t="s">
        <v>430</v>
      </c>
      <c r="F16" t="s">
        <v>426</v>
      </c>
      <c r="G16" t="s">
        <v>427</v>
      </c>
      <c r="H16" t="s">
        <v>441</v>
      </c>
      <c r="I16" s="116">
        <v>39100</v>
      </c>
      <c r="J16" t="s">
        <v>374</v>
      </c>
      <c r="K16" s="117" t="s">
        <v>422</v>
      </c>
      <c r="L16" t="s">
        <v>442</v>
      </c>
      <c r="M16" t="s">
        <v>443</v>
      </c>
      <c r="N16" t="s">
        <v>154</v>
      </c>
      <c r="O16">
        <v>456</v>
      </c>
      <c r="P16">
        <v>3</v>
      </c>
      <c r="Q16">
        <v>3</v>
      </c>
      <c r="R16">
        <v>622</v>
      </c>
      <c r="S16" t="s">
        <v>378</v>
      </c>
      <c r="T16" s="118">
        <v>60</v>
      </c>
      <c r="U16" s="118">
        <v>8.9700000000000006</v>
      </c>
      <c r="V16" s="118">
        <v>68.97</v>
      </c>
      <c r="W16" s="119">
        <v>13</v>
      </c>
      <c r="X16" s="119">
        <v>10</v>
      </c>
      <c r="Y16" s="119">
        <v>50</v>
      </c>
      <c r="Z16" s="119">
        <v>500</v>
      </c>
      <c r="AA16" s="119">
        <v>508.97</v>
      </c>
      <c r="AB16" s="119">
        <v>50.9</v>
      </c>
      <c r="AC16" s="119">
        <v>568.97</v>
      </c>
      <c r="AD16" s="119">
        <v>20</v>
      </c>
      <c r="AE16" s="119">
        <v>113.79</v>
      </c>
      <c r="AF16" t="s">
        <v>379</v>
      </c>
      <c r="AG16" s="119">
        <v>12</v>
      </c>
      <c r="AH16" s="119">
        <v>1.64</v>
      </c>
      <c r="AI16" s="119">
        <v>13.64</v>
      </c>
      <c r="AJ16" s="119">
        <v>12</v>
      </c>
      <c r="AK16" s="119">
        <v>13</v>
      </c>
      <c r="AL16" s="119">
        <v>14</v>
      </c>
      <c r="AM16" s="119">
        <v>182</v>
      </c>
      <c r="AN16" s="119">
        <v>183.64</v>
      </c>
      <c r="AO16" s="119">
        <v>14.13</v>
      </c>
      <c r="AP16" s="118">
        <v>195.64</v>
      </c>
      <c r="AQ16" s="119">
        <v>20</v>
      </c>
      <c r="AR16" s="119">
        <v>39.130000000000003</v>
      </c>
      <c r="AS16" t="s">
        <v>380</v>
      </c>
      <c r="AT16" s="119">
        <v>12</v>
      </c>
      <c r="AU16" s="119">
        <v>1.64</v>
      </c>
      <c r="AV16" s="119">
        <v>13.64</v>
      </c>
      <c r="AW16" s="119">
        <v>12</v>
      </c>
      <c r="AX16" s="119">
        <v>13</v>
      </c>
      <c r="AY16" s="119">
        <v>14</v>
      </c>
      <c r="AZ16" s="119">
        <v>182</v>
      </c>
      <c r="BA16" s="119">
        <v>183.64</v>
      </c>
      <c r="BB16" s="119">
        <v>14.13</v>
      </c>
      <c r="BC16" s="118">
        <v>195.64</v>
      </c>
      <c r="BD16" s="119">
        <v>20</v>
      </c>
      <c r="BE16" s="119">
        <v>39.130000000000003</v>
      </c>
      <c r="BF16" t="s">
        <v>381</v>
      </c>
      <c r="BG16" s="119">
        <v>12</v>
      </c>
      <c r="BH16" s="119">
        <v>1.64</v>
      </c>
      <c r="BI16" s="119">
        <v>13.64</v>
      </c>
      <c r="BJ16" s="119">
        <v>12</v>
      </c>
      <c r="BK16" s="119">
        <v>13</v>
      </c>
      <c r="BL16" s="119">
        <v>14</v>
      </c>
      <c r="BM16" s="119">
        <v>182</v>
      </c>
      <c r="BN16" s="119">
        <v>183.64</v>
      </c>
      <c r="BO16" s="119">
        <v>14.13</v>
      </c>
      <c r="BP16" s="118">
        <v>195.64</v>
      </c>
      <c r="BQ16" s="119">
        <v>20</v>
      </c>
      <c r="BR16" s="119">
        <v>39.130000000000003</v>
      </c>
      <c r="BS16" t="s">
        <v>382</v>
      </c>
      <c r="BT16" s="119">
        <v>12</v>
      </c>
      <c r="BU16" s="119">
        <v>1.64</v>
      </c>
      <c r="BV16" s="119">
        <v>13.64</v>
      </c>
      <c r="BW16" s="119">
        <v>12</v>
      </c>
      <c r="BX16" s="119">
        <v>13</v>
      </c>
      <c r="BY16" s="119">
        <v>14</v>
      </c>
      <c r="BZ16" s="119">
        <v>182</v>
      </c>
      <c r="CA16" s="119">
        <v>183.64</v>
      </c>
      <c r="CB16" s="119">
        <v>14.13</v>
      </c>
      <c r="CC16" s="118">
        <v>195.64</v>
      </c>
      <c r="CD16" s="119">
        <v>20</v>
      </c>
      <c r="CE16" s="119">
        <v>39.130000000000003</v>
      </c>
      <c r="CF16" t="s">
        <v>383</v>
      </c>
      <c r="CG16" s="119">
        <v>12</v>
      </c>
      <c r="CH16" s="119">
        <v>1.64</v>
      </c>
      <c r="CI16" s="119">
        <v>13.64</v>
      </c>
      <c r="CJ16" s="119">
        <v>12</v>
      </c>
      <c r="CK16" s="119">
        <v>13</v>
      </c>
      <c r="CL16" s="119">
        <v>14</v>
      </c>
      <c r="CM16" s="119">
        <v>182</v>
      </c>
      <c r="CN16" s="119">
        <v>183.64</v>
      </c>
      <c r="CO16" s="119">
        <v>14.13</v>
      </c>
      <c r="CP16" s="118">
        <v>195.64</v>
      </c>
      <c r="CQ16" s="119">
        <v>20</v>
      </c>
      <c r="CR16" s="119">
        <v>39.130000000000003</v>
      </c>
      <c r="CS16" t="s">
        <v>384</v>
      </c>
      <c r="CT16" s="119">
        <v>12</v>
      </c>
      <c r="CU16" s="119">
        <v>1.64</v>
      </c>
      <c r="CV16" s="119">
        <v>13.64</v>
      </c>
      <c r="CW16" s="119">
        <v>12</v>
      </c>
      <c r="CX16" s="119">
        <v>13</v>
      </c>
      <c r="CY16" s="119">
        <v>14</v>
      </c>
      <c r="CZ16" s="119">
        <v>182</v>
      </c>
      <c r="DA16" s="119">
        <v>183.64</v>
      </c>
      <c r="DB16" s="119">
        <v>14.13</v>
      </c>
      <c r="DC16" s="118">
        <v>195.64</v>
      </c>
      <c r="DD16" s="119">
        <v>20</v>
      </c>
      <c r="DE16" s="119">
        <v>39.130000000000003</v>
      </c>
      <c r="DF16" t="s">
        <v>385</v>
      </c>
      <c r="DG16" s="119">
        <v>12</v>
      </c>
      <c r="DH16" s="119">
        <v>1.64</v>
      </c>
      <c r="DI16" s="119">
        <v>13.64</v>
      </c>
      <c r="DJ16" s="119">
        <v>12</v>
      </c>
      <c r="DK16" s="119">
        <v>13</v>
      </c>
      <c r="DL16" s="119">
        <v>14</v>
      </c>
      <c r="DM16" s="119">
        <v>182</v>
      </c>
      <c r="DN16" s="119">
        <v>183.64</v>
      </c>
      <c r="DO16" s="119">
        <v>14.13</v>
      </c>
      <c r="DP16" s="118">
        <v>195.64</v>
      </c>
      <c r="DQ16" s="119">
        <v>20</v>
      </c>
      <c r="DR16" s="119">
        <v>39.130000000000003</v>
      </c>
      <c r="DS16" t="s">
        <v>386</v>
      </c>
      <c r="DT16" s="119">
        <v>12</v>
      </c>
      <c r="DU16" s="119">
        <v>1.64</v>
      </c>
      <c r="DV16" s="119">
        <v>13.64</v>
      </c>
      <c r="DW16" s="119">
        <v>12</v>
      </c>
      <c r="DX16" s="119">
        <v>13</v>
      </c>
      <c r="DY16" s="119">
        <v>14</v>
      </c>
      <c r="DZ16" s="119">
        <v>182</v>
      </c>
      <c r="EA16" s="119">
        <v>183.64</v>
      </c>
      <c r="EB16" s="119">
        <v>14.13</v>
      </c>
      <c r="EC16" s="118">
        <v>195.64</v>
      </c>
      <c r="ED16" s="119">
        <v>20</v>
      </c>
      <c r="EE16" s="119">
        <v>39.130000000000003</v>
      </c>
      <c r="EF16" t="s">
        <v>387</v>
      </c>
      <c r="EG16" s="119">
        <v>12</v>
      </c>
      <c r="EH16" s="119">
        <v>1.64</v>
      </c>
      <c r="EI16" s="119">
        <v>13.64</v>
      </c>
      <c r="EJ16" s="119">
        <v>12</v>
      </c>
      <c r="EK16" s="119">
        <v>13</v>
      </c>
      <c r="EL16" s="119">
        <v>14</v>
      </c>
      <c r="EM16" s="119">
        <v>182</v>
      </c>
      <c r="EN16" s="119">
        <v>183.64</v>
      </c>
      <c r="EO16" s="119">
        <v>14.13</v>
      </c>
      <c r="EP16" s="118">
        <v>195.64</v>
      </c>
      <c r="EQ16" s="119">
        <v>20</v>
      </c>
      <c r="ER16" s="119">
        <v>39.130000000000003</v>
      </c>
      <c r="ES16" t="s">
        <v>388</v>
      </c>
      <c r="ET16" s="119">
        <v>12</v>
      </c>
      <c r="EU16" s="119">
        <v>1.64</v>
      </c>
      <c r="EV16" s="119">
        <v>13.64</v>
      </c>
      <c r="EW16" s="119">
        <v>12</v>
      </c>
      <c r="EX16" s="119">
        <v>13</v>
      </c>
      <c r="EY16" s="119">
        <v>14</v>
      </c>
      <c r="EZ16" s="119">
        <v>182</v>
      </c>
      <c r="FA16" s="119">
        <v>183.64</v>
      </c>
      <c r="FB16" s="119">
        <v>14.13</v>
      </c>
      <c r="FC16" s="118">
        <v>195.64</v>
      </c>
      <c r="FD16" s="119">
        <v>20</v>
      </c>
      <c r="FE16" s="119">
        <v>39.130000000000003</v>
      </c>
      <c r="FF16" t="s">
        <v>389</v>
      </c>
      <c r="FG16" s="119">
        <v>12</v>
      </c>
      <c r="FH16" s="119">
        <v>1.64</v>
      </c>
      <c r="FI16" s="119">
        <v>13.64</v>
      </c>
      <c r="FJ16" s="119">
        <v>12</v>
      </c>
      <c r="FK16" s="119">
        <v>13</v>
      </c>
      <c r="FL16" s="119">
        <v>14</v>
      </c>
      <c r="FM16" s="119">
        <v>182</v>
      </c>
      <c r="FN16" s="119">
        <v>183.64</v>
      </c>
      <c r="FO16" s="119">
        <v>14.13</v>
      </c>
      <c r="FP16" s="118">
        <v>195.64</v>
      </c>
      <c r="FQ16" s="119">
        <v>20</v>
      </c>
      <c r="FR16" s="119">
        <v>39.130000000000003</v>
      </c>
      <c r="FS16" t="s">
        <v>390</v>
      </c>
      <c r="FT16" s="119">
        <v>12</v>
      </c>
      <c r="FU16" s="119">
        <v>1.64</v>
      </c>
      <c r="FV16" s="119">
        <v>13.64</v>
      </c>
      <c r="FW16" s="119">
        <v>12</v>
      </c>
      <c r="FX16" s="119">
        <v>13</v>
      </c>
      <c r="FY16" s="119">
        <v>14</v>
      </c>
      <c r="FZ16" s="119">
        <v>182</v>
      </c>
      <c r="GA16" s="119">
        <v>183.64</v>
      </c>
      <c r="GB16" s="119">
        <v>14.13</v>
      </c>
      <c r="GC16" s="118">
        <v>195.64</v>
      </c>
      <c r="GD16" s="119">
        <v>20</v>
      </c>
      <c r="GE16" s="119">
        <v>39.130000000000003</v>
      </c>
      <c r="GF16" t="s">
        <v>391</v>
      </c>
      <c r="GG16" s="119">
        <v>12</v>
      </c>
      <c r="GH16" s="119">
        <v>1.64</v>
      </c>
      <c r="GI16" s="119">
        <v>13.64</v>
      </c>
      <c r="GJ16" s="119">
        <v>12</v>
      </c>
      <c r="GK16" s="119">
        <v>13</v>
      </c>
      <c r="GL16" s="119">
        <v>14</v>
      </c>
      <c r="GM16" s="119">
        <v>182</v>
      </c>
      <c r="GN16" s="119">
        <v>183.64</v>
      </c>
      <c r="GO16" s="119">
        <v>14.13</v>
      </c>
      <c r="GP16" s="118">
        <v>195.64</v>
      </c>
      <c r="GQ16" s="119">
        <v>20</v>
      </c>
      <c r="GR16" s="119">
        <v>39.130000000000003</v>
      </c>
      <c r="GU16" s="119">
        <f t="shared" si="0"/>
        <v>3000</v>
      </c>
      <c r="GV16" s="119">
        <f t="shared" si="0"/>
        <v>1238.1000000000001</v>
      </c>
      <c r="GW16" s="119">
        <f t="shared" si="0"/>
        <v>4238.0999999999995</v>
      </c>
      <c r="GX16" s="119">
        <f t="shared" si="0"/>
        <v>55</v>
      </c>
      <c r="GY16" s="119">
        <f t="shared" si="0"/>
        <v>10</v>
      </c>
      <c r="GZ16" s="119">
        <f t="shared" si="0"/>
        <v>60</v>
      </c>
      <c r="HA16" s="119">
        <f t="shared" si="0"/>
        <v>600</v>
      </c>
      <c r="HB16" s="119">
        <f t="shared" si="0"/>
        <v>1838.1000000000001</v>
      </c>
      <c r="HC16" s="119">
        <f t="shared" si="0"/>
        <v>167.14</v>
      </c>
      <c r="HD16" s="119">
        <f t="shared" si="0"/>
        <v>4838.1000000000004</v>
      </c>
      <c r="HJ16"/>
      <c r="HK16" s="115"/>
      <c r="HR16" s="116"/>
      <c r="HT16" s="117"/>
      <c r="HY16"/>
      <c r="HZ16"/>
      <c r="IA16"/>
    </row>
    <row r="17" spans="1:235" x14ac:dyDescent="0.25">
      <c r="A17">
        <v>17</v>
      </c>
      <c r="B17" s="115">
        <v>43297</v>
      </c>
      <c r="C17" t="s">
        <v>424</v>
      </c>
      <c r="D17" t="s">
        <v>425</v>
      </c>
      <c r="E17" t="s">
        <v>430</v>
      </c>
      <c r="F17" t="s">
        <v>426</v>
      </c>
      <c r="G17" t="s">
        <v>427</v>
      </c>
      <c r="H17" t="s">
        <v>428</v>
      </c>
      <c r="I17" s="116">
        <v>21130</v>
      </c>
      <c r="J17" t="s">
        <v>429</v>
      </c>
      <c r="K17" s="117">
        <v>373739820</v>
      </c>
      <c r="L17" t="s">
        <v>444</v>
      </c>
      <c r="M17" t="s">
        <v>445</v>
      </c>
      <c r="N17" t="s">
        <v>154</v>
      </c>
      <c r="O17">
        <v>456</v>
      </c>
      <c r="P17">
        <v>566</v>
      </c>
      <c r="Q17">
        <v>511</v>
      </c>
      <c r="R17">
        <v>55</v>
      </c>
      <c r="S17" t="s">
        <v>378</v>
      </c>
      <c r="T17" s="118">
        <v>10</v>
      </c>
      <c r="U17" s="118">
        <v>1.1100000000000001</v>
      </c>
      <c r="V17" s="118">
        <v>11.11</v>
      </c>
      <c r="W17" s="119">
        <v>10</v>
      </c>
      <c r="X17" s="119">
        <v>10</v>
      </c>
      <c r="Y17" s="119">
        <v>10</v>
      </c>
      <c r="Z17" s="119">
        <v>100</v>
      </c>
      <c r="AA17" s="119">
        <v>101.11</v>
      </c>
      <c r="AB17" s="119">
        <v>10.11</v>
      </c>
      <c r="AC17" s="119">
        <v>111.11</v>
      </c>
      <c r="AD17" s="119">
        <v>10</v>
      </c>
      <c r="AE17" s="119">
        <v>11.11</v>
      </c>
      <c r="AF17" t="s">
        <v>379</v>
      </c>
      <c r="AG17" s="119">
        <v>11</v>
      </c>
      <c r="AH17" s="119">
        <v>1.36</v>
      </c>
      <c r="AI17" s="119">
        <v>12.36</v>
      </c>
      <c r="AJ17" s="119">
        <v>11</v>
      </c>
      <c r="AK17" s="119">
        <v>11</v>
      </c>
      <c r="AL17" s="119">
        <v>11</v>
      </c>
      <c r="AM17" s="119">
        <v>121</v>
      </c>
      <c r="AN17" s="119">
        <v>122.36</v>
      </c>
      <c r="AO17" s="119">
        <v>11.12</v>
      </c>
      <c r="AP17" s="119">
        <v>133.36000000000001</v>
      </c>
      <c r="AQ17" s="119">
        <v>11</v>
      </c>
      <c r="AR17" s="119">
        <v>14.67</v>
      </c>
      <c r="AS17" t="s">
        <v>380</v>
      </c>
      <c r="AT17" s="119">
        <v>11</v>
      </c>
      <c r="AU17" s="119">
        <v>1.36</v>
      </c>
      <c r="AV17" s="119">
        <v>12.36</v>
      </c>
      <c r="AW17" s="119">
        <v>11</v>
      </c>
      <c r="AX17" s="119">
        <v>11</v>
      </c>
      <c r="AY17" s="119">
        <v>11</v>
      </c>
      <c r="AZ17" s="119">
        <v>121</v>
      </c>
      <c r="BA17" s="119">
        <v>122.36</v>
      </c>
      <c r="BB17" s="119">
        <v>11.12</v>
      </c>
      <c r="BC17" s="119">
        <v>133.36000000000001</v>
      </c>
      <c r="BD17" s="119">
        <v>11</v>
      </c>
      <c r="BE17" s="119">
        <v>14.67</v>
      </c>
      <c r="BF17" t="s">
        <v>381</v>
      </c>
      <c r="BG17" s="119">
        <v>11</v>
      </c>
      <c r="BH17" s="119">
        <v>1.36</v>
      </c>
      <c r="BI17" s="119">
        <v>12.36</v>
      </c>
      <c r="BJ17" s="119">
        <v>11</v>
      </c>
      <c r="BK17" s="119">
        <v>11</v>
      </c>
      <c r="BL17" s="119">
        <v>11</v>
      </c>
      <c r="BM17" s="119">
        <v>121</v>
      </c>
      <c r="BN17" s="119">
        <v>122.36</v>
      </c>
      <c r="BO17" s="119">
        <v>11.12</v>
      </c>
      <c r="BP17" s="119">
        <v>133.36000000000001</v>
      </c>
      <c r="BQ17" s="119">
        <v>11</v>
      </c>
      <c r="BR17" s="119">
        <v>14.67</v>
      </c>
      <c r="BS17" t="s">
        <v>382</v>
      </c>
      <c r="BT17" s="119">
        <v>0</v>
      </c>
      <c r="BU17" s="119">
        <v>0</v>
      </c>
      <c r="BV17" s="119">
        <v>0</v>
      </c>
      <c r="BW17" s="119">
        <v>0</v>
      </c>
      <c r="BX17" s="119">
        <v>0</v>
      </c>
      <c r="BY17" s="119">
        <v>0</v>
      </c>
      <c r="BZ17" s="119">
        <v>0</v>
      </c>
      <c r="CA17" s="119">
        <v>0</v>
      </c>
      <c r="CB17" s="119">
        <v>0</v>
      </c>
      <c r="CC17" s="119">
        <v>0</v>
      </c>
      <c r="CD17" s="119">
        <v>0</v>
      </c>
      <c r="CE17" s="119">
        <v>0</v>
      </c>
      <c r="CF17" t="s">
        <v>383</v>
      </c>
      <c r="CG17" s="119">
        <v>0</v>
      </c>
      <c r="CH17" s="119">
        <v>0</v>
      </c>
      <c r="CI17" s="119">
        <v>0</v>
      </c>
      <c r="CJ17" s="119">
        <v>0</v>
      </c>
      <c r="CK17" s="119">
        <v>0</v>
      </c>
      <c r="CL17" s="119">
        <v>0</v>
      </c>
      <c r="CM17" s="119">
        <v>0</v>
      </c>
      <c r="CN17" s="119">
        <v>0</v>
      </c>
      <c r="CO17" s="119">
        <v>0</v>
      </c>
      <c r="CP17" s="119">
        <v>0</v>
      </c>
      <c r="CQ17" s="119">
        <v>0</v>
      </c>
      <c r="CR17" s="119">
        <v>0</v>
      </c>
      <c r="CS17" t="s">
        <v>384</v>
      </c>
      <c r="CT17" s="119">
        <v>0</v>
      </c>
      <c r="CU17" s="119">
        <v>0</v>
      </c>
      <c r="CV17" s="119">
        <v>0</v>
      </c>
      <c r="CW17" s="119">
        <v>0</v>
      </c>
      <c r="CX17" s="119">
        <v>0</v>
      </c>
      <c r="CY17" s="119">
        <v>0</v>
      </c>
      <c r="CZ17" s="119">
        <v>0</v>
      </c>
      <c r="DA17" s="119">
        <v>0</v>
      </c>
      <c r="DB17" s="119">
        <v>0</v>
      </c>
      <c r="DC17" s="119">
        <v>0</v>
      </c>
      <c r="DD17" s="119">
        <v>0</v>
      </c>
      <c r="DE17" s="119">
        <v>0</v>
      </c>
      <c r="DF17" t="s">
        <v>385</v>
      </c>
      <c r="DG17" s="119">
        <v>0</v>
      </c>
      <c r="DH17" s="119">
        <v>0</v>
      </c>
      <c r="DI17" s="119">
        <v>0</v>
      </c>
      <c r="DJ17" s="119">
        <v>0</v>
      </c>
      <c r="DK17" s="119">
        <v>0</v>
      </c>
      <c r="DL17" s="119">
        <v>0</v>
      </c>
      <c r="DM17" s="119">
        <v>0</v>
      </c>
      <c r="DN17" s="119">
        <v>0</v>
      </c>
      <c r="DO17" s="119">
        <v>0</v>
      </c>
      <c r="DP17" s="119">
        <v>0</v>
      </c>
      <c r="DQ17" s="119">
        <v>0</v>
      </c>
      <c r="DR17" s="119">
        <v>0</v>
      </c>
      <c r="DS17" t="s">
        <v>386</v>
      </c>
      <c r="DT17" s="119">
        <v>0</v>
      </c>
      <c r="DU17" s="119">
        <v>0</v>
      </c>
      <c r="DV17" s="119">
        <v>0</v>
      </c>
      <c r="DW17" s="119">
        <v>0</v>
      </c>
      <c r="DX17" s="119">
        <v>0</v>
      </c>
      <c r="DY17" s="119">
        <v>0</v>
      </c>
      <c r="DZ17" s="119">
        <v>0</v>
      </c>
      <c r="EA17" s="119">
        <v>0</v>
      </c>
      <c r="EB17" s="119">
        <v>0</v>
      </c>
      <c r="EC17" s="119">
        <v>0</v>
      </c>
      <c r="ED17" s="119">
        <v>0</v>
      </c>
      <c r="EE17" s="119">
        <v>0</v>
      </c>
      <c r="EF17" t="s">
        <v>387</v>
      </c>
      <c r="EG17" s="119">
        <v>0</v>
      </c>
      <c r="EH17" s="119">
        <v>0</v>
      </c>
      <c r="EI17" s="119">
        <v>0</v>
      </c>
      <c r="EJ17" s="119">
        <v>0</v>
      </c>
      <c r="EK17" s="119">
        <v>0</v>
      </c>
      <c r="EL17" s="119">
        <v>0</v>
      </c>
      <c r="EM17" s="119">
        <v>0</v>
      </c>
      <c r="EN17" s="119">
        <v>0</v>
      </c>
      <c r="EO17" s="119">
        <v>0</v>
      </c>
      <c r="EP17" s="119">
        <v>0</v>
      </c>
      <c r="EQ17" s="119">
        <v>0</v>
      </c>
      <c r="ER17" s="119">
        <v>0</v>
      </c>
      <c r="ES17" t="s">
        <v>388</v>
      </c>
      <c r="ET17" s="119">
        <v>0</v>
      </c>
      <c r="EU17" s="119">
        <v>0</v>
      </c>
      <c r="EV17" s="119">
        <v>0</v>
      </c>
      <c r="EW17" s="119">
        <v>0</v>
      </c>
      <c r="EX17" s="119">
        <v>0</v>
      </c>
      <c r="EY17" s="119">
        <v>0</v>
      </c>
      <c r="EZ17" s="119">
        <v>0</v>
      </c>
      <c r="FA17" s="119">
        <v>0</v>
      </c>
      <c r="FB17" s="119">
        <v>0</v>
      </c>
      <c r="FC17" s="119">
        <v>0</v>
      </c>
      <c r="FD17" s="119">
        <v>0</v>
      </c>
      <c r="FE17" s="119">
        <v>0</v>
      </c>
      <c r="FF17" t="s">
        <v>389</v>
      </c>
      <c r="FG17" s="119">
        <v>0</v>
      </c>
      <c r="FH17" s="119">
        <v>0</v>
      </c>
      <c r="FI17" s="119">
        <v>0</v>
      </c>
      <c r="FJ17" s="119">
        <v>0</v>
      </c>
      <c r="FK17" s="119">
        <v>0</v>
      </c>
      <c r="FL17" s="119">
        <v>0</v>
      </c>
      <c r="FM17" s="119">
        <v>0</v>
      </c>
      <c r="FN17" s="119">
        <v>0</v>
      </c>
      <c r="FO17" s="119">
        <v>0</v>
      </c>
      <c r="FP17" s="119">
        <v>0</v>
      </c>
      <c r="FQ17" s="119">
        <v>0</v>
      </c>
      <c r="FR17" s="119">
        <v>0</v>
      </c>
      <c r="FS17" t="s">
        <v>390</v>
      </c>
      <c r="FT17" s="119">
        <v>0</v>
      </c>
      <c r="FU17" s="119">
        <v>0</v>
      </c>
      <c r="FV17" s="119">
        <v>0</v>
      </c>
      <c r="FW17" s="119">
        <v>0</v>
      </c>
      <c r="FX17" s="119">
        <v>0</v>
      </c>
      <c r="FY17" s="119">
        <v>0</v>
      </c>
      <c r="FZ17" s="119">
        <v>0</v>
      </c>
      <c r="GA17" s="119">
        <v>0</v>
      </c>
      <c r="GB17" s="119">
        <v>0</v>
      </c>
      <c r="GC17" s="119">
        <v>0</v>
      </c>
      <c r="GD17" s="119">
        <v>0</v>
      </c>
      <c r="GE17" s="119">
        <v>0</v>
      </c>
      <c r="GF17" t="s">
        <v>391</v>
      </c>
      <c r="GG17" s="119">
        <v>0</v>
      </c>
      <c r="GH17" s="119">
        <v>0</v>
      </c>
      <c r="GI17" s="119">
        <v>0</v>
      </c>
      <c r="GJ17" s="119">
        <v>0</v>
      </c>
      <c r="GK17" s="119">
        <v>0</v>
      </c>
      <c r="GL17" s="119">
        <v>0</v>
      </c>
      <c r="GM17" s="119">
        <v>0</v>
      </c>
      <c r="GN17" s="119">
        <v>0</v>
      </c>
      <c r="GO17" s="119">
        <v>0</v>
      </c>
      <c r="GP17" s="119">
        <v>0</v>
      </c>
      <c r="GQ17" s="119">
        <v>0</v>
      </c>
      <c r="GR17" s="119">
        <v>0</v>
      </c>
      <c r="GU17" s="119">
        <f t="shared" si="0"/>
        <v>500</v>
      </c>
      <c r="GV17" s="119">
        <f t="shared" si="0"/>
        <v>166.67</v>
      </c>
      <c r="GW17" s="119">
        <f t="shared" si="0"/>
        <v>666.67</v>
      </c>
      <c r="GX17" s="119">
        <f t="shared" si="0"/>
        <v>25</v>
      </c>
      <c r="GY17" s="119">
        <f t="shared" si="0"/>
        <v>15</v>
      </c>
      <c r="GZ17" s="119">
        <f t="shared" si="0"/>
        <v>50</v>
      </c>
      <c r="HA17" s="119">
        <f t="shared" si="0"/>
        <v>750</v>
      </c>
      <c r="HB17" s="119">
        <f t="shared" si="0"/>
        <v>916.67</v>
      </c>
      <c r="HC17" s="119">
        <f t="shared" si="0"/>
        <v>61.11</v>
      </c>
      <c r="HD17" s="119">
        <f t="shared" si="0"/>
        <v>1416.67</v>
      </c>
      <c r="HJ17"/>
      <c r="HK17" s="115"/>
      <c r="HR17" s="116"/>
      <c r="HT17" s="117"/>
      <c r="HY17"/>
      <c r="HZ17"/>
      <c r="IA17"/>
    </row>
    <row r="18" spans="1:235" x14ac:dyDescent="0.25">
      <c r="A18">
        <v>18</v>
      </c>
      <c r="B18" s="115">
        <v>43297</v>
      </c>
      <c r="C18" t="s">
        <v>424</v>
      </c>
      <c r="D18" t="s">
        <v>425</v>
      </c>
      <c r="E18" t="s">
        <v>430</v>
      </c>
      <c r="F18" t="s">
        <v>426</v>
      </c>
      <c r="G18" t="s">
        <v>427</v>
      </c>
      <c r="H18" t="s">
        <v>428</v>
      </c>
      <c r="I18" s="116">
        <v>21130</v>
      </c>
      <c r="J18" t="s">
        <v>429</v>
      </c>
      <c r="K18" s="117" t="s">
        <v>431</v>
      </c>
      <c r="L18" t="s">
        <v>446</v>
      </c>
      <c r="M18" t="s">
        <v>447</v>
      </c>
      <c r="N18" t="s">
        <v>154</v>
      </c>
      <c r="O18">
        <v>456987</v>
      </c>
      <c r="P18">
        <v>133</v>
      </c>
      <c r="Q18">
        <v>111</v>
      </c>
      <c r="R18">
        <v>22</v>
      </c>
      <c r="S18" t="s">
        <v>378</v>
      </c>
      <c r="T18" s="118">
        <v>10</v>
      </c>
      <c r="U18" s="118">
        <v>1.1100000000000001</v>
      </c>
      <c r="V18" s="118">
        <v>11.11</v>
      </c>
      <c r="W18" s="119">
        <v>10</v>
      </c>
      <c r="X18" s="119">
        <v>10</v>
      </c>
      <c r="Y18" s="119">
        <v>10</v>
      </c>
      <c r="Z18" s="119">
        <v>100</v>
      </c>
      <c r="AA18" s="119">
        <v>101.11</v>
      </c>
      <c r="AB18" s="119">
        <v>10.11</v>
      </c>
      <c r="AC18" s="119">
        <v>111.11</v>
      </c>
      <c r="AD18" s="119">
        <v>20</v>
      </c>
      <c r="AE18" s="119">
        <v>22.22</v>
      </c>
      <c r="AF18" t="s">
        <v>379</v>
      </c>
      <c r="AG18" s="119">
        <v>0</v>
      </c>
      <c r="AH18" s="119">
        <v>0</v>
      </c>
      <c r="AI18" s="119">
        <v>0</v>
      </c>
      <c r="AJ18" s="119">
        <v>0</v>
      </c>
      <c r="AK18" s="119">
        <v>0</v>
      </c>
      <c r="AL18" s="119">
        <v>0</v>
      </c>
      <c r="AM18" s="119">
        <v>0</v>
      </c>
      <c r="AN18" s="119">
        <v>0</v>
      </c>
      <c r="AO18" s="119">
        <v>0</v>
      </c>
      <c r="AP18" s="119">
        <v>0</v>
      </c>
      <c r="AQ18" s="119">
        <v>0</v>
      </c>
      <c r="AR18" s="119">
        <v>0</v>
      </c>
      <c r="AS18" t="s">
        <v>380</v>
      </c>
      <c r="AT18" s="119">
        <v>0</v>
      </c>
      <c r="AU18" s="119">
        <v>0</v>
      </c>
      <c r="AV18" s="119">
        <v>0</v>
      </c>
      <c r="AW18" s="119">
        <v>0</v>
      </c>
      <c r="AX18" s="119">
        <v>0</v>
      </c>
      <c r="AY18" s="119">
        <v>0</v>
      </c>
      <c r="AZ18" s="119">
        <v>0</v>
      </c>
      <c r="BA18" s="119">
        <v>0</v>
      </c>
      <c r="BB18" s="119">
        <v>0</v>
      </c>
      <c r="BC18" s="119">
        <v>0</v>
      </c>
      <c r="BD18" s="119">
        <v>0</v>
      </c>
      <c r="BE18" s="119">
        <v>0</v>
      </c>
      <c r="BF18" t="s">
        <v>381</v>
      </c>
      <c r="BG18" s="119">
        <v>0</v>
      </c>
      <c r="BH18" s="119">
        <v>0</v>
      </c>
      <c r="BI18" s="119">
        <v>0</v>
      </c>
      <c r="BJ18" s="119">
        <v>0</v>
      </c>
      <c r="BK18" s="119">
        <v>0</v>
      </c>
      <c r="BL18" s="119">
        <v>0</v>
      </c>
      <c r="BM18" s="119">
        <v>0</v>
      </c>
      <c r="BN18" s="119">
        <v>0</v>
      </c>
      <c r="BO18" s="119">
        <v>0</v>
      </c>
      <c r="BP18" s="119">
        <v>0</v>
      </c>
      <c r="BQ18" s="119">
        <v>0</v>
      </c>
      <c r="BR18" s="119">
        <v>0</v>
      </c>
      <c r="BS18" t="s">
        <v>382</v>
      </c>
      <c r="BT18" s="119">
        <v>0</v>
      </c>
      <c r="BU18" s="119">
        <v>0</v>
      </c>
      <c r="BV18" s="119">
        <v>0</v>
      </c>
      <c r="BW18" s="119">
        <v>0</v>
      </c>
      <c r="BX18" s="119">
        <v>0</v>
      </c>
      <c r="BY18" s="119">
        <v>0</v>
      </c>
      <c r="BZ18" s="119">
        <v>0</v>
      </c>
      <c r="CA18" s="119">
        <v>0</v>
      </c>
      <c r="CB18" s="119">
        <v>0</v>
      </c>
      <c r="CC18" s="119">
        <v>0</v>
      </c>
      <c r="CD18" s="119">
        <v>0</v>
      </c>
      <c r="CE18" s="119">
        <v>0</v>
      </c>
      <c r="CF18" t="s">
        <v>383</v>
      </c>
      <c r="CG18" s="119">
        <v>0</v>
      </c>
      <c r="CH18" s="119">
        <v>0</v>
      </c>
      <c r="CI18" s="119">
        <v>0</v>
      </c>
      <c r="CJ18" s="119">
        <v>0</v>
      </c>
      <c r="CK18" s="119">
        <v>0</v>
      </c>
      <c r="CL18" s="119">
        <v>0</v>
      </c>
      <c r="CM18" s="119">
        <v>0</v>
      </c>
      <c r="CN18" s="119">
        <v>0</v>
      </c>
      <c r="CO18" s="119">
        <v>0</v>
      </c>
      <c r="CP18" s="119">
        <v>0</v>
      </c>
      <c r="CQ18" s="119">
        <v>0</v>
      </c>
      <c r="CR18" s="119">
        <v>0</v>
      </c>
      <c r="CS18" t="s">
        <v>384</v>
      </c>
      <c r="CT18" s="119">
        <v>0</v>
      </c>
      <c r="CU18" s="119">
        <v>0</v>
      </c>
      <c r="CV18" s="119">
        <v>0</v>
      </c>
      <c r="CW18" s="119">
        <v>0</v>
      </c>
      <c r="CX18" s="119">
        <v>0</v>
      </c>
      <c r="CY18" s="119">
        <v>0</v>
      </c>
      <c r="CZ18" s="119">
        <v>0</v>
      </c>
      <c r="DA18" s="119">
        <v>0</v>
      </c>
      <c r="DB18" s="119">
        <v>0</v>
      </c>
      <c r="DC18" s="119">
        <v>0</v>
      </c>
      <c r="DD18" s="119">
        <v>0</v>
      </c>
      <c r="DE18" s="119">
        <v>0</v>
      </c>
      <c r="DF18" t="s">
        <v>385</v>
      </c>
      <c r="DG18" s="119">
        <v>0</v>
      </c>
      <c r="DH18" s="119">
        <v>0</v>
      </c>
      <c r="DI18" s="119">
        <v>0</v>
      </c>
      <c r="DJ18" s="119">
        <v>0</v>
      </c>
      <c r="DK18" s="119">
        <v>0</v>
      </c>
      <c r="DL18" s="119">
        <v>0</v>
      </c>
      <c r="DM18" s="119">
        <v>0</v>
      </c>
      <c r="DN18" s="119">
        <v>0</v>
      </c>
      <c r="DO18" s="119">
        <v>0</v>
      </c>
      <c r="DP18" s="119">
        <v>0</v>
      </c>
      <c r="DQ18" s="119">
        <v>0</v>
      </c>
      <c r="DR18" s="119">
        <v>0</v>
      </c>
      <c r="DS18" t="s">
        <v>386</v>
      </c>
      <c r="DT18" s="119">
        <v>0</v>
      </c>
      <c r="DU18" s="119">
        <v>0</v>
      </c>
      <c r="DV18" s="119">
        <v>0</v>
      </c>
      <c r="DW18" s="119">
        <v>0</v>
      </c>
      <c r="DX18" s="119">
        <v>0</v>
      </c>
      <c r="DY18" s="119">
        <v>0</v>
      </c>
      <c r="DZ18" s="119">
        <v>0</v>
      </c>
      <c r="EA18" s="119">
        <v>0</v>
      </c>
      <c r="EB18" s="119">
        <v>0</v>
      </c>
      <c r="EC18" s="119">
        <v>0</v>
      </c>
      <c r="ED18" s="119">
        <v>0</v>
      </c>
      <c r="EE18" s="119">
        <v>0</v>
      </c>
      <c r="EF18" t="s">
        <v>387</v>
      </c>
      <c r="EG18" s="119">
        <v>0</v>
      </c>
      <c r="EH18" s="119">
        <v>0</v>
      </c>
      <c r="EI18" s="119">
        <v>0</v>
      </c>
      <c r="EJ18" s="119">
        <v>0</v>
      </c>
      <c r="EK18" s="119">
        <v>0</v>
      </c>
      <c r="EL18" s="119">
        <v>0</v>
      </c>
      <c r="EM18" s="119">
        <v>0</v>
      </c>
      <c r="EN18" s="119">
        <v>0</v>
      </c>
      <c r="EO18" s="119">
        <v>0</v>
      </c>
      <c r="EP18" s="119">
        <v>0</v>
      </c>
      <c r="EQ18" s="119">
        <v>0</v>
      </c>
      <c r="ER18" s="119">
        <v>0</v>
      </c>
      <c r="ES18" t="s">
        <v>388</v>
      </c>
      <c r="ET18" s="119">
        <v>0</v>
      </c>
      <c r="EU18" s="119">
        <v>0</v>
      </c>
      <c r="EV18" s="119">
        <v>0</v>
      </c>
      <c r="EW18" s="119">
        <v>0</v>
      </c>
      <c r="EX18" s="119">
        <v>0</v>
      </c>
      <c r="EY18" s="119">
        <v>0</v>
      </c>
      <c r="EZ18" s="119">
        <v>0</v>
      </c>
      <c r="FA18" s="119">
        <v>0</v>
      </c>
      <c r="FB18" s="119">
        <v>0</v>
      </c>
      <c r="FC18" s="119">
        <v>0</v>
      </c>
      <c r="FD18" s="119">
        <v>0</v>
      </c>
      <c r="FE18" s="119">
        <v>0</v>
      </c>
      <c r="FF18" t="s">
        <v>389</v>
      </c>
      <c r="FG18" s="119">
        <v>0</v>
      </c>
      <c r="FH18" s="119">
        <v>0</v>
      </c>
      <c r="FI18" s="119">
        <v>0</v>
      </c>
      <c r="FJ18" s="119">
        <v>0</v>
      </c>
      <c r="FK18" s="119">
        <v>0</v>
      </c>
      <c r="FL18" s="119">
        <v>0</v>
      </c>
      <c r="FM18" s="119">
        <v>0</v>
      </c>
      <c r="FN18" s="119">
        <v>0</v>
      </c>
      <c r="FO18" s="119">
        <v>0</v>
      </c>
      <c r="FP18" s="119">
        <v>0</v>
      </c>
      <c r="FQ18" s="119">
        <v>0</v>
      </c>
      <c r="FR18" s="119">
        <v>0</v>
      </c>
      <c r="FS18" t="s">
        <v>390</v>
      </c>
      <c r="FT18" s="119">
        <v>0</v>
      </c>
      <c r="FU18" s="119">
        <v>0</v>
      </c>
      <c r="FV18" s="119">
        <v>0</v>
      </c>
      <c r="FW18" s="119">
        <v>0</v>
      </c>
      <c r="FX18" s="119">
        <v>0</v>
      </c>
      <c r="FY18" s="119">
        <v>0</v>
      </c>
      <c r="FZ18" s="119">
        <v>0</v>
      </c>
      <c r="GA18" s="119">
        <v>0</v>
      </c>
      <c r="GB18" s="119">
        <v>0</v>
      </c>
      <c r="GC18" s="119">
        <v>0</v>
      </c>
      <c r="GD18" s="119">
        <v>0</v>
      </c>
      <c r="GE18" s="119">
        <v>0</v>
      </c>
      <c r="GF18" t="s">
        <v>391</v>
      </c>
      <c r="GG18" s="119">
        <v>0</v>
      </c>
      <c r="GH18" s="119">
        <v>0</v>
      </c>
      <c r="GI18" s="119">
        <v>0</v>
      </c>
      <c r="GJ18" s="119">
        <v>0</v>
      </c>
      <c r="GK18" s="119">
        <v>0</v>
      </c>
      <c r="GL18" s="119">
        <v>0</v>
      </c>
      <c r="GM18" s="119">
        <v>0</v>
      </c>
      <c r="GN18" s="119">
        <v>0</v>
      </c>
      <c r="GO18" s="119">
        <v>0</v>
      </c>
      <c r="GP18" s="119">
        <v>0</v>
      </c>
      <c r="GQ18" s="119">
        <v>0</v>
      </c>
      <c r="GR18" s="119">
        <v>0</v>
      </c>
      <c r="GU18" s="119">
        <f t="shared" si="0"/>
        <v>500</v>
      </c>
      <c r="GV18" s="119">
        <f t="shared" si="0"/>
        <v>166.67</v>
      </c>
      <c r="GW18" s="119">
        <f t="shared" si="0"/>
        <v>666.67</v>
      </c>
      <c r="GX18" s="119">
        <f t="shared" si="0"/>
        <v>25</v>
      </c>
      <c r="GY18" s="119">
        <f t="shared" si="0"/>
        <v>120</v>
      </c>
      <c r="GZ18" s="119">
        <f t="shared" si="0"/>
        <v>50</v>
      </c>
      <c r="HA18" s="119">
        <f t="shared" si="0"/>
        <v>6000</v>
      </c>
      <c r="HB18" s="119">
        <f t="shared" si="0"/>
        <v>6166.67</v>
      </c>
      <c r="HC18" s="119">
        <f t="shared" si="0"/>
        <v>51.39</v>
      </c>
      <c r="HD18" s="119">
        <f t="shared" si="0"/>
        <v>6666.67</v>
      </c>
      <c r="HJ18"/>
      <c r="HK18" s="115"/>
      <c r="HR18" s="116"/>
      <c r="HT18" s="117"/>
      <c r="HY18"/>
      <c r="HZ18"/>
      <c r="IA18"/>
    </row>
    <row r="19" spans="1:235" x14ac:dyDescent="0.25">
      <c r="A19">
        <v>19</v>
      </c>
      <c r="B19" s="115">
        <v>43297</v>
      </c>
      <c r="C19" t="s">
        <v>424</v>
      </c>
      <c r="D19" t="s">
        <v>425</v>
      </c>
      <c r="E19" t="s">
        <v>430</v>
      </c>
      <c r="F19" t="s">
        <v>426</v>
      </c>
      <c r="G19" t="s">
        <v>427</v>
      </c>
      <c r="H19" t="s">
        <v>428</v>
      </c>
      <c r="I19" s="116">
        <v>21130</v>
      </c>
      <c r="J19" t="s">
        <v>429</v>
      </c>
      <c r="K19" s="117" t="s">
        <v>431</v>
      </c>
      <c r="L19">
        <v>567</v>
      </c>
      <c r="M19">
        <v>180015</v>
      </c>
      <c r="N19" t="s">
        <v>153</v>
      </c>
      <c r="P19">
        <v>3068</v>
      </c>
      <c r="Q19">
        <v>2556.67</v>
      </c>
      <c r="R19">
        <v>511.33</v>
      </c>
      <c r="S19" t="s">
        <v>378</v>
      </c>
      <c r="T19" s="118">
        <v>51</v>
      </c>
      <c r="U19" s="118">
        <v>5.67</v>
      </c>
      <c r="V19" s="118">
        <v>56.67</v>
      </c>
      <c r="W19" s="119">
        <v>10</v>
      </c>
      <c r="X19" s="119">
        <v>50</v>
      </c>
      <c r="Y19" s="119">
        <v>50</v>
      </c>
      <c r="Z19" s="119">
        <v>2500</v>
      </c>
      <c r="AA19" s="119">
        <v>2505.67</v>
      </c>
      <c r="AB19" s="119">
        <v>50.11</v>
      </c>
      <c r="AC19" s="119">
        <v>2556.67</v>
      </c>
      <c r="AD19" s="119">
        <v>20</v>
      </c>
      <c r="AE19" s="119">
        <v>511.33</v>
      </c>
      <c r="AF19" t="s">
        <v>379</v>
      </c>
      <c r="AG19" s="119">
        <v>0</v>
      </c>
      <c r="AH19" s="119">
        <v>0</v>
      </c>
      <c r="AI19" s="119">
        <v>0</v>
      </c>
      <c r="AJ19" s="119">
        <v>0</v>
      </c>
      <c r="AK19" s="119">
        <v>0</v>
      </c>
      <c r="AL19" s="119">
        <v>0</v>
      </c>
      <c r="AM19" s="119">
        <v>0</v>
      </c>
      <c r="AN19" s="119">
        <v>0</v>
      </c>
      <c r="AO19" s="119">
        <v>0</v>
      </c>
      <c r="AP19" s="119">
        <v>0</v>
      </c>
      <c r="AQ19" s="119">
        <v>20</v>
      </c>
      <c r="AR19" s="119">
        <v>0</v>
      </c>
      <c r="AS19" t="s">
        <v>380</v>
      </c>
      <c r="AT19" s="119">
        <v>0</v>
      </c>
      <c r="AU19" s="119">
        <v>0</v>
      </c>
      <c r="AV19" s="119">
        <v>0</v>
      </c>
      <c r="AW19" s="119">
        <v>0</v>
      </c>
      <c r="AX19" s="119">
        <v>0</v>
      </c>
      <c r="AY19" s="119">
        <v>0</v>
      </c>
      <c r="AZ19" s="119">
        <v>0</v>
      </c>
      <c r="BA19" s="119">
        <v>0</v>
      </c>
      <c r="BB19" s="119">
        <v>0</v>
      </c>
      <c r="BC19" s="119">
        <v>0</v>
      </c>
      <c r="BD19" s="119">
        <v>20</v>
      </c>
      <c r="BE19" s="119">
        <v>0</v>
      </c>
      <c r="BF19" t="s">
        <v>381</v>
      </c>
      <c r="BG19" s="119">
        <v>0</v>
      </c>
      <c r="BH19" s="119">
        <v>0</v>
      </c>
      <c r="BI19" s="119">
        <v>0</v>
      </c>
      <c r="BJ19" s="119">
        <v>0</v>
      </c>
      <c r="BK19" s="119">
        <v>0</v>
      </c>
      <c r="BL19" s="119">
        <v>0</v>
      </c>
      <c r="BM19" s="119">
        <v>0</v>
      </c>
      <c r="BN19" s="119">
        <v>0</v>
      </c>
      <c r="BO19" s="119">
        <v>0</v>
      </c>
      <c r="BP19" s="119">
        <v>0</v>
      </c>
      <c r="BQ19" s="119">
        <v>20</v>
      </c>
      <c r="BR19" s="119">
        <v>0</v>
      </c>
      <c r="BS19" t="s">
        <v>382</v>
      </c>
      <c r="BT19" s="119">
        <v>0</v>
      </c>
      <c r="BU19" s="119">
        <v>0</v>
      </c>
      <c r="BV19" s="119">
        <v>0</v>
      </c>
      <c r="BW19" s="119">
        <v>0</v>
      </c>
      <c r="BX19" s="119">
        <v>0</v>
      </c>
      <c r="BY19" s="119">
        <v>0</v>
      </c>
      <c r="BZ19" s="119">
        <v>0</v>
      </c>
      <c r="CA19" s="119">
        <v>0</v>
      </c>
      <c r="CB19" s="119">
        <v>0</v>
      </c>
      <c r="CC19" s="119">
        <v>0</v>
      </c>
      <c r="CD19" s="119">
        <v>20</v>
      </c>
      <c r="CE19" s="119">
        <v>0</v>
      </c>
      <c r="CF19" t="s">
        <v>383</v>
      </c>
      <c r="CG19" s="119">
        <v>0</v>
      </c>
      <c r="CH19" s="119">
        <v>0</v>
      </c>
      <c r="CI19" s="119">
        <v>0</v>
      </c>
      <c r="CJ19" s="119">
        <v>0</v>
      </c>
      <c r="CK19" s="119">
        <v>0</v>
      </c>
      <c r="CL19" s="119">
        <v>0</v>
      </c>
      <c r="CM19" s="119">
        <v>0</v>
      </c>
      <c r="CN19" s="119">
        <v>0</v>
      </c>
      <c r="CO19" s="119">
        <v>0</v>
      </c>
      <c r="CP19" s="119">
        <v>0</v>
      </c>
      <c r="CQ19" s="119">
        <v>20</v>
      </c>
      <c r="CR19" s="119">
        <v>0</v>
      </c>
      <c r="CS19" t="s">
        <v>384</v>
      </c>
      <c r="CT19" s="119">
        <v>0</v>
      </c>
      <c r="CU19" s="119">
        <v>0</v>
      </c>
      <c r="CV19" s="119">
        <v>0</v>
      </c>
      <c r="CW19" s="119">
        <v>0</v>
      </c>
      <c r="CX19" s="119">
        <v>0</v>
      </c>
      <c r="CY19" s="119">
        <v>0</v>
      </c>
      <c r="CZ19" s="119">
        <v>0</v>
      </c>
      <c r="DA19" s="119">
        <v>0</v>
      </c>
      <c r="DB19" s="119">
        <v>0</v>
      </c>
      <c r="DC19" s="119">
        <v>0</v>
      </c>
      <c r="DD19" s="119">
        <v>20</v>
      </c>
      <c r="DE19" s="119">
        <v>0</v>
      </c>
      <c r="DF19" t="s">
        <v>385</v>
      </c>
      <c r="DG19" s="119">
        <v>0</v>
      </c>
      <c r="DH19" s="119">
        <v>0</v>
      </c>
      <c r="DI19" s="119">
        <v>0</v>
      </c>
      <c r="DJ19" s="119">
        <v>0</v>
      </c>
      <c r="DK19" s="119">
        <v>0</v>
      </c>
      <c r="DL19" s="119">
        <v>0</v>
      </c>
      <c r="DM19" s="119">
        <v>0</v>
      </c>
      <c r="DN19" s="119">
        <v>0</v>
      </c>
      <c r="DO19" s="119">
        <v>0</v>
      </c>
      <c r="DP19" s="119">
        <v>0</v>
      </c>
      <c r="DQ19" s="119">
        <v>20</v>
      </c>
      <c r="DR19" s="119">
        <v>0</v>
      </c>
      <c r="DS19" t="s">
        <v>386</v>
      </c>
      <c r="DT19" s="119">
        <v>0</v>
      </c>
      <c r="DU19" s="119">
        <v>0</v>
      </c>
      <c r="DV19" s="119">
        <v>0</v>
      </c>
      <c r="DW19" s="119">
        <v>0</v>
      </c>
      <c r="DX19" s="119">
        <v>0</v>
      </c>
      <c r="DY19" s="119">
        <v>0</v>
      </c>
      <c r="DZ19" s="119">
        <v>0</v>
      </c>
      <c r="EA19" s="119">
        <v>0</v>
      </c>
      <c r="EB19" s="119">
        <v>0</v>
      </c>
      <c r="EC19" s="119">
        <v>0</v>
      </c>
      <c r="ED19" s="119">
        <v>20</v>
      </c>
      <c r="EE19" s="119">
        <v>0</v>
      </c>
      <c r="EF19" t="s">
        <v>387</v>
      </c>
      <c r="EG19" s="119">
        <v>0</v>
      </c>
      <c r="EH19" s="119">
        <v>0</v>
      </c>
      <c r="EI19" s="119">
        <v>0</v>
      </c>
      <c r="EJ19" s="119">
        <v>0</v>
      </c>
      <c r="EK19" s="119">
        <v>0</v>
      </c>
      <c r="EL19" s="119">
        <v>0</v>
      </c>
      <c r="EM19" s="119">
        <v>0</v>
      </c>
      <c r="EN19" s="119">
        <v>0</v>
      </c>
      <c r="EO19" s="119">
        <v>0</v>
      </c>
      <c r="EP19" s="119">
        <v>0</v>
      </c>
      <c r="EQ19" s="119">
        <v>20</v>
      </c>
      <c r="ER19" s="119">
        <v>0</v>
      </c>
      <c r="ES19" t="s">
        <v>388</v>
      </c>
      <c r="ET19" s="119">
        <v>0</v>
      </c>
      <c r="EU19" s="119">
        <v>0</v>
      </c>
      <c r="EV19" s="119">
        <v>0</v>
      </c>
      <c r="EW19" s="119">
        <v>0</v>
      </c>
      <c r="EX19" s="119">
        <v>0</v>
      </c>
      <c r="EY19" s="119">
        <v>0</v>
      </c>
      <c r="EZ19" s="119">
        <v>0</v>
      </c>
      <c r="FA19" s="119">
        <v>0</v>
      </c>
      <c r="FB19" s="119">
        <v>0</v>
      </c>
      <c r="FC19" s="119">
        <v>0</v>
      </c>
      <c r="FD19" s="119">
        <v>20</v>
      </c>
      <c r="FE19" s="119">
        <v>0</v>
      </c>
      <c r="FF19" t="s">
        <v>389</v>
      </c>
      <c r="FG19" s="119">
        <v>0</v>
      </c>
      <c r="FH19" s="119">
        <v>0</v>
      </c>
      <c r="FI19" s="119">
        <v>0</v>
      </c>
      <c r="FJ19" s="119">
        <v>0</v>
      </c>
      <c r="FK19" s="119">
        <v>0</v>
      </c>
      <c r="FL19" s="119">
        <v>0</v>
      </c>
      <c r="FM19" s="119">
        <v>0</v>
      </c>
      <c r="FN19" s="119">
        <v>0</v>
      </c>
      <c r="FO19" s="119">
        <v>0</v>
      </c>
      <c r="FP19" s="119">
        <v>0</v>
      </c>
      <c r="FQ19" s="119">
        <v>20</v>
      </c>
      <c r="FR19" s="119">
        <v>0</v>
      </c>
      <c r="FS19" t="s">
        <v>390</v>
      </c>
      <c r="FT19" s="119">
        <v>0</v>
      </c>
      <c r="FU19" s="119">
        <v>0</v>
      </c>
      <c r="FV19" s="119">
        <v>0</v>
      </c>
      <c r="FW19" s="119">
        <v>0</v>
      </c>
      <c r="FX19" s="119">
        <v>0</v>
      </c>
      <c r="FY19" s="119">
        <v>0</v>
      </c>
      <c r="FZ19" s="119">
        <v>0</v>
      </c>
      <c r="GA19" s="119">
        <v>0</v>
      </c>
      <c r="GB19" s="119">
        <v>0</v>
      </c>
      <c r="GC19" s="119">
        <v>0</v>
      </c>
      <c r="GD19" s="119">
        <v>20</v>
      </c>
      <c r="GE19" s="119">
        <v>0</v>
      </c>
      <c r="GF19" t="s">
        <v>391</v>
      </c>
      <c r="GG19" s="119">
        <v>0</v>
      </c>
      <c r="GH19" s="119">
        <v>0</v>
      </c>
      <c r="GI19" s="119">
        <v>0</v>
      </c>
      <c r="GJ19" s="119">
        <v>0</v>
      </c>
      <c r="GK19" s="119">
        <v>0</v>
      </c>
      <c r="GL19" s="119">
        <v>0</v>
      </c>
      <c r="GM19" s="119">
        <v>0</v>
      </c>
      <c r="GN19" s="119">
        <v>0</v>
      </c>
      <c r="GO19" s="119">
        <v>0</v>
      </c>
      <c r="GP19" s="119">
        <v>0</v>
      </c>
      <c r="GQ19" s="119">
        <v>20</v>
      </c>
      <c r="GR19" s="119">
        <v>0</v>
      </c>
      <c r="GU19" s="119">
        <f t="shared" si="0"/>
        <v>300</v>
      </c>
      <c r="GV19" s="119">
        <f t="shared" si="0"/>
        <v>100</v>
      </c>
      <c r="GW19" s="119">
        <f t="shared" si="0"/>
        <v>400</v>
      </c>
      <c r="GX19" s="119">
        <f t="shared" si="0"/>
        <v>25</v>
      </c>
      <c r="GY19" s="119">
        <f t="shared" si="0"/>
        <v>10</v>
      </c>
      <c r="GZ19" s="119">
        <f t="shared" si="0"/>
        <v>50</v>
      </c>
      <c r="HA19" s="119">
        <f t="shared" si="0"/>
        <v>500</v>
      </c>
      <c r="HB19" s="119">
        <f t="shared" si="0"/>
        <v>600</v>
      </c>
      <c r="HC19" s="119">
        <f t="shared" si="0"/>
        <v>60</v>
      </c>
      <c r="HD19" s="119">
        <f t="shared" si="0"/>
        <v>900</v>
      </c>
      <c r="HJ19"/>
      <c r="HK19" s="115"/>
      <c r="HR19" s="116"/>
      <c r="HT19" s="117"/>
      <c r="HY19"/>
      <c r="HZ19"/>
      <c r="IA19"/>
    </row>
    <row r="20" spans="1:235" x14ac:dyDescent="0.25">
      <c r="A20">
        <v>20</v>
      </c>
      <c r="B20" s="115">
        <v>43297</v>
      </c>
      <c r="C20" t="s">
        <v>424</v>
      </c>
      <c r="D20" t="s">
        <v>425</v>
      </c>
      <c r="E20" t="s">
        <v>430</v>
      </c>
      <c r="F20" t="s">
        <v>426</v>
      </c>
      <c r="G20" t="s">
        <v>427</v>
      </c>
      <c r="H20" t="s">
        <v>428</v>
      </c>
      <c r="I20" s="116">
        <v>21130</v>
      </c>
      <c r="J20" t="s">
        <v>429</v>
      </c>
      <c r="K20" s="117" t="s">
        <v>431</v>
      </c>
      <c r="L20">
        <v>65785</v>
      </c>
      <c r="M20">
        <v>85625</v>
      </c>
      <c r="N20" t="s">
        <v>154</v>
      </c>
      <c r="O20">
        <v>180054</v>
      </c>
      <c r="P20">
        <v>786.67</v>
      </c>
      <c r="Q20">
        <v>655.56</v>
      </c>
      <c r="R20">
        <v>131.11000000000001</v>
      </c>
      <c r="S20" t="s">
        <v>378</v>
      </c>
      <c r="T20" s="118">
        <v>500</v>
      </c>
      <c r="U20" s="118">
        <v>55.56</v>
      </c>
      <c r="V20" s="118">
        <v>555.55999999999995</v>
      </c>
      <c r="W20" s="119">
        <v>10</v>
      </c>
      <c r="X20" s="119">
        <v>10</v>
      </c>
      <c r="Y20" s="119">
        <v>10</v>
      </c>
      <c r="Z20" s="119">
        <v>100</v>
      </c>
      <c r="AA20" s="119">
        <v>155.56</v>
      </c>
      <c r="AB20" s="119">
        <v>15.56</v>
      </c>
      <c r="AC20" s="119">
        <v>655.56</v>
      </c>
      <c r="AD20" s="119">
        <v>20</v>
      </c>
      <c r="AE20" s="119">
        <v>131.11000000000001</v>
      </c>
      <c r="AF20" t="s">
        <v>379</v>
      </c>
      <c r="AG20" s="119">
        <v>0</v>
      </c>
      <c r="AH20" s="119">
        <v>0</v>
      </c>
      <c r="AI20" s="119">
        <v>0</v>
      </c>
      <c r="AJ20" s="119">
        <v>0</v>
      </c>
      <c r="AK20" s="119">
        <v>0</v>
      </c>
      <c r="AL20" s="119">
        <v>0</v>
      </c>
      <c r="AM20" s="119">
        <v>0</v>
      </c>
      <c r="AN20" s="119">
        <v>0</v>
      </c>
      <c r="AO20" s="119">
        <v>0</v>
      </c>
      <c r="AP20" s="119">
        <v>0</v>
      </c>
      <c r="AQ20" s="119">
        <v>20</v>
      </c>
      <c r="AR20" s="119">
        <v>0</v>
      </c>
      <c r="AS20" t="s">
        <v>380</v>
      </c>
      <c r="AT20" s="119">
        <v>0</v>
      </c>
      <c r="AU20" s="119">
        <v>0</v>
      </c>
      <c r="AV20" s="119">
        <v>0</v>
      </c>
      <c r="AW20" s="119">
        <v>0</v>
      </c>
      <c r="AX20" s="119">
        <v>0</v>
      </c>
      <c r="AY20" s="119">
        <v>0</v>
      </c>
      <c r="AZ20" s="119">
        <v>0</v>
      </c>
      <c r="BA20" s="119">
        <v>0</v>
      </c>
      <c r="BB20" s="119">
        <v>0</v>
      </c>
      <c r="BC20" s="119">
        <v>0</v>
      </c>
      <c r="BD20" s="119">
        <v>20</v>
      </c>
      <c r="BE20" s="119">
        <v>0</v>
      </c>
      <c r="BF20" t="s">
        <v>381</v>
      </c>
      <c r="BG20" s="119">
        <v>0</v>
      </c>
      <c r="BH20" s="119">
        <v>0</v>
      </c>
      <c r="BI20" s="119">
        <v>0</v>
      </c>
      <c r="BJ20" s="119">
        <v>0</v>
      </c>
      <c r="BK20" s="119">
        <v>0</v>
      </c>
      <c r="BL20" s="119">
        <v>0</v>
      </c>
      <c r="BM20" s="119">
        <v>0</v>
      </c>
      <c r="BN20" s="119">
        <v>0</v>
      </c>
      <c r="BO20" s="119">
        <v>0</v>
      </c>
      <c r="BP20" s="119">
        <v>0</v>
      </c>
      <c r="BQ20" s="119">
        <v>20</v>
      </c>
      <c r="BR20" s="119">
        <v>0</v>
      </c>
      <c r="BS20" t="s">
        <v>382</v>
      </c>
      <c r="BT20" s="119">
        <v>0</v>
      </c>
      <c r="BU20" s="119">
        <v>0</v>
      </c>
      <c r="BV20" s="119">
        <v>0</v>
      </c>
      <c r="BW20" s="119">
        <v>0</v>
      </c>
      <c r="BX20" s="119">
        <v>0</v>
      </c>
      <c r="BY20" s="119">
        <v>0</v>
      </c>
      <c r="BZ20" s="119">
        <v>0</v>
      </c>
      <c r="CA20" s="119">
        <v>0</v>
      </c>
      <c r="CB20" s="119">
        <v>0</v>
      </c>
      <c r="CC20" s="119">
        <v>0</v>
      </c>
      <c r="CD20" s="119">
        <v>20</v>
      </c>
      <c r="CE20" s="119">
        <v>0</v>
      </c>
      <c r="CF20" t="s">
        <v>383</v>
      </c>
      <c r="CG20" s="119">
        <v>0</v>
      </c>
      <c r="CH20" s="119">
        <v>0</v>
      </c>
      <c r="CI20" s="119">
        <v>0</v>
      </c>
      <c r="CJ20" s="119">
        <v>0</v>
      </c>
      <c r="CK20" s="119">
        <v>0</v>
      </c>
      <c r="CL20" s="119">
        <v>0</v>
      </c>
      <c r="CM20" s="119">
        <v>0</v>
      </c>
      <c r="CN20" s="119">
        <v>0</v>
      </c>
      <c r="CO20" s="119">
        <v>0</v>
      </c>
      <c r="CP20" s="119">
        <v>0</v>
      </c>
      <c r="CQ20" s="119">
        <v>20</v>
      </c>
      <c r="CR20" s="119">
        <v>0</v>
      </c>
      <c r="CS20" t="s">
        <v>384</v>
      </c>
      <c r="CT20" s="119">
        <v>0</v>
      </c>
      <c r="CU20" s="119">
        <v>0</v>
      </c>
      <c r="CV20" s="119">
        <v>0</v>
      </c>
      <c r="CW20" s="119">
        <v>0</v>
      </c>
      <c r="CX20" s="119">
        <v>0</v>
      </c>
      <c r="CY20" s="119">
        <v>0</v>
      </c>
      <c r="CZ20" s="119">
        <v>0</v>
      </c>
      <c r="DA20" s="119">
        <v>0</v>
      </c>
      <c r="DB20" s="119">
        <v>0</v>
      </c>
      <c r="DC20" s="119">
        <v>0</v>
      </c>
      <c r="DD20" s="119">
        <v>20</v>
      </c>
      <c r="DE20" s="119">
        <v>0</v>
      </c>
      <c r="DF20" t="s">
        <v>385</v>
      </c>
      <c r="DG20" s="119">
        <v>0</v>
      </c>
      <c r="DH20" s="119">
        <v>0</v>
      </c>
      <c r="DI20" s="119">
        <v>0</v>
      </c>
      <c r="DJ20" s="119">
        <v>0</v>
      </c>
      <c r="DK20" s="119">
        <v>0</v>
      </c>
      <c r="DL20" s="119">
        <v>0</v>
      </c>
      <c r="DM20" s="119">
        <v>0</v>
      </c>
      <c r="DN20" s="119">
        <v>0</v>
      </c>
      <c r="DO20" s="119">
        <v>0</v>
      </c>
      <c r="DP20" s="119">
        <v>0</v>
      </c>
      <c r="DQ20" s="119">
        <v>20</v>
      </c>
      <c r="DR20" s="119">
        <v>0</v>
      </c>
      <c r="DS20" t="s">
        <v>386</v>
      </c>
      <c r="DT20" s="119">
        <v>0</v>
      </c>
      <c r="DU20" s="119">
        <v>0</v>
      </c>
      <c r="DV20" s="119">
        <v>0</v>
      </c>
      <c r="DW20" s="119">
        <v>0</v>
      </c>
      <c r="DX20" s="119">
        <v>0</v>
      </c>
      <c r="DY20" s="119">
        <v>0</v>
      </c>
      <c r="DZ20" s="119">
        <v>0</v>
      </c>
      <c r="EA20" s="119">
        <v>0</v>
      </c>
      <c r="EB20" s="119">
        <v>0</v>
      </c>
      <c r="EC20" s="119">
        <v>0</v>
      </c>
      <c r="ED20" s="119">
        <v>20</v>
      </c>
      <c r="EE20" s="119">
        <v>0</v>
      </c>
      <c r="EF20" t="s">
        <v>387</v>
      </c>
      <c r="EG20" s="119">
        <v>0</v>
      </c>
      <c r="EH20" s="119">
        <v>0</v>
      </c>
      <c r="EI20" s="119">
        <v>0</v>
      </c>
      <c r="EJ20" s="119">
        <v>0</v>
      </c>
      <c r="EK20" s="119">
        <v>0</v>
      </c>
      <c r="EL20" s="119">
        <v>0</v>
      </c>
      <c r="EM20" s="119">
        <v>0</v>
      </c>
      <c r="EN20" s="119">
        <v>0</v>
      </c>
      <c r="EO20" s="119">
        <v>0</v>
      </c>
      <c r="EP20" s="119">
        <v>0</v>
      </c>
      <c r="EQ20" s="119">
        <v>20</v>
      </c>
      <c r="ER20" s="119">
        <v>0</v>
      </c>
      <c r="ES20" t="s">
        <v>388</v>
      </c>
      <c r="ET20" s="119">
        <v>0</v>
      </c>
      <c r="EU20" s="119">
        <v>0</v>
      </c>
      <c r="EV20" s="119">
        <v>0</v>
      </c>
      <c r="EW20" s="119">
        <v>0</v>
      </c>
      <c r="EX20" s="119">
        <v>0</v>
      </c>
      <c r="EY20" s="119">
        <v>0</v>
      </c>
      <c r="EZ20" s="119">
        <v>0</v>
      </c>
      <c r="FA20" s="119">
        <v>0</v>
      </c>
      <c r="FB20" s="119">
        <v>0</v>
      </c>
      <c r="FC20" s="119">
        <v>0</v>
      </c>
      <c r="FD20" s="119">
        <v>20</v>
      </c>
      <c r="FE20" s="119">
        <v>0</v>
      </c>
      <c r="FF20" t="s">
        <v>389</v>
      </c>
      <c r="FG20" s="119">
        <v>0</v>
      </c>
      <c r="FH20" s="119">
        <v>0</v>
      </c>
      <c r="FI20" s="119">
        <v>0</v>
      </c>
      <c r="FJ20" s="119">
        <v>0</v>
      </c>
      <c r="FK20" s="119">
        <v>0</v>
      </c>
      <c r="FL20" s="119">
        <v>0</v>
      </c>
      <c r="FM20" s="119">
        <v>0</v>
      </c>
      <c r="FN20" s="119">
        <v>0</v>
      </c>
      <c r="FO20" s="119">
        <v>0</v>
      </c>
      <c r="FP20" s="119">
        <v>0</v>
      </c>
      <c r="FQ20" s="119">
        <v>20</v>
      </c>
      <c r="FR20" s="119">
        <v>0</v>
      </c>
      <c r="FS20" t="s">
        <v>390</v>
      </c>
      <c r="FT20" s="119">
        <v>0</v>
      </c>
      <c r="FU20" s="119">
        <v>0</v>
      </c>
      <c r="FV20" s="119">
        <v>0</v>
      </c>
      <c r="FW20" s="119">
        <v>0</v>
      </c>
      <c r="FX20" s="119">
        <v>0</v>
      </c>
      <c r="FY20" s="119">
        <v>0</v>
      </c>
      <c r="FZ20" s="119">
        <v>0</v>
      </c>
      <c r="GA20" s="119">
        <v>0</v>
      </c>
      <c r="GB20" s="119">
        <v>0</v>
      </c>
      <c r="GC20" s="119">
        <v>0</v>
      </c>
      <c r="GD20" s="119">
        <v>20</v>
      </c>
      <c r="GE20" s="119">
        <v>0</v>
      </c>
      <c r="GF20" t="s">
        <v>391</v>
      </c>
      <c r="GG20" s="119">
        <v>0</v>
      </c>
      <c r="GH20" s="119">
        <v>0</v>
      </c>
      <c r="GI20" s="119">
        <v>0</v>
      </c>
      <c r="GJ20" s="119">
        <v>0</v>
      </c>
      <c r="GK20" s="119">
        <v>0</v>
      </c>
      <c r="GL20" s="119">
        <v>0</v>
      </c>
      <c r="GM20" s="119">
        <v>0</v>
      </c>
      <c r="GN20" s="119">
        <v>0</v>
      </c>
      <c r="GO20" s="119">
        <v>0</v>
      </c>
      <c r="GP20" s="119">
        <v>0</v>
      </c>
      <c r="GQ20" s="119">
        <v>20</v>
      </c>
      <c r="GR20" s="119">
        <v>0</v>
      </c>
      <c r="GU20" s="119">
        <f t="shared" si="0"/>
        <v>250</v>
      </c>
      <c r="GV20" s="119">
        <f t="shared" si="0"/>
        <v>83.33</v>
      </c>
      <c r="GW20" s="119">
        <f t="shared" si="0"/>
        <v>333.33</v>
      </c>
      <c r="GX20" s="119">
        <f t="shared" si="0"/>
        <v>25</v>
      </c>
      <c r="GY20" s="119">
        <f t="shared" si="0"/>
        <v>12.5</v>
      </c>
      <c r="GZ20" s="119">
        <f t="shared" si="0"/>
        <v>45.53</v>
      </c>
      <c r="HA20" s="119">
        <f t="shared" si="0"/>
        <v>569.13</v>
      </c>
      <c r="HB20" s="119">
        <f t="shared" si="0"/>
        <v>652.46</v>
      </c>
      <c r="HC20" s="119">
        <f t="shared" si="0"/>
        <v>52.2</v>
      </c>
      <c r="HD20" s="119">
        <f t="shared" si="0"/>
        <v>902.46</v>
      </c>
      <c r="HJ20"/>
      <c r="HK20" s="115"/>
      <c r="HR20" s="116"/>
      <c r="HT20" s="117"/>
      <c r="HY20"/>
      <c r="HZ20"/>
      <c r="IA20"/>
    </row>
    <row r="21" spans="1:235" x14ac:dyDescent="0.25">
      <c r="A21">
        <v>21</v>
      </c>
      <c r="B21" s="115">
        <v>43297</v>
      </c>
      <c r="C21" t="s">
        <v>424</v>
      </c>
      <c r="D21" t="s">
        <v>425</v>
      </c>
      <c r="E21" t="s">
        <v>430</v>
      </c>
      <c r="F21" t="s">
        <v>426</v>
      </c>
      <c r="G21" t="s">
        <v>427</v>
      </c>
      <c r="H21" t="s">
        <v>428</v>
      </c>
      <c r="I21" s="116">
        <v>21130</v>
      </c>
      <c r="J21" t="s">
        <v>429</v>
      </c>
      <c r="K21" s="117" t="s">
        <v>431</v>
      </c>
      <c r="L21">
        <v>8546</v>
      </c>
      <c r="M21">
        <v>56856</v>
      </c>
      <c r="N21" t="s">
        <v>156</v>
      </c>
      <c r="O21">
        <v>180054</v>
      </c>
      <c r="P21">
        <v>3453.33</v>
      </c>
      <c r="Q21">
        <v>2877.78</v>
      </c>
      <c r="R21">
        <v>575.55999999999995</v>
      </c>
      <c r="S21" t="s">
        <v>378</v>
      </c>
      <c r="T21" s="118">
        <v>2500</v>
      </c>
      <c r="U21" s="118">
        <v>277.77999999999997</v>
      </c>
      <c r="V21" s="118">
        <v>2777.78</v>
      </c>
      <c r="W21" s="119">
        <v>10</v>
      </c>
      <c r="X21" s="119">
        <v>10</v>
      </c>
      <c r="Y21" s="119">
        <v>10</v>
      </c>
      <c r="Z21" s="119">
        <v>100</v>
      </c>
      <c r="AA21" s="119">
        <v>377.78</v>
      </c>
      <c r="AB21" s="119">
        <v>37.78</v>
      </c>
      <c r="AC21" s="119">
        <v>2877.78</v>
      </c>
      <c r="AD21" s="119">
        <v>20</v>
      </c>
      <c r="AE21" s="119">
        <v>575.55999999999995</v>
      </c>
      <c r="AF21" t="s">
        <v>379</v>
      </c>
      <c r="AG21" s="119">
        <v>0</v>
      </c>
      <c r="AH21" s="119">
        <v>0</v>
      </c>
      <c r="AI21" s="119">
        <v>0</v>
      </c>
      <c r="AJ21" s="119">
        <v>0</v>
      </c>
      <c r="AK21" s="119">
        <v>0</v>
      </c>
      <c r="AL21" s="119">
        <v>0</v>
      </c>
      <c r="AM21" s="119">
        <v>0</v>
      </c>
      <c r="AN21" s="119">
        <v>0</v>
      </c>
      <c r="AO21" s="119">
        <v>0</v>
      </c>
      <c r="AP21" s="119">
        <v>0</v>
      </c>
      <c r="AQ21" s="119">
        <v>20</v>
      </c>
      <c r="AR21" s="119">
        <v>0</v>
      </c>
      <c r="AS21" t="s">
        <v>380</v>
      </c>
      <c r="AT21" s="119">
        <v>0</v>
      </c>
      <c r="AU21" s="119">
        <v>0</v>
      </c>
      <c r="AV21" s="119">
        <v>0</v>
      </c>
      <c r="AW21" s="119">
        <v>0</v>
      </c>
      <c r="AX21" s="119">
        <v>0</v>
      </c>
      <c r="AY21" s="119">
        <v>0</v>
      </c>
      <c r="AZ21" s="119">
        <v>0</v>
      </c>
      <c r="BA21" s="119">
        <v>0</v>
      </c>
      <c r="BB21" s="119">
        <v>0</v>
      </c>
      <c r="BC21" s="119">
        <v>0</v>
      </c>
      <c r="BD21" s="119">
        <v>20</v>
      </c>
      <c r="BE21" s="119">
        <v>0</v>
      </c>
      <c r="BF21" t="s">
        <v>381</v>
      </c>
      <c r="BG21" s="119">
        <v>0</v>
      </c>
      <c r="BH21" s="119">
        <v>0</v>
      </c>
      <c r="BI21" s="119">
        <v>0</v>
      </c>
      <c r="BJ21" s="119">
        <v>0</v>
      </c>
      <c r="BK21" s="119">
        <v>0</v>
      </c>
      <c r="BL21" s="119">
        <v>0</v>
      </c>
      <c r="BM21" s="119">
        <v>0</v>
      </c>
      <c r="BN21" s="119">
        <v>0</v>
      </c>
      <c r="BO21" s="119">
        <v>0</v>
      </c>
      <c r="BP21" s="119">
        <v>0</v>
      </c>
      <c r="BQ21" s="119">
        <v>20</v>
      </c>
      <c r="BR21" s="119">
        <v>0</v>
      </c>
      <c r="BS21" t="s">
        <v>382</v>
      </c>
      <c r="BT21" s="119">
        <v>0</v>
      </c>
      <c r="BU21" s="119">
        <v>0</v>
      </c>
      <c r="BV21" s="119">
        <v>0</v>
      </c>
      <c r="BW21" s="119">
        <v>0</v>
      </c>
      <c r="BX21" s="119">
        <v>0</v>
      </c>
      <c r="BY21" s="119">
        <v>0</v>
      </c>
      <c r="BZ21" s="119">
        <v>0</v>
      </c>
      <c r="CA21" s="119">
        <v>0</v>
      </c>
      <c r="CB21" s="119">
        <v>0</v>
      </c>
      <c r="CC21" s="119">
        <v>0</v>
      </c>
      <c r="CD21" s="119">
        <v>20</v>
      </c>
      <c r="CE21" s="119">
        <v>0</v>
      </c>
      <c r="CF21" t="s">
        <v>383</v>
      </c>
      <c r="CG21" s="119">
        <v>0</v>
      </c>
      <c r="CH21" s="119">
        <v>0</v>
      </c>
      <c r="CI21" s="119">
        <v>0</v>
      </c>
      <c r="CJ21" s="119">
        <v>0</v>
      </c>
      <c r="CK21" s="119">
        <v>0</v>
      </c>
      <c r="CL21" s="119">
        <v>0</v>
      </c>
      <c r="CM21" s="119">
        <v>0</v>
      </c>
      <c r="CN21" s="119">
        <v>0</v>
      </c>
      <c r="CO21" s="119">
        <v>0</v>
      </c>
      <c r="CP21" s="119">
        <v>0</v>
      </c>
      <c r="CQ21" s="119">
        <v>20</v>
      </c>
      <c r="CR21" s="119">
        <v>0</v>
      </c>
      <c r="CS21" t="s">
        <v>384</v>
      </c>
      <c r="CT21" s="119">
        <v>0</v>
      </c>
      <c r="CU21" s="119">
        <v>0</v>
      </c>
      <c r="CV21" s="119">
        <v>0</v>
      </c>
      <c r="CW21" s="119">
        <v>0</v>
      </c>
      <c r="CX21" s="119">
        <v>0</v>
      </c>
      <c r="CY21" s="119">
        <v>0</v>
      </c>
      <c r="CZ21" s="119">
        <v>0</v>
      </c>
      <c r="DA21" s="119">
        <v>0</v>
      </c>
      <c r="DB21" s="119">
        <v>0</v>
      </c>
      <c r="DC21" s="119">
        <v>0</v>
      </c>
      <c r="DD21" s="119">
        <v>20</v>
      </c>
      <c r="DE21" s="119">
        <v>0</v>
      </c>
      <c r="DF21" t="s">
        <v>385</v>
      </c>
      <c r="DG21" s="119">
        <v>0</v>
      </c>
      <c r="DH21" s="119">
        <v>0</v>
      </c>
      <c r="DI21" s="119">
        <v>0</v>
      </c>
      <c r="DJ21" s="119">
        <v>0</v>
      </c>
      <c r="DK21" s="119">
        <v>0</v>
      </c>
      <c r="DL21" s="119">
        <v>0</v>
      </c>
      <c r="DM21" s="119">
        <v>0</v>
      </c>
      <c r="DN21" s="119">
        <v>0</v>
      </c>
      <c r="DO21" s="119">
        <v>0</v>
      </c>
      <c r="DP21" s="119">
        <v>0</v>
      </c>
      <c r="DQ21" s="119">
        <v>20</v>
      </c>
      <c r="DR21" s="119">
        <v>0</v>
      </c>
      <c r="DS21" t="s">
        <v>386</v>
      </c>
      <c r="DT21" s="119">
        <v>0</v>
      </c>
      <c r="DU21" s="119">
        <v>0</v>
      </c>
      <c r="DV21" s="119">
        <v>0</v>
      </c>
      <c r="DW21" s="119">
        <v>0</v>
      </c>
      <c r="DX21" s="119">
        <v>0</v>
      </c>
      <c r="DY21" s="119">
        <v>0</v>
      </c>
      <c r="DZ21" s="119">
        <v>0</v>
      </c>
      <c r="EA21" s="119">
        <v>0</v>
      </c>
      <c r="EB21" s="119">
        <v>0</v>
      </c>
      <c r="EC21" s="119">
        <v>0</v>
      </c>
      <c r="ED21" s="119">
        <v>20</v>
      </c>
      <c r="EE21" s="119">
        <v>0</v>
      </c>
      <c r="EF21" t="s">
        <v>387</v>
      </c>
      <c r="EG21" s="119">
        <v>0</v>
      </c>
      <c r="EH21" s="119">
        <v>0</v>
      </c>
      <c r="EI21" s="119">
        <v>0</v>
      </c>
      <c r="EJ21" s="119">
        <v>0</v>
      </c>
      <c r="EK21" s="119">
        <v>0</v>
      </c>
      <c r="EL21" s="119">
        <v>0</v>
      </c>
      <c r="EM21" s="119">
        <v>0</v>
      </c>
      <c r="EN21" s="119">
        <v>0</v>
      </c>
      <c r="EO21" s="119">
        <v>0</v>
      </c>
      <c r="EP21" s="119">
        <v>0</v>
      </c>
      <c r="EQ21" s="119">
        <v>20</v>
      </c>
      <c r="ER21" s="119">
        <v>0</v>
      </c>
      <c r="ES21" t="s">
        <v>388</v>
      </c>
      <c r="ET21" s="119">
        <v>0</v>
      </c>
      <c r="EU21" s="119">
        <v>0</v>
      </c>
      <c r="EV21" s="119">
        <v>0</v>
      </c>
      <c r="EW21" s="119">
        <v>0</v>
      </c>
      <c r="EX21" s="119">
        <v>0</v>
      </c>
      <c r="EY21" s="119">
        <v>0</v>
      </c>
      <c r="EZ21" s="119">
        <v>0</v>
      </c>
      <c r="FA21" s="119">
        <v>0</v>
      </c>
      <c r="FB21" s="119">
        <v>0</v>
      </c>
      <c r="FC21" s="119">
        <v>0</v>
      </c>
      <c r="FD21" s="119">
        <v>20</v>
      </c>
      <c r="FE21" s="119">
        <v>0</v>
      </c>
      <c r="FF21" t="s">
        <v>389</v>
      </c>
      <c r="FG21" s="119">
        <v>0</v>
      </c>
      <c r="FH21" s="119">
        <v>0</v>
      </c>
      <c r="FI21" s="119">
        <v>0</v>
      </c>
      <c r="FJ21" s="119">
        <v>0</v>
      </c>
      <c r="FK21" s="119">
        <v>0</v>
      </c>
      <c r="FL21" s="119">
        <v>0</v>
      </c>
      <c r="FM21" s="119">
        <v>0</v>
      </c>
      <c r="FN21" s="119">
        <v>0</v>
      </c>
      <c r="FO21" s="119">
        <v>0</v>
      </c>
      <c r="FP21" s="119">
        <v>0</v>
      </c>
      <c r="FQ21" s="119">
        <v>20</v>
      </c>
      <c r="FR21" s="119">
        <v>0</v>
      </c>
      <c r="FS21" t="s">
        <v>390</v>
      </c>
      <c r="FT21" s="119">
        <v>0</v>
      </c>
      <c r="FU21" s="119">
        <v>0</v>
      </c>
      <c r="FV21" s="119">
        <v>0</v>
      </c>
      <c r="FW21" s="119">
        <v>0</v>
      </c>
      <c r="FX21" s="119">
        <v>0</v>
      </c>
      <c r="FY21" s="119">
        <v>0</v>
      </c>
      <c r="FZ21" s="119">
        <v>0</v>
      </c>
      <c r="GA21" s="119">
        <v>0</v>
      </c>
      <c r="GB21" s="119">
        <v>0</v>
      </c>
      <c r="GC21" s="119">
        <v>0</v>
      </c>
      <c r="GD21" s="119">
        <v>20</v>
      </c>
      <c r="GE21" s="119">
        <v>0</v>
      </c>
      <c r="GF21" t="s">
        <v>391</v>
      </c>
      <c r="GG21" s="119">
        <v>0</v>
      </c>
      <c r="GH21" s="119">
        <v>0</v>
      </c>
      <c r="GI21" s="119">
        <v>0</v>
      </c>
      <c r="GJ21" s="119">
        <v>0</v>
      </c>
      <c r="GK21" s="119">
        <v>0</v>
      </c>
      <c r="GL21" s="119">
        <v>0</v>
      </c>
      <c r="GM21" s="119">
        <v>0</v>
      </c>
      <c r="GN21" s="119">
        <v>0</v>
      </c>
      <c r="GO21" s="119">
        <v>0</v>
      </c>
      <c r="GP21" s="119">
        <v>0</v>
      </c>
      <c r="GQ21" s="119">
        <v>20</v>
      </c>
      <c r="GR21" s="119">
        <v>0</v>
      </c>
      <c r="GU21" s="119">
        <f t="shared" si="0"/>
        <v>11</v>
      </c>
      <c r="GV21" s="119">
        <f t="shared" si="0"/>
        <v>1.36</v>
      </c>
      <c r="GW21" s="119">
        <f t="shared" si="0"/>
        <v>12.36</v>
      </c>
      <c r="GX21" s="119">
        <f t="shared" si="0"/>
        <v>11</v>
      </c>
      <c r="GY21" s="119">
        <f t="shared" si="0"/>
        <v>11</v>
      </c>
      <c r="GZ21" s="119">
        <f t="shared" si="0"/>
        <v>11</v>
      </c>
      <c r="HA21" s="119">
        <f t="shared" si="0"/>
        <v>121</v>
      </c>
      <c r="HB21" s="119">
        <f t="shared" si="0"/>
        <v>122.36</v>
      </c>
      <c r="HC21" s="119">
        <f t="shared" si="0"/>
        <v>11.12</v>
      </c>
      <c r="HD21" s="119">
        <f t="shared" si="0"/>
        <v>133.36000000000001</v>
      </c>
      <c r="HJ21"/>
      <c r="HK21" s="115"/>
      <c r="HR21" s="116"/>
      <c r="HT21" s="117"/>
      <c r="HY21"/>
      <c r="HZ21"/>
      <c r="IA21"/>
    </row>
    <row r="22" spans="1:235" x14ac:dyDescent="0.25">
      <c r="A22">
        <v>22</v>
      </c>
      <c r="B22" s="115">
        <v>43297</v>
      </c>
      <c r="C22" t="s">
        <v>424</v>
      </c>
      <c r="D22" t="s">
        <v>425</v>
      </c>
      <c r="E22" t="s">
        <v>430</v>
      </c>
      <c r="F22" t="s">
        <v>426</v>
      </c>
      <c r="G22" t="s">
        <v>427</v>
      </c>
      <c r="H22" t="s">
        <v>428</v>
      </c>
      <c r="I22" s="116">
        <v>21130</v>
      </c>
      <c r="J22" t="s">
        <v>429</v>
      </c>
      <c r="K22" s="117" t="s">
        <v>431</v>
      </c>
      <c r="N22" t="s">
        <v>423</v>
      </c>
      <c r="P22">
        <v>786.67</v>
      </c>
      <c r="Q22">
        <v>655.56</v>
      </c>
      <c r="R22">
        <v>131.11000000000001</v>
      </c>
      <c r="S22" t="s">
        <v>378</v>
      </c>
      <c r="T22" s="118">
        <v>500</v>
      </c>
      <c r="U22" s="118">
        <v>55.56</v>
      </c>
      <c r="V22" s="118">
        <v>555.55999999999995</v>
      </c>
      <c r="W22" s="119">
        <v>10</v>
      </c>
      <c r="X22" s="119">
        <v>10</v>
      </c>
      <c r="Y22" s="119">
        <v>10</v>
      </c>
      <c r="Z22" s="119">
        <v>100</v>
      </c>
      <c r="AA22" s="119">
        <v>155.56</v>
      </c>
      <c r="AB22" s="119">
        <v>15.56</v>
      </c>
      <c r="AC22" s="119">
        <v>655.56</v>
      </c>
      <c r="AD22" s="119">
        <v>20</v>
      </c>
      <c r="AE22" s="119">
        <v>131.11000000000001</v>
      </c>
      <c r="AF22" t="s">
        <v>379</v>
      </c>
      <c r="AG22" s="119">
        <v>0</v>
      </c>
      <c r="AH22" s="119">
        <v>0</v>
      </c>
      <c r="AI22" s="119">
        <v>0</v>
      </c>
      <c r="AJ22" s="119">
        <v>0</v>
      </c>
      <c r="AK22" s="119">
        <v>0</v>
      </c>
      <c r="AL22" s="119">
        <v>0</v>
      </c>
      <c r="AM22" s="119">
        <v>0</v>
      </c>
      <c r="AN22" s="119">
        <v>0</v>
      </c>
      <c r="AO22" s="119">
        <v>0</v>
      </c>
      <c r="AP22" s="119">
        <v>0</v>
      </c>
      <c r="AQ22" s="119">
        <v>20</v>
      </c>
      <c r="AR22" s="119">
        <v>0</v>
      </c>
      <c r="AS22" t="s">
        <v>380</v>
      </c>
      <c r="AT22" s="119">
        <v>0</v>
      </c>
      <c r="AU22" s="119">
        <v>0</v>
      </c>
      <c r="AV22" s="119">
        <v>0</v>
      </c>
      <c r="AW22" s="119">
        <v>0</v>
      </c>
      <c r="AX22" s="119">
        <v>0</v>
      </c>
      <c r="AY22" s="119">
        <v>0</v>
      </c>
      <c r="AZ22" s="119">
        <v>0</v>
      </c>
      <c r="BA22" s="119">
        <v>0</v>
      </c>
      <c r="BB22" s="119">
        <v>0</v>
      </c>
      <c r="BC22" s="119">
        <v>0</v>
      </c>
      <c r="BD22" s="119">
        <v>20</v>
      </c>
      <c r="BE22" s="119">
        <v>0</v>
      </c>
      <c r="BF22" t="s">
        <v>381</v>
      </c>
      <c r="BG22" s="119">
        <v>0</v>
      </c>
      <c r="BH22" s="119">
        <v>0</v>
      </c>
      <c r="BI22" s="119">
        <v>0</v>
      </c>
      <c r="BJ22" s="119">
        <v>0</v>
      </c>
      <c r="BK22" s="119">
        <v>0</v>
      </c>
      <c r="BL22" s="119">
        <v>0</v>
      </c>
      <c r="BM22" s="119">
        <v>0</v>
      </c>
      <c r="BN22" s="119">
        <v>0</v>
      </c>
      <c r="BO22" s="119">
        <v>0</v>
      </c>
      <c r="BP22" s="119">
        <v>0</v>
      </c>
      <c r="BQ22" s="119">
        <v>20</v>
      </c>
      <c r="BR22" s="119">
        <v>0</v>
      </c>
      <c r="BS22" t="s">
        <v>382</v>
      </c>
      <c r="BT22" s="119">
        <v>0</v>
      </c>
      <c r="BU22" s="119">
        <v>0</v>
      </c>
      <c r="BV22" s="119">
        <v>0</v>
      </c>
      <c r="BW22" s="119">
        <v>0</v>
      </c>
      <c r="BX22" s="119">
        <v>0</v>
      </c>
      <c r="BY22" s="119">
        <v>0</v>
      </c>
      <c r="BZ22" s="119">
        <v>0</v>
      </c>
      <c r="CA22" s="119">
        <v>0</v>
      </c>
      <c r="CB22" s="119">
        <v>0</v>
      </c>
      <c r="CC22" s="119">
        <v>0</v>
      </c>
      <c r="CD22" s="119">
        <v>20</v>
      </c>
      <c r="CE22" s="119">
        <v>0</v>
      </c>
      <c r="CF22" t="s">
        <v>383</v>
      </c>
      <c r="CG22" s="119">
        <v>0</v>
      </c>
      <c r="CH22" s="119">
        <v>0</v>
      </c>
      <c r="CI22" s="119">
        <v>0</v>
      </c>
      <c r="CJ22" s="119">
        <v>0</v>
      </c>
      <c r="CK22" s="119">
        <v>0</v>
      </c>
      <c r="CL22" s="119">
        <v>0</v>
      </c>
      <c r="CM22" s="119">
        <v>0</v>
      </c>
      <c r="CN22" s="119">
        <v>0</v>
      </c>
      <c r="CO22" s="119">
        <v>0</v>
      </c>
      <c r="CP22" s="119">
        <v>0</v>
      </c>
      <c r="CQ22" s="119">
        <v>20</v>
      </c>
      <c r="CR22" s="119">
        <v>0</v>
      </c>
      <c r="CS22" t="s">
        <v>384</v>
      </c>
      <c r="CT22" s="119">
        <v>0</v>
      </c>
      <c r="CU22" s="119">
        <v>0</v>
      </c>
      <c r="CV22" s="119">
        <v>0</v>
      </c>
      <c r="CW22" s="119">
        <v>0</v>
      </c>
      <c r="CX22" s="119">
        <v>0</v>
      </c>
      <c r="CY22" s="119">
        <v>0</v>
      </c>
      <c r="CZ22" s="119">
        <v>0</v>
      </c>
      <c r="DA22" s="119">
        <v>0</v>
      </c>
      <c r="DB22" s="119">
        <v>0</v>
      </c>
      <c r="DC22" s="119">
        <v>0</v>
      </c>
      <c r="DD22" s="119">
        <v>20</v>
      </c>
      <c r="DE22" s="119">
        <v>0</v>
      </c>
      <c r="DF22" t="s">
        <v>385</v>
      </c>
      <c r="DG22" s="119">
        <v>0</v>
      </c>
      <c r="DH22" s="119">
        <v>0</v>
      </c>
      <c r="DI22" s="119">
        <v>0</v>
      </c>
      <c r="DJ22" s="119">
        <v>0</v>
      </c>
      <c r="DK22" s="119">
        <v>0</v>
      </c>
      <c r="DL22" s="119">
        <v>0</v>
      </c>
      <c r="DM22" s="119">
        <v>0</v>
      </c>
      <c r="DN22" s="119">
        <v>0</v>
      </c>
      <c r="DO22" s="119">
        <v>0</v>
      </c>
      <c r="DP22" s="119">
        <v>0</v>
      </c>
      <c r="DQ22" s="119">
        <v>20</v>
      </c>
      <c r="DR22" s="119">
        <v>0</v>
      </c>
      <c r="DS22" t="s">
        <v>386</v>
      </c>
      <c r="DT22" s="119">
        <v>0</v>
      </c>
      <c r="DU22" s="119">
        <v>0</v>
      </c>
      <c r="DV22" s="119">
        <v>0</v>
      </c>
      <c r="DW22" s="119">
        <v>0</v>
      </c>
      <c r="DX22" s="119">
        <v>0</v>
      </c>
      <c r="DY22" s="119">
        <v>0</v>
      </c>
      <c r="DZ22" s="119">
        <v>0</v>
      </c>
      <c r="EA22" s="119">
        <v>0</v>
      </c>
      <c r="EB22" s="119">
        <v>0</v>
      </c>
      <c r="EC22" s="119">
        <v>0</v>
      </c>
      <c r="ED22" s="119">
        <v>20</v>
      </c>
      <c r="EE22" s="119">
        <v>0</v>
      </c>
      <c r="EF22" t="s">
        <v>387</v>
      </c>
      <c r="EG22" s="119">
        <v>0</v>
      </c>
      <c r="EH22" s="119">
        <v>0</v>
      </c>
      <c r="EI22" s="119">
        <v>0</v>
      </c>
      <c r="EJ22" s="119">
        <v>0</v>
      </c>
      <c r="EK22" s="119">
        <v>0</v>
      </c>
      <c r="EL22" s="119">
        <v>0</v>
      </c>
      <c r="EM22" s="119">
        <v>0</v>
      </c>
      <c r="EN22" s="119">
        <v>0</v>
      </c>
      <c r="EO22" s="119">
        <v>0</v>
      </c>
      <c r="EP22" s="119">
        <v>0</v>
      </c>
      <c r="EQ22" s="119">
        <v>20</v>
      </c>
      <c r="ER22" s="119">
        <v>0</v>
      </c>
      <c r="ES22" t="s">
        <v>388</v>
      </c>
      <c r="ET22" s="119">
        <v>0</v>
      </c>
      <c r="EU22" s="119">
        <v>0</v>
      </c>
      <c r="EV22" s="119">
        <v>0</v>
      </c>
      <c r="EW22" s="119">
        <v>0</v>
      </c>
      <c r="EX22" s="119">
        <v>0</v>
      </c>
      <c r="EY22" s="119">
        <v>0</v>
      </c>
      <c r="EZ22" s="119">
        <v>0</v>
      </c>
      <c r="FA22" s="119">
        <v>0</v>
      </c>
      <c r="FB22" s="119">
        <v>0</v>
      </c>
      <c r="FC22" s="119">
        <v>0</v>
      </c>
      <c r="FD22" s="119">
        <v>20</v>
      </c>
      <c r="FE22" s="119">
        <v>0</v>
      </c>
      <c r="FF22" t="s">
        <v>389</v>
      </c>
      <c r="FG22" s="119">
        <v>0</v>
      </c>
      <c r="FH22" s="119">
        <v>0</v>
      </c>
      <c r="FI22" s="119">
        <v>0</v>
      </c>
      <c r="FJ22" s="119">
        <v>0</v>
      </c>
      <c r="FK22" s="119">
        <v>0</v>
      </c>
      <c r="FL22" s="119">
        <v>0</v>
      </c>
      <c r="FM22" s="119">
        <v>0</v>
      </c>
      <c r="FN22" s="119">
        <v>0</v>
      </c>
      <c r="FO22" s="119">
        <v>0</v>
      </c>
      <c r="FP22" s="119">
        <v>0</v>
      </c>
      <c r="FQ22" s="119">
        <v>20</v>
      </c>
      <c r="FR22" s="119">
        <v>0</v>
      </c>
      <c r="FS22" t="s">
        <v>390</v>
      </c>
      <c r="FT22" s="119">
        <v>0</v>
      </c>
      <c r="FU22" s="119">
        <v>0</v>
      </c>
      <c r="FV22" s="119">
        <v>0</v>
      </c>
      <c r="FW22" s="119">
        <v>0</v>
      </c>
      <c r="FX22" s="119">
        <v>0</v>
      </c>
      <c r="FY22" s="119">
        <v>0</v>
      </c>
      <c r="FZ22" s="119">
        <v>0</v>
      </c>
      <c r="GA22" s="119">
        <v>0</v>
      </c>
      <c r="GB22" s="119">
        <v>0</v>
      </c>
      <c r="GC22" s="119">
        <v>0</v>
      </c>
      <c r="GD22" s="119">
        <v>20</v>
      </c>
      <c r="GE22" s="119">
        <v>0</v>
      </c>
      <c r="GF22" t="s">
        <v>391</v>
      </c>
      <c r="GG22" s="119">
        <v>0</v>
      </c>
      <c r="GH22" s="119">
        <v>0</v>
      </c>
      <c r="GI22" s="119">
        <v>0</v>
      </c>
      <c r="GJ22" s="119">
        <v>0</v>
      </c>
      <c r="GK22" s="119">
        <v>0</v>
      </c>
      <c r="GL22" s="119">
        <v>0</v>
      </c>
      <c r="GM22" s="119">
        <v>0</v>
      </c>
      <c r="GN22" s="119">
        <v>0</v>
      </c>
      <c r="GO22" s="119">
        <v>0</v>
      </c>
      <c r="GP22" s="119">
        <v>0</v>
      </c>
      <c r="GQ22" s="119">
        <v>20</v>
      </c>
      <c r="GR22" s="119">
        <v>0</v>
      </c>
      <c r="GU22" s="119">
        <f t="shared" si="0"/>
        <v>2500</v>
      </c>
      <c r="GV22" s="119">
        <f t="shared" si="0"/>
        <v>1666.67</v>
      </c>
      <c r="GW22" s="119">
        <f t="shared" si="0"/>
        <v>4166.67</v>
      </c>
      <c r="GX22" s="119">
        <f t="shared" si="0"/>
        <v>40</v>
      </c>
      <c r="GY22" s="119">
        <f t="shared" si="0"/>
        <v>4</v>
      </c>
      <c r="GZ22" s="119">
        <f t="shared" si="0"/>
        <v>70</v>
      </c>
      <c r="HA22" s="119">
        <f t="shared" si="0"/>
        <v>280</v>
      </c>
      <c r="HB22" s="119">
        <f t="shared" si="0"/>
        <v>1946.67</v>
      </c>
      <c r="HC22" s="119">
        <f t="shared" si="0"/>
        <v>486.67</v>
      </c>
      <c r="HD22" s="119">
        <f t="shared" si="0"/>
        <v>4446.67</v>
      </c>
      <c r="HJ22"/>
      <c r="HK22" s="115"/>
      <c r="HR22" s="116"/>
      <c r="HT22" s="117"/>
      <c r="HY22"/>
      <c r="HZ22"/>
      <c r="IA22"/>
    </row>
    <row r="23" spans="1:235" x14ac:dyDescent="0.25">
      <c r="A23">
        <v>23</v>
      </c>
      <c r="B23" s="115">
        <v>43297</v>
      </c>
      <c r="C23" t="s">
        <v>424</v>
      </c>
      <c r="D23" t="s">
        <v>425</v>
      </c>
      <c r="E23" t="s">
        <v>430</v>
      </c>
      <c r="F23" t="s">
        <v>426</v>
      </c>
      <c r="G23" t="s">
        <v>427</v>
      </c>
      <c r="H23" t="s">
        <v>428</v>
      </c>
      <c r="I23" s="116">
        <v>21130</v>
      </c>
      <c r="J23" t="s">
        <v>429</v>
      </c>
      <c r="K23" s="117" t="s">
        <v>431</v>
      </c>
      <c r="N23" t="s">
        <v>423</v>
      </c>
      <c r="P23">
        <v>786.67</v>
      </c>
      <c r="Q23">
        <v>655.56</v>
      </c>
      <c r="R23">
        <v>131.11000000000001</v>
      </c>
      <c r="S23" t="s">
        <v>378</v>
      </c>
      <c r="T23" s="118">
        <v>500</v>
      </c>
      <c r="U23" s="118">
        <v>55.56</v>
      </c>
      <c r="V23" s="118">
        <v>555.55999999999995</v>
      </c>
      <c r="W23" s="119">
        <v>10</v>
      </c>
      <c r="X23" s="119">
        <v>10</v>
      </c>
      <c r="Y23" s="119">
        <v>10</v>
      </c>
      <c r="Z23" s="119">
        <v>100</v>
      </c>
      <c r="AA23" s="119">
        <v>155.56</v>
      </c>
      <c r="AB23" s="119">
        <v>15.56</v>
      </c>
      <c r="AC23" s="119">
        <v>655.56</v>
      </c>
      <c r="AD23" s="119">
        <v>20</v>
      </c>
      <c r="AE23" s="119">
        <v>131.11000000000001</v>
      </c>
      <c r="AF23" t="s">
        <v>379</v>
      </c>
      <c r="AG23" s="119">
        <v>0</v>
      </c>
      <c r="AH23" s="119">
        <v>0</v>
      </c>
      <c r="AI23" s="119">
        <v>0</v>
      </c>
      <c r="AJ23" s="119">
        <v>0</v>
      </c>
      <c r="AK23" s="119">
        <v>0</v>
      </c>
      <c r="AL23" s="119">
        <v>0</v>
      </c>
      <c r="AM23" s="119">
        <v>0</v>
      </c>
      <c r="AN23" s="119">
        <v>0</v>
      </c>
      <c r="AO23" s="119">
        <v>0</v>
      </c>
      <c r="AP23" s="119">
        <v>0</v>
      </c>
      <c r="AQ23" s="119">
        <v>20</v>
      </c>
      <c r="AR23" s="119">
        <v>0</v>
      </c>
      <c r="AS23" t="s">
        <v>380</v>
      </c>
      <c r="AT23" s="119">
        <v>0</v>
      </c>
      <c r="AU23" s="119">
        <v>0</v>
      </c>
      <c r="AV23" s="119">
        <v>0</v>
      </c>
      <c r="AW23" s="119">
        <v>0</v>
      </c>
      <c r="AX23" s="119">
        <v>0</v>
      </c>
      <c r="AY23" s="119">
        <v>0</v>
      </c>
      <c r="AZ23" s="119">
        <v>0</v>
      </c>
      <c r="BA23" s="119">
        <v>0</v>
      </c>
      <c r="BB23" s="119">
        <v>0</v>
      </c>
      <c r="BC23" s="119">
        <v>0</v>
      </c>
      <c r="BD23" s="119">
        <v>20</v>
      </c>
      <c r="BE23" s="119">
        <v>0</v>
      </c>
      <c r="BF23" t="s">
        <v>381</v>
      </c>
      <c r="BG23" s="119">
        <v>0</v>
      </c>
      <c r="BH23" s="119">
        <v>0</v>
      </c>
      <c r="BI23" s="119">
        <v>0</v>
      </c>
      <c r="BJ23" s="119">
        <v>0</v>
      </c>
      <c r="BK23" s="119">
        <v>0</v>
      </c>
      <c r="BL23" s="119">
        <v>0</v>
      </c>
      <c r="BM23" s="119">
        <v>0</v>
      </c>
      <c r="BN23" s="119">
        <v>0</v>
      </c>
      <c r="BO23" s="119">
        <v>0</v>
      </c>
      <c r="BP23" s="119">
        <v>0</v>
      </c>
      <c r="BQ23" s="119">
        <v>20</v>
      </c>
      <c r="BR23" s="119">
        <v>0</v>
      </c>
      <c r="BS23" t="s">
        <v>382</v>
      </c>
      <c r="BT23" s="119">
        <v>0</v>
      </c>
      <c r="BU23" s="119">
        <v>0</v>
      </c>
      <c r="BV23" s="119">
        <v>0</v>
      </c>
      <c r="BW23" s="119">
        <v>0</v>
      </c>
      <c r="BX23" s="119">
        <v>0</v>
      </c>
      <c r="BY23" s="119">
        <v>0</v>
      </c>
      <c r="BZ23" s="119">
        <v>0</v>
      </c>
      <c r="CA23" s="119">
        <v>0</v>
      </c>
      <c r="CB23" s="119">
        <v>0</v>
      </c>
      <c r="CC23" s="119">
        <v>0</v>
      </c>
      <c r="CD23" s="119">
        <v>20</v>
      </c>
      <c r="CE23" s="119">
        <v>0</v>
      </c>
      <c r="CF23" t="s">
        <v>383</v>
      </c>
      <c r="CG23" s="119">
        <v>0</v>
      </c>
      <c r="CH23" s="119">
        <v>0</v>
      </c>
      <c r="CI23" s="119">
        <v>0</v>
      </c>
      <c r="CJ23" s="119">
        <v>0</v>
      </c>
      <c r="CK23" s="119">
        <v>0</v>
      </c>
      <c r="CL23" s="119">
        <v>0</v>
      </c>
      <c r="CM23" s="119">
        <v>0</v>
      </c>
      <c r="CN23" s="119">
        <v>0</v>
      </c>
      <c r="CO23" s="119">
        <v>0</v>
      </c>
      <c r="CP23" s="119">
        <v>0</v>
      </c>
      <c r="CQ23" s="119">
        <v>20</v>
      </c>
      <c r="CR23" s="119">
        <v>0</v>
      </c>
      <c r="CS23" t="s">
        <v>384</v>
      </c>
      <c r="CT23" s="119">
        <v>0</v>
      </c>
      <c r="CU23" s="119">
        <v>0</v>
      </c>
      <c r="CV23" s="119">
        <v>0</v>
      </c>
      <c r="CW23" s="119">
        <v>0</v>
      </c>
      <c r="CX23" s="119">
        <v>0</v>
      </c>
      <c r="CY23" s="119">
        <v>0</v>
      </c>
      <c r="CZ23" s="119">
        <v>0</v>
      </c>
      <c r="DA23" s="119">
        <v>0</v>
      </c>
      <c r="DB23" s="119">
        <v>0</v>
      </c>
      <c r="DC23" s="119">
        <v>0</v>
      </c>
      <c r="DD23" s="119">
        <v>20</v>
      </c>
      <c r="DE23" s="119">
        <v>0</v>
      </c>
      <c r="DF23" t="s">
        <v>385</v>
      </c>
      <c r="DG23" s="119">
        <v>0</v>
      </c>
      <c r="DH23" s="119">
        <v>0</v>
      </c>
      <c r="DI23" s="119">
        <v>0</v>
      </c>
      <c r="DJ23" s="119">
        <v>0</v>
      </c>
      <c r="DK23" s="119">
        <v>0</v>
      </c>
      <c r="DL23" s="119">
        <v>0</v>
      </c>
      <c r="DM23" s="119">
        <v>0</v>
      </c>
      <c r="DN23" s="119">
        <v>0</v>
      </c>
      <c r="DO23" s="119">
        <v>0</v>
      </c>
      <c r="DP23" s="119">
        <v>0</v>
      </c>
      <c r="DQ23" s="119">
        <v>20</v>
      </c>
      <c r="DR23" s="119">
        <v>0</v>
      </c>
      <c r="DS23" t="s">
        <v>386</v>
      </c>
      <c r="DT23" s="119">
        <v>0</v>
      </c>
      <c r="DU23" s="119">
        <v>0</v>
      </c>
      <c r="DV23" s="119">
        <v>0</v>
      </c>
      <c r="DW23" s="119">
        <v>0</v>
      </c>
      <c r="DX23" s="119">
        <v>0</v>
      </c>
      <c r="DY23" s="119">
        <v>0</v>
      </c>
      <c r="DZ23" s="119">
        <v>0</v>
      </c>
      <c r="EA23" s="119">
        <v>0</v>
      </c>
      <c r="EB23" s="119">
        <v>0</v>
      </c>
      <c r="EC23" s="119">
        <v>0</v>
      </c>
      <c r="ED23" s="119">
        <v>20</v>
      </c>
      <c r="EE23" s="119">
        <v>0</v>
      </c>
      <c r="EF23" t="s">
        <v>387</v>
      </c>
      <c r="EG23" s="119">
        <v>0</v>
      </c>
      <c r="EH23" s="119">
        <v>0</v>
      </c>
      <c r="EI23" s="119">
        <v>0</v>
      </c>
      <c r="EJ23" s="119">
        <v>0</v>
      </c>
      <c r="EK23" s="119">
        <v>0</v>
      </c>
      <c r="EL23" s="119">
        <v>0</v>
      </c>
      <c r="EM23" s="119">
        <v>0</v>
      </c>
      <c r="EN23" s="119">
        <v>0</v>
      </c>
      <c r="EO23" s="119">
        <v>0</v>
      </c>
      <c r="EP23" s="119">
        <v>0</v>
      </c>
      <c r="EQ23" s="119">
        <v>20</v>
      </c>
      <c r="ER23" s="119">
        <v>0</v>
      </c>
      <c r="ES23" t="s">
        <v>388</v>
      </c>
      <c r="ET23" s="119">
        <v>0</v>
      </c>
      <c r="EU23" s="119">
        <v>0</v>
      </c>
      <c r="EV23" s="119">
        <v>0</v>
      </c>
      <c r="EW23" s="119">
        <v>0</v>
      </c>
      <c r="EX23" s="119">
        <v>0</v>
      </c>
      <c r="EY23" s="119">
        <v>0</v>
      </c>
      <c r="EZ23" s="119">
        <v>0</v>
      </c>
      <c r="FA23" s="119">
        <v>0</v>
      </c>
      <c r="FB23" s="119">
        <v>0</v>
      </c>
      <c r="FC23" s="119">
        <v>0</v>
      </c>
      <c r="FD23" s="119">
        <v>20</v>
      </c>
      <c r="FE23" s="119">
        <v>0</v>
      </c>
      <c r="FF23" t="s">
        <v>389</v>
      </c>
      <c r="FG23" s="119">
        <v>0</v>
      </c>
      <c r="FH23" s="119">
        <v>0</v>
      </c>
      <c r="FI23" s="119">
        <v>0</v>
      </c>
      <c r="FJ23" s="119">
        <v>0</v>
      </c>
      <c r="FK23" s="119">
        <v>0</v>
      </c>
      <c r="FL23" s="119">
        <v>0</v>
      </c>
      <c r="FM23" s="119">
        <v>0</v>
      </c>
      <c r="FN23" s="119">
        <v>0</v>
      </c>
      <c r="FO23" s="119">
        <v>0</v>
      </c>
      <c r="FP23" s="119">
        <v>0</v>
      </c>
      <c r="FQ23" s="119">
        <v>20</v>
      </c>
      <c r="FR23" s="119">
        <v>0</v>
      </c>
      <c r="FS23" t="s">
        <v>390</v>
      </c>
      <c r="FT23" s="119">
        <v>0</v>
      </c>
      <c r="FU23" s="119">
        <v>0</v>
      </c>
      <c r="FV23" s="119">
        <v>0</v>
      </c>
      <c r="FW23" s="119">
        <v>0</v>
      </c>
      <c r="FX23" s="119">
        <v>0</v>
      </c>
      <c r="FY23" s="119">
        <v>0</v>
      </c>
      <c r="FZ23" s="119">
        <v>0</v>
      </c>
      <c r="GA23" s="119">
        <v>0</v>
      </c>
      <c r="GB23" s="119">
        <v>0</v>
      </c>
      <c r="GC23" s="119">
        <v>0</v>
      </c>
      <c r="GD23" s="119">
        <v>20</v>
      </c>
      <c r="GE23" s="119">
        <v>0</v>
      </c>
      <c r="GF23" t="s">
        <v>391</v>
      </c>
      <c r="GG23" s="119">
        <v>0</v>
      </c>
      <c r="GH23" s="119">
        <v>0</v>
      </c>
      <c r="GI23" s="119">
        <v>0</v>
      </c>
      <c r="GJ23" s="119">
        <v>0</v>
      </c>
      <c r="GK23" s="119">
        <v>0</v>
      </c>
      <c r="GL23" s="119">
        <v>0</v>
      </c>
      <c r="GM23" s="119">
        <v>0</v>
      </c>
      <c r="GN23" s="119">
        <v>0</v>
      </c>
      <c r="GO23" s="119">
        <v>0</v>
      </c>
      <c r="GP23" s="119">
        <v>0</v>
      </c>
      <c r="GQ23" s="119">
        <v>20</v>
      </c>
      <c r="GR23" s="119">
        <v>0</v>
      </c>
      <c r="GU23" s="119">
        <f t="shared" si="0"/>
        <v>216</v>
      </c>
      <c r="GV23" s="119">
        <f t="shared" si="0"/>
        <v>30.290000000000006</v>
      </c>
      <c r="GW23" s="119">
        <f t="shared" si="0"/>
        <v>246.28999999999991</v>
      </c>
      <c r="GX23" s="119">
        <f t="shared" si="0"/>
        <v>169</v>
      </c>
      <c r="GY23" s="119">
        <f t="shared" si="0"/>
        <v>179</v>
      </c>
      <c r="GZ23" s="119">
        <f t="shared" si="0"/>
        <v>232</v>
      </c>
      <c r="HA23" s="119">
        <f t="shared" si="0"/>
        <v>2866</v>
      </c>
      <c r="HB23" s="119">
        <f t="shared" si="0"/>
        <v>2896.2899999999986</v>
      </c>
      <c r="HC23" s="119">
        <f t="shared" si="0"/>
        <v>234.58999999999995</v>
      </c>
      <c r="HD23" s="119">
        <f t="shared" si="0"/>
        <v>3112.2899999999986</v>
      </c>
      <c r="HJ23"/>
      <c r="HK23" s="115"/>
      <c r="HR23" s="116"/>
      <c r="HT23" s="117"/>
      <c r="HY23"/>
      <c r="HZ23"/>
      <c r="IA23"/>
    </row>
    <row r="24" spans="1:235" x14ac:dyDescent="0.25">
      <c r="A24">
        <v>24</v>
      </c>
      <c r="B24" s="115">
        <v>43297</v>
      </c>
      <c r="C24" t="s">
        <v>424</v>
      </c>
      <c r="D24" t="s">
        <v>425</v>
      </c>
      <c r="E24" t="s">
        <v>430</v>
      </c>
      <c r="F24" t="s">
        <v>426</v>
      </c>
      <c r="G24" t="s">
        <v>427</v>
      </c>
      <c r="H24" t="s">
        <v>428</v>
      </c>
      <c r="I24" s="116">
        <v>21130</v>
      </c>
      <c r="J24" t="s">
        <v>429</v>
      </c>
      <c r="K24" s="117" t="s">
        <v>431</v>
      </c>
      <c r="N24" t="s">
        <v>423</v>
      </c>
      <c r="P24">
        <v>1</v>
      </c>
      <c r="Q24">
        <v>1</v>
      </c>
      <c r="R24">
        <v>121</v>
      </c>
      <c r="S24" t="s">
        <v>378</v>
      </c>
      <c r="T24" s="118">
        <v>1000</v>
      </c>
      <c r="U24" s="118">
        <v>111.11</v>
      </c>
      <c r="V24" s="118">
        <v>1111.1099999999999</v>
      </c>
      <c r="W24" s="119">
        <v>10</v>
      </c>
      <c r="X24" s="119">
        <v>10</v>
      </c>
      <c r="Y24" s="119">
        <v>10</v>
      </c>
      <c r="Z24" s="119">
        <v>100</v>
      </c>
      <c r="AA24" s="119">
        <v>211.11</v>
      </c>
      <c r="AB24" s="119">
        <v>21.11</v>
      </c>
      <c r="AC24" s="119">
        <v>1211.1099999999999</v>
      </c>
      <c r="AD24" s="119">
        <v>10</v>
      </c>
      <c r="AE24" s="119">
        <v>121.11</v>
      </c>
      <c r="AF24" t="s">
        <v>379</v>
      </c>
      <c r="AG24" s="119">
        <v>0</v>
      </c>
      <c r="AH24" s="119">
        <v>0</v>
      </c>
      <c r="AI24" s="119">
        <v>0</v>
      </c>
      <c r="AJ24" s="119">
        <v>0</v>
      </c>
      <c r="AK24" s="119">
        <v>0</v>
      </c>
      <c r="AL24" s="119">
        <v>0</v>
      </c>
      <c r="AM24" s="119">
        <v>0</v>
      </c>
      <c r="AN24" s="119">
        <v>0</v>
      </c>
      <c r="AO24" s="119">
        <v>0</v>
      </c>
      <c r="AP24" s="119">
        <v>0</v>
      </c>
      <c r="AQ24" s="119">
        <v>0</v>
      </c>
      <c r="AR24" s="119">
        <v>0</v>
      </c>
      <c r="AS24" t="s">
        <v>380</v>
      </c>
      <c r="AT24" s="119">
        <v>0</v>
      </c>
      <c r="AU24" s="119">
        <v>0</v>
      </c>
      <c r="AV24" s="119">
        <v>0</v>
      </c>
      <c r="AW24" s="119">
        <v>0</v>
      </c>
      <c r="AX24" s="119">
        <v>0</v>
      </c>
      <c r="AY24" s="119">
        <v>0</v>
      </c>
      <c r="AZ24" s="119">
        <v>0</v>
      </c>
      <c r="BA24" s="119">
        <v>0</v>
      </c>
      <c r="BB24" s="119">
        <v>0</v>
      </c>
      <c r="BC24" s="119">
        <v>0</v>
      </c>
      <c r="BD24" s="119">
        <v>0</v>
      </c>
      <c r="BE24" s="119">
        <v>0</v>
      </c>
      <c r="BF24" t="s">
        <v>381</v>
      </c>
      <c r="BG24" s="119">
        <v>0</v>
      </c>
      <c r="BH24" s="119">
        <v>0</v>
      </c>
      <c r="BI24" s="119">
        <v>0</v>
      </c>
      <c r="BJ24" s="119">
        <v>0</v>
      </c>
      <c r="BK24" s="119">
        <v>0</v>
      </c>
      <c r="BL24" s="119">
        <v>0</v>
      </c>
      <c r="BM24" s="119">
        <v>0</v>
      </c>
      <c r="BN24" s="119">
        <v>0</v>
      </c>
      <c r="BO24" s="119">
        <v>0</v>
      </c>
      <c r="BP24" s="119">
        <v>0</v>
      </c>
      <c r="BQ24" s="119">
        <v>0</v>
      </c>
      <c r="BR24" s="119">
        <v>0</v>
      </c>
      <c r="BS24" t="s">
        <v>382</v>
      </c>
      <c r="BT24" s="119">
        <v>0</v>
      </c>
      <c r="BU24" s="119">
        <v>0</v>
      </c>
      <c r="BV24" s="119">
        <v>0</v>
      </c>
      <c r="BW24" s="119">
        <v>0</v>
      </c>
      <c r="BX24" s="119">
        <v>0</v>
      </c>
      <c r="BY24" s="119">
        <v>0</v>
      </c>
      <c r="BZ24" s="119">
        <v>0</v>
      </c>
      <c r="CA24" s="119">
        <v>0</v>
      </c>
      <c r="CB24" s="119">
        <v>0</v>
      </c>
      <c r="CC24" s="119">
        <v>0</v>
      </c>
      <c r="CD24" s="119">
        <v>0</v>
      </c>
      <c r="CE24" s="119">
        <v>0</v>
      </c>
      <c r="CF24" t="s">
        <v>383</v>
      </c>
      <c r="CG24" s="119">
        <v>0</v>
      </c>
      <c r="CH24" s="119">
        <v>0</v>
      </c>
      <c r="CI24" s="119">
        <v>0</v>
      </c>
      <c r="CJ24" s="119">
        <v>0</v>
      </c>
      <c r="CK24" s="119">
        <v>0</v>
      </c>
      <c r="CL24" s="119">
        <v>0</v>
      </c>
      <c r="CM24" s="119">
        <v>0</v>
      </c>
      <c r="CN24" s="119">
        <v>0</v>
      </c>
      <c r="CO24" s="119">
        <v>0</v>
      </c>
      <c r="CP24" s="119">
        <v>0</v>
      </c>
      <c r="CQ24" s="119">
        <v>0</v>
      </c>
      <c r="CR24" s="119">
        <v>0</v>
      </c>
      <c r="CS24" t="s">
        <v>384</v>
      </c>
      <c r="CT24" s="119">
        <v>0</v>
      </c>
      <c r="CU24" s="119">
        <v>0</v>
      </c>
      <c r="CV24" s="119">
        <v>0</v>
      </c>
      <c r="CW24" s="119">
        <v>0</v>
      </c>
      <c r="CX24" s="119">
        <v>0</v>
      </c>
      <c r="CY24" s="119">
        <v>0</v>
      </c>
      <c r="CZ24" s="119">
        <v>0</v>
      </c>
      <c r="DA24" s="119">
        <v>0</v>
      </c>
      <c r="DB24" s="119">
        <v>0</v>
      </c>
      <c r="DC24" s="119">
        <v>0</v>
      </c>
      <c r="DD24" s="119">
        <v>0</v>
      </c>
      <c r="DE24" s="119">
        <v>0</v>
      </c>
      <c r="DF24" t="s">
        <v>385</v>
      </c>
      <c r="DG24" s="119">
        <v>0</v>
      </c>
      <c r="DH24" s="119">
        <v>0</v>
      </c>
      <c r="DI24" s="119">
        <v>0</v>
      </c>
      <c r="DJ24" s="119">
        <v>0</v>
      </c>
      <c r="DK24" s="119">
        <v>0</v>
      </c>
      <c r="DL24" s="119">
        <v>0</v>
      </c>
      <c r="DM24" s="119">
        <v>0</v>
      </c>
      <c r="DN24" s="119">
        <v>0</v>
      </c>
      <c r="DO24" s="119">
        <v>0</v>
      </c>
      <c r="DP24" s="119">
        <v>0</v>
      </c>
      <c r="DQ24" s="119">
        <v>0</v>
      </c>
      <c r="DR24" s="119">
        <v>0</v>
      </c>
      <c r="DS24" t="s">
        <v>386</v>
      </c>
      <c r="DT24" s="119">
        <v>0</v>
      </c>
      <c r="DU24" s="119">
        <v>0</v>
      </c>
      <c r="DV24" s="119">
        <v>0</v>
      </c>
      <c r="DW24" s="119">
        <v>0</v>
      </c>
      <c r="DX24" s="119">
        <v>0</v>
      </c>
      <c r="DY24" s="119">
        <v>0</v>
      </c>
      <c r="DZ24" s="119">
        <v>0</v>
      </c>
      <c r="EA24" s="119">
        <v>0</v>
      </c>
      <c r="EB24" s="119">
        <v>0</v>
      </c>
      <c r="EC24" s="119">
        <v>0</v>
      </c>
      <c r="ED24" s="119">
        <v>0</v>
      </c>
      <c r="EE24" s="119">
        <v>0</v>
      </c>
      <c r="EF24" t="s">
        <v>387</v>
      </c>
      <c r="EG24" s="119">
        <v>0</v>
      </c>
      <c r="EH24" s="119">
        <v>0</v>
      </c>
      <c r="EI24" s="119">
        <v>0</v>
      </c>
      <c r="EJ24" s="119">
        <v>0</v>
      </c>
      <c r="EK24" s="119">
        <v>0</v>
      </c>
      <c r="EL24" s="119">
        <v>0</v>
      </c>
      <c r="EM24" s="119">
        <v>0</v>
      </c>
      <c r="EN24" s="119">
        <v>0</v>
      </c>
      <c r="EO24" s="119">
        <v>0</v>
      </c>
      <c r="EP24" s="119">
        <v>0</v>
      </c>
      <c r="EQ24" s="119">
        <v>0</v>
      </c>
      <c r="ER24" s="119">
        <v>0</v>
      </c>
      <c r="ES24" t="s">
        <v>388</v>
      </c>
      <c r="ET24" s="119">
        <v>0</v>
      </c>
      <c r="EU24" s="119">
        <v>0</v>
      </c>
      <c r="EV24" s="119">
        <v>0</v>
      </c>
      <c r="EW24" s="119">
        <v>0</v>
      </c>
      <c r="EX24" s="119">
        <v>0</v>
      </c>
      <c r="EY24" s="119">
        <v>0</v>
      </c>
      <c r="EZ24" s="119">
        <v>0</v>
      </c>
      <c r="FA24" s="119">
        <v>0</v>
      </c>
      <c r="FB24" s="119">
        <v>0</v>
      </c>
      <c r="FC24" s="119">
        <v>0</v>
      </c>
      <c r="FD24" s="119">
        <v>0</v>
      </c>
      <c r="FE24" s="119">
        <v>0</v>
      </c>
      <c r="FF24" t="s">
        <v>389</v>
      </c>
      <c r="FG24" s="119">
        <v>0</v>
      </c>
      <c r="FH24" s="119">
        <v>0</v>
      </c>
      <c r="FI24" s="119">
        <v>0</v>
      </c>
      <c r="FJ24" s="119">
        <v>0</v>
      </c>
      <c r="FK24" s="119">
        <v>0</v>
      </c>
      <c r="FL24" s="119">
        <v>0</v>
      </c>
      <c r="FM24" s="119">
        <v>0</v>
      </c>
      <c r="FN24" s="119">
        <v>0</v>
      </c>
      <c r="FO24" s="119">
        <v>0</v>
      </c>
      <c r="FP24" s="119">
        <v>0</v>
      </c>
      <c r="FQ24" s="119">
        <v>0</v>
      </c>
      <c r="FR24" s="119">
        <v>0</v>
      </c>
      <c r="FS24" t="s">
        <v>390</v>
      </c>
      <c r="FT24" s="119">
        <v>0</v>
      </c>
      <c r="FU24" s="119">
        <v>0</v>
      </c>
      <c r="FV24" s="119">
        <v>0</v>
      </c>
      <c r="FW24" s="119">
        <v>0</v>
      </c>
      <c r="FX24" s="119">
        <v>0</v>
      </c>
      <c r="FY24" s="119">
        <v>0</v>
      </c>
      <c r="FZ24" s="119">
        <v>0</v>
      </c>
      <c r="GA24" s="119">
        <v>0</v>
      </c>
      <c r="GB24" s="119">
        <v>0</v>
      </c>
      <c r="GC24" s="119">
        <v>0</v>
      </c>
      <c r="GD24" s="119">
        <v>0</v>
      </c>
      <c r="GE24" s="119">
        <v>0</v>
      </c>
      <c r="GF24" t="s">
        <v>391</v>
      </c>
      <c r="GG24" s="119">
        <v>0</v>
      </c>
      <c r="GH24" s="119">
        <v>0</v>
      </c>
      <c r="GI24" s="119">
        <v>0</v>
      </c>
      <c r="GJ24" s="119">
        <v>0</v>
      </c>
      <c r="GK24" s="119">
        <v>0</v>
      </c>
      <c r="GL24" s="119">
        <v>0</v>
      </c>
      <c r="GM24" s="119">
        <v>0</v>
      </c>
      <c r="GN24" s="119">
        <v>0</v>
      </c>
      <c r="GO24" s="119">
        <v>0</v>
      </c>
      <c r="GP24" s="119">
        <v>0</v>
      </c>
      <c r="GQ24" s="119">
        <v>0</v>
      </c>
      <c r="GR24" s="119">
        <v>0</v>
      </c>
      <c r="GU24" s="119">
        <f t="shared" si="0"/>
        <v>43</v>
      </c>
      <c r="GV24" s="119">
        <f t="shared" si="0"/>
        <v>5.19</v>
      </c>
      <c r="GW24" s="119">
        <f t="shared" si="0"/>
        <v>48.19</v>
      </c>
      <c r="GX24" s="119">
        <f t="shared" si="0"/>
        <v>43</v>
      </c>
      <c r="GY24" s="119">
        <f t="shared" si="0"/>
        <v>43</v>
      </c>
      <c r="GZ24" s="119">
        <f t="shared" si="0"/>
        <v>43</v>
      </c>
      <c r="HA24" s="119">
        <f t="shared" si="0"/>
        <v>463</v>
      </c>
      <c r="HB24" s="119">
        <f t="shared" si="0"/>
        <v>468.19</v>
      </c>
      <c r="HC24" s="119">
        <f t="shared" si="0"/>
        <v>43.469999999999992</v>
      </c>
      <c r="HD24" s="119">
        <f t="shared" si="0"/>
        <v>511.19000000000005</v>
      </c>
      <c r="HJ24"/>
      <c r="HK24" s="115"/>
      <c r="HR24" s="116"/>
      <c r="HT24" s="117"/>
      <c r="HY24"/>
      <c r="HZ24"/>
      <c r="IA24"/>
    </row>
    <row r="25" spans="1:235" x14ac:dyDescent="0.25">
      <c r="A25">
        <v>25</v>
      </c>
      <c r="B25" s="115">
        <v>43297</v>
      </c>
      <c r="C25" t="s">
        <v>424</v>
      </c>
      <c r="D25" t="s">
        <v>425</v>
      </c>
      <c r="E25" t="s">
        <v>430</v>
      </c>
      <c r="F25" t="s">
        <v>426</v>
      </c>
      <c r="G25" t="s">
        <v>427</v>
      </c>
      <c r="H25" t="s">
        <v>428</v>
      </c>
      <c r="I25" s="116">
        <v>21130</v>
      </c>
      <c r="J25" t="s">
        <v>429</v>
      </c>
      <c r="K25" s="117" t="s">
        <v>431</v>
      </c>
      <c r="N25" t="s">
        <v>423</v>
      </c>
      <c r="P25">
        <v>721</v>
      </c>
      <c r="Q25">
        <v>655</v>
      </c>
      <c r="R25">
        <v>65</v>
      </c>
      <c r="S25" t="s">
        <v>378</v>
      </c>
      <c r="T25" s="118">
        <v>500</v>
      </c>
      <c r="U25" s="118">
        <v>55.56</v>
      </c>
      <c r="V25" s="118">
        <v>555.55999999999995</v>
      </c>
      <c r="W25" s="119">
        <v>10</v>
      </c>
      <c r="X25" s="119">
        <v>10</v>
      </c>
      <c r="Y25" s="119">
        <v>10</v>
      </c>
      <c r="Z25" s="119">
        <v>100</v>
      </c>
      <c r="AA25" s="119">
        <v>155.56</v>
      </c>
      <c r="AB25" s="119">
        <v>15.56</v>
      </c>
      <c r="AC25" s="119">
        <v>655.56</v>
      </c>
      <c r="AD25" s="119">
        <v>10</v>
      </c>
      <c r="AE25" s="119">
        <v>65.56</v>
      </c>
      <c r="AF25" t="s">
        <v>379</v>
      </c>
      <c r="AG25" s="119">
        <v>0</v>
      </c>
      <c r="AH25" s="119">
        <v>0</v>
      </c>
      <c r="AI25" s="119">
        <v>0</v>
      </c>
      <c r="AJ25" s="119">
        <v>0</v>
      </c>
      <c r="AK25" s="119">
        <v>0</v>
      </c>
      <c r="AL25" s="119">
        <v>0</v>
      </c>
      <c r="AM25" s="119">
        <v>0</v>
      </c>
      <c r="AN25" s="119">
        <v>0</v>
      </c>
      <c r="AO25" s="119">
        <v>0</v>
      </c>
      <c r="AP25" s="119">
        <v>0</v>
      </c>
      <c r="AQ25" s="119">
        <v>0</v>
      </c>
      <c r="AR25" s="119">
        <v>0</v>
      </c>
      <c r="AS25" t="s">
        <v>380</v>
      </c>
      <c r="AT25" s="119">
        <v>0</v>
      </c>
      <c r="AU25" s="119">
        <v>0</v>
      </c>
      <c r="AV25" s="119">
        <v>0</v>
      </c>
      <c r="AW25" s="119">
        <v>0</v>
      </c>
      <c r="AX25" s="119">
        <v>0</v>
      </c>
      <c r="AY25" s="119">
        <v>0</v>
      </c>
      <c r="AZ25" s="119">
        <v>0</v>
      </c>
      <c r="BA25" s="119">
        <v>0</v>
      </c>
      <c r="BB25" s="119">
        <v>0</v>
      </c>
      <c r="BC25" s="119">
        <v>0</v>
      </c>
      <c r="BD25" s="119">
        <v>0</v>
      </c>
      <c r="BE25" s="119">
        <v>0</v>
      </c>
      <c r="BF25" t="s">
        <v>381</v>
      </c>
      <c r="BG25" s="119">
        <v>0</v>
      </c>
      <c r="BH25" s="119">
        <v>0</v>
      </c>
      <c r="BI25" s="119">
        <v>0</v>
      </c>
      <c r="BJ25" s="119">
        <v>0</v>
      </c>
      <c r="BK25" s="119">
        <v>0</v>
      </c>
      <c r="BL25" s="119">
        <v>0</v>
      </c>
      <c r="BM25" s="119">
        <v>0</v>
      </c>
      <c r="BN25" s="119">
        <v>0</v>
      </c>
      <c r="BO25" s="119">
        <v>0</v>
      </c>
      <c r="BP25" s="119">
        <v>0</v>
      </c>
      <c r="BQ25" s="119">
        <v>0</v>
      </c>
      <c r="BR25" s="119">
        <v>0</v>
      </c>
      <c r="BS25" t="s">
        <v>382</v>
      </c>
      <c r="BT25" s="119">
        <v>0</v>
      </c>
      <c r="BU25" s="119">
        <v>0</v>
      </c>
      <c r="BV25" s="119">
        <v>0</v>
      </c>
      <c r="BW25" s="119">
        <v>0</v>
      </c>
      <c r="BX25" s="119">
        <v>0</v>
      </c>
      <c r="BY25" s="119">
        <v>0</v>
      </c>
      <c r="BZ25" s="119">
        <v>0</v>
      </c>
      <c r="CA25" s="119">
        <v>0</v>
      </c>
      <c r="CB25" s="119">
        <v>0</v>
      </c>
      <c r="CC25" s="119">
        <v>0</v>
      </c>
      <c r="CD25" s="119">
        <v>0</v>
      </c>
      <c r="CE25" s="119">
        <v>0</v>
      </c>
      <c r="CF25" t="s">
        <v>383</v>
      </c>
      <c r="CG25" s="119">
        <v>0</v>
      </c>
      <c r="CH25" s="119">
        <v>0</v>
      </c>
      <c r="CI25" s="119">
        <v>0</v>
      </c>
      <c r="CJ25" s="119">
        <v>0</v>
      </c>
      <c r="CK25" s="119">
        <v>0</v>
      </c>
      <c r="CL25" s="119">
        <v>0</v>
      </c>
      <c r="CM25" s="119">
        <v>0</v>
      </c>
      <c r="CN25" s="119">
        <v>0</v>
      </c>
      <c r="CO25" s="119">
        <v>0</v>
      </c>
      <c r="CP25" s="119">
        <v>0</v>
      </c>
      <c r="CQ25" s="119">
        <v>0</v>
      </c>
      <c r="CR25" s="119">
        <v>0</v>
      </c>
      <c r="CS25" t="s">
        <v>384</v>
      </c>
      <c r="CT25" s="119">
        <v>0</v>
      </c>
      <c r="CU25" s="119">
        <v>0</v>
      </c>
      <c r="CV25" s="119">
        <v>0</v>
      </c>
      <c r="CW25" s="119">
        <v>0</v>
      </c>
      <c r="CX25" s="119">
        <v>0</v>
      </c>
      <c r="CY25" s="119">
        <v>0</v>
      </c>
      <c r="CZ25" s="119">
        <v>0</v>
      </c>
      <c r="DA25" s="119">
        <v>0</v>
      </c>
      <c r="DB25" s="119">
        <v>0</v>
      </c>
      <c r="DC25" s="119">
        <v>0</v>
      </c>
      <c r="DD25" s="119">
        <v>0</v>
      </c>
      <c r="DE25" s="119">
        <v>0</v>
      </c>
      <c r="DF25" t="s">
        <v>385</v>
      </c>
      <c r="DG25" s="119">
        <v>0</v>
      </c>
      <c r="DH25" s="119">
        <v>0</v>
      </c>
      <c r="DI25" s="119">
        <v>0</v>
      </c>
      <c r="DJ25" s="119">
        <v>0</v>
      </c>
      <c r="DK25" s="119">
        <v>0</v>
      </c>
      <c r="DL25" s="119">
        <v>0</v>
      </c>
      <c r="DM25" s="119">
        <v>0</v>
      </c>
      <c r="DN25" s="119">
        <v>0</v>
      </c>
      <c r="DO25" s="119">
        <v>0</v>
      </c>
      <c r="DP25" s="119">
        <v>0</v>
      </c>
      <c r="DQ25" s="119">
        <v>0</v>
      </c>
      <c r="DR25" s="119">
        <v>0</v>
      </c>
      <c r="DS25" t="s">
        <v>386</v>
      </c>
      <c r="DT25" s="119">
        <v>0</v>
      </c>
      <c r="DU25" s="119">
        <v>0</v>
      </c>
      <c r="DV25" s="119">
        <v>0</v>
      </c>
      <c r="DW25" s="119">
        <v>0</v>
      </c>
      <c r="DX25" s="119">
        <v>0</v>
      </c>
      <c r="DY25" s="119">
        <v>0</v>
      </c>
      <c r="DZ25" s="119">
        <v>0</v>
      </c>
      <c r="EA25" s="119">
        <v>0</v>
      </c>
      <c r="EB25" s="119">
        <v>0</v>
      </c>
      <c r="EC25" s="119">
        <v>0</v>
      </c>
      <c r="ED25" s="119">
        <v>0</v>
      </c>
      <c r="EE25" s="119">
        <v>0</v>
      </c>
      <c r="EF25" t="s">
        <v>387</v>
      </c>
      <c r="EG25" s="119">
        <v>0</v>
      </c>
      <c r="EH25" s="119">
        <v>0</v>
      </c>
      <c r="EI25" s="119">
        <v>0</v>
      </c>
      <c r="EJ25" s="119">
        <v>0</v>
      </c>
      <c r="EK25" s="119">
        <v>0</v>
      </c>
      <c r="EL25" s="119">
        <v>0</v>
      </c>
      <c r="EM25" s="119">
        <v>0</v>
      </c>
      <c r="EN25" s="119">
        <v>0</v>
      </c>
      <c r="EO25" s="119">
        <v>0</v>
      </c>
      <c r="EP25" s="119">
        <v>0</v>
      </c>
      <c r="EQ25" s="119">
        <v>0</v>
      </c>
      <c r="ER25" s="119">
        <v>0</v>
      </c>
      <c r="ES25" t="s">
        <v>388</v>
      </c>
      <c r="ET25" s="119">
        <v>0</v>
      </c>
      <c r="EU25" s="119">
        <v>0</v>
      </c>
      <c r="EV25" s="119">
        <v>0</v>
      </c>
      <c r="EW25" s="119">
        <v>0</v>
      </c>
      <c r="EX25" s="119">
        <v>0</v>
      </c>
      <c r="EY25" s="119">
        <v>0</v>
      </c>
      <c r="EZ25" s="119">
        <v>0</v>
      </c>
      <c r="FA25" s="119">
        <v>0</v>
      </c>
      <c r="FB25" s="119">
        <v>0</v>
      </c>
      <c r="FC25" s="119">
        <v>0</v>
      </c>
      <c r="FD25" s="119">
        <v>0</v>
      </c>
      <c r="FE25" s="119">
        <v>0</v>
      </c>
      <c r="FF25" t="s">
        <v>389</v>
      </c>
      <c r="FG25" s="119">
        <v>0</v>
      </c>
      <c r="FH25" s="119">
        <v>0</v>
      </c>
      <c r="FI25" s="119">
        <v>0</v>
      </c>
      <c r="FJ25" s="119">
        <v>0</v>
      </c>
      <c r="FK25" s="119">
        <v>0</v>
      </c>
      <c r="FL25" s="119">
        <v>0</v>
      </c>
      <c r="FM25" s="119">
        <v>0</v>
      </c>
      <c r="FN25" s="119">
        <v>0</v>
      </c>
      <c r="FO25" s="119">
        <v>0</v>
      </c>
      <c r="FP25" s="119">
        <v>0</v>
      </c>
      <c r="FQ25" s="119">
        <v>0</v>
      </c>
      <c r="FR25" s="119">
        <v>0</v>
      </c>
      <c r="FS25" t="s">
        <v>390</v>
      </c>
      <c r="FT25" s="119">
        <v>0</v>
      </c>
      <c r="FU25" s="119">
        <v>0</v>
      </c>
      <c r="FV25" s="119">
        <v>0</v>
      </c>
      <c r="FW25" s="119">
        <v>0</v>
      </c>
      <c r="FX25" s="119">
        <v>0</v>
      </c>
      <c r="FY25" s="119">
        <v>0</v>
      </c>
      <c r="FZ25" s="119">
        <v>0</v>
      </c>
      <c r="GA25" s="119">
        <v>0</v>
      </c>
      <c r="GB25" s="119">
        <v>0</v>
      </c>
      <c r="GC25" s="119">
        <v>0</v>
      </c>
      <c r="GD25" s="119">
        <v>0</v>
      </c>
      <c r="GE25" s="119">
        <v>0</v>
      </c>
      <c r="GF25" t="s">
        <v>391</v>
      </c>
      <c r="GG25" s="119">
        <v>0</v>
      </c>
      <c r="GH25" s="119">
        <v>0</v>
      </c>
      <c r="GI25" s="119">
        <v>0</v>
      </c>
      <c r="GJ25" s="119">
        <v>0</v>
      </c>
      <c r="GK25" s="119">
        <v>0</v>
      </c>
      <c r="GL25" s="119">
        <v>0</v>
      </c>
      <c r="GM25" s="119">
        <v>0</v>
      </c>
      <c r="GN25" s="119">
        <v>0</v>
      </c>
      <c r="GO25" s="119">
        <v>0</v>
      </c>
      <c r="GP25" s="119">
        <v>0</v>
      </c>
      <c r="GQ25" s="119">
        <v>0</v>
      </c>
      <c r="GR25" s="119">
        <v>0</v>
      </c>
      <c r="GU25" s="119">
        <f t="shared" si="0"/>
        <v>10</v>
      </c>
      <c r="GV25" s="119">
        <f t="shared" si="0"/>
        <v>1.1100000000000001</v>
      </c>
      <c r="GW25" s="119">
        <f t="shared" si="0"/>
        <v>11.11</v>
      </c>
      <c r="GX25" s="119">
        <f t="shared" si="0"/>
        <v>10</v>
      </c>
      <c r="GY25" s="119">
        <f t="shared" si="0"/>
        <v>10</v>
      </c>
      <c r="GZ25" s="119">
        <f t="shared" si="0"/>
        <v>10</v>
      </c>
      <c r="HA25" s="119">
        <f t="shared" si="0"/>
        <v>100</v>
      </c>
      <c r="HB25" s="119">
        <f t="shared" si="0"/>
        <v>101.11</v>
      </c>
      <c r="HC25" s="119">
        <f t="shared" si="0"/>
        <v>10.11</v>
      </c>
      <c r="HD25" s="119">
        <f t="shared" si="0"/>
        <v>111.11</v>
      </c>
      <c r="HJ25"/>
      <c r="HK25" s="115"/>
      <c r="HR25" s="116"/>
      <c r="HT25" s="117"/>
      <c r="HY25"/>
      <c r="HZ25"/>
      <c r="IA25"/>
    </row>
    <row r="26" spans="1:235" x14ac:dyDescent="0.25">
      <c r="A26">
        <v>26</v>
      </c>
      <c r="B26" s="115">
        <v>43297</v>
      </c>
      <c r="C26" t="s">
        <v>424</v>
      </c>
      <c r="D26" t="s">
        <v>425</v>
      </c>
      <c r="E26" t="s">
        <v>430</v>
      </c>
      <c r="F26" t="s">
        <v>426</v>
      </c>
      <c r="G26" t="s">
        <v>427</v>
      </c>
      <c r="H26" t="s">
        <v>428</v>
      </c>
      <c r="I26" s="116">
        <v>21130</v>
      </c>
      <c r="J26" t="s">
        <v>429</v>
      </c>
      <c r="K26" s="117" t="s">
        <v>431</v>
      </c>
      <c r="N26" t="s">
        <v>423</v>
      </c>
      <c r="P26">
        <v>1</v>
      </c>
      <c r="Q26">
        <v>833</v>
      </c>
      <c r="R26">
        <v>166</v>
      </c>
      <c r="S26" t="s">
        <v>378</v>
      </c>
      <c r="T26" s="118">
        <v>250</v>
      </c>
      <c r="U26" s="118">
        <v>83.33</v>
      </c>
      <c r="V26" s="118">
        <v>333.33</v>
      </c>
      <c r="W26" s="119">
        <v>25</v>
      </c>
      <c r="X26" s="119">
        <v>10</v>
      </c>
      <c r="Y26" s="119">
        <v>50</v>
      </c>
      <c r="Z26" s="119">
        <v>500</v>
      </c>
      <c r="AA26" s="119">
        <v>583.33000000000004</v>
      </c>
      <c r="AB26" s="119">
        <v>58.33</v>
      </c>
      <c r="AC26" s="119">
        <v>833.33</v>
      </c>
      <c r="AD26" s="119">
        <v>20</v>
      </c>
      <c r="AE26" s="119">
        <v>166.67</v>
      </c>
      <c r="AF26" t="s">
        <v>379</v>
      </c>
      <c r="AG26" s="119">
        <v>0</v>
      </c>
      <c r="AH26" s="119">
        <v>0</v>
      </c>
      <c r="AI26" s="119">
        <v>0</v>
      </c>
      <c r="AJ26" s="119">
        <v>0</v>
      </c>
      <c r="AK26" s="119">
        <v>0</v>
      </c>
      <c r="AL26" s="119">
        <v>0</v>
      </c>
      <c r="AM26" s="119">
        <v>0</v>
      </c>
      <c r="AN26" s="119">
        <v>0</v>
      </c>
      <c r="AO26" s="119">
        <v>0</v>
      </c>
      <c r="AP26" s="119">
        <v>0</v>
      </c>
      <c r="AQ26" s="119">
        <v>0</v>
      </c>
      <c r="AR26" s="119">
        <v>0</v>
      </c>
      <c r="AS26" t="s">
        <v>380</v>
      </c>
      <c r="AT26" s="119">
        <v>0</v>
      </c>
      <c r="AU26" s="119">
        <v>0</v>
      </c>
      <c r="AV26" s="119">
        <v>0</v>
      </c>
      <c r="AW26" s="119">
        <v>0</v>
      </c>
      <c r="AX26" s="119">
        <v>0</v>
      </c>
      <c r="AY26" s="119">
        <v>0</v>
      </c>
      <c r="AZ26" s="119">
        <v>0</v>
      </c>
      <c r="BA26" s="119">
        <v>0</v>
      </c>
      <c r="BB26" s="119">
        <v>0</v>
      </c>
      <c r="BC26" s="119">
        <v>0</v>
      </c>
      <c r="BD26" s="119">
        <v>0</v>
      </c>
      <c r="BE26" s="119">
        <v>0</v>
      </c>
      <c r="BF26" t="s">
        <v>381</v>
      </c>
      <c r="BG26" s="119">
        <v>0</v>
      </c>
      <c r="BH26" s="119">
        <v>0</v>
      </c>
      <c r="BI26" s="119">
        <v>0</v>
      </c>
      <c r="BJ26" s="119">
        <v>0</v>
      </c>
      <c r="BK26" s="119">
        <v>0</v>
      </c>
      <c r="BL26" s="119">
        <v>0</v>
      </c>
      <c r="BM26" s="119">
        <v>0</v>
      </c>
      <c r="BN26" s="119">
        <v>0</v>
      </c>
      <c r="BO26" s="119">
        <v>0</v>
      </c>
      <c r="BP26" s="119">
        <v>0</v>
      </c>
      <c r="BQ26" s="119">
        <v>0</v>
      </c>
      <c r="BR26" s="119">
        <v>0</v>
      </c>
      <c r="BS26" t="s">
        <v>382</v>
      </c>
      <c r="BT26" s="119">
        <v>0</v>
      </c>
      <c r="BU26" s="119">
        <v>0</v>
      </c>
      <c r="BV26" s="119">
        <v>0</v>
      </c>
      <c r="BW26" s="119">
        <v>0</v>
      </c>
      <c r="BX26" s="119">
        <v>0</v>
      </c>
      <c r="BY26" s="119">
        <v>0</v>
      </c>
      <c r="BZ26" s="119">
        <v>0</v>
      </c>
      <c r="CA26" s="119">
        <v>0</v>
      </c>
      <c r="CB26" s="119">
        <v>0</v>
      </c>
      <c r="CC26" s="119">
        <v>0</v>
      </c>
      <c r="CD26" s="119">
        <v>0</v>
      </c>
      <c r="CE26" s="119">
        <v>0</v>
      </c>
      <c r="CF26" t="s">
        <v>383</v>
      </c>
      <c r="CG26" s="119">
        <v>0</v>
      </c>
      <c r="CH26" s="119">
        <v>0</v>
      </c>
      <c r="CI26" s="119">
        <v>0</v>
      </c>
      <c r="CJ26" s="119">
        <v>0</v>
      </c>
      <c r="CK26" s="119">
        <v>0</v>
      </c>
      <c r="CL26" s="119">
        <v>0</v>
      </c>
      <c r="CM26" s="119">
        <v>0</v>
      </c>
      <c r="CN26" s="119">
        <v>0</v>
      </c>
      <c r="CO26" s="119">
        <v>0</v>
      </c>
      <c r="CP26" s="119">
        <v>0</v>
      </c>
      <c r="CQ26" s="119">
        <v>0</v>
      </c>
      <c r="CR26" s="119">
        <v>0</v>
      </c>
      <c r="CS26" t="s">
        <v>384</v>
      </c>
      <c r="CT26" s="119">
        <v>0</v>
      </c>
      <c r="CU26" s="119">
        <v>0</v>
      </c>
      <c r="CV26" s="119">
        <v>0</v>
      </c>
      <c r="CW26" s="119">
        <v>0</v>
      </c>
      <c r="CX26" s="119">
        <v>0</v>
      </c>
      <c r="CY26" s="119">
        <v>0</v>
      </c>
      <c r="CZ26" s="119">
        <v>0</v>
      </c>
      <c r="DA26" s="119">
        <v>0</v>
      </c>
      <c r="DB26" s="119">
        <v>0</v>
      </c>
      <c r="DC26" s="119">
        <v>0</v>
      </c>
      <c r="DD26" s="119">
        <v>0</v>
      </c>
      <c r="DE26" s="119">
        <v>0</v>
      </c>
      <c r="DF26" t="s">
        <v>385</v>
      </c>
      <c r="DG26" s="119">
        <v>0</v>
      </c>
      <c r="DH26" s="119">
        <v>0</v>
      </c>
      <c r="DI26" s="119">
        <v>0</v>
      </c>
      <c r="DJ26" s="119">
        <v>0</v>
      </c>
      <c r="DK26" s="119">
        <v>0</v>
      </c>
      <c r="DL26" s="119">
        <v>0</v>
      </c>
      <c r="DM26" s="119">
        <v>0</v>
      </c>
      <c r="DN26" s="119">
        <v>0</v>
      </c>
      <c r="DO26" s="119">
        <v>0</v>
      </c>
      <c r="DP26" s="119">
        <v>0</v>
      </c>
      <c r="DQ26" s="119">
        <v>0</v>
      </c>
      <c r="DR26" s="119">
        <v>0</v>
      </c>
      <c r="DS26" t="s">
        <v>386</v>
      </c>
      <c r="DT26" s="119">
        <v>0</v>
      </c>
      <c r="DU26" s="119">
        <v>0</v>
      </c>
      <c r="DV26" s="119">
        <v>0</v>
      </c>
      <c r="DW26" s="119">
        <v>0</v>
      </c>
      <c r="DX26" s="119">
        <v>0</v>
      </c>
      <c r="DY26" s="119">
        <v>0</v>
      </c>
      <c r="DZ26" s="119">
        <v>0</v>
      </c>
      <c r="EA26" s="119">
        <v>0</v>
      </c>
      <c r="EB26" s="119">
        <v>0</v>
      </c>
      <c r="EC26" s="119">
        <v>0</v>
      </c>
      <c r="ED26" s="119">
        <v>0</v>
      </c>
      <c r="EE26" s="119">
        <v>0</v>
      </c>
      <c r="EF26" t="s">
        <v>387</v>
      </c>
      <c r="EG26" s="119">
        <v>0</v>
      </c>
      <c r="EH26" s="119">
        <v>0</v>
      </c>
      <c r="EI26" s="119">
        <v>0</v>
      </c>
      <c r="EJ26" s="119">
        <v>0</v>
      </c>
      <c r="EK26" s="119">
        <v>0</v>
      </c>
      <c r="EL26" s="119">
        <v>0</v>
      </c>
      <c r="EM26" s="119">
        <v>0</v>
      </c>
      <c r="EN26" s="119">
        <v>0</v>
      </c>
      <c r="EO26" s="119">
        <v>0</v>
      </c>
      <c r="EP26" s="119">
        <v>0</v>
      </c>
      <c r="EQ26" s="119">
        <v>0</v>
      </c>
      <c r="ER26" s="119">
        <v>0</v>
      </c>
      <c r="ES26" t="s">
        <v>388</v>
      </c>
      <c r="ET26" s="119">
        <v>0</v>
      </c>
      <c r="EU26" s="119">
        <v>0</v>
      </c>
      <c r="EV26" s="119">
        <v>0</v>
      </c>
      <c r="EW26" s="119">
        <v>0</v>
      </c>
      <c r="EX26" s="119">
        <v>0</v>
      </c>
      <c r="EY26" s="119">
        <v>0</v>
      </c>
      <c r="EZ26" s="119">
        <v>0</v>
      </c>
      <c r="FA26" s="119">
        <v>0</v>
      </c>
      <c r="FB26" s="119">
        <v>0</v>
      </c>
      <c r="FC26" s="119">
        <v>0</v>
      </c>
      <c r="FD26" s="119">
        <v>0</v>
      </c>
      <c r="FE26" s="119">
        <v>0</v>
      </c>
      <c r="FF26" t="s">
        <v>389</v>
      </c>
      <c r="FG26" s="119">
        <v>0</v>
      </c>
      <c r="FH26" s="119">
        <v>0</v>
      </c>
      <c r="FI26" s="119">
        <v>0</v>
      </c>
      <c r="FJ26" s="119">
        <v>0</v>
      </c>
      <c r="FK26" s="119">
        <v>0</v>
      </c>
      <c r="FL26" s="119">
        <v>0</v>
      </c>
      <c r="FM26" s="119">
        <v>0</v>
      </c>
      <c r="FN26" s="119">
        <v>0</v>
      </c>
      <c r="FO26" s="119">
        <v>0</v>
      </c>
      <c r="FP26" s="119">
        <v>0</v>
      </c>
      <c r="FQ26" s="119">
        <v>0</v>
      </c>
      <c r="FR26" s="119">
        <v>0</v>
      </c>
      <c r="FS26" t="s">
        <v>390</v>
      </c>
      <c r="FT26" s="119">
        <v>0</v>
      </c>
      <c r="FU26" s="119">
        <v>0</v>
      </c>
      <c r="FV26" s="119">
        <v>0</v>
      </c>
      <c r="FW26" s="119">
        <v>0</v>
      </c>
      <c r="FX26" s="119">
        <v>0</v>
      </c>
      <c r="FY26" s="119">
        <v>0</v>
      </c>
      <c r="FZ26" s="119">
        <v>0</v>
      </c>
      <c r="GA26" s="119">
        <v>0</v>
      </c>
      <c r="GB26" s="119">
        <v>0</v>
      </c>
      <c r="GC26" s="119">
        <v>0</v>
      </c>
      <c r="GD26" s="119">
        <v>0</v>
      </c>
      <c r="GE26" s="119">
        <v>0</v>
      </c>
      <c r="GF26" t="s">
        <v>391</v>
      </c>
      <c r="GG26" s="119">
        <v>0</v>
      </c>
      <c r="GH26" s="119">
        <v>0</v>
      </c>
      <c r="GI26" s="119">
        <v>0</v>
      </c>
      <c r="GJ26" s="119">
        <v>0</v>
      </c>
      <c r="GK26" s="119">
        <v>0</v>
      </c>
      <c r="GL26" s="119">
        <v>0</v>
      </c>
      <c r="GM26" s="119">
        <v>0</v>
      </c>
      <c r="GN26" s="119">
        <v>0</v>
      </c>
      <c r="GO26" s="119">
        <v>0</v>
      </c>
      <c r="GP26" s="119">
        <v>0</v>
      </c>
      <c r="GQ26" s="119">
        <v>0</v>
      </c>
      <c r="GR26" s="119">
        <v>0</v>
      </c>
      <c r="GU26" s="119">
        <f t="shared" si="0"/>
        <v>51</v>
      </c>
      <c r="GV26" s="119">
        <f t="shared" si="0"/>
        <v>5.67</v>
      </c>
      <c r="GW26" s="119">
        <f t="shared" si="0"/>
        <v>56.67</v>
      </c>
      <c r="GX26" s="119">
        <f t="shared" si="0"/>
        <v>10</v>
      </c>
      <c r="GY26" s="119">
        <f t="shared" si="0"/>
        <v>50</v>
      </c>
      <c r="GZ26" s="119">
        <f t="shared" si="0"/>
        <v>50</v>
      </c>
      <c r="HA26" s="119">
        <f t="shared" si="0"/>
        <v>2500</v>
      </c>
      <c r="HB26" s="119">
        <f t="shared" si="0"/>
        <v>2505.67</v>
      </c>
      <c r="HC26" s="119">
        <f t="shared" si="0"/>
        <v>50.11</v>
      </c>
      <c r="HD26" s="119">
        <f t="shared" si="0"/>
        <v>2556.67</v>
      </c>
      <c r="HJ26"/>
      <c r="HK26" s="115"/>
      <c r="HR26" s="116"/>
      <c r="HT26" s="117"/>
      <c r="HY26"/>
      <c r="HZ26"/>
      <c r="IA26"/>
    </row>
    <row r="27" spans="1:235" x14ac:dyDescent="0.25">
      <c r="A27">
        <v>27</v>
      </c>
      <c r="B27" s="115">
        <v>43297</v>
      </c>
      <c r="C27" t="s">
        <v>424</v>
      </c>
      <c r="D27" t="s">
        <v>425</v>
      </c>
      <c r="E27" t="s">
        <v>430</v>
      </c>
      <c r="F27" t="s">
        <v>426</v>
      </c>
      <c r="G27" t="s">
        <v>427</v>
      </c>
      <c r="H27" t="s">
        <v>428</v>
      </c>
      <c r="I27" s="116">
        <v>21130</v>
      </c>
      <c r="J27" t="s">
        <v>429</v>
      </c>
      <c r="K27" s="117" t="s">
        <v>431</v>
      </c>
      <c r="N27" t="s">
        <v>423</v>
      </c>
      <c r="P27">
        <v>1</v>
      </c>
      <c r="Q27">
        <v>1</v>
      </c>
      <c r="R27">
        <v>205</v>
      </c>
      <c r="S27" t="s">
        <v>378</v>
      </c>
      <c r="T27" s="118">
        <v>500</v>
      </c>
      <c r="U27" s="118">
        <v>125</v>
      </c>
      <c r="V27" s="118">
        <v>625</v>
      </c>
      <c r="W27" s="119">
        <v>20</v>
      </c>
      <c r="X27" s="119">
        <v>20</v>
      </c>
      <c r="Y27" s="119">
        <v>20</v>
      </c>
      <c r="Z27" s="119">
        <v>400</v>
      </c>
      <c r="AA27" s="119">
        <v>525</v>
      </c>
      <c r="AB27" s="119">
        <v>26.25</v>
      </c>
      <c r="AC27" s="119">
        <v>1025</v>
      </c>
      <c r="AD27" s="119">
        <v>20</v>
      </c>
      <c r="AE27" s="119">
        <v>205</v>
      </c>
      <c r="AF27" t="s">
        <v>379</v>
      </c>
      <c r="AG27" s="119">
        <v>0</v>
      </c>
      <c r="AH27" s="119">
        <v>0</v>
      </c>
      <c r="AI27" s="119">
        <v>0</v>
      </c>
      <c r="AJ27" s="119">
        <v>0</v>
      </c>
      <c r="AK27" s="119">
        <v>0</v>
      </c>
      <c r="AL27" s="119">
        <v>0</v>
      </c>
      <c r="AM27" s="119">
        <v>0</v>
      </c>
      <c r="AN27" s="119">
        <v>0</v>
      </c>
      <c r="AO27" s="119">
        <v>0</v>
      </c>
      <c r="AP27" s="119">
        <v>0</v>
      </c>
      <c r="AQ27" s="119">
        <v>0</v>
      </c>
      <c r="AR27" s="119">
        <v>0</v>
      </c>
      <c r="AS27" t="s">
        <v>380</v>
      </c>
      <c r="AT27" s="119">
        <v>0</v>
      </c>
      <c r="AU27" s="119">
        <v>0</v>
      </c>
      <c r="AV27" s="119">
        <v>0</v>
      </c>
      <c r="AW27" s="119">
        <v>0</v>
      </c>
      <c r="AX27" s="119">
        <v>0</v>
      </c>
      <c r="AY27" s="119">
        <v>0</v>
      </c>
      <c r="AZ27" s="119">
        <v>0</v>
      </c>
      <c r="BA27" s="119">
        <v>0</v>
      </c>
      <c r="BB27" s="119">
        <v>0</v>
      </c>
      <c r="BC27" s="119">
        <v>0</v>
      </c>
      <c r="BD27" s="119">
        <v>0</v>
      </c>
      <c r="BE27" s="119">
        <v>0</v>
      </c>
      <c r="BF27" t="s">
        <v>381</v>
      </c>
      <c r="BG27" s="119">
        <v>0</v>
      </c>
      <c r="BH27" s="119">
        <v>0</v>
      </c>
      <c r="BI27" s="119">
        <v>0</v>
      </c>
      <c r="BJ27" s="119">
        <v>0</v>
      </c>
      <c r="BK27" s="119">
        <v>0</v>
      </c>
      <c r="BL27" s="119">
        <v>0</v>
      </c>
      <c r="BM27" s="119">
        <v>0</v>
      </c>
      <c r="BN27" s="119">
        <v>0</v>
      </c>
      <c r="BO27" s="119">
        <v>0</v>
      </c>
      <c r="BP27" s="119">
        <v>0</v>
      </c>
      <c r="BQ27" s="119">
        <v>0</v>
      </c>
      <c r="BR27" s="119">
        <v>0</v>
      </c>
      <c r="BS27" t="s">
        <v>382</v>
      </c>
      <c r="BT27" s="119">
        <v>0</v>
      </c>
      <c r="BU27" s="119">
        <v>0</v>
      </c>
      <c r="BV27" s="119">
        <v>0</v>
      </c>
      <c r="BW27" s="119">
        <v>0</v>
      </c>
      <c r="BX27" s="119">
        <v>0</v>
      </c>
      <c r="BY27" s="119">
        <v>0</v>
      </c>
      <c r="BZ27" s="119">
        <v>0</v>
      </c>
      <c r="CA27" s="119">
        <v>0</v>
      </c>
      <c r="CB27" s="119">
        <v>0</v>
      </c>
      <c r="CC27" s="119">
        <v>0</v>
      </c>
      <c r="CD27" s="119">
        <v>0</v>
      </c>
      <c r="CE27" s="119">
        <v>0</v>
      </c>
      <c r="CF27" t="s">
        <v>383</v>
      </c>
      <c r="CG27" s="119">
        <v>0</v>
      </c>
      <c r="CH27" s="119">
        <v>0</v>
      </c>
      <c r="CI27" s="119">
        <v>0</v>
      </c>
      <c r="CJ27" s="119">
        <v>0</v>
      </c>
      <c r="CK27" s="119">
        <v>0</v>
      </c>
      <c r="CL27" s="119">
        <v>0</v>
      </c>
      <c r="CM27" s="119">
        <v>0</v>
      </c>
      <c r="CN27" s="119">
        <v>0</v>
      </c>
      <c r="CO27" s="119">
        <v>0</v>
      </c>
      <c r="CP27" s="119">
        <v>0</v>
      </c>
      <c r="CQ27" s="119">
        <v>0</v>
      </c>
      <c r="CR27" s="119">
        <v>0</v>
      </c>
      <c r="CS27" t="s">
        <v>384</v>
      </c>
      <c r="CT27" s="119">
        <v>0</v>
      </c>
      <c r="CU27" s="119">
        <v>0</v>
      </c>
      <c r="CV27" s="119">
        <v>0</v>
      </c>
      <c r="CW27" s="119">
        <v>0</v>
      </c>
      <c r="CX27" s="119">
        <v>0</v>
      </c>
      <c r="CY27" s="119">
        <v>0</v>
      </c>
      <c r="CZ27" s="119">
        <v>0</v>
      </c>
      <c r="DA27" s="119">
        <v>0</v>
      </c>
      <c r="DB27" s="119">
        <v>0</v>
      </c>
      <c r="DC27" s="119">
        <v>0</v>
      </c>
      <c r="DD27" s="119">
        <v>0</v>
      </c>
      <c r="DE27" s="119">
        <v>0</v>
      </c>
      <c r="DF27" t="s">
        <v>385</v>
      </c>
      <c r="DG27" s="119">
        <v>0</v>
      </c>
      <c r="DH27" s="119">
        <v>0</v>
      </c>
      <c r="DI27" s="119">
        <v>0</v>
      </c>
      <c r="DJ27" s="119">
        <v>0</v>
      </c>
      <c r="DK27" s="119">
        <v>0</v>
      </c>
      <c r="DL27" s="119">
        <v>0</v>
      </c>
      <c r="DM27" s="119">
        <v>0</v>
      </c>
      <c r="DN27" s="119">
        <v>0</v>
      </c>
      <c r="DO27" s="119">
        <v>0</v>
      </c>
      <c r="DP27" s="119">
        <v>0</v>
      </c>
      <c r="DQ27" s="119">
        <v>0</v>
      </c>
      <c r="DR27" s="119">
        <v>0</v>
      </c>
      <c r="DS27" t="s">
        <v>386</v>
      </c>
      <c r="DT27" s="119">
        <v>0</v>
      </c>
      <c r="DU27" s="119">
        <v>0</v>
      </c>
      <c r="DV27" s="119">
        <v>0</v>
      </c>
      <c r="DW27" s="119">
        <v>0</v>
      </c>
      <c r="DX27" s="119">
        <v>0</v>
      </c>
      <c r="DY27" s="119">
        <v>0</v>
      </c>
      <c r="DZ27" s="119">
        <v>0</v>
      </c>
      <c r="EA27" s="119">
        <v>0</v>
      </c>
      <c r="EB27" s="119">
        <v>0</v>
      </c>
      <c r="EC27" s="119">
        <v>0</v>
      </c>
      <c r="ED27" s="119">
        <v>0</v>
      </c>
      <c r="EE27" s="119">
        <v>0</v>
      </c>
      <c r="EF27" t="s">
        <v>387</v>
      </c>
      <c r="EG27" s="119">
        <v>0</v>
      </c>
      <c r="EH27" s="119">
        <v>0</v>
      </c>
      <c r="EI27" s="119">
        <v>0</v>
      </c>
      <c r="EJ27" s="119">
        <v>0</v>
      </c>
      <c r="EK27" s="119">
        <v>0</v>
      </c>
      <c r="EL27" s="119">
        <v>0</v>
      </c>
      <c r="EM27" s="119">
        <v>0</v>
      </c>
      <c r="EN27" s="119">
        <v>0</v>
      </c>
      <c r="EO27" s="119">
        <v>0</v>
      </c>
      <c r="EP27" s="119">
        <v>0</v>
      </c>
      <c r="EQ27" s="119">
        <v>0</v>
      </c>
      <c r="ER27" s="119">
        <v>0</v>
      </c>
      <c r="ES27" t="s">
        <v>388</v>
      </c>
      <c r="ET27" s="119">
        <v>0</v>
      </c>
      <c r="EU27" s="119">
        <v>0</v>
      </c>
      <c r="EV27" s="119">
        <v>0</v>
      </c>
      <c r="EW27" s="119">
        <v>0</v>
      </c>
      <c r="EX27" s="119">
        <v>0</v>
      </c>
      <c r="EY27" s="119">
        <v>0</v>
      </c>
      <c r="EZ27" s="119">
        <v>0</v>
      </c>
      <c r="FA27" s="119">
        <v>0</v>
      </c>
      <c r="FB27" s="119">
        <v>0</v>
      </c>
      <c r="FC27" s="119">
        <v>0</v>
      </c>
      <c r="FD27" s="119">
        <v>0</v>
      </c>
      <c r="FE27" s="119">
        <v>0</v>
      </c>
      <c r="FF27" t="s">
        <v>389</v>
      </c>
      <c r="FG27" s="119">
        <v>0</v>
      </c>
      <c r="FH27" s="119">
        <v>0</v>
      </c>
      <c r="FI27" s="119">
        <v>0</v>
      </c>
      <c r="FJ27" s="119">
        <v>0</v>
      </c>
      <c r="FK27" s="119">
        <v>0</v>
      </c>
      <c r="FL27" s="119">
        <v>0</v>
      </c>
      <c r="FM27" s="119">
        <v>0</v>
      </c>
      <c r="FN27" s="119">
        <v>0</v>
      </c>
      <c r="FO27" s="119">
        <v>0</v>
      </c>
      <c r="FP27" s="119">
        <v>0</v>
      </c>
      <c r="FQ27" s="119">
        <v>0</v>
      </c>
      <c r="FR27" s="119">
        <v>0</v>
      </c>
      <c r="FS27" t="s">
        <v>390</v>
      </c>
      <c r="FT27" s="119">
        <v>0</v>
      </c>
      <c r="FU27" s="119">
        <v>0</v>
      </c>
      <c r="FV27" s="119">
        <v>0</v>
      </c>
      <c r="FW27" s="119">
        <v>0</v>
      </c>
      <c r="FX27" s="119">
        <v>0</v>
      </c>
      <c r="FY27" s="119">
        <v>0</v>
      </c>
      <c r="FZ27" s="119">
        <v>0</v>
      </c>
      <c r="GA27" s="119">
        <v>0</v>
      </c>
      <c r="GB27" s="119">
        <v>0</v>
      </c>
      <c r="GC27" s="119">
        <v>0</v>
      </c>
      <c r="GD27" s="119">
        <v>0</v>
      </c>
      <c r="GE27" s="119">
        <v>0</v>
      </c>
      <c r="GF27" t="s">
        <v>391</v>
      </c>
      <c r="GG27" s="119">
        <v>0</v>
      </c>
      <c r="GH27" s="119">
        <v>0</v>
      </c>
      <c r="GI27" s="119">
        <v>0</v>
      </c>
      <c r="GJ27" s="119">
        <v>0</v>
      </c>
      <c r="GK27" s="119">
        <v>0</v>
      </c>
      <c r="GL27" s="119">
        <v>0</v>
      </c>
      <c r="GM27" s="119">
        <v>0</v>
      </c>
      <c r="GN27" s="119">
        <v>0</v>
      </c>
      <c r="GO27" s="119">
        <v>0</v>
      </c>
      <c r="GP27" s="119">
        <v>0</v>
      </c>
      <c r="GQ27" s="119">
        <v>0</v>
      </c>
      <c r="GR27" s="119">
        <v>0</v>
      </c>
      <c r="GU27" s="119">
        <f t="shared" si="0"/>
        <v>500</v>
      </c>
      <c r="GV27" s="119">
        <f t="shared" si="0"/>
        <v>55.56</v>
      </c>
      <c r="GW27" s="119">
        <f t="shared" si="0"/>
        <v>555.55999999999995</v>
      </c>
      <c r="GX27" s="119">
        <f t="shared" si="0"/>
        <v>10</v>
      </c>
      <c r="GY27" s="119">
        <f t="shared" si="0"/>
        <v>10</v>
      </c>
      <c r="GZ27" s="119">
        <f t="shared" si="0"/>
        <v>10</v>
      </c>
      <c r="HA27" s="119">
        <f t="shared" si="0"/>
        <v>100</v>
      </c>
      <c r="HB27" s="119">
        <f t="shared" si="0"/>
        <v>155.56</v>
      </c>
      <c r="HC27" s="119">
        <f t="shared" si="0"/>
        <v>15.56</v>
      </c>
      <c r="HD27" s="119">
        <f t="shared" si="0"/>
        <v>655.56</v>
      </c>
      <c r="HJ27"/>
      <c r="HK27" s="115"/>
      <c r="HR27" s="116"/>
      <c r="HT27" s="117"/>
      <c r="HY27"/>
      <c r="HZ27"/>
      <c r="IA27"/>
    </row>
    <row r="28" spans="1:235" x14ac:dyDescent="0.25">
      <c r="A28">
        <v>28</v>
      </c>
      <c r="B28" s="115">
        <v>43297</v>
      </c>
      <c r="C28" t="s">
        <v>392</v>
      </c>
      <c r="D28" t="s">
        <v>393</v>
      </c>
      <c r="E28" t="s">
        <v>394</v>
      </c>
      <c r="H28" t="s">
        <v>397</v>
      </c>
      <c r="I28" s="116">
        <v>25000</v>
      </c>
      <c r="J28" t="s">
        <v>398</v>
      </c>
      <c r="K28" s="117" t="s">
        <v>399</v>
      </c>
      <c r="N28" t="s">
        <v>423</v>
      </c>
      <c r="P28">
        <v>232</v>
      </c>
      <c r="Q28">
        <v>211</v>
      </c>
      <c r="R28">
        <v>21</v>
      </c>
      <c r="S28" t="s">
        <v>378</v>
      </c>
      <c r="T28" s="118">
        <v>100</v>
      </c>
      <c r="U28" s="118">
        <v>11.11</v>
      </c>
      <c r="V28" s="118">
        <v>111.11</v>
      </c>
      <c r="W28" s="119">
        <v>10</v>
      </c>
      <c r="X28" s="119">
        <v>10</v>
      </c>
      <c r="Y28" s="119">
        <v>10</v>
      </c>
      <c r="Z28" s="119">
        <v>100</v>
      </c>
      <c r="AA28" s="119">
        <v>111.11</v>
      </c>
      <c r="AB28" s="119">
        <v>11.11</v>
      </c>
      <c r="AC28" s="119">
        <v>211.11</v>
      </c>
      <c r="AD28" s="119">
        <v>10</v>
      </c>
      <c r="AE28" s="119">
        <v>21.11</v>
      </c>
      <c r="AF28" t="s">
        <v>379</v>
      </c>
      <c r="AG28" s="119">
        <v>0</v>
      </c>
      <c r="AH28" s="119">
        <v>0</v>
      </c>
      <c r="AI28" s="119">
        <v>0</v>
      </c>
      <c r="AJ28" s="119">
        <v>0</v>
      </c>
      <c r="AK28" s="119">
        <v>0</v>
      </c>
      <c r="AL28" s="119">
        <v>0</v>
      </c>
      <c r="AM28" s="119">
        <v>0</v>
      </c>
      <c r="AN28" s="119">
        <v>0</v>
      </c>
      <c r="AO28" s="119">
        <v>0</v>
      </c>
      <c r="AP28" s="119">
        <v>0</v>
      </c>
      <c r="AQ28" s="119">
        <v>0</v>
      </c>
      <c r="AR28" s="119">
        <v>0</v>
      </c>
      <c r="AS28" t="s">
        <v>380</v>
      </c>
      <c r="AT28" s="119">
        <v>0</v>
      </c>
      <c r="AU28" s="119">
        <v>0</v>
      </c>
      <c r="AV28" s="119">
        <v>0</v>
      </c>
      <c r="AW28" s="119">
        <v>0</v>
      </c>
      <c r="AX28" s="119">
        <v>0</v>
      </c>
      <c r="AY28" s="119">
        <v>0</v>
      </c>
      <c r="AZ28" s="119">
        <v>0</v>
      </c>
      <c r="BA28" s="119">
        <v>0</v>
      </c>
      <c r="BB28" s="119">
        <v>0</v>
      </c>
      <c r="BC28" s="119">
        <v>0</v>
      </c>
      <c r="BD28" s="119">
        <v>0</v>
      </c>
      <c r="BE28" s="119">
        <v>0</v>
      </c>
      <c r="BF28" t="s">
        <v>381</v>
      </c>
      <c r="BG28" s="119">
        <v>0</v>
      </c>
      <c r="BH28" s="119">
        <v>0</v>
      </c>
      <c r="BI28" s="119">
        <v>0</v>
      </c>
      <c r="BJ28" s="119">
        <v>0</v>
      </c>
      <c r="BK28" s="119">
        <v>0</v>
      </c>
      <c r="BL28" s="119">
        <v>0</v>
      </c>
      <c r="BM28" s="119">
        <v>0</v>
      </c>
      <c r="BN28" s="119">
        <v>0</v>
      </c>
      <c r="BO28" s="119">
        <v>0</v>
      </c>
      <c r="BP28" s="119">
        <v>0</v>
      </c>
      <c r="BQ28" s="119">
        <v>0</v>
      </c>
      <c r="BR28" s="119">
        <v>0</v>
      </c>
      <c r="BS28" t="s">
        <v>382</v>
      </c>
      <c r="BT28" s="119">
        <v>0</v>
      </c>
      <c r="BU28" s="119">
        <v>0</v>
      </c>
      <c r="BV28" s="119">
        <v>0</v>
      </c>
      <c r="BW28" s="119">
        <v>0</v>
      </c>
      <c r="BX28" s="119">
        <v>0</v>
      </c>
      <c r="BY28" s="119">
        <v>0</v>
      </c>
      <c r="BZ28" s="119">
        <v>0</v>
      </c>
      <c r="CA28" s="119">
        <v>0</v>
      </c>
      <c r="CB28" s="119">
        <v>0</v>
      </c>
      <c r="CC28" s="119">
        <v>0</v>
      </c>
      <c r="CD28" s="119">
        <v>0</v>
      </c>
      <c r="CE28" s="119">
        <v>0</v>
      </c>
      <c r="CF28" t="s">
        <v>383</v>
      </c>
      <c r="CG28" s="119">
        <v>0</v>
      </c>
      <c r="CH28" s="119">
        <v>0</v>
      </c>
      <c r="CI28" s="119">
        <v>0</v>
      </c>
      <c r="CJ28" s="119">
        <v>0</v>
      </c>
      <c r="CK28" s="119">
        <v>0</v>
      </c>
      <c r="CL28" s="119">
        <v>0</v>
      </c>
      <c r="CM28" s="119">
        <v>0</v>
      </c>
      <c r="CN28" s="119">
        <v>0</v>
      </c>
      <c r="CO28" s="119">
        <v>0</v>
      </c>
      <c r="CP28" s="119">
        <v>0</v>
      </c>
      <c r="CQ28" s="119">
        <v>0</v>
      </c>
      <c r="CR28" s="119">
        <v>0</v>
      </c>
      <c r="CS28" t="s">
        <v>384</v>
      </c>
      <c r="CT28" s="119">
        <v>0</v>
      </c>
      <c r="CU28" s="119">
        <v>0</v>
      </c>
      <c r="CV28" s="119">
        <v>0</v>
      </c>
      <c r="CW28" s="119">
        <v>0</v>
      </c>
      <c r="CX28" s="119">
        <v>0</v>
      </c>
      <c r="CY28" s="119">
        <v>0</v>
      </c>
      <c r="CZ28" s="119">
        <v>0</v>
      </c>
      <c r="DA28" s="119">
        <v>0</v>
      </c>
      <c r="DB28" s="119">
        <v>0</v>
      </c>
      <c r="DC28" s="119">
        <v>0</v>
      </c>
      <c r="DD28" s="119">
        <v>0</v>
      </c>
      <c r="DE28" s="119">
        <v>0</v>
      </c>
      <c r="DF28" t="s">
        <v>385</v>
      </c>
      <c r="DG28" s="119">
        <v>0</v>
      </c>
      <c r="DH28" s="119">
        <v>0</v>
      </c>
      <c r="DI28" s="119">
        <v>0</v>
      </c>
      <c r="DJ28" s="119">
        <v>0</v>
      </c>
      <c r="DK28" s="119">
        <v>0</v>
      </c>
      <c r="DL28" s="119">
        <v>0</v>
      </c>
      <c r="DM28" s="119">
        <v>0</v>
      </c>
      <c r="DN28" s="119">
        <v>0</v>
      </c>
      <c r="DO28" s="119">
        <v>0</v>
      </c>
      <c r="DP28" s="119">
        <v>0</v>
      </c>
      <c r="DQ28" s="119">
        <v>0</v>
      </c>
      <c r="DR28" s="119">
        <v>0</v>
      </c>
      <c r="DS28" t="s">
        <v>386</v>
      </c>
      <c r="DT28" s="119">
        <v>0</v>
      </c>
      <c r="DU28" s="119">
        <v>0</v>
      </c>
      <c r="DV28" s="119">
        <v>0</v>
      </c>
      <c r="DW28" s="119">
        <v>0</v>
      </c>
      <c r="DX28" s="119">
        <v>0</v>
      </c>
      <c r="DY28" s="119">
        <v>0</v>
      </c>
      <c r="DZ28" s="119">
        <v>0</v>
      </c>
      <c r="EA28" s="119">
        <v>0</v>
      </c>
      <c r="EB28" s="119">
        <v>0</v>
      </c>
      <c r="EC28" s="119">
        <v>0</v>
      </c>
      <c r="ED28" s="119">
        <v>0</v>
      </c>
      <c r="EE28" s="119">
        <v>0</v>
      </c>
      <c r="EF28" t="s">
        <v>387</v>
      </c>
      <c r="EG28" s="119">
        <v>0</v>
      </c>
      <c r="EH28" s="119">
        <v>0</v>
      </c>
      <c r="EI28" s="119">
        <v>0</v>
      </c>
      <c r="EJ28" s="119">
        <v>0</v>
      </c>
      <c r="EK28" s="119">
        <v>0</v>
      </c>
      <c r="EL28" s="119">
        <v>0</v>
      </c>
      <c r="EM28" s="119">
        <v>0</v>
      </c>
      <c r="EN28" s="119">
        <v>0</v>
      </c>
      <c r="EO28" s="119">
        <v>0</v>
      </c>
      <c r="EP28" s="119">
        <v>0</v>
      </c>
      <c r="EQ28" s="119">
        <v>0</v>
      </c>
      <c r="ER28" s="119">
        <v>0</v>
      </c>
      <c r="ES28" t="s">
        <v>388</v>
      </c>
      <c r="ET28" s="119">
        <v>0</v>
      </c>
      <c r="EU28" s="119">
        <v>0</v>
      </c>
      <c r="EV28" s="119">
        <v>0</v>
      </c>
      <c r="EW28" s="119">
        <v>0</v>
      </c>
      <c r="EX28" s="119">
        <v>0</v>
      </c>
      <c r="EY28" s="119">
        <v>0</v>
      </c>
      <c r="EZ28" s="119">
        <v>0</v>
      </c>
      <c r="FA28" s="119">
        <v>0</v>
      </c>
      <c r="FB28" s="119">
        <v>0</v>
      </c>
      <c r="FC28" s="119">
        <v>0</v>
      </c>
      <c r="FD28" s="119">
        <v>0</v>
      </c>
      <c r="FE28" s="119">
        <v>0</v>
      </c>
      <c r="FF28" t="s">
        <v>389</v>
      </c>
      <c r="FG28" s="119">
        <v>0</v>
      </c>
      <c r="FH28" s="119">
        <v>0</v>
      </c>
      <c r="FI28" s="119">
        <v>0</v>
      </c>
      <c r="FJ28" s="119">
        <v>0</v>
      </c>
      <c r="FK28" s="119">
        <v>0</v>
      </c>
      <c r="FL28" s="119">
        <v>0</v>
      </c>
      <c r="FM28" s="119">
        <v>0</v>
      </c>
      <c r="FN28" s="119">
        <v>0</v>
      </c>
      <c r="FO28" s="119">
        <v>0</v>
      </c>
      <c r="FP28" s="119">
        <v>0</v>
      </c>
      <c r="FQ28" s="119">
        <v>0</v>
      </c>
      <c r="FR28" s="119">
        <v>0</v>
      </c>
      <c r="FS28" t="s">
        <v>390</v>
      </c>
      <c r="FT28" s="119">
        <v>0</v>
      </c>
      <c r="FU28" s="119">
        <v>0</v>
      </c>
      <c r="FV28" s="119">
        <v>0</v>
      </c>
      <c r="FW28" s="119">
        <v>0</v>
      </c>
      <c r="FX28" s="119">
        <v>0</v>
      </c>
      <c r="FY28" s="119">
        <v>0</v>
      </c>
      <c r="FZ28" s="119">
        <v>0</v>
      </c>
      <c r="GA28" s="119">
        <v>0</v>
      </c>
      <c r="GB28" s="119">
        <v>0</v>
      </c>
      <c r="GC28" s="119">
        <v>0</v>
      </c>
      <c r="GD28" s="119">
        <v>0</v>
      </c>
      <c r="GE28" s="119">
        <v>0</v>
      </c>
      <c r="GF28" t="s">
        <v>391</v>
      </c>
      <c r="GG28" s="119">
        <v>0</v>
      </c>
      <c r="GH28" s="119">
        <v>0</v>
      </c>
      <c r="GI28" s="119">
        <v>0</v>
      </c>
      <c r="GJ28" s="119">
        <v>0</v>
      </c>
      <c r="GK28" s="119">
        <v>0</v>
      </c>
      <c r="GL28" s="119">
        <v>0</v>
      </c>
      <c r="GM28" s="119">
        <v>0</v>
      </c>
      <c r="GN28" s="119">
        <v>0</v>
      </c>
      <c r="GO28" s="119">
        <v>0</v>
      </c>
      <c r="GP28" s="119">
        <v>0</v>
      </c>
      <c r="GQ28" s="119">
        <v>0</v>
      </c>
      <c r="GR28" s="119">
        <v>0</v>
      </c>
      <c r="GU28" s="119">
        <f t="shared" si="0"/>
        <v>2500</v>
      </c>
      <c r="GV28" s="119">
        <f t="shared" si="0"/>
        <v>277.77999999999997</v>
      </c>
      <c r="GW28" s="119">
        <f t="shared" si="0"/>
        <v>2777.78</v>
      </c>
      <c r="GX28" s="119">
        <f t="shared" si="0"/>
        <v>10</v>
      </c>
      <c r="GY28" s="119">
        <f t="shared" si="0"/>
        <v>10</v>
      </c>
      <c r="GZ28" s="119">
        <f t="shared" si="0"/>
        <v>10</v>
      </c>
      <c r="HA28" s="119">
        <f t="shared" si="0"/>
        <v>100</v>
      </c>
      <c r="HB28" s="119">
        <f t="shared" si="0"/>
        <v>377.78</v>
      </c>
      <c r="HC28" s="119">
        <f t="shared" si="0"/>
        <v>37.78</v>
      </c>
      <c r="HD28" s="119">
        <f t="shared" si="0"/>
        <v>2877.78</v>
      </c>
      <c r="HJ28"/>
      <c r="HK28" s="115"/>
      <c r="HR28" s="116"/>
      <c r="HT28" s="117"/>
      <c r="HY28"/>
      <c r="HZ28"/>
      <c r="IA28"/>
    </row>
    <row r="29" spans="1:235" x14ac:dyDescent="0.25">
      <c r="A29">
        <v>29</v>
      </c>
      <c r="B29" s="115">
        <v>43297</v>
      </c>
      <c r="C29" t="s">
        <v>424</v>
      </c>
      <c r="D29" t="s">
        <v>425</v>
      </c>
      <c r="E29" t="s">
        <v>430</v>
      </c>
      <c r="F29" t="s">
        <v>426</v>
      </c>
      <c r="G29" t="s">
        <v>427</v>
      </c>
      <c r="H29" t="s">
        <v>428</v>
      </c>
      <c r="I29" s="116">
        <v>21130</v>
      </c>
      <c r="J29" t="s">
        <v>429</v>
      </c>
      <c r="K29" s="117" t="s">
        <v>431</v>
      </c>
      <c r="N29" t="s">
        <v>423</v>
      </c>
      <c r="P29">
        <v>721</v>
      </c>
      <c r="Q29">
        <v>655</v>
      </c>
      <c r="R29">
        <v>65</v>
      </c>
      <c r="S29" t="s">
        <v>378</v>
      </c>
      <c r="T29" s="118">
        <v>500</v>
      </c>
      <c r="U29" s="118">
        <v>55.56</v>
      </c>
      <c r="V29" s="118">
        <v>555.55999999999995</v>
      </c>
      <c r="W29" s="119">
        <v>10</v>
      </c>
      <c r="X29" s="119">
        <v>10</v>
      </c>
      <c r="Y29" s="119">
        <v>10</v>
      </c>
      <c r="Z29" s="119">
        <v>100</v>
      </c>
      <c r="AA29" s="119">
        <v>155.56</v>
      </c>
      <c r="AB29" s="119">
        <v>15.56</v>
      </c>
      <c r="AC29" s="119">
        <v>655.56</v>
      </c>
      <c r="AD29" s="119">
        <v>10</v>
      </c>
      <c r="AE29" s="119">
        <v>65.56</v>
      </c>
      <c r="AF29" t="s">
        <v>379</v>
      </c>
      <c r="AG29" s="119">
        <v>0</v>
      </c>
      <c r="AH29" s="119">
        <v>0</v>
      </c>
      <c r="AI29" s="119">
        <v>0</v>
      </c>
      <c r="AJ29" s="119">
        <v>0</v>
      </c>
      <c r="AK29" s="119">
        <v>0</v>
      </c>
      <c r="AL29" s="119">
        <v>0</v>
      </c>
      <c r="AM29" s="119">
        <v>0</v>
      </c>
      <c r="AN29" s="119">
        <v>0</v>
      </c>
      <c r="AO29" s="119">
        <v>0</v>
      </c>
      <c r="AP29" s="119">
        <v>0</v>
      </c>
      <c r="AQ29" s="119">
        <v>0</v>
      </c>
      <c r="AR29" s="119">
        <v>0</v>
      </c>
      <c r="AS29" t="s">
        <v>380</v>
      </c>
      <c r="AT29" s="119">
        <v>0</v>
      </c>
      <c r="AU29" s="119">
        <v>0</v>
      </c>
      <c r="AV29" s="119">
        <v>0</v>
      </c>
      <c r="AW29" s="119">
        <v>0</v>
      </c>
      <c r="AX29" s="119">
        <v>0</v>
      </c>
      <c r="AY29" s="119">
        <v>0</v>
      </c>
      <c r="AZ29" s="119">
        <v>0</v>
      </c>
      <c r="BA29" s="119">
        <v>0</v>
      </c>
      <c r="BB29" s="119">
        <v>0</v>
      </c>
      <c r="BC29" s="119">
        <v>0</v>
      </c>
      <c r="BD29" s="119">
        <v>0</v>
      </c>
      <c r="BE29" s="119">
        <v>0</v>
      </c>
      <c r="BF29" t="s">
        <v>381</v>
      </c>
      <c r="BG29" s="119">
        <v>0</v>
      </c>
      <c r="BH29" s="119">
        <v>0</v>
      </c>
      <c r="BI29" s="119">
        <v>0</v>
      </c>
      <c r="BJ29" s="119">
        <v>0</v>
      </c>
      <c r="BK29" s="119">
        <v>0</v>
      </c>
      <c r="BL29" s="119">
        <v>0</v>
      </c>
      <c r="BM29" s="119">
        <v>0</v>
      </c>
      <c r="BN29" s="119">
        <v>0</v>
      </c>
      <c r="BO29" s="119">
        <v>0</v>
      </c>
      <c r="BP29" s="119">
        <v>0</v>
      </c>
      <c r="BQ29" s="119">
        <v>0</v>
      </c>
      <c r="BR29" s="119">
        <v>0</v>
      </c>
      <c r="BS29" t="s">
        <v>382</v>
      </c>
      <c r="BT29" s="119">
        <v>0</v>
      </c>
      <c r="BU29" s="119">
        <v>0</v>
      </c>
      <c r="BV29" s="119">
        <v>0</v>
      </c>
      <c r="BW29" s="119">
        <v>0</v>
      </c>
      <c r="BX29" s="119">
        <v>0</v>
      </c>
      <c r="BY29" s="119">
        <v>0</v>
      </c>
      <c r="BZ29" s="119">
        <v>0</v>
      </c>
      <c r="CA29" s="119">
        <v>0</v>
      </c>
      <c r="CB29" s="119">
        <v>0</v>
      </c>
      <c r="CC29" s="119">
        <v>0</v>
      </c>
      <c r="CD29" s="119">
        <v>0</v>
      </c>
      <c r="CE29" s="119">
        <v>0</v>
      </c>
      <c r="CF29" t="s">
        <v>383</v>
      </c>
      <c r="CG29" s="119">
        <v>0</v>
      </c>
      <c r="CH29" s="119">
        <v>0</v>
      </c>
      <c r="CI29" s="119">
        <v>0</v>
      </c>
      <c r="CJ29" s="119">
        <v>0</v>
      </c>
      <c r="CK29" s="119">
        <v>0</v>
      </c>
      <c r="CL29" s="119">
        <v>0</v>
      </c>
      <c r="CM29" s="119">
        <v>0</v>
      </c>
      <c r="CN29" s="119">
        <v>0</v>
      </c>
      <c r="CO29" s="119">
        <v>0</v>
      </c>
      <c r="CP29" s="119">
        <v>0</v>
      </c>
      <c r="CQ29" s="119">
        <v>0</v>
      </c>
      <c r="CR29" s="119">
        <v>0</v>
      </c>
      <c r="CS29" t="s">
        <v>384</v>
      </c>
      <c r="CT29" s="119">
        <v>0</v>
      </c>
      <c r="CU29" s="119">
        <v>0</v>
      </c>
      <c r="CV29" s="119">
        <v>0</v>
      </c>
      <c r="CW29" s="119">
        <v>0</v>
      </c>
      <c r="CX29" s="119">
        <v>0</v>
      </c>
      <c r="CY29" s="119">
        <v>0</v>
      </c>
      <c r="CZ29" s="119">
        <v>0</v>
      </c>
      <c r="DA29" s="119">
        <v>0</v>
      </c>
      <c r="DB29" s="119">
        <v>0</v>
      </c>
      <c r="DC29" s="119">
        <v>0</v>
      </c>
      <c r="DD29" s="119">
        <v>0</v>
      </c>
      <c r="DE29" s="119">
        <v>0</v>
      </c>
      <c r="DF29" t="s">
        <v>385</v>
      </c>
      <c r="DG29" s="119">
        <v>0</v>
      </c>
      <c r="DH29" s="119">
        <v>0</v>
      </c>
      <c r="DI29" s="119">
        <v>0</v>
      </c>
      <c r="DJ29" s="119">
        <v>0</v>
      </c>
      <c r="DK29" s="119">
        <v>0</v>
      </c>
      <c r="DL29" s="119">
        <v>0</v>
      </c>
      <c r="DM29" s="119">
        <v>0</v>
      </c>
      <c r="DN29" s="119">
        <v>0</v>
      </c>
      <c r="DO29" s="119">
        <v>0</v>
      </c>
      <c r="DP29" s="119">
        <v>0</v>
      </c>
      <c r="DQ29" s="119">
        <v>0</v>
      </c>
      <c r="DR29" s="119">
        <v>0</v>
      </c>
      <c r="DS29" t="s">
        <v>386</v>
      </c>
      <c r="DT29" s="119">
        <v>0</v>
      </c>
      <c r="DU29" s="119">
        <v>0</v>
      </c>
      <c r="DV29" s="119">
        <v>0</v>
      </c>
      <c r="DW29" s="119">
        <v>0</v>
      </c>
      <c r="DX29" s="119">
        <v>0</v>
      </c>
      <c r="DY29" s="119">
        <v>0</v>
      </c>
      <c r="DZ29" s="119">
        <v>0</v>
      </c>
      <c r="EA29" s="119">
        <v>0</v>
      </c>
      <c r="EB29" s="119">
        <v>0</v>
      </c>
      <c r="EC29" s="119">
        <v>0</v>
      </c>
      <c r="ED29" s="119">
        <v>0</v>
      </c>
      <c r="EE29" s="119">
        <v>0</v>
      </c>
      <c r="EF29" t="s">
        <v>387</v>
      </c>
      <c r="EG29" s="119">
        <v>0</v>
      </c>
      <c r="EH29" s="119">
        <v>0</v>
      </c>
      <c r="EI29" s="119">
        <v>0</v>
      </c>
      <c r="EJ29" s="119">
        <v>0</v>
      </c>
      <c r="EK29" s="119">
        <v>0</v>
      </c>
      <c r="EL29" s="119">
        <v>0</v>
      </c>
      <c r="EM29" s="119">
        <v>0</v>
      </c>
      <c r="EN29" s="119">
        <v>0</v>
      </c>
      <c r="EO29" s="119">
        <v>0</v>
      </c>
      <c r="EP29" s="119">
        <v>0</v>
      </c>
      <c r="EQ29" s="119">
        <v>0</v>
      </c>
      <c r="ER29" s="119">
        <v>0</v>
      </c>
      <c r="ES29" t="s">
        <v>388</v>
      </c>
      <c r="ET29" s="119">
        <v>0</v>
      </c>
      <c r="EU29" s="119">
        <v>0</v>
      </c>
      <c r="EV29" s="119">
        <v>0</v>
      </c>
      <c r="EW29" s="119">
        <v>0</v>
      </c>
      <c r="EX29" s="119">
        <v>0</v>
      </c>
      <c r="EY29" s="119">
        <v>0</v>
      </c>
      <c r="EZ29" s="119">
        <v>0</v>
      </c>
      <c r="FA29" s="119">
        <v>0</v>
      </c>
      <c r="FB29" s="119">
        <v>0</v>
      </c>
      <c r="FC29" s="119">
        <v>0</v>
      </c>
      <c r="FD29" s="119">
        <v>0</v>
      </c>
      <c r="FE29" s="119">
        <v>0</v>
      </c>
      <c r="FF29" t="s">
        <v>389</v>
      </c>
      <c r="FG29" s="119">
        <v>0</v>
      </c>
      <c r="FH29" s="119">
        <v>0</v>
      </c>
      <c r="FI29" s="119">
        <v>0</v>
      </c>
      <c r="FJ29" s="119">
        <v>0</v>
      </c>
      <c r="FK29" s="119">
        <v>0</v>
      </c>
      <c r="FL29" s="119">
        <v>0</v>
      </c>
      <c r="FM29" s="119">
        <v>0</v>
      </c>
      <c r="FN29" s="119">
        <v>0</v>
      </c>
      <c r="FO29" s="119">
        <v>0</v>
      </c>
      <c r="FP29" s="119">
        <v>0</v>
      </c>
      <c r="FQ29" s="119">
        <v>0</v>
      </c>
      <c r="FR29" s="119">
        <v>0</v>
      </c>
      <c r="FS29" t="s">
        <v>390</v>
      </c>
      <c r="FT29" s="119">
        <v>0</v>
      </c>
      <c r="FU29" s="119">
        <v>0</v>
      </c>
      <c r="FV29" s="119">
        <v>0</v>
      </c>
      <c r="FW29" s="119">
        <v>0</v>
      </c>
      <c r="FX29" s="119">
        <v>0</v>
      </c>
      <c r="FY29" s="119">
        <v>0</v>
      </c>
      <c r="FZ29" s="119">
        <v>0</v>
      </c>
      <c r="GA29" s="119">
        <v>0</v>
      </c>
      <c r="GB29" s="119">
        <v>0</v>
      </c>
      <c r="GC29" s="119">
        <v>0</v>
      </c>
      <c r="GD29" s="119">
        <v>0</v>
      </c>
      <c r="GE29" s="119">
        <v>0</v>
      </c>
      <c r="GF29" t="s">
        <v>391</v>
      </c>
      <c r="GG29" s="119">
        <v>0</v>
      </c>
      <c r="GH29" s="119">
        <v>0</v>
      </c>
      <c r="GI29" s="119">
        <v>0</v>
      </c>
      <c r="GJ29" s="119">
        <v>0</v>
      </c>
      <c r="GK29" s="119">
        <v>0</v>
      </c>
      <c r="GL29" s="119">
        <v>0</v>
      </c>
      <c r="GM29" s="119">
        <v>0</v>
      </c>
      <c r="GN29" s="119">
        <v>0</v>
      </c>
      <c r="GO29" s="119">
        <v>0</v>
      </c>
      <c r="GP29" s="119">
        <v>0</v>
      </c>
      <c r="GQ29" s="119">
        <v>0</v>
      </c>
      <c r="GR29" s="119">
        <v>0</v>
      </c>
      <c r="GU29" s="119">
        <f t="shared" si="0"/>
        <v>500</v>
      </c>
      <c r="GV29" s="119">
        <f t="shared" si="0"/>
        <v>55.56</v>
      </c>
      <c r="GW29" s="119">
        <f t="shared" si="0"/>
        <v>555.55999999999995</v>
      </c>
      <c r="GX29" s="119">
        <f t="shared" si="0"/>
        <v>10</v>
      </c>
      <c r="GY29" s="119">
        <f t="shared" si="0"/>
        <v>10</v>
      </c>
      <c r="GZ29" s="119">
        <f t="shared" si="0"/>
        <v>10</v>
      </c>
      <c r="HA29" s="119">
        <f t="shared" si="0"/>
        <v>100</v>
      </c>
      <c r="HB29" s="119">
        <f t="shared" si="0"/>
        <v>155.56</v>
      </c>
      <c r="HC29" s="119">
        <f t="shared" si="0"/>
        <v>15.56</v>
      </c>
      <c r="HD29" s="119">
        <f t="shared" si="0"/>
        <v>655.56</v>
      </c>
      <c r="HJ29"/>
      <c r="HK29" s="115"/>
      <c r="HR29" s="116"/>
      <c r="HT29" s="117"/>
      <c r="HY29"/>
      <c r="HZ29"/>
      <c r="IA29"/>
    </row>
    <row r="30" spans="1:235" x14ac:dyDescent="0.25">
      <c r="A30">
        <v>30</v>
      </c>
      <c r="B30" s="115">
        <v>43297</v>
      </c>
      <c r="C30" t="s">
        <v>424</v>
      </c>
      <c r="D30" t="s">
        <v>425</v>
      </c>
      <c r="E30" t="s">
        <v>430</v>
      </c>
      <c r="F30" t="s">
        <v>426</v>
      </c>
      <c r="G30" t="s">
        <v>427</v>
      </c>
      <c r="H30" t="s">
        <v>428</v>
      </c>
      <c r="I30" s="116">
        <v>21130</v>
      </c>
      <c r="J30" t="s">
        <v>429</v>
      </c>
      <c r="K30" s="117" t="s">
        <v>431</v>
      </c>
      <c r="N30" t="s">
        <v>423</v>
      </c>
      <c r="P30">
        <v>721</v>
      </c>
      <c r="Q30">
        <v>655</v>
      </c>
      <c r="R30">
        <v>65</v>
      </c>
      <c r="S30" t="s">
        <v>378</v>
      </c>
      <c r="T30" s="118">
        <v>500</v>
      </c>
      <c r="U30" s="118">
        <v>55.56</v>
      </c>
      <c r="V30" s="118">
        <v>555.55999999999995</v>
      </c>
      <c r="W30" s="119">
        <v>10</v>
      </c>
      <c r="X30" s="119">
        <v>10</v>
      </c>
      <c r="Y30" s="119">
        <v>10</v>
      </c>
      <c r="Z30" s="119">
        <v>100</v>
      </c>
      <c r="AA30" s="119">
        <v>155.56</v>
      </c>
      <c r="AB30" s="119">
        <v>15.56</v>
      </c>
      <c r="AC30" s="119">
        <v>655.56</v>
      </c>
      <c r="AD30" s="119">
        <v>10</v>
      </c>
      <c r="AE30" s="119">
        <v>65.56</v>
      </c>
      <c r="AF30" t="s">
        <v>379</v>
      </c>
      <c r="AG30" s="119">
        <v>0</v>
      </c>
      <c r="AH30" s="119">
        <v>0</v>
      </c>
      <c r="AI30" s="119">
        <v>0</v>
      </c>
      <c r="AJ30" s="119">
        <v>0</v>
      </c>
      <c r="AK30" s="119">
        <v>0</v>
      </c>
      <c r="AL30" s="119">
        <v>0</v>
      </c>
      <c r="AM30" s="119">
        <v>0</v>
      </c>
      <c r="AN30" s="119">
        <v>0</v>
      </c>
      <c r="AO30" s="119">
        <v>0</v>
      </c>
      <c r="AP30" s="119">
        <v>0</v>
      </c>
      <c r="AQ30" s="119">
        <v>0</v>
      </c>
      <c r="AR30" s="119">
        <v>0</v>
      </c>
      <c r="AS30" t="s">
        <v>380</v>
      </c>
      <c r="AT30" s="119">
        <v>0</v>
      </c>
      <c r="AU30" s="119">
        <v>0</v>
      </c>
      <c r="AV30" s="119">
        <v>0</v>
      </c>
      <c r="AW30" s="119">
        <v>0</v>
      </c>
      <c r="AX30" s="119">
        <v>0</v>
      </c>
      <c r="AY30" s="119">
        <v>0</v>
      </c>
      <c r="AZ30" s="119">
        <v>0</v>
      </c>
      <c r="BA30" s="119">
        <v>0</v>
      </c>
      <c r="BB30" s="119">
        <v>0</v>
      </c>
      <c r="BC30" s="119">
        <v>0</v>
      </c>
      <c r="BD30" s="119">
        <v>0</v>
      </c>
      <c r="BE30" s="119">
        <v>0</v>
      </c>
      <c r="BF30" t="s">
        <v>381</v>
      </c>
      <c r="BG30" s="119">
        <v>0</v>
      </c>
      <c r="BH30" s="119">
        <v>0</v>
      </c>
      <c r="BI30" s="119">
        <v>0</v>
      </c>
      <c r="BJ30" s="119">
        <v>0</v>
      </c>
      <c r="BK30" s="119">
        <v>0</v>
      </c>
      <c r="BL30" s="119">
        <v>0</v>
      </c>
      <c r="BM30" s="119">
        <v>0</v>
      </c>
      <c r="BN30" s="119">
        <v>0</v>
      </c>
      <c r="BO30" s="119">
        <v>0</v>
      </c>
      <c r="BP30" s="119">
        <v>0</v>
      </c>
      <c r="BQ30" s="119">
        <v>0</v>
      </c>
      <c r="BR30" s="119">
        <v>0</v>
      </c>
      <c r="BS30" t="s">
        <v>382</v>
      </c>
      <c r="BT30" s="119">
        <v>0</v>
      </c>
      <c r="BU30" s="119">
        <v>0</v>
      </c>
      <c r="BV30" s="119">
        <v>0</v>
      </c>
      <c r="BW30" s="119">
        <v>0</v>
      </c>
      <c r="BX30" s="119">
        <v>0</v>
      </c>
      <c r="BY30" s="119">
        <v>0</v>
      </c>
      <c r="BZ30" s="119">
        <v>0</v>
      </c>
      <c r="CA30" s="119">
        <v>0</v>
      </c>
      <c r="CB30" s="119">
        <v>0</v>
      </c>
      <c r="CC30" s="119">
        <v>0</v>
      </c>
      <c r="CD30" s="119">
        <v>0</v>
      </c>
      <c r="CE30" s="119">
        <v>0</v>
      </c>
      <c r="CF30" t="s">
        <v>383</v>
      </c>
      <c r="CG30" s="119">
        <v>0</v>
      </c>
      <c r="CH30" s="119">
        <v>0</v>
      </c>
      <c r="CI30" s="119">
        <v>0</v>
      </c>
      <c r="CJ30" s="119">
        <v>0</v>
      </c>
      <c r="CK30" s="119">
        <v>0</v>
      </c>
      <c r="CL30" s="119">
        <v>0</v>
      </c>
      <c r="CM30" s="119">
        <v>0</v>
      </c>
      <c r="CN30" s="119">
        <v>0</v>
      </c>
      <c r="CO30" s="119">
        <v>0</v>
      </c>
      <c r="CP30" s="119">
        <v>0</v>
      </c>
      <c r="CQ30" s="119">
        <v>0</v>
      </c>
      <c r="CR30" s="119">
        <v>0</v>
      </c>
      <c r="CS30" t="s">
        <v>384</v>
      </c>
      <c r="CT30" s="119">
        <v>0</v>
      </c>
      <c r="CU30" s="119">
        <v>0</v>
      </c>
      <c r="CV30" s="119">
        <v>0</v>
      </c>
      <c r="CW30" s="119">
        <v>0</v>
      </c>
      <c r="CX30" s="119">
        <v>0</v>
      </c>
      <c r="CY30" s="119">
        <v>0</v>
      </c>
      <c r="CZ30" s="119">
        <v>0</v>
      </c>
      <c r="DA30" s="119">
        <v>0</v>
      </c>
      <c r="DB30" s="119">
        <v>0</v>
      </c>
      <c r="DC30" s="119">
        <v>0</v>
      </c>
      <c r="DD30" s="119">
        <v>0</v>
      </c>
      <c r="DE30" s="119">
        <v>0</v>
      </c>
      <c r="DF30" t="s">
        <v>385</v>
      </c>
      <c r="DG30" s="119">
        <v>0</v>
      </c>
      <c r="DH30" s="119">
        <v>0</v>
      </c>
      <c r="DI30" s="119">
        <v>0</v>
      </c>
      <c r="DJ30" s="119">
        <v>0</v>
      </c>
      <c r="DK30" s="119">
        <v>0</v>
      </c>
      <c r="DL30" s="119">
        <v>0</v>
      </c>
      <c r="DM30" s="119">
        <v>0</v>
      </c>
      <c r="DN30" s="119">
        <v>0</v>
      </c>
      <c r="DO30" s="119">
        <v>0</v>
      </c>
      <c r="DP30" s="119">
        <v>0</v>
      </c>
      <c r="DQ30" s="119">
        <v>0</v>
      </c>
      <c r="DR30" s="119">
        <v>0</v>
      </c>
      <c r="DS30" t="s">
        <v>386</v>
      </c>
      <c r="DT30" s="119">
        <v>0</v>
      </c>
      <c r="DU30" s="119">
        <v>0</v>
      </c>
      <c r="DV30" s="119">
        <v>0</v>
      </c>
      <c r="DW30" s="119">
        <v>0</v>
      </c>
      <c r="DX30" s="119">
        <v>0</v>
      </c>
      <c r="DY30" s="119">
        <v>0</v>
      </c>
      <c r="DZ30" s="119">
        <v>0</v>
      </c>
      <c r="EA30" s="119">
        <v>0</v>
      </c>
      <c r="EB30" s="119">
        <v>0</v>
      </c>
      <c r="EC30" s="119">
        <v>0</v>
      </c>
      <c r="ED30" s="119">
        <v>0</v>
      </c>
      <c r="EE30" s="119">
        <v>0</v>
      </c>
      <c r="EF30" t="s">
        <v>387</v>
      </c>
      <c r="EG30" s="119">
        <v>0</v>
      </c>
      <c r="EH30" s="119">
        <v>0</v>
      </c>
      <c r="EI30" s="119">
        <v>0</v>
      </c>
      <c r="EJ30" s="119">
        <v>0</v>
      </c>
      <c r="EK30" s="119">
        <v>0</v>
      </c>
      <c r="EL30" s="119">
        <v>0</v>
      </c>
      <c r="EM30" s="119">
        <v>0</v>
      </c>
      <c r="EN30" s="119">
        <v>0</v>
      </c>
      <c r="EO30" s="119">
        <v>0</v>
      </c>
      <c r="EP30" s="119">
        <v>0</v>
      </c>
      <c r="EQ30" s="119">
        <v>0</v>
      </c>
      <c r="ER30" s="119">
        <v>0</v>
      </c>
      <c r="ES30" t="s">
        <v>388</v>
      </c>
      <c r="ET30" s="119">
        <v>0</v>
      </c>
      <c r="EU30" s="119">
        <v>0</v>
      </c>
      <c r="EV30" s="119">
        <v>0</v>
      </c>
      <c r="EW30" s="119">
        <v>0</v>
      </c>
      <c r="EX30" s="119">
        <v>0</v>
      </c>
      <c r="EY30" s="119">
        <v>0</v>
      </c>
      <c r="EZ30" s="119">
        <v>0</v>
      </c>
      <c r="FA30" s="119">
        <v>0</v>
      </c>
      <c r="FB30" s="119">
        <v>0</v>
      </c>
      <c r="FC30" s="119">
        <v>0</v>
      </c>
      <c r="FD30" s="119">
        <v>0</v>
      </c>
      <c r="FE30" s="119">
        <v>0</v>
      </c>
      <c r="FF30" t="s">
        <v>389</v>
      </c>
      <c r="FG30" s="119">
        <v>0</v>
      </c>
      <c r="FH30" s="119">
        <v>0</v>
      </c>
      <c r="FI30" s="119">
        <v>0</v>
      </c>
      <c r="FJ30" s="119">
        <v>0</v>
      </c>
      <c r="FK30" s="119">
        <v>0</v>
      </c>
      <c r="FL30" s="119">
        <v>0</v>
      </c>
      <c r="FM30" s="119">
        <v>0</v>
      </c>
      <c r="FN30" s="119">
        <v>0</v>
      </c>
      <c r="FO30" s="119">
        <v>0</v>
      </c>
      <c r="FP30" s="119">
        <v>0</v>
      </c>
      <c r="FQ30" s="119">
        <v>0</v>
      </c>
      <c r="FR30" s="119">
        <v>0</v>
      </c>
      <c r="FS30" t="s">
        <v>390</v>
      </c>
      <c r="FT30" s="119">
        <v>0</v>
      </c>
      <c r="FU30" s="119">
        <v>0</v>
      </c>
      <c r="FV30" s="119">
        <v>0</v>
      </c>
      <c r="FW30" s="119">
        <v>0</v>
      </c>
      <c r="FX30" s="119">
        <v>0</v>
      </c>
      <c r="FY30" s="119">
        <v>0</v>
      </c>
      <c r="FZ30" s="119">
        <v>0</v>
      </c>
      <c r="GA30" s="119">
        <v>0</v>
      </c>
      <c r="GB30" s="119">
        <v>0</v>
      </c>
      <c r="GC30" s="119">
        <v>0</v>
      </c>
      <c r="GD30" s="119">
        <v>0</v>
      </c>
      <c r="GE30" s="119">
        <v>0</v>
      </c>
      <c r="GF30" t="s">
        <v>391</v>
      </c>
      <c r="GG30" s="119">
        <v>0</v>
      </c>
      <c r="GH30" s="119">
        <v>0</v>
      </c>
      <c r="GI30" s="119">
        <v>0</v>
      </c>
      <c r="GJ30" s="119">
        <v>0</v>
      </c>
      <c r="GK30" s="119">
        <v>0</v>
      </c>
      <c r="GL30" s="119">
        <v>0</v>
      </c>
      <c r="GM30" s="119">
        <v>0</v>
      </c>
      <c r="GN30" s="119">
        <v>0</v>
      </c>
      <c r="GO30" s="119">
        <v>0</v>
      </c>
      <c r="GP30" s="119">
        <v>0</v>
      </c>
      <c r="GQ30" s="119">
        <v>0</v>
      </c>
      <c r="GR30" s="119">
        <v>0</v>
      </c>
      <c r="GU30" s="119">
        <f t="shared" si="0"/>
        <v>500</v>
      </c>
      <c r="GV30" s="119">
        <f t="shared" si="0"/>
        <v>55.56</v>
      </c>
      <c r="GW30" s="119">
        <f t="shared" si="0"/>
        <v>555.55999999999995</v>
      </c>
      <c r="GX30" s="119">
        <f t="shared" si="0"/>
        <v>10</v>
      </c>
      <c r="GY30" s="119">
        <f t="shared" si="0"/>
        <v>10</v>
      </c>
      <c r="GZ30" s="119">
        <f t="shared" si="0"/>
        <v>10</v>
      </c>
      <c r="HA30" s="119">
        <f t="shared" si="0"/>
        <v>100</v>
      </c>
      <c r="HB30" s="119">
        <f t="shared" si="0"/>
        <v>155.56</v>
      </c>
      <c r="HC30" s="119">
        <f t="shared" si="0"/>
        <v>15.56</v>
      </c>
      <c r="HD30" s="119">
        <f t="shared" si="0"/>
        <v>655.56</v>
      </c>
      <c r="HJ30"/>
      <c r="HK30" s="115"/>
      <c r="HR30" s="116"/>
      <c r="HT30" s="117"/>
      <c r="HY30"/>
      <c r="HZ30"/>
      <c r="IA30"/>
    </row>
    <row r="31" spans="1:235" x14ac:dyDescent="0.25">
      <c r="A31">
        <v>31</v>
      </c>
      <c r="B31" s="115">
        <v>43297</v>
      </c>
      <c r="C31" t="s">
        <v>400</v>
      </c>
      <c r="D31" t="s">
        <v>433</v>
      </c>
      <c r="E31" t="s">
        <v>372</v>
      </c>
      <c r="F31" t="s">
        <v>448</v>
      </c>
      <c r="G31" t="s">
        <v>449</v>
      </c>
      <c r="H31" t="s">
        <v>436</v>
      </c>
      <c r="I31" s="116">
        <v>21300</v>
      </c>
      <c r="J31" t="s">
        <v>437</v>
      </c>
      <c r="K31" s="117">
        <v>380456545</v>
      </c>
      <c r="L31" t="s">
        <v>450</v>
      </c>
      <c r="M31" t="s">
        <v>451</v>
      </c>
      <c r="N31" t="s">
        <v>154</v>
      </c>
      <c r="O31">
        <v>12354</v>
      </c>
      <c r="P31">
        <v>1</v>
      </c>
      <c r="Q31">
        <v>1</v>
      </c>
      <c r="R31">
        <v>110</v>
      </c>
      <c r="S31" t="s">
        <v>378</v>
      </c>
      <c r="T31" s="118">
        <v>500</v>
      </c>
      <c r="U31" s="118">
        <v>500</v>
      </c>
      <c r="V31" s="118">
        <v>1000</v>
      </c>
      <c r="W31" s="119">
        <v>50</v>
      </c>
      <c r="X31" s="119">
        <v>10</v>
      </c>
      <c r="Y31" s="119">
        <v>10</v>
      </c>
      <c r="Z31" s="119">
        <v>100</v>
      </c>
      <c r="AA31" s="119">
        <v>600</v>
      </c>
      <c r="AB31" s="119">
        <v>60</v>
      </c>
      <c r="AC31" s="119">
        <v>1100</v>
      </c>
      <c r="AD31" s="119">
        <v>10</v>
      </c>
      <c r="AE31" s="119">
        <v>110</v>
      </c>
      <c r="AF31" t="s">
        <v>379</v>
      </c>
      <c r="AG31" s="119">
        <v>0</v>
      </c>
      <c r="AH31" s="119">
        <v>0</v>
      </c>
      <c r="AI31" s="119">
        <v>0</v>
      </c>
      <c r="AJ31" s="119">
        <v>0</v>
      </c>
      <c r="AK31" s="119">
        <v>0</v>
      </c>
      <c r="AL31" s="119">
        <v>0</v>
      </c>
      <c r="AM31" s="119">
        <v>0</v>
      </c>
      <c r="AN31" s="119">
        <v>0</v>
      </c>
      <c r="AO31" s="119">
        <v>0</v>
      </c>
      <c r="AP31" s="119">
        <v>0</v>
      </c>
      <c r="AQ31" s="119">
        <v>0</v>
      </c>
      <c r="AR31" s="119">
        <v>0</v>
      </c>
      <c r="AS31" t="s">
        <v>380</v>
      </c>
      <c r="AT31" s="119">
        <v>0</v>
      </c>
      <c r="AU31" s="119">
        <v>0</v>
      </c>
      <c r="AV31" s="119">
        <v>0</v>
      </c>
      <c r="AW31" s="119">
        <v>0</v>
      </c>
      <c r="AX31" s="119">
        <v>0</v>
      </c>
      <c r="AY31" s="119">
        <v>0</v>
      </c>
      <c r="AZ31" s="119">
        <v>0</v>
      </c>
      <c r="BA31" s="119">
        <v>0</v>
      </c>
      <c r="BB31" s="119">
        <v>0</v>
      </c>
      <c r="BC31" s="119">
        <v>0</v>
      </c>
      <c r="BD31" s="119">
        <v>0</v>
      </c>
      <c r="BE31" s="119">
        <v>0</v>
      </c>
      <c r="BF31" t="s">
        <v>381</v>
      </c>
      <c r="BG31" s="119">
        <v>0</v>
      </c>
      <c r="BH31" s="119">
        <v>0</v>
      </c>
      <c r="BI31" s="119">
        <v>0</v>
      </c>
      <c r="BJ31" s="119">
        <v>0</v>
      </c>
      <c r="BK31" s="119">
        <v>0</v>
      </c>
      <c r="BL31" s="119">
        <v>0</v>
      </c>
      <c r="BM31" s="119">
        <v>0</v>
      </c>
      <c r="BN31" s="119">
        <v>0</v>
      </c>
      <c r="BO31" s="119">
        <v>0</v>
      </c>
      <c r="BP31" s="119">
        <v>0</v>
      </c>
      <c r="BQ31" s="119">
        <v>0</v>
      </c>
      <c r="BR31" s="119">
        <v>0</v>
      </c>
      <c r="BS31" t="s">
        <v>382</v>
      </c>
      <c r="BT31" s="119">
        <v>0</v>
      </c>
      <c r="BU31" s="119">
        <v>0</v>
      </c>
      <c r="BV31" s="119">
        <v>0</v>
      </c>
      <c r="BW31" s="119">
        <v>0</v>
      </c>
      <c r="BX31" s="119">
        <v>0</v>
      </c>
      <c r="BY31" s="119">
        <v>0</v>
      </c>
      <c r="BZ31" s="119">
        <v>0</v>
      </c>
      <c r="CA31" s="119">
        <v>0</v>
      </c>
      <c r="CB31" s="119">
        <v>0</v>
      </c>
      <c r="CC31" s="119">
        <v>0</v>
      </c>
      <c r="CD31" s="119">
        <v>0</v>
      </c>
      <c r="CE31" s="119">
        <v>0</v>
      </c>
      <c r="CF31" t="s">
        <v>383</v>
      </c>
      <c r="CG31" s="119">
        <v>0</v>
      </c>
      <c r="CH31" s="119">
        <v>0</v>
      </c>
      <c r="CI31" s="119">
        <v>0</v>
      </c>
      <c r="CJ31" s="119">
        <v>0</v>
      </c>
      <c r="CK31" s="119">
        <v>0</v>
      </c>
      <c r="CL31" s="119">
        <v>0</v>
      </c>
      <c r="CM31" s="119">
        <v>0</v>
      </c>
      <c r="CN31" s="119">
        <v>0</v>
      </c>
      <c r="CO31" s="119">
        <v>0</v>
      </c>
      <c r="CP31" s="119">
        <v>0</v>
      </c>
      <c r="CQ31" s="119">
        <v>0</v>
      </c>
      <c r="CR31" s="119">
        <v>0</v>
      </c>
      <c r="CS31" t="s">
        <v>384</v>
      </c>
      <c r="CT31" s="119">
        <v>0</v>
      </c>
      <c r="CU31" s="119">
        <v>0</v>
      </c>
      <c r="CV31" s="119">
        <v>0</v>
      </c>
      <c r="CW31" s="119">
        <v>0</v>
      </c>
      <c r="CX31" s="119">
        <v>0</v>
      </c>
      <c r="CY31" s="119">
        <v>0</v>
      </c>
      <c r="CZ31" s="119">
        <v>0</v>
      </c>
      <c r="DA31" s="119">
        <v>0</v>
      </c>
      <c r="DB31" s="119">
        <v>0</v>
      </c>
      <c r="DC31" s="119">
        <v>0</v>
      </c>
      <c r="DD31" s="119">
        <v>0</v>
      </c>
      <c r="DE31" s="119">
        <v>0</v>
      </c>
      <c r="DF31" t="s">
        <v>385</v>
      </c>
      <c r="DG31" s="119">
        <v>0</v>
      </c>
      <c r="DH31" s="119">
        <v>0</v>
      </c>
      <c r="DI31" s="119">
        <v>0</v>
      </c>
      <c r="DJ31" s="119">
        <v>0</v>
      </c>
      <c r="DK31" s="119">
        <v>0</v>
      </c>
      <c r="DL31" s="119">
        <v>0</v>
      </c>
      <c r="DM31" s="119">
        <v>0</v>
      </c>
      <c r="DN31" s="119">
        <v>0</v>
      </c>
      <c r="DO31" s="119">
        <v>0</v>
      </c>
      <c r="DP31" s="119">
        <v>0</v>
      </c>
      <c r="DQ31" s="119">
        <v>0</v>
      </c>
      <c r="DR31" s="119">
        <v>0</v>
      </c>
      <c r="DS31" t="s">
        <v>386</v>
      </c>
      <c r="DT31" s="119">
        <v>0</v>
      </c>
      <c r="DU31" s="119">
        <v>0</v>
      </c>
      <c r="DV31" s="119">
        <v>0</v>
      </c>
      <c r="DW31" s="119">
        <v>0</v>
      </c>
      <c r="DX31" s="119">
        <v>0</v>
      </c>
      <c r="DY31" s="119">
        <v>0</v>
      </c>
      <c r="DZ31" s="119">
        <v>0</v>
      </c>
      <c r="EA31" s="119">
        <v>0</v>
      </c>
      <c r="EB31" s="119">
        <v>0</v>
      </c>
      <c r="EC31" s="119">
        <v>0</v>
      </c>
      <c r="ED31" s="119">
        <v>0</v>
      </c>
      <c r="EE31" s="119">
        <v>0</v>
      </c>
      <c r="EF31" t="s">
        <v>387</v>
      </c>
      <c r="EG31" s="119">
        <v>0</v>
      </c>
      <c r="EH31" s="119">
        <v>0</v>
      </c>
      <c r="EI31" s="119">
        <v>0</v>
      </c>
      <c r="EJ31" s="119">
        <v>0</v>
      </c>
      <c r="EK31" s="119">
        <v>0</v>
      </c>
      <c r="EL31" s="119">
        <v>0</v>
      </c>
      <c r="EM31" s="119">
        <v>0</v>
      </c>
      <c r="EN31" s="119">
        <v>0</v>
      </c>
      <c r="EO31" s="119">
        <v>0</v>
      </c>
      <c r="EP31" s="119">
        <v>0</v>
      </c>
      <c r="EQ31" s="119">
        <v>0</v>
      </c>
      <c r="ER31" s="119">
        <v>0</v>
      </c>
      <c r="ES31" t="s">
        <v>388</v>
      </c>
      <c r="ET31" s="119">
        <v>0</v>
      </c>
      <c r="EU31" s="119">
        <v>0</v>
      </c>
      <c r="EV31" s="119">
        <v>0</v>
      </c>
      <c r="EW31" s="119">
        <v>0</v>
      </c>
      <c r="EX31" s="119">
        <v>0</v>
      </c>
      <c r="EY31" s="119">
        <v>0</v>
      </c>
      <c r="EZ31" s="119">
        <v>0</v>
      </c>
      <c r="FA31" s="119">
        <v>0</v>
      </c>
      <c r="FB31" s="119">
        <v>0</v>
      </c>
      <c r="FC31" s="119">
        <v>0</v>
      </c>
      <c r="FD31" s="119">
        <v>0</v>
      </c>
      <c r="FE31" s="119">
        <v>0</v>
      </c>
      <c r="FF31" t="s">
        <v>389</v>
      </c>
      <c r="FG31" s="119">
        <v>0</v>
      </c>
      <c r="FH31" s="119">
        <v>0</v>
      </c>
      <c r="FI31" s="119">
        <v>0</v>
      </c>
      <c r="FJ31" s="119">
        <v>0</v>
      </c>
      <c r="FK31" s="119">
        <v>0</v>
      </c>
      <c r="FL31" s="119">
        <v>0</v>
      </c>
      <c r="FM31" s="119">
        <v>0</v>
      </c>
      <c r="FN31" s="119">
        <v>0</v>
      </c>
      <c r="FO31" s="119">
        <v>0</v>
      </c>
      <c r="FP31" s="119">
        <v>0</v>
      </c>
      <c r="FQ31" s="119">
        <v>0</v>
      </c>
      <c r="FR31" s="119">
        <v>0</v>
      </c>
      <c r="FS31" t="s">
        <v>390</v>
      </c>
      <c r="FT31" s="119">
        <v>0</v>
      </c>
      <c r="FU31" s="119">
        <v>0</v>
      </c>
      <c r="FV31" s="119">
        <v>0</v>
      </c>
      <c r="FW31" s="119">
        <v>0</v>
      </c>
      <c r="FX31" s="119">
        <v>0</v>
      </c>
      <c r="FY31" s="119">
        <v>0</v>
      </c>
      <c r="FZ31" s="119">
        <v>0</v>
      </c>
      <c r="GA31" s="119">
        <v>0</v>
      </c>
      <c r="GB31" s="119">
        <v>0</v>
      </c>
      <c r="GC31" s="119">
        <v>0</v>
      </c>
      <c r="GD31" s="119">
        <v>0</v>
      </c>
      <c r="GE31" s="119">
        <v>0</v>
      </c>
      <c r="GF31" t="s">
        <v>391</v>
      </c>
      <c r="GG31" s="119">
        <v>0</v>
      </c>
      <c r="GH31" s="119">
        <v>0</v>
      </c>
      <c r="GI31" s="119">
        <v>0</v>
      </c>
      <c r="GJ31" s="119">
        <v>0</v>
      </c>
      <c r="GK31" s="119">
        <v>0</v>
      </c>
      <c r="GL31" s="119">
        <v>0</v>
      </c>
      <c r="GM31" s="119">
        <v>0</v>
      </c>
      <c r="GN31" s="119">
        <v>0</v>
      </c>
      <c r="GO31" s="119">
        <v>0</v>
      </c>
      <c r="GP31" s="119">
        <v>0</v>
      </c>
      <c r="GQ31" s="119">
        <v>0</v>
      </c>
      <c r="GR31" s="119">
        <v>0</v>
      </c>
      <c r="GU31" s="119">
        <f t="shared" si="0"/>
        <v>1000</v>
      </c>
      <c r="GV31" s="119">
        <f t="shared" si="0"/>
        <v>111.11</v>
      </c>
      <c r="GW31" s="119">
        <f t="shared" si="0"/>
        <v>1111.1099999999999</v>
      </c>
      <c r="GX31" s="119">
        <f t="shared" si="0"/>
        <v>10</v>
      </c>
      <c r="GY31" s="119">
        <f t="shared" si="0"/>
        <v>10</v>
      </c>
      <c r="GZ31" s="119">
        <f t="shared" si="0"/>
        <v>10</v>
      </c>
      <c r="HA31" s="119">
        <f t="shared" si="0"/>
        <v>100</v>
      </c>
      <c r="HB31" s="119">
        <f t="shared" si="0"/>
        <v>211.11</v>
      </c>
      <c r="HC31" s="119">
        <f t="shared" si="0"/>
        <v>21.11</v>
      </c>
      <c r="HD31" s="119">
        <f t="shared" si="0"/>
        <v>1211.1099999999999</v>
      </c>
      <c r="HJ31"/>
      <c r="HK31" s="115"/>
      <c r="HR31" s="116"/>
      <c r="HT31" s="117"/>
      <c r="HY31"/>
      <c r="HZ31"/>
      <c r="IA31"/>
    </row>
    <row r="32" spans="1:235" x14ac:dyDescent="0.25">
      <c r="A32">
        <v>32</v>
      </c>
      <c r="B32" s="115">
        <v>43297</v>
      </c>
      <c r="C32" t="s">
        <v>424</v>
      </c>
      <c r="D32" t="s">
        <v>425</v>
      </c>
      <c r="E32" t="s">
        <v>430</v>
      </c>
      <c r="F32" t="s">
        <v>426</v>
      </c>
      <c r="G32" t="s">
        <v>427</v>
      </c>
      <c r="H32" t="s">
        <v>428</v>
      </c>
      <c r="I32" s="116">
        <v>21130</v>
      </c>
      <c r="J32" t="s">
        <v>429</v>
      </c>
      <c r="K32" s="117" t="s">
        <v>431</v>
      </c>
      <c r="L32" t="s">
        <v>452</v>
      </c>
      <c r="M32" t="s">
        <v>453</v>
      </c>
      <c r="N32" t="s">
        <v>155</v>
      </c>
      <c r="O32">
        <v>852369</v>
      </c>
      <c r="P32">
        <v>8</v>
      </c>
      <c r="Q32">
        <v>6</v>
      </c>
      <c r="R32">
        <v>1</v>
      </c>
      <c r="S32" t="s">
        <v>378</v>
      </c>
      <c r="T32" s="118">
        <v>110</v>
      </c>
      <c r="U32" s="118">
        <v>12.22</v>
      </c>
      <c r="V32" s="118">
        <v>122.22</v>
      </c>
      <c r="W32" s="119">
        <v>10</v>
      </c>
      <c r="X32" s="119">
        <v>10</v>
      </c>
      <c r="Y32" s="119">
        <v>10</v>
      </c>
      <c r="Z32" s="119">
        <v>100</v>
      </c>
      <c r="AA32" s="119">
        <v>112.22</v>
      </c>
      <c r="AB32" s="119">
        <v>11.22</v>
      </c>
      <c r="AC32" s="119">
        <v>222.22</v>
      </c>
      <c r="AD32" s="119">
        <v>10</v>
      </c>
      <c r="AE32" s="119">
        <v>22.22</v>
      </c>
      <c r="AF32" t="s">
        <v>379</v>
      </c>
      <c r="AG32" s="119">
        <v>110</v>
      </c>
      <c r="AH32" s="119">
        <v>13.6</v>
      </c>
      <c r="AI32" s="119">
        <v>123.6</v>
      </c>
      <c r="AJ32" s="119">
        <v>11</v>
      </c>
      <c r="AK32" s="119">
        <v>11</v>
      </c>
      <c r="AL32" s="119">
        <v>11</v>
      </c>
      <c r="AM32" s="119">
        <v>121</v>
      </c>
      <c r="AN32" s="119">
        <v>134.6</v>
      </c>
      <c r="AO32" s="119">
        <v>12.24</v>
      </c>
      <c r="AP32" s="119">
        <v>244.6</v>
      </c>
      <c r="AQ32" s="119">
        <v>11</v>
      </c>
      <c r="AR32" s="119">
        <v>26.91</v>
      </c>
      <c r="AS32" t="s">
        <v>380</v>
      </c>
      <c r="AT32" s="119">
        <v>120</v>
      </c>
      <c r="AU32" s="119">
        <v>16.36</v>
      </c>
      <c r="AV32" s="119">
        <v>136.36000000000001</v>
      </c>
      <c r="AW32" s="119">
        <v>12</v>
      </c>
      <c r="AX32" s="119">
        <v>12</v>
      </c>
      <c r="AY32" s="119">
        <v>12</v>
      </c>
      <c r="AZ32" s="119">
        <v>144</v>
      </c>
      <c r="BA32" s="119">
        <v>160.36000000000001</v>
      </c>
      <c r="BB32" s="119">
        <v>13.36</v>
      </c>
      <c r="BC32" s="119">
        <v>280.36</v>
      </c>
      <c r="BD32" s="119">
        <v>12</v>
      </c>
      <c r="BE32" s="119">
        <v>33.64</v>
      </c>
      <c r="BF32" t="s">
        <v>381</v>
      </c>
      <c r="BG32" s="119">
        <v>130</v>
      </c>
      <c r="BH32" s="119">
        <v>19.43</v>
      </c>
      <c r="BI32" s="119">
        <v>149.43</v>
      </c>
      <c r="BJ32" s="119">
        <v>13</v>
      </c>
      <c r="BK32" s="119">
        <v>13</v>
      </c>
      <c r="BL32" s="119">
        <v>13</v>
      </c>
      <c r="BM32" s="119">
        <v>169</v>
      </c>
      <c r="BN32" s="119">
        <v>188.43</v>
      </c>
      <c r="BO32" s="119">
        <v>14.49</v>
      </c>
      <c r="BP32" s="119">
        <v>318.43</v>
      </c>
      <c r="BQ32" s="119">
        <v>13</v>
      </c>
      <c r="BR32" s="119">
        <v>41.4</v>
      </c>
      <c r="BS32" t="s">
        <v>382</v>
      </c>
      <c r="BT32" s="119">
        <v>140</v>
      </c>
      <c r="BU32" s="119">
        <v>22.79</v>
      </c>
      <c r="BV32" s="119">
        <v>162.79</v>
      </c>
      <c r="BW32" s="119">
        <v>14</v>
      </c>
      <c r="BX32" s="119">
        <v>14</v>
      </c>
      <c r="BY32" s="119">
        <v>14</v>
      </c>
      <c r="BZ32" s="119">
        <v>196</v>
      </c>
      <c r="CA32" s="119">
        <v>218.79</v>
      </c>
      <c r="CB32" s="119">
        <v>15.63</v>
      </c>
      <c r="CC32" s="119">
        <v>358.79</v>
      </c>
      <c r="CD32" s="119">
        <v>14</v>
      </c>
      <c r="CE32" s="119">
        <v>50.23</v>
      </c>
      <c r="CF32" t="s">
        <v>383</v>
      </c>
      <c r="CG32" s="119">
        <v>150</v>
      </c>
      <c r="CH32" s="119">
        <v>26.47</v>
      </c>
      <c r="CI32" s="119">
        <v>176.47</v>
      </c>
      <c r="CJ32" s="119">
        <v>15</v>
      </c>
      <c r="CK32" s="119">
        <v>15</v>
      </c>
      <c r="CL32" s="119">
        <v>15</v>
      </c>
      <c r="CM32" s="119">
        <v>225</v>
      </c>
      <c r="CN32" s="119">
        <v>251.47</v>
      </c>
      <c r="CO32" s="119">
        <v>16.760000000000002</v>
      </c>
      <c r="CP32" s="119">
        <v>401.47</v>
      </c>
      <c r="CQ32" s="119">
        <v>15</v>
      </c>
      <c r="CR32" s="119">
        <v>60.22</v>
      </c>
      <c r="CS32" t="s">
        <v>384</v>
      </c>
      <c r="CT32" s="119">
        <v>160</v>
      </c>
      <c r="CU32" s="119">
        <v>30.48</v>
      </c>
      <c r="CV32" s="119">
        <v>190.48</v>
      </c>
      <c r="CW32" s="119">
        <v>16</v>
      </c>
      <c r="CX32" s="119">
        <v>16</v>
      </c>
      <c r="CY32" s="119">
        <v>16</v>
      </c>
      <c r="CZ32" s="119">
        <v>256</v>
      </c>
      <c r="DA32" s="119">
        <v>286.48</v>
      </c>
      <c r="DB32" s="119">
        <v>17.91</v>
      </c>
      <c r="DC32" s="119">
        <v>446.48</v>
      </c>
      <c r="DD32" s="119">
        <v>16</v>
      </c>
      <c r="DE32" s="119">
        <v>71.44</v>
      </c>
      <c r="DF32" t="s">
        <v>385</v>
      </c>
      <c r="DG32" s="119">
        <v>170</v>
      </c>
      <c r="DH32" s="119">
        <v>34.82</v>
      </c>
      <c r="DI32" s="119">
        <v>204.82</v>
      </c>
      <c r="DJ32" s="119">
        <v>17</v>
      </c>
      <c r="DK32" s="119">
        <v>17</v>
      </c>
      <c r="DL32" s="119">
        <v>17</v>
      </c>
      <c r="DM32" s="119">
        <v>289</v>
      </c>
      <c r="DN32" s="119">
        <v>323.82</v>
      </c>
      <c r="DO32" s="119">
        <v>19.05</v>
      </c>
      <c r="DP32" s="119">
        <v>493.82</v>
      </c>
      <c r="DQ32" s="119">
        <v>17</v>
      </c>
      <c r="DR32" s="119">
        <v>83.95</v>
      </c>
      <c r="DS32" t="s">
        <v>386</v>
      </c>
      <c r="DT32" s="119">
        <v>180</v>
      </c>
      <c r="DU32" s="119">
        <v>39.51</v>
      </c>
      <c r="DV32" s="119">
        <v>219.51</v>
      </c>
      <c r="DW32" s="119">
        <v>18</v>
      </c>
      <c r="DX32" s="119">
        <v>18</v>
      </c>
      <c r="DY32" s="119">
        <v>18</v>
      </c>
      <c r="DZ32" s="119">
        <v>324</v>
      </c>
      <c r="EA32" s="119">
        <v>363.51</v>
      </c>
      <c r="EB32" s="119">
        <v>20.2</v>
      </c>
      <c r="EC32" s="119">
        <v>543.51</v>
      </c>
      <c r="ED32" s="119">
        <v>18</v>
      </c>
      <c r="EE32" s="119">
        <v>97.83</v>
      </c>
      <c r="EF32" t="s">
        <v>387</v>
      </c>
      <c r="EG32" s="119">
        <v>190</v>
      </c>
      <c r="EH32" s="119">
        <v>44.57</v>
      </c>
      <c r="EI32" s="119">
        <v>234.57</v>
      </c>
      <c r="EJ32" s="119">
        <v>19</v>
      </c>
      <c r="EK32" s="119">
        <v>19</v>
      </c>
      <c r="EL32" s="119">
        <v>19</v>
      </c>
      <c r="EM32" s="119">
        <v>361</v>
      </c>
      <c r="EN32" s="119">
        <v>405.57</v>
      </c>
      <c r="EO32" s="119">
        <v>21.35</v>
      </c>
      <c r="EP32" s="119">
        <v>595.57000000000005</v>
      </c>
      <c r="EQ32" s="119">
        <v>19</v>
      </c>
      <c r="ER32" s="119">
        <v>113.16</v>
      </c>
      <c r="ES32" t="s">
        <v>388</v>
      </c>
      <c r="ET32" s="119">
        <v>200</v>
      </c>
      <c r="EU32" s="119">
        <v>50</v>
      </c>
      <c r="EV32" s="119">
        <v>250</v>
      </c>
      <c r="EW32" s="119">
        <v>20</v>
      </c>
      <c r="EX32" s="119">
        <v>20</v>
      </c>
      <c r="EY32" s="119">
        <v>20</v>
      </c>
      <c r="EZ32" s="119">
        <v>400</v>
      </c>
      <c r="FA32" s="119">
        <v>450</v>
      </c>
      <c r="FB32" s="119">
        <v>22.5</v>
      </c>
      <c r="FC32" s="119">
        <v>650</v>
      </c>
      <c r="FD32" s="119">
        <v>20</v>
      </c>
      <c r="FE32" s="119">
        <v>130</v>
      </c>
      <c r="FF32" t="s">
        <v>389</v>
      </c>
      <c r="FG32" s="119">
        <v>210</v>
      </c>
      <c r="FH32" s="119">
        <v>55.82</v>
      </c>
      <c r="FI32" s="119">
        <v>265.82</v>
      </c>
      <c r="FJ32" s="119">
        <v>21</v>
      </c>
      <c r="FK32" s="119">
        <v>21</v>
      </c>
      <c r="FL32" s="119">
        <v>21</v>
      </c>
      <c r="FM32" s="119">
        <v>441</v>
      </c>
      <c r="FN32" s="119">
        <v>496.82</v>
      </c>
      <c r="FO32" s="119">
        <v>23.66</v>
      </c>
      <c r="FP32" s="119">
        <v>706.82</v>
      </c>
      <c r="FQ32" s="119">
        <v>21</v>
      </c>
      <c r="FR32" s="119">
        <v>148.43</v>
      </c>
      <c r="FS32" t="s">
        <v>390</v>
      </c>
      <c r="FT32" s="119">
        <v>220</v>
      </c>
      <c r="FU32" s="119">
        <v>62.05</v>
      </c>
      <c r="FV32" s="119">
        <v>282.05</v>
      </c>
      <c r="FW32" s="119">
        <v>22</v>
      </c>
      <c r="FX32" s="119">
        <v>22</v>
      </c>
      <c r="FY32" s="119">
        <v>22</v>
      </c>
      <c r="FZ32" s="119">
        <v>484</v>
      </c>
      <c r="GA32" s="119">
        <v>546.04999999999995</v>
      </c>
      <c r="GB32" s="119">
        <v>24.82</v>
      </c>
      <c r="GC32" s="119">
        <v>766.05</v>
      </c>
      <c r="GD32" s="119">
        <v>22</v>
      </c>
      <c r="GE32" s="119">
        <v>168.53</v>
      </c>
      <c r="GF32" t="s">
        <v>391</v>
      </c>
      <c r="GG32" s="119">
        <v>230</v>
      </c>
      <c r="GH32" s="119">
        <v>68.7</v>
      </c>
      <c r="GI32" s="119">
        <v>298.7</v>
      </c>
      <c r="GJ32" s="119">
        <v>23</v>
      </c>
      <c r="GK32" s="119">
        <v>23</v>
      </c>
      <c r="GL32" s="119">
        <v>23</v>
      </c>
      <c r="GM32" s="119">
        <v>529</v>
      </c>
      <c r="GN32" s="119">
        <v>597.70000000000005</v>
      </c>
      <c r="GO32" s="119">
        <v>25.99</v>
      </c>
      <c r="GP32" s="119">
        <v>827.7</v>
      </c>
      <c r="GQ32" s="119">
        <v>23</v>
      </c>
      <c r="GR32" s="119">
        <v>190.37</v>
      </c>
      <c r="GU32" s="119">
        <f t="shared" si="0"/>
        <v>500</v>
      </c>
      <c r="GV32" s="119">
        <f t="shared" si="0"/>
        <v>55.56</v>
      </c>
      <c r="GW32" s="119">
        <f t="shared" si="0"/>
        <v>555.55999999999995</v>
      </c>
      <c r="GX32" s="119">
        <f t="shared" si="0"/>
        <v>10</v>
      </c>
      <c r="GY32" s="119">
        <f t="shared" si="0"/>
        <v>10</v>
      </c>
      <c r="GZ32" s="119">
        <f t="shared" si="0"/>
        <v>10</v>
      </c>
      <c r="HA32" s="119">
        <f t="shared" si="0"/>
        <v>100</v>
      </c>
      <c r="HB32" s="119">
        <f t="shared" si="0"/>
        <v>155.56</v>
      </c>
      <c r="HC32" s="119">
        <f t="shared" si="0"/>
        <v>15.56</v>
      </c>
      <c r="HD32" s="119">
        <f t="shared" si="0"/>
        <v>655.56</v>
      </c>
      <c r="HJ32"/>
      <c r="HK32" s="115"/>
      <c r="HR32" s="116"/>
      <c r="HT32" s="117"/>
      <c r="HY32"/>
      <c r="HZ32"/>
      <c r="IA32"/>
    </row>
    <row r="33" spans="1:235" x14ac:dyDescent="0.25">
      <c r="A33">
        <v>33</v>
      </c>
      <c r="B33" s="115">
        <v>43297</v>
      </c>
      <c r="C33" t="s">
        <v>424</v>
      </c>
      <c r="D33" t="s">
        <v>425</v>
      </c>
      <c r="E33" t="s">
        <v>430</v>
      </c>
      <c r="F33" t="s">
        <v>426</v>
      </c>
      <c r="G33" t="s">
        <v>427</v>
      </c>
      <c r="H33" t="s">
        <v>428</v>
      </c>
      <c r="I33" s="116">
        <v>21130</v>
      </c>
      <c r="J33" t="s">
        <v>429</v>
      </c>
      <c r="K33" s="117" t="s">
        <v>431</v>
      </c>
      <c r="L33" t="s">
        <v>454</v>
      </c>
      <c r="M33" t="s">
        <v>455</v>
      </c>
      <c r="N33" t="s">
        <v>155</v>
      </c>
      <c r="O33" t="s">
        <v>456</v>
      </c>
      <c r="P33">
        <v>91315.09</v>
      </c>
      <c r="Q33">
        <v>55352.54</v>
      </c>
      <c r="R33">
        <v>35962.54</v>
      </c>
      <c r="S33" t="s">
        <v>378</v>
      </c>
      <c r="T33" s="118">
        <v>100</v>
      </c>
      <c r="U33" s="118">
        <v>11.11</v>
      </c>
      <c r="V33" s="118">
        <v>111.11</v>
      </c>
      <c r="W33" s="119">
        <v>10</v>
      </c>
      <c r="X33" s="119">
        <v>10</v>
      </c>
      <c r="Y33" s="119">
        <v>10</v>
      </c>
      <c r="Z33" s="119">
        <v>100</v>
      </c>
      <c r="AA33" s="119">
        <v>111.11</v>
      </c>
      <c r="AB33" s="119">
        <v>11.11</v>
      </c>
      <c r="AC33" s="119">
        <v>211.11</v>
      </c>
      <c r="AD33" s="119">
        <v>10</v>
      </c>
      <c r="AE33" s="119">
        <v>21.11</v>
      </c>
      <c r="AF33" t="s">
        <v>379</v>
      </c>
      <c r="AG33" s="119">
        <v>200</v>
      </c>
      <c r="AH33" s="119">
        <v>50</v>
      </c>
      <c r="AI33" s="119">
        <v>250</v>
      </c>
      <c r="AJ33" s="119">
        <v>20</v>
      </c>
      <c r="AK33" s="119">
        <v>20</v>
      </c>
      <c r="AL33" s="119">
        <v>20</v>
      </c>
      <c r="AM33" s="119">
        <v>400</v>
      </c>
      <c r="AN33" s="119">
        <v>450</v>
      </c>
      <c r="AO33" s="119">
        <v>22.5</v>
      </c>
      <c r="AP33" s="119">
        <v>650</v>
      </c>
      <c r="AQ33" s="119">
        <v>20</v>
      </c>
      <c r="AR33" s="119">
        <v>130</v>
      </c>
      <c r="AS33" t="s">
        <v>380</v>
      </c>
      <c r="AT33" s="119">
        <v>300</v>
      </c>
      <c r="AU33" s="119">
        <v>128.57</v>
      </c>
      <c r="AV33" s="119">
        <v>428.57</v>
      </c>
      <c r="AW33" s="119">
        <v>30</v>
      </c>
      <c r="AX33" s="119">
        <v>30</v>
      </c>
      <c r="AY33" s="119">
        <v>30</v>
      </c>
      <c r="AZ33" s="119">
        <v>900</v>
      </c>
      <c r="BA33" s="119">
        <v>1028.57</v>
      </c>
      <c r="BB33" s="119">
        <v>34.29</v>
      </c>
      <c r="BC33" s="119">
        <v>1328.57</v>
      </c>
      <c r="BD33" s="119">
        <v>30</v>
      </c>
      <c r="BE33" s="119">
        <v>398.57</v>
      </c>
      <c r="BF33" t="s">
        <v>381</v>
      </c>
      <c r="BG33" s="119">
        <v>400</v>
      </c>
      <c r="BH33" s="119">
        <v>266.67</v>
      </c>
      <c r="BI33" s="119">
        <v>666.67</v>
      </c>
      <c r="BJ33" s="119">
        <v>40</v>
      </c>
      <c r="BK33" s="119">
        <v>40</v>
      </c>
      <c r="BL33" s="119">
        <v>40</v>
      </c>
      <c r="BM33" s="119">
        <v>1600</v>
      </c>
      <c r="BN33" s="119">
        <v>1866.67</v>
      </c>
      <c r="BO33" s="119">
        <v>46.67</v>
      </c>
      <c r="BP33" s="119">
        <v>2266.67</v>
      </c>
      <c r="BQ33" s="119">
        <v>40</v>
      </c>
      <c r="BR33" s="119">
        <v>906.67</v>
      </c>
      <c r="BS33" t="s">
        <v>382</v>
      </c>
      <c r="BT33" s="119">
        <v>500</v>
      </c>
      <c r="BU33" s="119">
        <v>500</v>
      </c>
      <c r="BV33" s="119">
        <v>1000</v>
      </c>
      <c r="BW33" s="119">
        <v>50</v>
      </c>
      <c r="BX33" s="119">
        <v>50</v>
      </c>
      <c r="BY33" s="119">
        <v>50</v>
      </c>
      <c r="BZ33" s="119">
        <v>2500</v>
      </c>
      <c r="CA33" s="119">
        <v>3000</v>
      </c>
      <c r="CB33" s="119">
        <v>60</v>
      </c>
      <c r="CC33" s="119">
        <v>3500</v>
      </c>
      <c r="CD33" s="119">
        <v>50</v>
      </c>
      <c r="CE33" s="119">
        <v>1750</v>
      </c>
      <c r="CF33" t="s">
        <v>383</v>
      </c>
      <c r="CG33" s="119">
        <v>600</v>
      </c>
      <c r="CH33" s="119">
        <v>900</v>
      </c>
      <c r="CI33" s="119">
        <v>1500</v>
      </c>
      <c r="CJ33" s="119">
        <v>60</v>
      </c>
      <c r="CK33" s="119">
        <v>60</v>
      </c>
      <c r="CL33" s="119">
        <v>60</v>
      </c>
      <c r="CM33" s="119">
        <v>3600</v>
      </c>
      <c r="CN33" s="119">
        <v>4500</v>
      </c>
      <c r="CO33" s="119">
        <v>75</v>
      </c>
      <c r="CP33" s="119">
        <v>5100</v>
      </c>
      <c r="CQ33" s="119">
        <v>60</v>
      </c>
      <c r="CR33" s="119">
        <v>3060</v>
      </c>
      <c r="CS33" t="s">
        <v>384</v>
      </c>
      <c r="CT33" s="119">
        <v>700</v>
      </c>
      <c r="CU33" s="119">
        <v>1633.33</v>
      </c>
      <c r="CV33" s="119">
        <v>2333.33</v>
      </c>
      <c r="CW33" s="119">
        <v>70</v>
      </c>
      <c r="CX33" s="119">
        <v>70</v>
      </c>
      <c r="CY33" s="119">
        <v>70</v>
      </c>
      <c r="CZ33" s="119">
        <v>4900</v>
      </c>
      <c r="DA33" s="119">
        <v>6533.33</v>
      </c>
      <c r="DB33" s="119">
        <v>93.33</v>
      </c>
      <c r="DC33" s="119">
        <v>7233.33</v>
      </c>
      <c r="DD33" s="119">
        <v>70</v>
      </c>
      <c r="DE33" s="119">
        <v>5063.33</v>
      </c>
      <c r="DF33" t="s">
        <v>385</v>
      </c>
      <c r="DG33" s="119">
        <v>800</v>
      </c>
      <c r="DH33" s="119">
        <v>3200</v>
      </c>
      <c r="DI33" s="119">
        <v>4000</v>
      </c>
      <c r="DJ33" s="119">
        <v>80</v>
      </c>
      <c r="DK33" s="119">
        <v>80</v>
      </c>
      <c r="DL33" s="119">
        <v>80</v>
      </c>
      <c r="DM33" s="119">
        <v>6400</v>
      </c>
      <c r="DN33" s="119">
        <v>9600</v>
      </c>
      <c r="DO33" s="119">
        <v>120</v>
      </c>
      <c r="DP33" s="119">
        <v>10400</v>
      </c>
      <c r="DQ33" s="119">
        <v>80</v>
      </c>
      <c r="DR33" s="119">
        <v>8320</v>
      </c>
      <c r="DS33" t="s">
        <v>386</v>
      </c>
      <c r="DT33" s="119">
        <v>900</v>
      </c>
      <c r="DU33" s="119">
        <v>8100</v>
      </c>
      <c r="DV33" s="119">
        <v>9000</v>
      </c>
      <c r="DW33" s="119">
        <v>90</v>
      </c>
      <c r="DX33" s="119">
        <v>90</v>
      </c>
      <c r="DY33" s="119">
        <v>90</v>
      </c>
      <c r="DZ33" s="119">
        <v>8100</v>
      </c>
      <c r="EA33" s="119">
        <v>16200</v>
      </c>
      <c r="EB33" s="119">
        <v>180</v>
      </c>
      <c r="EC33" s="119">
        <v>17100</v>
      </c>
      <c r="ED33" s="119">
        <v>90</v>
      </c>
      <c r="EE33" s="119">
        <v>15390</v>
      </c>
      <c r="EF33" t="s">
        <v>387</v>
      </c>
      <c r="EG33" s="119">
        <v>1000</v>
      </c>
      <c r="EH33" s="119">
        <v>111.11</v>
      </c>
      <c r="EI33" s="119">
        <v>1111.1099999999999</v>
      </c>
      <c r="EJ33" s="119">
        <v>10</v>
      </c>
      <c r="EK33" s="119">
        <v>10</v>
      </c>
      <c r="EL33" s="119">
        <v>10</v>
      </c>
      <c r="EM33" s="119">
        <v>100</v>
      </c>
      <c r="EN33" s="119">
        <v>211.11</v>
      </c>
      <c r="EO33" s="119">
        <v>21.11</v>
      </c>
      <c r="EP33" s="119">
        <v>1211.1099999999999</v>
      </c>
      <c r="EQ33" s="119">
        <v>10</v>
      </c>
      <c r="ER33" s="119">
        <v>121.11</v>
      </c>
      <c r="ES33" t="s">
        <v>388</v>
      </c>
      <c r="ET33" s="119">
        <v>1100</v>
      </c>
      <c r="EU33" s="119">
        <v>135.96</v>
      </c>
      <c r="EV33" s="119">
        <v>1235.96</v>
      </c>
      <c r="EW33" s="119">
        <v>11</v>
      </c>
      <c r="EX33" s="119">
        <v>11</v>
      </c>
      <c r="EY33" s="119">
        <v>11</v>
      </c>
      <c r="EZ33" s="119">
        <v>121</v>
      </c>
      <c r="FA33" s="119">
        <v>256.95999999999998</v>
      </c>
      <c r="FB33" s="119">
        <v>23.36</v>
      </c>
      <c r="FC33" s="119">
        <v>1356.96</v>
      </c>
      <c r="FD33" s="119">
        <v>11</v>
      </c>
      <c r="FE33" s="119">
        <v>149.27000000000001</v>
      </c>
      <c r="FF33" t="s">
        <v>389</v>
      </c>
      <c r="FG33" s="119">
        <v>1200</v>
      </c>
      <c r="FH33" s="119">
        <v>163.63999999999999</v>
      </c>
      <c r="FI33" s="119">
        <v>1363.64</v>
      </c>
      <c r="FJ33" s="119">
        <v>12</v>
      </c>
      <c r="FK33" s="119">
        <v>12</v>
      </c>
      <c r="FL33" s="119">
        <v>12</v>
      </c>
      <c r="FM33" s="119">
        <v>144</v>
      </c>
      <c r="FN33" s="119">
        <v>307.64</v>
      </c>
      <c r="FO33" s="119">
        <v>25.64</v>
      </c>
      <c r="FP33" s="119">
        <v>1507.64</v>
      </c>
      <c r="FQ33" s="119">
        <v>12</v>
      </c>
      <c r="FR33" s="119">
        <v>180.92</v>
      </c>
      <c r="FS33" t="s">
        <v>390</v>
      </c>
      <c r="FT33" s="119">
        <v>1300</v>
      </c>
      <c r="FU33" s="119">
        <v>194.25</v>
      </c>
      <c r="FV33" s="119">
        <v>1494.25</v>
      </c>
      <c r="FW33" s="119">
        <v>13</v>
      </c>
      <c r="FX33" s="119">
        <v>13</v>
      </c>
      <c r="FY33" s="119">
        <v>13</v>
      </c>
      <c r="FZ33" s="119">
        <v>169</v>
      </c>
      <c r="GA33" s="119">
        <v>363.25</v>
      </c>
      <c r="GB33" s="119">
        <v>27.94</v>
      </c>
      <c r="GC33" s="119">
        <v>1663.25</v>
      </c>
      <c r="GD33" s="119">
        <v>13</v>
      </c>
      <c r="GE33" s="119">
        <v>216.22</v>
      </c>
      <c r="GF33" t="s">
        <v>391</v>
      </c>
      <c r="GG33" s="119">
        <v>1400</v>
      </c>
      <c r="GH33" s="119">
        <v>227.91</v>
      </c>
      <c r="GI33" s="119">
        <v>1627.91</v>
      </c>
      <c r="GJ33" s="119">
        <v>14</v>
      </c>
      <c r="GK33" s="119">
        <v>14</v>
      </c>
      <c r="GL33" s="119">
        <v>14</v>
      </c>
      <c r="GM33" s="119">
        <v>196</v>
      </c>
      <c r="GN33" s="119">
        <v>423.91</v>
      </c>
      <c r="GO33" s="119">
        <v>30.28</v>
      </c>
      <c r="GP33" s="119">
        <v>1823.91</v>
      </c>
      <c r="GQ33" s="119">
        <v>14</v>
      </c>
      <c r="GR33" s="119">
        <v>255.35</v>
      </c>
      <c r="GU33" s="119">
        <f t="shared" si="0"/>
        <v>250</v>
      </c>
      <c r="GV33" s="119">
        <f t="shared" si="0"/>
        <v>83.33</v>
      </c>
      <c r="GW33" s="119">
        <f t="shared" si="0"/>
        <v>333.33</v>
      </c>
      <c r="GX33" s="119">
        <f t="shared" si="0"/>
        <v>25</v>
      </c>
      <c r="GY33" s="119">
        <f t="shared" si="0"/>
        <v>10</v>
      </c>
      <c r="GZ33" s="119">
        <f t="shared" si="0"/>
        <v>50</v>
      </c>
      <c r="HA33" s="119">
        <f t="shared" si="0"/>
        <v>500</v>
      </c>
      <c r="HB33" s="119">
        <f t="shared" si="0"/>
        <v>583.33000000000004</v>
      </c>
      <c r="HC33" s="119">
        <f t="shared" si="0"/>
        <v>58.33</v>
      </c>
      <c r="HD33" s="119">
        <f t="shared" si="0"/>
        <v>833.33</v>
      </c>
      <c r="HJ33"/>
      <c r="HK33" s="115"/>
      <c r="HR33" s="116"/>
      <c r="HT33" s="117"/>
      <c r="HY33"/>
      <c r="HZ33"/>
      <c r="IA33"/>
    </row>
    <row r="34" spans="1:235" x14ac:dyDescent="0.25">
      <c r="A34">
        <v>34</v>
      </c>
      <c r="B34" s="115">
        <v>43297</v>
      </c>
      <c r="C34" t="s">
        <v>424</v>
      </c>
      <c r="D34" t="s">
        <v>425</v>
      </c>
      <c r="E34" t="s">
        <v>430</v>
      </c>
      <c r="F34" t="s">
        <v>426</v>
      </c>
      <c r="G34" t="s">
        <v>427</v>
      </c>
      <c r="H34" t="s">
        <v>428</v>
      </c>
      <c r="I34" s="116">
        <v>21130</v>
      </c>
      <c r="J34" t="s">
        <v>429</v>
      </c>
      <c r="K34" s="117" t="s">
        <v>431</v>
      </c>
      <c r="L34">
        <v>1254</v>
      </c>
      <c r="M34">
        <v>564313</v>
      </c>
      <c r="N34" t="s">
        <v>423</v>
      </c>
      <c r="O34">
        <v>456</v>
      </c>
      <c r="P34">
        <v>1457.14</v>
      </c>
      <c r="Q34">
        <v>1214.29</v>
      </c>
      <c r="R34">
        <v>242.86</v>
      </c>
      <c r="S34" t="s">
        <v>378</v>
      </c>
      <c r="T34" s="118">
        <v>0</v>
      </c>
      <c r="U34" s="118">
        <v>0</v>
      </c>
      <c r="V34" s="118">
        <v>0</v>
      </c>
      <c r="W34" s="119">
        <v>0</v>
      </c>
      <c r="X34" s="119">
        <v>0</v>
      </c>
      <c r="Y34" s="119">
        <v>0</v>
      </c>
      <c r="Z34" s="119">
        <v>0</v>
      </c>
      <c r="AA34" s="119">
        <v>0</v>
      </c>
      <c r="AB34" s="119">
        <v>0</v>
      </c>
      <c r="AC34" s="119">
        <v>0</v>
      </c>
      <c r="AD34" s="119">
        <v>0</v>
      </c>
      <c r="AE34" s="119">
        <v>0</v>
      </c>
      <c r="AF34" t="s">
        <v>379</v>
      </c>
      <c r="AG34" s="119">
        <v>0</v>
      </c>
      <c r="AH34" s="119">
        <v>0</v>
      </c>
      <c r="AI34" s="119">
        <v>0</v>
      </c>
      <c r="AJ34" s="119">
        <v>0</v>
      </c>
      <c r="AK34" s="119">
        <v>0</v>
      </c>
      <c r="AL34" s="119">
        <v>0</v>
      </c>
      <c r="AM34" s="119">
        <v>0</v>
      </c>
      <c r="AN34" s="119">
        <v>0</v>
      </c>
      <c r="AO34" s="119">
        <v>0</v>
      </c>
      <c r="AP34" s="119">
        <v>0</v>
      </c>
      <c r="AQ34" s="119">
        <v>0</v>
      </c>
      <c r="AR34" s="119">
        <v>0</v>
      </c>
      <c r="AS34" t="s">
        <v>380</v>
      </c>
      <c r="AT34" s="119">
        <v>0</v>
      </c>
      <c r="AU34" s="119">
        <v>0</v>
      </c>
      <c r="AV34" s="119">
        <v>0</v>
      </c>
      <c r="AW34" s="119">
        <v>0</v>
      </c>
      <c r="AX34" s="119">
        <v>0</v>
      </c>
      <c r="AY34" s="119">
        <v>0</v>
      </c>
      <c r="AZ34" s="119">
        <v>0</v>
      </c>
      <c r="BA34" s="119">
        <v>0</v>
      </c>
      <c r="BB34" s="119">
        <v>0</v>
      </c>
      <c r="BC34" s="119">
        <v>0</v>
      </c>
      <c r="BD34" s="119">
        <v>0</v>
      </c>
      <c r="BE34" s="119">
        <v>0</v>
      </c>
      <c r="BF34" t="s">
        <v>381</v>
      </c>
      <c r="BG34" s="119">
        <v>500</v>
      </c>
      <c r="BH34" s="119">
        <v>214.29</v>
      </c>
      <c r="BI34" s="119">
        <v>714.29</v>
      </c>
      <c r="BJ34" s="119">
        <v>30</v>
      </c>
      <c r="BK34" s="119">
        <v>10</v>
      </c>
      <c r="BL34" s="119">
        <v>50</v>
      </c>
      <c r="BM34" s="119">
        <v>500</v>
      </c>
      <c r="BN34" s="119">
        <v>714.29</v>
      </c>
      <c r="BO34" s="119">
        <v>71.430000000000007</v>
      </c>
      <c r="BP34" s="119">
        <v>1214.29</v>
      </c>
      <c r="BQ34" s="119">
        <v>20</v>
      </c>
      <c r="BR34" s="119">
        <v>242.86</v>
      </c>
      <c r="BS34" t="s">
        <v>382</v>
      </c>
      <c r="BT34" s="119">
        <v>0</v>
      </c>
      <c r="BU34" s="119">
        <v>0</v>
      </c>
      <c r="BV34" s="119">
        <v>0</v>
      </c>
      <c r="BW34" s="119">
        <v>0</v>
      </c>
      <c r="BX34" s="119">
        <v>0</v>
      </c>
      <c r="BY34" s="119">
        <v>0</v>
      </c>
      <c r="BZ34" s="119">
        <v>0</v>
      </c>
      <c r="CA34" s="119">
        <v>0</v>
      </c>
      <c r="CB34" s="119">
        <v>0</v>
      </c>
      <c r="CC34" s="119">
        <v>0</v>
      </c>
      <c r="CD34" s="119">
        <v>0</v>
      </c>
      <c r="CE34" s="119">
        <v>0</v>
      </c>
      <c r="CF34" t="s">
        <v>383</v>
      </c>
      <c r="CG34" s="119">
        <v>0</v>
      </c>
      <c r="CH34" s="119">
        <v>0</v>
      </c>
      <c r="CI34" s="119">
        <v>0</v>
      </c>
      <c r="CJ34" s="119">
        <v>0</v>
      </c>
      <c r="CK34" s="119">
        <v>0</v>
      </c>
      <c r="CL34" s="119">
        <v>0</v>
      </c>
      <c r="CM34" s="119">
        <v>0</v>
      </c>
      <c r="CN34" s="119">
        <v>0</v>
      </c>
      <c r="CO34" s="119">
        <v>0</v>
      </c>
      <c r="CP34" s="119">
        <v>0</v>
      </c>
      <c r="CQ34" s="119">
        <v>0</v>
      </c>
      <c r="CR34" s="119">
        <v>0</v>
      </c>
      <c r="CS34" t="s">
        <v>384</v>
      </c>
      <c r="CT34" s="119">
        <v>0</v>
      </c>
      <c r="CU34" s="119">
        <v>0</v>
      </c>
      <c r="CV34" s="119">
        <v>0</v>
      </c>
      <c r="CW34" s="119">
        <v>0</v>
      </c>
      <c r="CX34" s="119">
        <v>0</v>
      </c>
      <c r="CY34" s="119">
        <v>0</v>
      </c>
      <c r="CZ34" s="119">
        <v>0</v>
      </c>
      <c r="DA34" s="119">
        <v>0</v>
      </c>
      <c r="DB34" s="119">
        <v>0</v>
      </c>
      <c r="DC34" s="119">
        <v>0</v>
      </c>
      <c r="DD34" s="119">
        <v>0</v>
      </c>
      <c r="DE34" s="119">
        <v>0</v>
      </c>
      <c r="DF34" t="s">
        <v>385</v>
      </c>
      <c r="DG34" s="119">
        <v>0</v>
      </c>
      <c r="DH34" s="119">
        <v>0</v>
      </c>
      <c r="DI34" s="119">
        <v>0</v>
      </c>
      <c r="DJ34" s="119">
        <v>0</v>
      </c>
      <c r="DK34" s="119">
        <v>0</v>
      </c>
      <c r="DL34" s="119">
        <v>0</v>
      </c>
      <c r="DM34" s="119">
        <v>0</v>
      </c>
      <c r="DN34" s="119">
        <v>0</v>
      </c>
      <c r="DO34" s="119">
        <v>0</v>
      </c>
      <c r="DP34" s="119">
        <v>0</v>
      </c>
      <c r="DQ34" s="119">
        <v>0</v>
      </c>
      <c r="DR34" s="119">
        <v>0</v>
      </c>
      <c r="DS34" t="s">
        <v>386</v>
      </c>
      <c r="DT34" s="119">
        <v>0</v>
      </c>
      <c r="DU34" s="119">
        <v>0</v>
      </c>
      <c r="DV34" s="119">
        <v>0</v>
      </c>
      <c r="DW34" s="119">
        <v>0</v>
      </c>
      <c r="DX34" s="119">
        <v>0</v>
      </c>
      <c r="DY34" s="119">
        <v>0</v>
      </c>
      <c r="DZ34" s="119">
        <v>0</v>
      </c>
      <c r="EA34" s="119">
        <v>0</v>
      </c>
      <c r="EB34" s="119">
        <v>0</v>
      </c>
      <c r="EC34" s="119">
        <v>0</v>
      </c>
      <c r="ED34" s="119">
        <v>0</v>
      </c>
      <c r="EE34" s="119">
        <v>0</v>
      </c>
      <c r="EF34" t="s">
        <v>387</v>
      </c>
      <c r="EG34" s="119">
        <v>0</v>
      </c>
      <c r="EH34" s="119">
        <v>0</v>
      </c>
      <c r="EI34" s="119">
        <v>0</v>
      </c>
      <c r="EJ34" s="119">
        <v>0</v>
      </c>
      <c r="EK34" s="119">
        <v>0</v>
      </c>
      <c r="EL34" s="119">
        <v>0</v>
      </c>
      <c r="EM34" s="119">
        <v>0</v>
      </c>
      <c r="EN34" s="119">
        <v>0</v>
      </c>
      <c r="EO34" s="119">
        <v>0</v>
      </c>
      <c r="EP34" s="119">
        <v>0</v>
      </c>
      <c r="EQ34" s="119">
        <v>0</v>
      </c>
      <c r="ER34" s="119">
        <v>0</v>
      </c>
      <c r="ES34" t="s">
        <v>388</v>
      </c>
      <c r="ET34" s="119">
        <v>0</v>
      </c>
      <c r="EU34" s="119">
        <v>0</v>
      </c>
      <c r="EV34" s="119">
        <v>0</v>
      </c>
      <c r="EW34" s="119">
        <v>0</v>
      </c>
      <c r="EX34" s="119">
        <v>0</v>
      </c>
      <c r="EY34" s="119">
        <v>0</v>
      </c>
      <c r="EZ34" s="119">
        <v>0</v>
      </c>
      <c r="FA34" s="119">
        <v>0</v>
      </c>
      <c r="FB34" s="119">
        <v>0</v>
      </c>
      <c r="FC34" s="119">
        <v>0</v>
      </c>
      <c r="FD34" s="119">
        <v>0</v>
      </c>
      <c r="FE34" s="119">
        <v>0</v>
      </c>
      <c r="FF34" t="s">
        <v>389</v>
      </c>
      <c r="FG34" s="119">
        <v>0</v>
      </c>
      <c r="FH34" s="119">
        <v>0</v>
      </c>
      <c r="FI34" s="119">
        <v>0</v>
      </c>
      <c r="FJ34" s="119">
        <v>0</v>
      </c>
      <c r="FK34" s="119">
        <v>0</v>
      </c>
      <c r="FL34" s="119">
        <v>0</v>
      </c>
      <c r="FM34" s="119">
        <v>0</v>
      </c>
      <c r="FN34" s="119">
        <v>0</v>
      </c>
      <c r="FO34" s="119">
        <v>0</v>
      </c>
      <c r="FP34" s="119">
        <v>0</v>
      </c>
      <c r="FQ34" s="119">
        <v>0</v>
      </c>
      <c r="FR34" s="119">
        <v>0</v>
      </c>
      <c r="FS34" t="s">
        <v>390</v>
      </c>
      <c r="FT34" s="119">
        <v>0</v>
      </c>
      <c r="FU34" s="119">
        <v>0</v>
      </c>
      <c r="FV34" s="119">
        <v>0</v>
      </c>
      <c r="FW34" s="119">
        <v>0</v>
      </c>
      <c r="FX34" s="119">
        <v>0</v>
      </c>
      <c r="FY34" s="119">
        <v>0</v>
      </c>
      <c r="FZ34" s="119">
        <v>0</v>
      </c>
      <c r="GA34" s="119">
        <v>0</v>
      </c>
      <c r="GB34" s="119">
        <v>0</v>
      </c>
      <c r="GC34" s="119">
        <v>0</v>
      </c>
      <c r="GD34" s="119">
        <v>0</v>
      </c>
      <c r="GE34" s="119">
        <v>0</v>
      </c>
      <c r="GF34" t="s">
        <v>391</v>
      </c>
      <c r="GG34" s="119">
        <v>0</v>
      </c>
      <c r="GH34" s="119">
        <v>0</v>
      </c>
      <c r="GI34" s="119">
        <v>0</v>
      </c>
      <c r="GJ34" s="119">
        <v>0</v>
      </c>
      <c r="GK34" s="119">
        <v>0</v>
      </c>
      <c r="GL34" s="119">
        <v>0</v>
      </c>
      <c r="GM34" s="119">
        <v>0</v>
      </c>
      <c r="GN34" s="119">
        <v>0</v>
      </c>
      <c r="GO34" s="119">
        <v>0</v>
      </c>
      <c r="GP34" s="119">
        <v>0</v>
      </c>
      <c r="GQ34" s="119">
        <v>0</v>
      </c>
      <c r="GR34" s="119">
        <v>0</v>
      </c>
      <c r="GU34" s="119">
        <f t="shared" si="0"/>
        <v>500</v>
      </c>
      <c r="GV34" s="119">
        <f t="shared" si="0"/>
        <v>125</v>
      </c>
      <c r="GW34" s="119">
        <f t="shared" si="0"/>
        <v>625</v>
      </c>
      <c r="GX34" s="119">
        <f t="shared" si="0"/>
        <v>20</v>
      </c>
      <c r="GY34" s="119">
        <f t="shared" si="0"/>
        <v>20</v>
      </c>
      <c r="GZ34" s="119">
        <f t="shared" si="0"/>
        <v>20</v>
      </c>
      <c r="HA34" s="119">
        <f t="shared" si="0"/>
        <v>400</v>
      </c>
      <c r="HB34" s="119">
        <f t="shared" si="0"/>
        <v>525</v>
      </c>
      <c r="HC34" s="119">
        <f t="shared" si="0"/>
        <v>26.25</v>
      </c>
      <c r="HD34" s="119">
        <f t="shared" si="0"/>
        <v>1025</v>
      </c>
      <c r="HJ34"/>
      <c r="HK34" s="115"/>
      <c r="HR34" s="116"/>
      <c r="HT34" s="117"/>
      <c r="HY34"/>
      <c r="HZ34"/>
      <c r="IA34"/>
    </row>
    <row r="35" spans="1:235" x14ac:dyDescent="0.25">
      <c r="A35">
        <v>35</v>
      </c>
      <c r="B35" s="115">
        <v>43297</v>
      </c>
      <c r="C35" t="s">
        <v>400</v>
      </c>
      <c r="D35" t="s">
        <v>457</v>
      </c>
      <c r="E35" t="s">
        <v>458</v>
      </c>
      <c r="F35" t="s">
        <v>426</v>
      </c>
      <c r="G35" t="s">
        <v>427</v>
      </c>
      <c r="H35" t="s">
        <v>459</v>
      </c>
      <c r="I35" s="116">
        <v>21000</v>
      </c>
      <c r="J35" t="s">
        <v>404</v>
      </c>
      <c r="K35" s="117" t="s">
        <v>422</v>
      </c>
      <c r="N35" t="s">
        <v>423</v>
      </c>
      <c r="P35">
        <v>1266.67</v>
      </c>
      <c r="Q35">
        <v>1055.56</v>
      </c>
      <c r="R35">
        <v>211.11</v>
      </c>
      <c r="S35" t="s">
        <v>378</v>
      </c>
      <c r="T35" s="118">
        <v>500</v>
      </c>
      <c r="U35" s="118">
        <v>55.56</v>
      </c>
      <c r="V35" s="118">
        <v>555.55999999999995</v>
      </c>
      <c r="W35" s="119">
        <v>10</v>
      </c>
      <c r="X35" s="119">
        <v>10</v>
      </c>
      <c r="Y35" s="119">
        <v>50</v>
      </c>
      <c r="Z35" s="119">
        <v>500</v>
      </c>
      <c r="AA35" s="119">
        <v>555.55999999999995</v>
      </c>
      <c r="AB35" s="119">
        <v>55.56</v>
      </c>
      <c r="AC35" s="119">
        <v>1055.56</v>
      </c>
      <c r="AD35" s="119">
        <v>20</v>
      </c>
      <c r="AE35" s="119">
        <v>211.11</v>
      </c>
      <c r="AF35" t="s">
        <v>379</v>
      </c>
      <c r="AG35" s="119">
        <v>0</v>
      </c>
      <c r="AH35" s="119">
        <v>0</v>
      </c>
      <c r="AI35" s="119">
        <v>0</v>
      </c>
      <c r="AJ35" s="119">
        <v>0</v>
      </c>
      <c r="AK35" s="119">
        <v>0</v>
      </c>
      <c r="AL35" s="119">
        <v>0</v>
      </c>
      <c r="AM35" s="119">
        <v>0</v>
      </c>
      <c r="AN35" s="119">
        <v>0</v>
      </c>
      <c r="AO35" s="119">
        <v>0</v>
      </c>
      <c r="AP35" s="119">
        <v>0</v>
      </c>
      <c r="AQ35" s="119">
        <v>0</v>
      </c>
      <c r="AR35" s="119">
        <v>0</v>
      </c>
      <c r="AS35" t="s">
        <v>380</v>
      </c>
      <c r="AT35" s="119">
        <v>0</v>
      </c>
      <c r="AU35" s="119">
        <v>0</v>
      </c>
      <c r="AV35" s="119">
        <v>0</v>
      </c>
      <c r="AW35" s="119">
        <v>0</v>
      </c>
      <c r="AX35" s="119">
        <v>0</v>
      </c>
      <c r="AY35" s="119">
        <v>0</v>
      </c>
      <c r="AZ35" s="119">
        <v>0</v>
      </c>
      <c r="BA35" s="119">
        <v>0</v>
      </c>
      <c r="BB35" s="119">
        <v>0</v>
      </c>
      <c r="BC35" s="119">
        <v>0</v>
      </c>
      <c r="BD35" s="119">
        <v>0</v>
      </c>
      <c r="BE35" s="119">
        <v>0</v>
      </c>
      <c r="BF35" t="s">
        <v>381</v>
      </c>
      <c r="BG35" s="119">
        <v>0</v>
      </c>
      <c r="BH35" s="119">
        <v>0</v>
      </c>
      <c r="BI35" s="119">
        <v>0</v>
      </c>
      <c r="BJ35" s="119">
        <v>0</v>
      </c>
      <c r="BK35" s="119">
        <v>0</v>
      </c>
      <c r="BL35" s="119">
        <v>0</v>
      </c>
      <c r="BM35" s="119">
        <v>0</v>
      </c>
      <c r="BN35" s="119">
        <v>0</v>
      </c>
      <c r="BO35" s="119">
        <v>0</v>
      </c>
      <c r="BP35" s="119">
        <v>0</v>
      </c>
      <c r="BQ35" s="119">
        <v>0</v>
      </c>
      <c r="BR35" s="119">
        <v>0</v>
      </c>
      <c r="BS35" t="s">
        <v>382</v>
      </c>
      <c r="BT35" s="119">
        <v>0</v>
      </c>
      <c r="BU35" s="119">
        <v>0</v>
      </c>
      <c r="BV35" s="119">
        <v>0</v>
      </c>
      <c r="BW35" s="119">
        <v>0</v>
      </c>
      <c r="BX35" s="119">
        <v>0</v>
      </c>
      <c r="BY35" s="119">
        <v>0</v>
      </c>
      <c r="BZ35" s="119">
        <v>0</v>
      </c>
      <c r="CA35" s="119">
        <v>0</v>
      </c>
      <c r="CB35" s="119">
        <v>0</v>
      </c>
      <c r="CC35" s="119">
        <v>0</v>
      </c>
      <c r="CD35" s="119">
        <v>0</v>
      </c>
      <c r="CE35" s="119">
        <v>0</v>
      </c>
      <c r="CF35" t="s">
        <v>383</v>
      </c>
      <c r="CG35" s="119">
        <v>0</v>
      </c>
      <c r="CH35" s="119">
        <v>0</v>
      </c>
      <c r="CI35" s="119">
        <v>0</v>
      </c>
      <c r="CJ35" s="119">
        <v>0</v>
      </c>
      <c r="CK35" s="119">
        <v>0</v>
      </c>
      <c r="CL35" s="119">
        <v>0</v>
      </c>
      <c r="CM35" s="119">
        <v>0</v>
      </c>
      <c r="CN35" s="119">
        <v>0</v>
      </c>
      <c r="CO35" s="119">
        <v>0</v>
      </c>
      <c r="CP35" s="119">
        <v>0</v>
      </c>
      <c r="CQ35" s="119">
        <v>0</v>
      </c>
      <c r="CR35" s="119">
        <v>0</v>
      </c>
      <c r="CS35" t="s">
        <v>384</v>
      </c>
      <c r="CT35" s="119">
        <v>0</v>
      </c>
      <c r="CU35" s="119">
        <v>0</v>
      </c>
      <c r="CV35" s="119">
        <v>0</v>
      </c>
      <c r="CW35" s="119">
        <v>0</v>
      </c>
      <c r="CX35" s="119">
        <v>0</v>
      </c>
      <c r="CY35" s="119">
        <v>0</v>
      </c>
      <c r="CZ35" s="119">
        <v>0</v>
      </c>
      <c r="DA35" s="119">
        <v>0</v>
      </c>
      <c r="DB35" s="119">
        <v>0</v>
      </c>
      <c r="DC35" s="119">
        <v>0</v>
      </c>
      <c r="DD35" s="119">
        <v>0</v>
      </c>
      <c r="DE35" s="119">
        <v>0</v>
      </c>
      <c r="DF35" t="s">
        <v>385</v>
      </c>
      <c r="DG35" s="119">
        <v>0</v>
      </c>
      <c r="DH35" s="119">
        <v>0</v>
      </c>
      <c r="DI35" s="119">
        <v>0</v>
      </c>
      <c r="DJ35" s="119">
        <v>0</v>
      </c>
      <c r="DK35" s="119">
        <v>0</v>
      </c>
      <c r="DL35" s="119">
        <v>0</v>
      </c>
      <c r="DM35" s="119">
        <v>0</v>
      </c>
      <c r="DN35" s="119">
        <v>0</v>
      </c>
      <c r="DO35" s="119">
        <v>0</v>
      </c>
      <c r="DP35" s="119">
        <v>0</v>
      </c>
      <c r="DQ35" s="119">
        <v>0</v>
      </c>
      <c r="DR35" s="119">
        <v>0</v>
      </c>
      <c r="DS35" t="s">
        <v>386</v>
      </c>
      <c r="DT35" s="119">
        <v>0</v>
      </c>
      <c r="DU35" s="119">
        <v>0</v>
      </c>
      <c r="DV35" s="119">
        <v>0</v>
      </c>
      <c r="DW35" s="119">
        <v>0</v>
      </c>
      <c r="DX35" s="119">
        <v>0</v>
      </c>
      <c r="DY35" s="119">
        <v>0</v>
      </c>
      <c r="DZ35" s="119">
        <v>0</v>
      </c>
      <c r="EA35" s="119">
        <v>0</v>
      </c>
      <c r="EB35" s="119">
        <v>0</v>
      </c>
      <c r="EC35" s="119">
        <v>0</v>
      </c>
      <c r="ED35" s="119">
        <v>0</v>
      </c>
      <c r="EE35" s="119">
        <v>0</v>
      </c>
      <c r="EF35" t="s">
        <v>387</v>
      </c>
      <c r="EG35" s="119">
        <v>0</v>
      </c>
      <c r="EH35" s="119">
        <v>0</v>
      </c>
      <c r="EI35" s="119">
        <v>0</v>
      </c>
      <c r="EJ35" s="119">
        <v>0</v>
      </c>
      <c r="EK35" s="119">
        <v>0</v>
      </c>
      <c r="EL35" s="119">
        <v>0</v>
      </c>
      <c r="EM35" s="119">
        <v>0</v>
      </c>
      <c r="EN35" s="119">
        <v>0</v>
      </c>
      <c r="EO35" s="119">
        <v>0</v>
      </c>
      <c r="EP35" s="119">
        <v>0</v>
      </c>
      <c r="EQ35" s="119">
        <v>0</v>
      </c>
      <c r="ER35" s="119">
        <v>0</v>
      </c>
      <c r="ES35" t="s">
        <v>388</v>
      </c>
      <c r="ET35" s="119">
        <v>0</v>
      </c>
      <c r="EU35" s="119">
        <v>0</v>
      </c>
      <c r="EV35" s="119">
        <v>0</v>
      </c>
      <c r="EW35" s="119">
        <v>0</v>
      </c>
      <c r="EX35" s="119">
        <v>0</v>
      </c>
      <c r="EY35" s="119">
        <v>0</v>
      </c>
      <c r="EZ35" s="119">
        <v>0</v>
      </c>
      <c r="FA35" s="119">
        <v>0</v>
      </c>
      <c r="FB35" s="119">
        <v>0</v>
      </c>
      <c r="FC35" s="119">
        <v>0</v>
      </c>
      <c r="FD35" s="119">
        <v>0</v>
      </c>
      <c r="FE35" s="119">
        <v>0</v>
      </c>
      <c r="FF35" t="s">
        <v>389</v>
      </c>
      <c r="FG35" s="119">
        <v>0</v>
      </c>
      <c r="FH35" s="119">
        <v>0</v>
      </c>
      <c r="FI35" s="119">
        <v>0</v>
      </c>
      <c r="FJ35" s="119">
        <v>0</v>
      </c>
      <c r="FK35" s="119">
        <v>0</v>
      </c>
      <c r="FL35" s="119">
        <v>0</v>
      </c>
      <c r="FM35" s="119">
        <v>0</v>
      </c>
      <c r="FN35" s="119">
        <v>0</v>
      </c>
      <c r="FO35" s="119">
        <v>0</v>
      </c>
      <c r="FP35" s="119">
        <v>0</v>
      </c>
      <c r="FQ35" s="119">
        <v>0</v>
      </c>
      <c r="FR35" s="119">
        <v>0</v>
      </c>
      <c r="FS35" t="s">
        <v>390</v>
      </c>
      <c r="FT35" s="119">
        <v>0</v>
      </c>
      <c r="FU35" s="119">
        <v>0</v>
      </c>
      <c r="FV35" s="119">
        <v>0</v>
      </c>
      <c r="FW35" s="119">
        <v>0</v>
      </c>
      <c r="FX35" s="119">
        <v>0</v>
      </c>
      <c r="FY35" s="119">
        <v>0</v>
      </c>
      <c r="FZ35" s="119">
        <v>0</v>
      </c>
      <c r="GA35" s="119">
        <v>0</v>
      </c>
      <c r="GB35" s="119">
        <v>0</v>
      </c>
      <c r="GC35" s="119">
        <v>0</v>
      </c>
      <c r="GD35" s="119">
        <v>0</v>
      </c>
      <c r="GE35" s="119">
        <v>0</v>
      </c>
      <c r="GF35" t="s">
        <v>391</v>
      </c>
      <c r="GG35" s="119">
        <v>0</v>
      </c>
      <c r="GH35" s="119">
        <v>0</v>
      </c>
      <c r="GI35" s="119">
        <v>0</v>
      </c>
      <c r="GJ35" s="119">
        <v>0</v>
      </c>
      <c r="GK35" s="119">
        <v>0</v>
      </c>
      <c r="GL35" s="119">
        <v>0</v>
      </c>
      <c r="GM35" s="119">
        <v>0</v>
      </c>
      <c r="GN35" s="119">
        <v>0</v>
      </c>
      <c r="GO35" s="119">
        <v>0</v>
      </c>
      <c r="GP35" s="119">
        <v>0</v>
      </c>
      <c r="GQ35" s="119">
        <v>0</v>
      </c>
      <c r="GR35" s="119">
        <v>0</v>
      </c>
      <c r="GU35" s="119">
        <f t="shared" si="0"/>
        <v>100</v>
      </c>
      <c r="GV35" s="119">
        <f t="shared" si="0"/>
        <v>11.11</v>
      </c>
      <c r="GW35" s="119">
        <f t="shared" si="0"/>
        <v>111.11</v>
      </c>
      <c r="GX35" s="119">
        <f t="shared" si="0"/>
        <v>10</v>
      </c>
      <c r="GY35" s="119">
        <f t="shared" si="0"/>
        <v>10</v>
      </c>
      <c r="GZ35" s="119">
        <f t="shared" ref="GZ35:HD70" si="1">+Y28+AL28+AY28+BL28+BY28+CL28+CY28+DL28+DY28+EL28+EY28+FL28+FY28+GL28</f>
        <v>10</v>
      </c>
      <c r="HA35" s="119">
        <f t="shared" si="1"/>
        <v>100</v>
      </c>
      <c r="HB35" s="119">
        <f t="shared" si="1"/>
        <v>111.11</v>
      </c>
      <c r="HC35" s="119">
        <f t="shared" si="1"/>
        <v>11.11</v>
      </c>
      <c r="HD35" s="119">
        <f t="shared" si="1"/>
        <v>211.11</v>
      </c>
      <c r="HJ35"/>
      <c r="HK35" s="115"/>
      <c r="HR35" s="116"/>
      <c r="HT35" s="117"/>
      <c r="HY35"/>
      <c r="HZ35"/>
      <c r="IA35"/>
    </row>
    <row r="36" spans="1:235" x14ac:dyDescent="0.25">
      <c r="A36">
        <v>36</v>
      </c>
      <c r="B36" s="115">
        <v>43297</v>
      </c>
      <c r="C36" t="s">
        <v>424</v>
      </c>
      <c r="D36" t="s">
        <v>425</v>
      </c>
      <c r="E36" t="s">
        <v>430</v>
      </c>
      <c r="F36" t="s">
        <v>426</v>
      </c>
      <c r="G36" t="s">
        <v>427</v>
      </c>
      <c r="H36" t="s">
        <v>428</v>
      </c>
      <c r="I36" s="116">
        <v>21130</v>
      </c>
      <c r="J36" t="s">
        <v>429</v>
      </c>
      <c r="K36" s="117" t="s">
        <v>431</v>
      </c>
      <c r="N36" t="s">
        <v>423</v>
      </c>
      <c r="P36">
        <v>1266.67</v>
      </c>
      <c r="Q36">
        <v>1055.56</v>
      </c>
      <c r="R36">
        <v>211.11</v>
      </c>
      <c r="S36" t="s">
        <v>378</v>
      </c>
      <c r="T36" s="118">
        <v>500</v>
      </c>
      <c r="U36" s="118">
        <v>55.56</v>
      </c>
      <c r="V36" s="118">
        <v>555.55999999999995</v>
      </c>
      <c r="W36" s="119">
        <v>10</v>
      </c>
      <c r="X36" s="119">
        <v>10</v>
      </c>
      <c r="Y36" s="119">
        <v>50</v>
      </c>
      <c r="Z36" s="119">
        <v>500</v>
      </c>
      <c r="AA36" s="119">
        <v>555.55999999999995</v>
      </c>
      <c r="AB36" s="119">
        <v>55.56</v>
      </c>
      <c r="AC36" s="119">
        <v>1055.56</v>
      </c>
      <c r="AD36" s="119">
        <v>20</v>
      </c>
      <c r="AE36" s="119">
        <v>211.11</v>
      </c>
      <c r="AF36" t="s">
        <v>379</v>
      </c>
      <c r="AG36" s="119">
        <v>0</v>
      </c>
      <c r="AH36" s="119">
        <v>0</v>
      </c>
      <c r="AI36" s="119">
        <v>0</v>
      </c>
      <c r="AJ36" s="119">
        <v>0</v>
      </c>
      <c r="AK36" s="119">
        <v>0</v>
      </c>
      <c r="AL36" s="119">
        <v>0</v>
      </c>
      <c r="AM36" s="119">
        <v>0</v>
      </c>
      <c r="AN36" s="119">
        <v>0</v>
      </c>
      <c r="AO36" s="119">
        <v>0</v>
      </c>
      <c r="AP36" s="119">
        <v>0</v>
      </c>
      <c r="AQ36" s="119">
        <v>0</v>
      </c>
      <c r="AR36" s="119">
        <v>0</v>
      </c>
      <c r="AS36" t="s">
        <v>380</v>
      </c>
      <c r="AT36" s="119">
        <v>0</v>
      </c>
      <c r="AU36" s="119">
        <v>0</v>
      </c>
      <c r="AV36" s="119">
        <v>0</v>
      </c>
      <c r="AW36" s="119">
        <v>0</v>
      </c>
      <c r="AX36" s="119">
        <v>0</v>
      </c>
      <c r="AY36" s="119">
        <v>0</v>
      </c>
      <c r="AZ36" s="119">
        <v>0</v>
      </c>
      <c r="BA36" s="119">
        <v>0</v>
      </c>
      <c r="BB36" s="119">
        <v>0</v>
      </c>
      <c r="BC36" s="119">
        <v>0</v>
      </c>
      <c r="BD36" s="119">
        <v>0</v>
      </c>
      <c r="BE36" s="119">
        <v>0</v>
      </c>
      <c r="BF36" t="s">
        <v>381</v>
      </c>
      <c r="BG36" s="119">
        <v>0</v>
      </c>
      <c r="BH36" s="119">
        <v>0</v>
      </c>
      <c r="BI36" s="119">
        <v>0</v>
      </c>
      <c r="BJ36" s="119">
        <v>0</v>
      </c>
      <c r="BK36" s="119">
        <v>0</v>
      </c>
      <c r="BL36" s="119">
        <v>0</v>
      </c>
      <c r="BM36" s="119">
        <v>0</v>
      </c>
      <c r="BN36" s="119">
        <v>0</v>
      </c>
      <c r="BO36" s="119">
        <v>0</v>
      </c>
      <c r="BP36" s="119">
        <v>0</v>
      </c>
      <c r="BQ36" s="119">
        <v>0</v>
      </c>
      <c r="BR36" s="119">
        <v>0</v>
      </c>
      <c r="BS36" t="s">
        <v>382</v>
      </c>
      <c r="BT36" s="119">
        <v>0</v>
      </c>
      <c r="BU36" s="119">
        <v>0</v>
      </c>
      <c r="BV36" s="119">
        <v>0</v>
      </c>
      <c r="BW36" s="119">
        <v>0</v>
      </c>
      <c r="BX36" s="119">
        <v>0</v>
      </c>
      <c r="BY36" s="119">
        <v>0</v>
      </c>
      <c r="BZ36" s="119">
        <v>0</v>
      </c>
      <c r="CA36" s="119">
        <v>0</v>
      </c>
      <c r="CB36" s="119">
        <v>0</v>
      </c>
      <c r="CC36" s="119">
        <v>0</v>
      </c>
      <c r="CD36" s="119">
        <v>0</v>
      </c>
      <c r="CE36" s="119">
        <v>0</v>
      </c>
      <c r="CF36" t="s">
        <v>383</v>
      </c>
      <c r="CG36" s="119">
        <v>0</v>
      </c>
      <c r="CH36" s="119">
        <v>0</v>
      </c>
      <c r="CI36" s="119">
        <v>0</v>
      </c>
      <c r="CJ36" s="119">
        <v>0</v>
      </c>
      <c r="CK36" s="119">
        <v>0</v>
      </c>
      <c r="CL36" s="119">
        <v>0</v>
      </c>
      <c r="CM36" s="119">
        <v>0</v>
      </c>
      <c r="CN36" s="119">
        <v>0</v>
      </c>
      <c r="CO36" s="119">
        <v>0</v>
      </c>
      <c r="CP36" s="119">
        <v>0</v>
      </c>
      <c r="CQ36" s="119">
        <v>0</v>
      </c>
      <c r="CR36" s="119">
        <v>0</v>
      </c>
      <c r="CS36" t="s">
        <v>384</v>
      </c>
      <c r="CT36" s="119">
        <v>0</v>
      </c>
      <c r="CU36" s="119">
        <v>0</v>
      </c>
      <c r="CV36" s="119">
        <v>0</v>
      </c>
      <c r="CW36" s="119">
        <v>0</v>
      </c>
      <c r="CX36" s="119">
        <v>0</v>
      </c>
      <c r="CY36" s="119">
        <v>0</v>
      </c>
      <c r="CZ36" s="119">
        <v>0</v>
      </c>
      <c r="DA36" s="119">
        <v>0</v>
      </c>
      <c r="DB36" s="119">
        <v>0</v>
      </c>
      <c r="DC36" s="119">
        <v>0</v>
      </c>
      <c r="DD36" s="119">
        <v>0</v>
      </c>
      <c r="DE36" s="119">
        <v>0</v>
      </c>
      <c r="DF36" t="s">
        <v>385</v>
      </c>
      <c r="DG36" s="119">
        <v>0</v>
      </c>
      <c r="DH36" s="119">
        <v>0</v>
      </c>
      <c r="DI36" s="119">
        <v>0</v>
      </c>
      <c r="DJ36" s="119">
        <v>0</v>
      </c>
      <c r="DK36" s="119">
        <v>0</v>
      </c>
      <c r="DL36" s="119">
        <v>0</v>
      </c>
      <c r="DM36" s="119">
        <v>0</v>
      </c>
      <c r="DN36" s="119">
        <v>0</v>
      </c>
      <c r="DO36" s="119">
        <v>0</v>
      </c>
      <c r="DP36" s="119">
        <v>0</v>
      </c>
      <c r="DQ36" s="119">
        <v>0</v>
      </c>
      <c r="DR36" s="119">
        <v>0</v>
      </c>
      <c r="DS36" t="s">
        <v>386</v>
      </c>
      <c r="DT36" s="119">
        <v>0</v>
      </c>
      <c r="DU36" s="119">
        <v>0</v>
      </c>
      <c r="DV36" s="119">
        <v>0</v>
      </c>
      <c r="DW36" s="119">
        <v>0</v>
      </c>
      <c r="DX36" s="119">
        <v>0</v>
      </c>
      <c r="DY36" s="119">
        <v>0</v>
      </c>
      <c r="DZ36" s="119">
        <v>0</v>
      </c>
      <c r="EA36" s="119">
        <v>0</v>
      </c>
      <c r="EB36" s="119">
        <v>0</v>
      </c>
      <c r="EC36" s="119">
        <v>0</v>
      </c>
      <c r="ED36" s="119">
        <v>0</v>
      </c>
      <c r="EE36" s="119">
        <v>0</v>
      </c>
      <c r="EF36" t="s">
        <v>387</v>
      </c>
      <c r="EG36" s="119">
        <v>0</v>
      </c>
      <c r="EH36" s="119">
        <v>0</v>
      </c>
      <c r="EI36" s="119">
        <v>0</v>
      </c>
      <c r="EJ36" s="119">
        <v>0</v>
      </c>
      <c r="EK36" s="119">
        <v>0</v>
      </c>
      <c r="EL36" s="119">
        <v>0</v>
      </c>
      <c r="EM36" s="119">
        <v>0</v>
      </c>
      <c r="EN36" s="119">
        <v>0</v>
      </c>
      <c r="EO36" s="119">
        <v>0</v>
      </c>
      <c r="EP36" s="119">
        <v>0</v>
      </c>
      <c r="EQ36" s="119">
        <v>0</v>
      </c>
      <c r="ER36" s="119">
        <v>0</v>
      </c>
      <c r="ES36" t="s">
        <v>388</v>
      </c>
      <c r="ET36" s="119">
        <v>0</v>
      </c>
      <c r="EU36" s="119">
        <v>0</v>
      </c>
      <c r="EV36" s="119">
        <v>0</v>
      </c>
      <c r="EW36" s="119">
        <v>0</v>
      </c>
      <c r="EX36" s="119">
        <v>0</v>
      </c>
      <c r="EY36" s="119">
        <v>0</v>
      </c>
      <c r="EZ36" s="119">
        <v>0</v>
      </c>
      <c r="FA36" s="119">
        <v>0</v>
      </c>
      <c r="FB36" s="119">
        <v>0</v>
      </c>
      <c r="FC36" s="119">
        <v>0</v>
      </c>
      <c r="FD36" s="119">
        <v>0</v>
      </c>
      <c r="FE36" s="119">
        <v>0</v>
      </c>
      <c r="FF36" t="s">
        <v>389</v>
      </c>
      <c r="FG36" s="119">
        <v>0</v>
      </c>
      <c r="FH36" s="119">
        <v>0</v>
      </c>
      <c r="FI36" s="119">
        <v>0</v>
      </c>
      <c r="FJ36" s="119">
        <v>0</v>
      </c>
      <c r="FK36" s="119">
        <v>0</v>
      </c>
      <c r="FL36" s="119">
        <v>0</v>
      </c>
      <c r="FM36" s="119">
        <v>0</v>
      </c>
      <c r="FN36" s="119">
        <v>0</v>
      </c>
      <c r="FO36" s="119">
        <v>0</v>
      </c>
      <c r="FP36" s="119">
        <v>0</v>
      </c>
      <c r="FQ36" s="119">
        <v>0</v>
      </c>
      <c r="FR36" s="119">
        <v>0</v>
      </c>
      <c r="FS36" t="s">
        <v>390</v>
      </c>
      <c r="FT36" s="119">
        <v>0</v>
      </c>
      <c r="FU36" s="119">
        <v>0</v>
      </c>
      <c r="FV36" s="119">
        <v>0</v>
      </c>
      <c r="FW36" s="119">
        <v>0</v>
      </c>
      <c r="FX36" s="119">
        <v>0</v>
      </c>
      <c r="FY36" s="119">
        <v>0</v>
      </c>
      <c r="FZ36" s="119">
        <v>0</v>
      </c>
      <c r="GA36" s="119">
        <v>0</v>
      </c>
      <c r="GB36" s="119">
        <v>0</v>
      </c>
      <c r="GC36" s="119">
        <v>0</v>
      </c>
      <c r="GD36" s="119">
        <v>0</v>
      </c>
      <c r="GE36" s="119">
        <v>0</v>
      </c>
      <c r="GF36" t="s">
        <v>391</v>
      </c>
      <c r="GG36" s="119">
        <v>0</v>
      </c>
      <c r="GH36" s="119">
        <v>0</v>
      </c>
      <c r="GI36" s="119">
        <v>0</v>
      </c>
      <c r="GJ36" s="119">
        <v>0</v>
      </c>
      <c r="GK36" s="119">
        <v>0</v>
      </c>
      <c r="GL36" s="119">
        <v>0</v>
      </c>
      <c r="GM36" s="119">
        <v>0</v>
      </c>
      <c r="GN36" s="119">
        <v>0</v>
      </c>
      <c r="GO36" s="119">
        <v>0</v>
      </c>
      <c r="GP36" s="119">
        <v>0</v>
      </c>
      <c r="GQ36" s="119">
        <v>0</v>
      </c>
      <c r="GR36" s="119">
        <v>0</v>
      </c>
      <c r="GU36" s="119">
        <f t="shared" ref="GU36:GY71" si="2">+T29+AG29+AT29+BG29+BT29+CG29+CT29+DG29+DT29+EG29+ET29+FG29+FT29+GG29</f>
        <v>500</v>
      </c>
      <c r="GV36" s="119">
        <f t="shared" si="2"/>
        <v>55.56</v>
      </c>
      <c r="GW36" s="119">
        <f t="shared" si="2"/>
        <v>555.55999999999995</v>
      </c>
      <c r="GX36" s="119">
        <f t="shared" si="2"/>
        <v>10</v>
      </c>
      <c r="GY36" s="119">
        <f t="shared" si="2"/>
        <v>10</v>
      </c>
      <c r="GZ36" s="119">
        <f t="shared" si="1"/>
        <v>10</v>
      </c>
      <c r="HA36" s="119">
        <f t="shared" si="1"/>
        <v>100</v>
      </c>
      <c r="HB36" s="119">
        <f t="shared" si="1"/>
        <v>155.56</v>
      </c>
      <c r="HC36" s="119">
        <f t="shared" si="1"/>
        <v>15.56</v>
      </c>
      <c r="HD36" s="119">
        <f t="shared" si="1"/>
        <v>655.56</v>
      </c>
      <c r="HJ36"/>
      <c r="HK36" s="115"/>
      <c r="HR36" s="116"/>
      <c r="HT36" s="117"/>
      <c r="HY36"/>
      <c r="HZ36"/>
      <c r="IA36"/>
    </row>
    <row r="37" spans="1:235" x14ac:dyDescent="0.25">
      <c r="A37">
        <v>37</v>
      </c>
      <c r="B37" s="115">
        <v>43297</v>
      </c>
      <c r="C37" t="s">
        <v>424</v>
      </c>
      <c r="D37" t="s">
        <v>425</v>
      </c>
      <c r="E37" t="s">
        <v>430</v>
      </c>
      <c r="F37" t="s">
        <v>426</v>
      </c>
      <c r="G37" t="s">
        <v>427</v>
      </c>
      <c r="H37" t="s">
        <v>428</v>
      </c>
      <c r="I37" s="116">
        <v>21130</v>
      </c>
      <c r="J37" t="s">
        <v>429</v>
      </c>
      <c r="K37" s="117" t="s">
        <v>431</v>
      </c>
      <c r="L37" t="s">
        <v>460</v>
      </c>
      <c r="M37" t="s">
        <v>461</v>
      </c>
      <c r="N37" t="s">
        <v>154</v>
      </c>
      <c r="O37">
        <v>180015</v>
      </c>
      <c r="P37">
        <v>1350</v>
      </c>
      <c r="Q37">
        <v>1125</v>
      </c>
      <c r="R37">
        <v>225</v>
      </c>
      <c r="S37" t="s">
        <v>378</v>
      </c>
      <c r="T37" s="118">
        <v>500</v>
      </c>
      <c r="U37" s="118">
        <v>125</v>
      </c>
      <c r="V37" s="118">
        <v>625</v>
      </c>
      <c r="W37" s="119">
        <v>20</v>
      </c>
      <c r="X37" s="119">
        <v>10</v>
      </c>
      <c r="Y37" s="119">
        <v>50</v>
      </c>
      <c r="Z37" s="119">
        <v>500</v>
      </c>
      <c r="AA37" s="119">
        <v>625</v>
      </c>
      <c r="AB37" s="119">
        <v>62.5</v>
      </c>
      <c r="AC37" s="119">
        <v>1125</v>
      </c>
      <c r="AD37" s="119">
        <v>20</v>
      </c>
      <c r="AE37" s="119">
        <v>225</v>
      </c>
      <c r="AF37" t="s">
        <v>379</v>
      </c>
      <c r="AG37" s="119">
        <v>0</v>
      </c>
      <c r="AH37" s="119">
        <v>0</v>
      </c>
      <c r="AI37" s="119">
        <v>0</v>
      </c>
      <c r="AJ37" s="119">
        <v>0</v>
      </c>
      <c r="AK37" s="119">
        <v>0</v>
      </c>
      <c r="AL37" s="119">
        <v>0</v>
      </c>
      <c r="AM37" s="119">
        <v>0</v>
      </c>
      <c r="AN37" s="119">
        <v>0</v>
      </c>
      <c r="AO37" s="119">
        <v>0</v>
      </c>
      <c r="AP37" s="119">
        <v>0</v>
      </c>
      <c r="AQ37" s="119">
        <v>0</v>
      </c>
      <c r="AR37" s="119">
        <v>0</v>
      </c>
      <c r="AS37" t="s">
        <v>380</v>
      </c>
      <c r="AT37" s="119">
        <v>0</v>
      </c>
      <c r="AU37" s="119">
        <v>0</v>
      </c>
      <c r="AV37" s="119">
        <v>0</v>
      </c>
      <c r="AW37" s="119">
        <v>0</v>
      </c>
      <c r="AX37" s="119">
        <v>0</v>
      </c>
      <c r="AY37" s="119">
        <v>0</v>
      </c>
      <c r="AZ37" s="119">
        <v>0</v>
      </c>
      <c r="BA37" s="119">
        <v>0</v>
      </c>
      <c r="BB37" s="119">
        <v>0</v>
      </c>
      <c r="BC37" s="119">
        <v>0</v>
      </c>
      <c r="BD37" s="119">
        <v>0</v>
      </c>
      <c r="BE37" s="119">
        <v>0</v>
      </c>
      <c r="BF37" t="s">
        <v>381</v>
      </c>
      <c r="BG37" s="119">
        <v>0</v>
      </c>
      <c r="BH37" s="119">
        <v>0</v>
      </c>
      <c r="BI37" s="119">
        <v>0</v>
      </c>
      <c r="BJ37" s="119">
        <v>0</v>
      </c>
      <c r="BK37" s="119">
        <v>0</v>
      </c>
      <c r="BL37" s="119">
        <v>0</v>
      </c>
      <c r="BM37" s="119">
        <v>0</v>
      </c>
      <c r="BN37" s="119">
        <v>0</v>
      </c>
      <c r="BO37" s="119">
        <v>0</v>
      </c>
      <c r="BP37" s="119">
        <v>0</v>
      </c>
      <c r="BQ37" s="119">
        <v>0</v>
      </c>
      <c r="BR37" s="119">
        <v>0</v>
      </c>
      <c r="BS37" t="s">
        <v>382</v>
      </c>
      <c r="BT37" s="119">
        <v>0</v>
      </c>
      <c r="BU37" s="119">
        <v>0</v>
      </c>
      <c r="BV37" s="119">
        <v>0</v>
      </c>
      <c r="BW37" s="119">
        <v>0</v>
      </c>
      <c r="BX37" s="119">
        <v>0</v>
      </c>
      <c r="BY37" s="119">
        <v>0</v>
      </c>
      <c r="BZ37" s="119">
        <v>0</v>
      </c>
      <c r="CA37" s="119">
        <v>0</v>
      </c>
      <c r="CB37" s="119">
        <v>0</v>
      </c>
      <c r="CC37" s="119">
        <v>0</v>
      </c>
      <c r="CD37" s="119">
        <v>0</v>
      </c>
      <c r="CE37" s="119">
        <v>0</v>
      </c>
      <c r="CF37" t="s">
        <v>383</v>
      </c>
      <c r="CG37" s="119">
        <v>0</v>
      </c>
      <c r="CH37" s="119">
        <v>0</v>
      </c>
      <c r="CI37" s="119">
        <v>0</v>
      </c>
      <c r="CJ37" s="119">
        <v>0</v>
      </c>
      <c r="CK37" s="119">
        <v>0</v>
      </c>
      <c r="CL37" s="119">
        <v>0</v>
      </c>
      <c r="CM37" s="119">
        <v>0</v>
      </c>
      <c r="CN37" s="119">
        <v>0</v>
      </c>
      <c r="CO37" s="119">
        <v>0</v>
      </c>
      <c r="CP37" s="119">
        <v>0</v>
      </c>
      <c r="CQ37" s="119">
        <v>0</v>
      </c>
      <c r="CR37" s="119">
        <v>0</v>
      </c>
      <c r="CS37" t="s">
        <v>384</v>
      </c>
      <c r="CT37" s="119">
        <v>0</v>
      </c>
      <c r="CU37" s="119">
        <v>0</v>
      </c>
      <c r="CV37" s="119">
        <v>0</v>
      </c>
      <c r="CW37" s="119">
        <v>0</v>
      </c>
      <c r="CX37" s="119">
        <v>0</v>
      </c>
      <c r="CY37" s="119">
        <v>0</v>
      </c>
      <c r="CZ37" s="119">
        <v>0</v>
      </c>
      <c r="DA37" s="119">
        <v>0</v>
      </c>
      <c r="DB37" s="119">
        <v>0</v>
      </c>
      <c r="DC37" s="119">
        <v>0</v>
      </c>
      <c r="DD37" s="119">
        <v>0</v>
      </c>
      <c r="DE37" s="119">
        <v>0</v>
      </c>
      <c r="DF37" t="s">
        <v>385</v>
      </c>
      <c r="DG37" s="119">
        <v>0</v>
      </c>
      <c r="DH37" s="119">
        <v>0</v>
      </c>
      <c r="DI37" s="119">
        <v>0</v>
      </c>
      <c r="DJ37" s="119">
        <v>0</v>
      </c>
      <c r="DK37" s="119">
        <v>0</v>
      </c>
      <c r="DL37" s="119">
        <v>0</v>
      </c>
      <c r="DM37" s="119">
        <v>0</v>
      </c>
      <c r="DN37" s="119">
        <v>0</v>
      </c>
      <c r="DO37" s="119">
        <v>0</v>
      </c>
      <c r="DP37" s="119">
        <v>0</v>
      </c>
      <c r="DQ37" s="119">
        <v>0</v>
      </c>
      <c r="DR37" s="119">
        <v>0</v>
      </c>
      <c r="DS37" t="s">
        <v>386</v>
      </c>
      <c r="DT37" s="119">
        <v>0</v>
      </c>
      <c r="DU37" s="119">
        <v>0</v>
      </c>
      <c r="DV37" s="119">
        <v>0</v>
      </c>
      <c r="DW37" s="119">
        <v>0</v>
      </c>
      <c r="DX37" s="119">
        <v>0</v>
      </c>
      <c r="DY37" s="119">
        <v>0</v>
      </c>
      <c r="DZ37" s="119">
        <v>0</v>
      </c>
      <c r="EA37" s="119">
        <v>0</v>
      </c>
      <c r="EB37" s="119">
        <v>0</v>
      </c>
      <c r="EC37" s="119">
        <v>0</v>
      </c>
      <c r="ED37" s="119">
        <v>0</v>
      </c>
      <c r="EE37" s="119">
        <v>0</v>
      </c>
      <c r="EF37" t="s">
        <v>387</v>
      </c>
      <c r="EG37" s="119">
        <v>0</v>
      </c>
      <c r="EH37" s="119">
        <v>0</v>
      </c>
      <c r="EI37" s="119">
        <v>0</v>
      </c>
      <c r="EJ37" s="119">
        <v>0</v>
      </c>
      <c r="EK37" s="119">
        <v>0</v>
      </c>
      <c r="EL37" s="119">
        <v>0</v>
      </c>
      <c r="EM37" s="119">
        <v>0</v>
      </c>
      <c r="EN37" s="119">
        <v>0</v>
      </c>
      <c r="EO37" s="119">
        <v>0</v>
      </c>
      <c r="EP37" s="119">
        <v>0</v>
      </c>
      <c r="EQ37" s="119">
        <v>0</v>
      </c>
      <c r="ER37" s="119">
        <v>0</v>
      </c>
      <c r="ES37" t="s">
        <v>388</v>
      </c>
      <c r="ET37" s="119">
        <v>0</v>
      </c>
      <c r="EU37" s="119">
        <v>0</v>
      </c>
      <c r="EV37" s="119">
        <v>0</v>
      </c>
      <c r="EW37" s="119">
        <v>0</v>
      </c>
      <c r="EX37" s="119">
        <v>0</v>
      </c>
      <c r="EY37" s="119">
        <v>0</v>
      </c>
      <c r="EZ37" s="119">
        <v>0</v>
      </c>
      <c r="FA37" s="119">
        <v>0</v>
      </c>
      <c r="FB37" s="119">
        <v>0</v>
      </c>
      <c r="FC37" s="119">
        <v>0</v>
      </c>
      <c r="FD37" s="119">
        <v>0</v>
      </c>
      <c r="FE37" s="119">
        <v>0</v>
      </c>
      <c r="FF37" t="s">
        <v>389</v>
      </c>
      <c r="FG37" s="119">
        <v>0</v>
      </c>
      <c r="FH37" s="119">
        <v>0</v>
      </c>
      <c r="FI37" s="119">
        <v>0</v>
      </c>
      <c r="FJ37" s="119">
        <v>0</v>
      </c>
      <c r="FK37" s="119">
        <v>0</v>
      </c>
      <c r="FL37" s="119">
        <v>0</v>
      </c>
      <c r="FM37" s="119">
        <v>0</v>
      </c>
      <c r="FN37" s="119">
        <v>0</v>
      </c>
      <c r="FO37" s="119">
        <v>0</v>
      </c>
      <c r="FP37" s="119">
        <v>0</v>
      </c>
      <c r="FQ37" s="119">
        <v>0</v>
      </c>
      <c r="FR37" s="119">
        <v>0</v>
      </c>
      <c r="FS37" t="s">
        <v>390</v>
      </c>
      <c r="FT37" s="119">
        <v>0</v>
      </c>
      <c r="FU37" s="119">
        <v>0</v>
      </c>
      <c r="FV37" s="119">
        <v>0</v>
      </c>
      <c r="FW37" s="119">
        <v>0</v>
      </c>
      <c r="FX37" s="119">
        <v>0</v>
      </c>
      <c r="FY37" s="119">
        <v>0</v>
      </c>
      <c r="FZ37" s="119">
        <v>0</v>
      </c>
      <c r="GA37" s="119">
        <v>0</v>
      </c>
      <c r="GB37" s="119">
        <v>0</v>
      </c>
      <c r="GC37" s="119">
        <v>0</v>
      </c>
      <c r="GD37" s="119">
        <v>0</v>
      </c>
      <c r="GE37" s="119">
        <v>0</v>
      </c>
      <c r="GF37" t="s">
        <v>391</v>
      </c>
      <c r="GG37" s="119">
        <v>0</v>
      </c>
      <c r="GH37" s="119">
        <v>0</v>
      </c>
      <c r="GI37" s="119">
        <v>0</v>
      </c>
      <c r="GJ37" s="119">
        <v>0</v>
      </c>
      <c r="GK37" s="119">
        <v>0</v>
      </c>
      <c r="GL37" s="119">
        <v>0</v>
      </c>
      <c r="GM37" s="119">
        <v>0</v>
      </c>
      <c r="GN37" s="119">
        <v>0</v>
      </c>
      <c r="GO37" s="119">
        <v>0</v>
      </c>
      <c r="GP37" s="119">
        <v>0</v>
      </c>
      <c r="GQ37" s="119">
        <v>0</v>
      </c>
      <c r="GR37" s="119">
        <v>0</v>
      </c>
      <c r="GU37" s="119">
        <f t="shared" si="2"/>
        <v>500</v>
      </c>
      <c r="GV37" s="119">
        <f t="shared" si="2"/>
        <v>55.56</v>
      </c>
      <c r="GW37" s="119">
        <f t="shared" si="2"/>
        <v>555.55999999999995</v>
      </c>
      <c r="GX37" s="119">
        <f t="shared" si="2"/>
        <v>10</v>
      </c>
      <c r="GY37" s="119">
        <f t="shared" si="2"/>
        <v>10</v>
      </c>
      <c r="GZ37" s="119">
        <f t="shared" si="1"/>
        <v>10</v>
      </c>
      <c r="HA37" s="119">
        <f t="shared" si="1"/>
        <v>100</v>
      </c>
      <c r="HB37" s="119">
        <f t="shared" si="1"/>
        <v>155.56</v>
      </c>
      <c r="HC37" s="119">
        <f t="shared" si="1"/>
        <v>15.56</v>
      </c>
      <c r="HD37" s="119">
        <f t="shared" si="1"/>
        <v>655.56</v>
      </c>
      <c r="HJ37"/>
      <c r="HK37" s="115"/>
      <c r="HR37" s="116"/>
      <c r="HT37" s="117"/>
      <c r="HY37"/>
      <c r="HZ37"/>
      <c r="IA37"/>
    </row>
    <row r="38" spans="1:235" x14ac:dyDescent="0.25">
      <c r="A38">
        <v>38</v>
      </c>
      <c r="B38" s="115">
        <v>43297</v>
      </c>
      <c r="C38" t="s">
        <v>392</v>
      </c>
      <c r="D38" t="s">
        <v>393</v>
      </c>
      <c r="E38" t="s">
        <v>394</v>
      </c>
      <c r="H38" t="s">
        <v>397</v>
      </c>
      <c r="I38" s="116">
        <v>25000</v>
      </c>
      <c r="J38" t="s">
        <v>398</v>
      </c>
      <c r="K38" s="117" t="s">
        <v>399</v>
      </c>
      <c r="N38" t="s">
        <v>423</v>
      </c>
      <c r="P38">
        <v>857.14</v>
      </c>
      <c r="Q38">
        <v>714.29</v>
      </c>
      <c r="R38">
        <v>142.86000000000001</v>
      </c>
      <c r="S38" t="s">
        <v>378</v>
      </c>
      <c r="T38" s="118">
        <v>500</v>
      </c>
      <c r="U38" s="118">
        <v>214.29</v>
      </c>
      <c r="V38" s="118">
        <v>714.29</v>
      </c>
      <c r="W38" s="119">
        <v>30</v>
      </c>
      <c r="X38" s="119">
        <v>0</v>
      </c>
      <c r="Y38" s="119">
        <v>0</v>
      </c>
      <c r="Z38" s="119">
        <v>0</v>
      </c>
      <c r="AA38" s="119">
        <v>214.29</v>
      </c>
      <c r="AB38" s="119">
        <v>0</v>
      </c>
      <c r="AC38" s="119">
        <v>714.29</v>
      </c>
      <c r="AD38" s="119">
        <v>20</v>
      </c>
      <c r="AE38" s="119">
        <v>142.86000000000001</v>
      </c>
      <c r="AF38" t="s">
        <v>379</v>
      </c>
      <c r="AG38" s="119">
        <v>0</v>
      </c>
      <c r="AH38" s="119">
        <v>0</v>
      </c>
      <c r="AI38" s="119">
        <v>0</v>
      </c>
      <c r="AJ38" s="119">
        <v>0</v>
      </c>
      <c r="AK38" s="119">
        <v>0</v>
      </c>
      <c r="AL38" s="119">
        <v>0</v>
      </c>
      <c r="AM38" s="119">
        <v>0</v>
      </c>
      <c r="AN38" s="119">
        <v>0</v>
      </c>
      <c r="AO38" s="119">
        <v>0</v>
      </c>
      <c r="AP38" s="119">
        <v>0</v>
      </c>
      <c r="AQ38" s="119">
        <v>20</v>
      </c>
      <c r="AR38" s="119">
        <v>0</v>
      </c>
      <c r="AS38" t="s">
        <v>380</v>
      </c>
      <c r="AT38" s="119">
        <v>0</v>
      </c>
      <c r="AU38" s="119">
        <v>0</v>
      </c>
      <c r="AV38" s="119">
        <v>0</v>
      </c>
      <c r="AW38" s="119">
        <v>0</v>
      </c>
      <c r="AX38" s="119">
        <v>0</v>
      </c>
      <c r="AY38" s="119">
        <v>0</v>
      </c>
      <c r="AZ38" s="119">
        <v>0</v>
      </c>
      <c r="BA38" s="119">
        <v>0</v>
      </c>
      <c r="BB38" s="119">
        <v>0</v>
      </c>
      <c r="BC38" s="119">
        <v>0</v>
      </c>
      <c r="BD38" s="119">
        <v>20</v>
      </c>
      <c r="BE38" s="119">
        <v>0</v>
      </c>
      <c r="BF38" t="s">
        <v>381</v>
      </c>
      <c r="BG38" s="119">
        <v>0</v>
      </c>
      <c r="BH38" s="119">
        <v>0</v>
      </c>
      <c r="BI38" s="119">
        <v>0</v>
      </c>
      <c r="BJ38" s="119">
        <v>0</v>
      </c>
      <c r="BK38" s="119">
        <v>0</v>
      </c>
      <c r="BL38" s="119">
        <v>0</v>
      </c>
      <c r="BM38" s="119">
        <v>0</v>
      </c>
      <c r="BN38" s="119">
        <v>0</v>
      </c>
      <c r="BO38" s="119">
        <v>0</v>
      </c>
      <c r="BP38" s="119">
        <v>0</v>
      </c>
      <c r="BQ38" s="119">
        <v>20</v>
      </c>
      <c r="BR38" s="119">
        <v>0</v>
      </c>
      <c r="BS38" t="s">
        <v>382</v>
      </c>
      <c r="BT38" s="119">
        <v>0</v>
      </c>
      <c r="BU38" s="119">
        <v>0</v>
      </c>
      <c r="BV38" s="119">
        <v>0</v>
      </c>
      <c r="BW38" s="119">
        <v>0</v>
      </c>
      <c r="BX38" s="119">
        <v>0</v>
      </c>
      <c r="BY38" s="119">
        <v>0</v>
      </c>
      <c r="BZ38" s="119">
        <v>0</v>
      </c>
      <c r="CA38" s="119">
        <v>0</v>
      </c>
      <c r="CB38" s="119">
        <v>0</v>
      </c>
      <c r="CC38" s="119">
        <v>0</v>
      </c>
      <c r="CD38" s="119">
        <v>20</v>
      </c>
      <c r="CE38" s="119">
        <v>0</v>
      </c>
      <c r="CF38" t="s">
        <v>383</v>
      </c>
      <c r="CG38" s="119">
        <v>0</v>
      </c>
      <c r="CH38" s="119">
        <v>0</v>
      </c>
      <c r="CI38" s="119">
        <v>0</v>
      </c>
      <c r="CJ38" s="119">
        <v>0</v>
      </c>
      <c r="CK38" s="119">
        <v>0</v>
      </c>
      <c r="CL38" s="119">
        <v>0</v>
      </c>
      <c r="CM38" s="119">
        <v>0</v>
      </c>
      <c r="CN38" s="119">
        <v>0</v>
      </c>
      <c r="CO38" s="119">
        <v>0</v>
      </c>
      <c r="CP38" s="119">
        <v>0</v>
      </c>
      <c r="CQ38" s="119">
        <v>20</v>
      </c>
      <c r="CR38" s="119">
        <v>0</v>
      </c>
      <c r="CS38" t="s">
        <v>384</v>
      </c>
      <c r="CT38" s="119">
        <v>0</v>
      </c>
      <c r="CU38" s="119">
        <v>0</v>
      </c>
      <c r="CV38" s="119">
        <v>0</v>
      </c>
      <c r="CW38" s="119">
        <v>0</v>
      </c>
      <c r="CX38" s="119">
        <v>0</v>
      </c>
      <c r="CY38" s="119">
        <v>0</v>
      </c>
      <c r="CZ38" s="119">
        <v>0</v>
      </c>
      <c r="DA38" s="119">
        <v>0</v>
      </c>
      <c r="DB38" s="119">
        <v>0</v>
      </c>
      <c r="DC38" s="119">
        <v>0</v>
      </c>
      <c r="DD38" s="119">
        <v>20</v>
      </c>
      <c r="DE38" s="119">
        <v>0</v>
      </c>
      <c r="DF38" t="s">
        <v>385</v>
      </c>
      <c r="DG38" s="119">
        <v>0</v>
      </c>
      <c r="DH38" s="119">
        <v>0</v>
      </c>
      <c r="DI38" s="119">
        <v>0</v>
      </c>
      <c r="DJ38" s="119">
        <v>0</v>
      </c>
      <c r="DK38" s="119">
        <v>0</v>
      </c>
      <c r="DL38" s="119">
        <v>0</v>
      </c>
      <c r="DM38" s="119">
        <v>0</v>
      </c>
      <c r="DN38" s="119">
        <v>0</v>
      </c>
      <c r="DO38" s="119">
        <v>0</v>
      </c>
      <c r="DP38" s="119">
        <v>0</v>
      </c>
      <c r="DQ38" s="119">
        <v>20</v>
      </c>
      <c r="DR38" s="119">
        <v>0</v>
      </c>
      <c r="DS38" t="s">
        <v>386</v>
      </c>
      <c r="DT38" s="119">
        <v>0</v>
      </c>
      <c r="DU38" s="119">
        <v>0</v>
      </c>
      <c r="DV38" s="119">
        <v>0</v>
      </c>
      <c r="DW38" s="119">
        <v>0</v>
      </c>
      <c r="DX38" s="119">
        <v>0</v>
      </c>
      <c r="DY38" s="119">
        <v>0</v>
      </c>
      <c r="DZ38" s="119">
        <v>0</v>
      </c>
      <c r="EA38" s="119">
        <v>0</v>
      </c>
      <c r="EB38" s="119">
        <v>0</v>
      </c>
      <c r="EC38" s="119">
        <v>0</v>
      </c>
      <c r="ED38" s="119">
        <v>20</v>
      </c>
      <c r="EE38" s="119">
        <v>0</v>
      </c>
      <c r="EF38" t="s">
        <v>387</v>
      </c>
      <c r="EG38" s="119">
        <v>0</v>
      </c>
      <c r="EH38" s="119">
        <v>0</v>
      </c>
      <c r="EI38" s="119">
        <v>0</v>
      </c>
      <c r="EJ38" s="119">
        <v>0</v>
      </c>
      <c r="EK38" s="119">
        <v>0</v>
      </c>
      <c r="EL38" s="119">
        <v>0</v>
      </c>
      <c r="EM38" s="119">
        <v>0</v>
      </c>
      <c r="EN38" s="119">
        <v>0</v>
      </c>
      <c r="EO38" s="119">
        <v>0</v>
      </c>
      <c r="EP38" s="119">
        <v>0</v>
      </c>
      <c r="EQ38" s="119">
        <v>20</v>
      </c>
      <c r="ER38" s="119">
        <v>0</v>
      </c>
      <c r="ES38" t="s">
        <v>388</v>
      </c>
      <c r="ET38" s="119">
        <v>0</v>
      </c>
      <c r="EU38" s="119">
        <v>0</v>
      </c>
      <c r="EV38" s="119">
        <v>0</v>
      </c>
      <c r="EW38" s="119">
        <v>0</v>
      </c>
      <c r="EX38" s="119">
        <v>0</v>
      </c>
      <c r="EY38" s="119">
        <v>0</v>
      </c>
      <c r="EZ38" s="119">
        <v>0</v>
      </c>
      <c r="FA38" s="119">
        <v>0</v>
      </c>
      <c r="FB38" s="119">
        <v>0</v>
      </c>
      <c r="FC38" s="119">
        <v>0</v>
      </c>
      <c r="FD38" s="119">
        <v>20</v>
      </c>
      <c r="FE38" s="119">
        <v>0</v>
      </c>
      <c r="FF38" t="s">
        <v>389</v>
      </c>
      <c r="FG38" s="119">
        <v>0</v>
      </c>
      <c r="FH38" s="119">
        <v>0</v>
      </c>
      <c r="FI38" s="119">
        <v>0</v>
      </c>
      <c r="FJ38" s="119">
        <v>0</v>
      </c>
      <c r="FK38" s="119">
        <v>0</v>
      </c>
      <c r="FL38" s="119">
        <v>0</v>
      </c>
      <c r="FM38" s="119">
        <v>0</v>
      </c>
      <c r="FN38" s="119">
        <v>0</v>
      </c>
      <c r="FO38" s="119">
        <v>0</v>
      </c>
      <c r="FP38" s="119">
        <v>0</v>
      </c>
      <c r="FQ38" s="119">
        <v>20</v>
      </c>
      <c r="FR38" s="119">
        <v>0</v>
      </c>
      <c r="FS38" t="s">
        <v>390</v>
      </c>
      <c r="FT38" s="119">
        <v>0</v>
      </c>
      <c r="FU38" s="119">
        <v>0</v>
      </c>
      <c r="FV38" s="119">
        <v>0</v>
      </c>
      <c r="FW38" s="119">
        <v>0</v>
      </c>
      <c r="FX38" s="119">
        <v>0</v>
      </c>
      <c r="FY38" s="119">
        <v>0</v>
      </c>
      <c r="FZ38" s="119">
        <v>0</v>
      </c>
      <c r="GA38" s="119">
        <v>0</v>
      </c>
      <c r="GB38" s="119">
        <v>0</v>
      </c>
      <c r="GC38" s="119">
        <v>0</v>
      </c>
      <c r="GD38" s="119">
        <v>20</v>
      </c>
      <c r="GE38" s="119">
        <v>0</v>
      </c>
      <c r="GF38" t="s">
        <v>391</v>
      </c>
      <c r="GG38" s="119">
        <v>0</v>
      </c>
      <c r="GH38" s="119">
        <v>0</v>
      </c>
      <c r="GI38" s="119">
        <v>0</v>
      </c>
      <c r="GJ38" s="119">
        <v>0</v>
      </c>
      <c r="GK38" s="119">
        <v>0</v>
      </c>
      <c r="GL38" s="119">
        <v>0</v>
      </c>
      <c r="GM38" s="119">
        <v>0</v>
      </c>
      <c r="GN38" s="119">
        <v>0</v>
      </c>
      <c r="GO38" s="119">
        <v>0</v>
      </c>
      <c r="GP38" s="119">
        <v>0</v>
      </c>
      <c r="GQ38" s="119">
        <v>20</v>
      </c>
      <c r="GR38" s="119">
        <v>0</v>
      </c>
      <c r="GU38" s="119">
        <f t="shared" si="2"/>
        <v>500</v>
      </c>
      <c r="GV38" s="119">
        <f t="shared" si="2"/>
        <v>500</v>
      </c>
      <c r="GW38" s="119">
        <f t="shared" si="2"/>
        <v>1000</v>
      </c>
      <c r="GX38" s="119">
        <f t="shared" si="2"/>
        <v>50</v>
      </c>
      <c r="GY38" s="119">
        <f t="shared" si="2"/>
        <v>10</v>
      </c>
      <c r="GZ38" s="119">
        <f t="shared" si="1"/>
        <v>10</v>
      </c>
      <c r="HA38" s="119">
        <f t="shared" si="1"/>
        <v>100</v>
      </c>
      <c r="HB38" s="119">
        <f t="shared" si="1"/>
        <v>600</v>
      </c>
      <c r="HC38" s="119">
        <f t="shared" si="1"/>
        <v>60</v>
      </c>
      <c r="HD38" s="119">
        <f t="shared" si="1"/>
        <v>1100</v>
      </c>
      <c r="HJ38"/>
      <c r="HK38" s="115"/>
      <c r="HR38" s="116"/>
      <c r="HT38" s="117"/>
      <c r="HY38"/>
      <c r="HZ38"/>
      <c r="IA38"/>
    </row>
    <row r="39" spans="1:235" x14ac:dyDescent="0.25">
      <c r="A39">
        <v>39</v>
      </c>
      <c r="B39" s="115">
        <v>43297</v>
      </c>
      <c r="C39" t="s">
        <v>392</v>
      </c>
      <c r="D39" t="s">
        <v>393</v>
      </c>
      <c r="E39" t="s">
        <v>394</v>
      </c>
      <c r="H39" t="s">
        <v>397</v>
      </c>
      <c r="I39" s="116">
        <v>25000</v>
      </c>
      <c r="J39" t="s">
        <v>398</v>
      </c>
      <c r="K39" s="117" t="s">
        <v>399</v>
      </c>
      <c r="N39" t="s">
        <v>154</v>
      </c>
      <c r="P39">
        <v>1577.14</v>
      </c>
      <c r="Q39">
        <v>1314.29</v>
      </c>
      <c r="R39">
        <v>262.86</v>
      </c>
      <c r="S39" t="s">
        <v>378</v>
      </c>
      <c r="T39" s="118">
        <v>500</v>
      </c>
      <c r="U39" s="118">
        <v>214.29</v>
      </c>
      <c r="V39" s="118">
        <v>714.29</v>
      </c>
      <c r="W39" s="119">
        <v>30</v>
      </c>
      <c r="X39" s="119">
        <v>10</v>
      </c>
      <c r="Y39" s="119">
        <v>60</v>
      </c>
      <c r="Z39" s="119">
        <v>600</v>
      </c>
      <c r="AA39" s="119">
        <v>814.29</v>
      </c>
      <c r="AB39" s="119">
        <v>81.430000000000007</v>
      </c>
      <c r="AC39" s="119">
        <v>1314.29</v>
      </c>
      <c r="AD39" s="119">
        <v>20</v>
      </c>
      <c r="AE39" s="119">
        <v>262.86</v>
      </c>
      <c r="AF39" t="s">
        <v>379</v>
      </c>
      <c r="AG39" s="119">
        <v>0</v>
      </c>
      <c r="AH39" s="119">
        <v>0</v>
      </c>
      <c r="AI39" s="119">
        <v>0</v>
      </c>
      <c r="AJ39" s="119">
        <v>0</v>
      </c>
      <c r="AK39" s="119">
        <v>0</v>
      </c>
      <c r="AL39" s="119">
        <v>0</v>
      </c>
      <c r="AM39" s="119">
        <v>0</v>
      </c>
      <c r="AN39" s="119">
        <v>0</v>
      </c>
      <c r="AO39" s="119">
        <v>0</v>
      </c>
      <c r="AP39" s="119">
        <v>0</v>
      </c>
      <c r="AQ39" s="119">
        <v>20</v>
      </c>
      <c r="AR39" s="119">
        <v>0</v>
      </c>
      <c r="AS39" t="s">
        <v>380</v>
      </c>
      <c r="AT39" s="119">
        <v>0</v>
      </c>
      <c r="AU39" s="119">
        <v>0</v>
      </c>
      <c r="AV39" s="119">
        <v>0</v>
      </c>
      <c r="AW39" s="119">
        <v>0</v>
      </c>
      <c r="AX39" s="119">
        <v>0</v>
      </c>
      <c r="AY39" s="119">
        <v>0</v>
      </c>
      <c r="AZ39" s="119">
        <v>0</v>
      </c>
      <c r="BA39" s="119">
        <v>0</v>
      </c>
      <c r="BB39" s="119">
        <v>0</v>
      </c>
      <c r="BC39" s="119">
        <v>0</v>
      </c>
      <c r="BD39" s="119">
        <v>20</v>
      </c>
      <c r="BE39" s="119">
        <v>0</v>
      </c>
      <c r="BF39" t="s">
        <v>381</v>
      </c>
      <c r="BG39" s="119">
        <v>0</v>
      </c>
      <c r="BH39" s="119">
        <v>0</v>
      </c>
      <c r="BI39" s="119">
        <v>0</v>
      </c>
      <c r="BJ39" s="119">
        <v>0</v>
      </c>
      <c r="BK39" s="119">
        <v>0</v>
      </c>
      <c r="BL39" s="119">
        <v>0</v>
      </c>
      <c r="BM39" s="119">
        <v>0</v>
      </c>
      <c r="BN39" s="119">
        <v>0</v>
      </c>
      <c r="BO39" s="119">
        <v>0</v>
      </c>
      <c r="BP39" s="119">
        <v>0</v>
      </c>
      <c r="BQ39" s="119">
        <v>20</v>
      </c>
      <c r="BR39" s="119">
        <v>0</v>
      </c>
      <c r="BS39" t="s">
        <v>382</v>
      </c>
      <c r="BT39" s="119">
        <v>0</v>
      </c>
      <c r="BU39" s="119">
        <v>0</v>
      </c>
      <c r="BV39" s="119">
        <v>0</v>
      </c>
      <c r="BW39" s="119">
        <v>0</v>
      </c>
      <c r="BX39" s="119">
        <v>0</v>
      </c>
      <c r="BY39" s="119">
        <v>0</v>
      </c>
      <c r="BZ39" s="119">
        <v>0</v>
      </c>
      <c r="CA39" s="119">
        <v>0</v>
      </c>
      <c r="CB39" s="119">
        <v>0</v>
      </c>
      <c r="CC39" s="119">
        <v>0</v>
      </c>
      <c r="CD39" s="119">
        <v>20</v>
      </c>
      <c r="CE39" s="119">
        <v>0</v>
      </c>
      <c r="CF39" t="s">
        <v>383</v>
      </c>
      <c r="CG39" s="119">
        <v>0</v>
      </c>
      <c r="CH39" s="119">
        <v>0</v>
      </c>
      <c r="CI39" s="119">
        <v>0</v>
      </c>
      <c r="CJ39" s="119">
        <v>0</v>
      </c>
      <c r="CK39" s="119">
        <v>0</v>
      </c>
      <c r="CL39" s="119">
        <v>0</v>
      </c>
      <c r="CM39" s="119">
        <v>0</v>
      </c>
      <c r="CN39" s="119">
        <v>0</v>
      </c>
      <c r="CO39" s="119">
        <v>0</v>
      </c>
      <c r="CP39" s="119">
        <v>0</v>
      </c>
      <c r="CQ39" s="119">
        <v>20</v>
      </c>
      <c r="CR39" s="119">
        <v>0</v>
      </c>
      <c r="CS39" t="s">
        <v>384</v>
      </c>
      <c r="CT39" s="119">
        <v>0</v>
      </c>
      <c r="CU39" s="119">
        <v>0</v>
      </c>
      <c r="CV39" s="119">
        <v>0</v>
      </c>
      <c r="CW39" s="119">
        <v>0</v>
      </c>
      <c r="CX39" s="119">
        <v>0</v>
      </c>
      <c r="CY39" s="119">
        <v>0</v>
      </c>
      <c r="CZ39" s="119">
        <v>0</v>
      </c>
      <c r="DA39" s="119">
        <v>0</v>
      </c>
      <c r="DB39" s="119">
        <v>0</v>
      </c>
      <c r="DC39" s="119">
        <v>0</v>
      </c>
      <c r="DD39" s="119">
        <v>20</v>
      </c>
      <c r="DE39" s="119">
        <v>0</v>
      </c>
      <c r="DF39" t="s">
        <v>385</v>
      </c>
      <c r="DG39" s="119">
        <v>0</v>
      </c>
      <c r="DH39" s="119">
        <v>0</v>
      </c>
      <c r="DI39" s="119">
        <v>0</v>
      </c>
      <c r="DJ39" s="119">
        <v>0</v>
      </c>
      <c r="DK39" s="119">
        <v>0</v>
      </c>
      <c r="DL39" s="119">
        <v>0</v>
      </c>
      <c r="DM39" s="119">
        <v>0</v>
      </c>
      <c r="DN39" s="119">
        <v>0</v>
      </c>
      <c r="DO39" s="119">
        <v>0</v>
      </c>
      <c r="DP39" s="119">
        <v>0</v>
      </c>
      <c r="DQ39" s="119">
        <v>20</v>
      </c>
      <c r="DR39" s="119">
        <v>0</v>
      </c>
      <c r="DS39" t="s">
        <v>386</v>
      </c>
      <c r="DT39" s="119">
        <v>0</v>
      </c>
      <c r="DU39" s="119">
        <v>0</v>
      </c>
      <c r="DV39" s="119">
        <v>0</v>
      </c>
      <c r="DW39" s="119">
        <v>0</v>
      </c>
      <c r="DX39" s="119">
        <v>0</v>
      </c>
      <c r="DY39" s="119">
        <v>0</v>
      </c>
      <c r="DZ39" s="119">
        <v>0</v>
      </c>
      <c r="EA39" s="119">
        <v>0</v>
      </c>
      <c r="EB39" s="119">
        <v>0</v>
      </c>
      <c r="EC39" s="119">
        <v>0</v>
      </c>
      <c r="ED39" s="119">
        <v>20</v>
      </c>
      <c r="EE39" s="119">
        <v>0</v>
      </c>
      <c r="EF39" t="s">
        <v>387</v>
      </c>
      <c r="EG39" s="119">
        <v>0</v>
      </c>
      <c r="EH39" s="119">
        <v>0</v>
      </c>
      <c r="EI39" s="119">
        <v>0</v>
      </c>
      <c r="EJ39" s="119">
        <v>0</v>
      </c>
      <c r="EK39" s="119">
        <v>0</v>
      </c>
      <c r="EL39" s="119">
        <v>0</v>
      </c>
      <c r="EM39" s="119">
        <v>0</v>
      </c>
      <c r="EN39" s="119">
        <v>0</v>
      </c>
      <c r="EO39" s="119">
        <v>0</v>
      </c>
      <c r="EP39" s="119">
        <v>0</v>
      </c>
      <c r="EQ39" s="119">
        <v>20</v>
      </c>
      <c r="ER39" s="119">
        <v>0</v>
      </c>
      <c r="ES39" t="s">
        <v>388</v>
      </c>
      <c r="ET39" s="119">
        <v>0</v>
      </c>
      <c r="EU39" s="119">
        <v>0</v>
      </c>
      <c r="EV39" s="119">
        <v>0</v>
      </c>
      <c r="EW39" s="119">
        <v>0</v>
      </c>
      <c r="EX39" s="119">
        <v>0</v>
      </c>
      <c r="EY39" s="119">
        <v>0</v>
      </c>
      <c r="EZ39" s="119">
        <v>0</v>
      </c>
      <c r="FA39" s="119">
        <v>0</v>
      </c>
      <c r="FB39" s="119">
        <v>0</v>
      </c>
      <c r="FC39" s="119">
        <v>0</v>
      </c>
      <c r="FD39" s="119">
        <v>20</v>
      </c>
      <c r="FE39" s="119">
        <v>0</v>
      </c>
      <c r="FF39" t="s">
        <v>389</v>
      </c>
      <c r="FG39" s="119">
        <v>0</v>
      </c>
      <c r="FH39" s="119">
        <v>0</v>
      </c>
      <c r="FI39" s="119">
        <v>0</v>
      </c>
      <c r="FJ39" s="119">
        <v>0</v>
      </c>
      <c r="FK39" s="119">
        <v>0</v>
      </c>
      <c r="FL39" s="119">
        <v>0</v>
      </c>
      <c r="FM39" s="119">
        <v>0</v>
      </c>
      <c r="FN39" s="119">
        <v>0</v>
      </c>
      <c r="FO39" s="119">
        <v>0</v>
      </c>
      <c r="FP39" s="119">
        <v>0</v>
      </c>
      <c r="FQ39" s="119">
        <v>20</v>
      </c>
      <c r="FR39" s="119">
        <v>0</v>
      </c>
      <c r="FS39" t="s">
        <v>390</v>
      </c>
      <c r="FT39" s="119">
        <v>0</v>
      </c>
      <c r="FU39" s="119">
        <v>0</v>
      </c>
      <c r="FV39" s="119">
        <v>0</v>
      </c>
      <c r="FW39" s="119">
        <v>0</v>
      </c>
      <c r="FX39" s="119">
        <v>0</v>
      </c>
      <c r="FY39" s="119">
        <v>0</v>
      </c>
      <c r="FZ39" s="119">
        <v>0</v>
      </c>
      <c r="GA39" s="119">
        <v>0</v>
      </c>
      <c r="GB39" s="119">
        <v>0</v>
      </c>
      <c r="GC39" s="119">
        <v>0</v>
      </c>
      <c r="GD39" s="119">
        <v>20</v>
      </c>
      <c r="GE39" s="119">
        <v>0</v>
      </c>
      <c r="GF39" t="s">
        <v>391</v>
      </c>
      <c r="GG39" s="119">
        <v>0</v>
      </c>
      <c r="GH39" s="119">
        <v>0</v>
      </c>
      <c r="GI39" s="119">
        <v>0</v>
      </c>
      <c r="GJ39" s="119">
        <v>0</v>
      </c>
      <c r="GK39" s="119">
        <v>0</v>
      </c>
      <c r="GL39" s="119">
        <v>0</v>
      </c>
      <c r="GM39" s="119">
        <v>0</v>
      </c>
      <c r="GN39" s="119">
        <v>0</v>
      </c>
      <c r="GO39" s="119">
        <v>0</v>
      </c>
      <c r="GP39" s="119">
        <v>0</v>
      </c>
      <c r="GQ39" s="119">
        <v>20</v>
      </c>
      <c r="GR39" s="119">
        <v>0</v>
      </c>
      <c r="GU39" s="119">
        <f t="shared" si="2"/>
        <v>2320</v>
      </c>
      <c r="GV39" s="119">
        <f t="shared" si="2"/>
        <v>496.82</v>
      </c>
      <c r="GW39" s="119">
        <f t="shared" si="2"/>
        <v>2816.8199999999997</v>
      </c>
      <c r="GX39" s="119">
        <f t="shared" si="2"/>
        <v>231</v>
      </c>
      <c r="GY39" s="119">
        <f t="shared" si="2"/>
        <v>231</v>
      </c>
      <c r="GZ39" s="119">
        <f t="shared" si="1"/>
        <v>231</v>
      </c>
      <c r="HA39" s="119">
        <f t="shared" si="1"/>
        <v>4039</v>
      </c>
      <c r="HB39" s="119">
        <f t="shared" si="1"/>
        <v>4535.82</v>
      </c>
      <c r="HC39" s="119">
        <f t="shared" si="1"/>
        <v>259.17999999999995</v>
      </c>
      <c r="HD39" s="119">
        <f t="shared" si="1"/>
        <v>6855.82</v>
      </c>
      <c r="HJ39"/>
      <c r="HK39" s="115"/>
      <c r="HR39" s="116"/>
      <c r="HT39" s="117"/>
      <c r="HY39"/>
      <c r="HZ39"/>
      <c r="IA39"/>
    </row>
    <row r="40" spans="1:235" x14ac:dyDescent="0.25">
      <c r="A40">
        <v>40</v>
      </c>
      <c r="B40" s="115">
        <v>43297</v>
      </c>
      <c r="C40" t="s">
        <v>392</v>
      </c>
      <c r="D40" t="s">
        <v>393</v>
      </c>
      <c r="E40" t="s">
        <v>394</v>
      </c>
      <c r="H40" t="s">
        <v>397</v>
      </c>
      <c r="I40" s="116">
        <v>25000</v>
      </c>
      <c r="J40" t="s">
        <v>398</v>
      </c>
      <c r="K40" s="117" t="s">
        <v>399</v>
      </c>
      <c r="N40" t="s">
        <v>423</v>
      </c>
      <c r="P40">
        <v>1457.14</v>
      </c>
      <c r="Q40">
        <v>1214.29</v>
      </c>
      <c r="R40">
        <v>242.86</v>
      </c>
      <c r="S40" t="s">
        <v>378</v>
      </c>
      <c r="T40" s="118">
        <v>500</v>
      </c>
      <c r="U40" s="118">
        <v>214.29</v>
      </c>
      <c r="V40" s="118">
        <v>714.29</v>
      </c>
      <c r="W40" s="119">
        <v>30</v>
      </c>
      <c r="X40" s="119">
        <v>10</v>
      </c>
      <c r="Y40" s="119">
        <v>50</v>
      </c>
      <c r="Z40" s="119">
        <v>500</v>
      </c>
      <c r="AA40" s="119">
        <v>714.29</v>
      </c>
      <c r="AB40" s="119">
        <v>71.430000000000007</v>
      </c>
      <c r="AC40" s="119">
        <v>1214.29</v>
      </c>
      <c r="AD40" s="119">
        <v>20</v>
      </c>
      <c r="AE40" s="119">
        <v>242.86</v>
      </c>
      <c r="AF40" t="s">
        <v>379</v>
      </c>
      <c r="AG40" s="119">
        <v>0</v>
      </c>
      <c r="AH40" s="119">
        <v>0</v>
      </c>
      <c r="AI40" s="119">
        <v>0</v>
      </c>
      <c r="AJ40" s="119">
        <v>0</v>
      </c>
      <c r="AK40" s="119">
        <v>0</v>
      </c>
      <c r="AL40" s="119">
        <v>0</v>
      </c>
      <c r="AM40" s="119">
        <v>0</v>
      </c>
      <c r="AN40" s="119">
        <v>0</v>
      </c>
      <c r="AO40" s="119">
        <v>0</v>
      </c>
      <c r="AP40" s="119">
        <v>0</v>
      </c>
      <c r="AQ40" s="119">
        <v>20</v>
      </c>
      <c r="AR40" s="119">
        <v>0</v>
      </c>
      <c r="AS40" t="s">
        <v>380</v>
      </c>
      <c r="AT40" s="119">
        <v>0</v>
      </c>
      <c r="AU40" s="119">
        <v>0</v>
      </c>
      <c r="AV40" s="119">
        <v>0</v>
      </c>
      <c r="AW40" s="119">
        <v>0</v>
      </c>
      <c r="AX40" s="119">
        <v>0</v>
      </c>
      <c r="AY40" s="119">
        <v>0</v>
      </c>
      <c r="AZ40" s="119">
        <v>0</v>
      </c>
      <c r="BA40" s="119">
        <v>0</v>
      </c>
      <c r="BB40" s="119">
        <v>0</v>
      </c>
      <c r="BC40" s="119">
        <v>0</v>
      </c>
      <c r="BD40" s="119">
        <v>20</v>
      </c>
      <c r="BE40" s="119">
        <v>0</v>
      </c>
      <c r="BF40" t="s">
        <v>381</v>
      </c>
      <c r="BG40" s="119">
        <v>0</v>
      </c>
      <c r="BH40" s="119">
        <v>0</v>
      </c>
      <c r="BI40" s="119">
        <v>0</v>
      </c>
      <c r="BJ40" s="119">
        <v>0</v>
      </c>
      <c r="BK40" s="119">
        <v>0</v>
      </c>
      <c r="BL40" s="119">
        <v>0</v>
      </c>
      <c r="BM40" s="119">
        <v>0</v>
      </c>
      <c r="BN40" s="119">
        <v>0</v>
      </c>
      <c r="BO40" s="119">
        <v>0</v>
      </c>
      <c r="BP40" s="119">
        <v>0</v>
      </c>
      <c r="BQ40" s="119">
        <v>20</v>
      </c>
      <c r="BR40" s="119">
        <v>0</v>
      </c>
      <c r="BS40" t="s">
        <v>382</v>
      </c>
      <c r="BT40" s="119">
        <v>0</v>
      </c>
      <c r="BU40" s="119">
        <v>0</v>
      </c>
      <c r="BV40" s="119">
        <v>0</v>
      </c>
      <c r="BW40" s="119">
        <v>0</v>
      </c>
      <c r="BX40" s="119">
        <v>0</v>
      </c>
      <c r="BY40" s="119">
        <v>0</v>
      </c>
      <c r="BZ40" s="119">
        <v>0</v>
      </c>
      <c r="CA40" s="119">
        <v>0</v>
      </c>
      <c r="CB40" s="119">
        <v>0</v>
      </c>
      <c r="CC40" s="119">
        <v>0</v>
      </c>
      <c r="CD40" s="119">
        <v>20</v>
      </c>
      <c r="CE40" s="119">
        <v>0</v>
      </c>
      <c r="CF40" t="s">
        <v>383</v>
      </c>
      <c r="CG40" s="119">
        <v>0</v>
      </c>
      <c r="CH40" s="119">
        <v>0</v>
      </c>
      <c r="CI40" s="119">
        <v>0</v>
      </c>
      <c r="CJ40" s="119">
        <v>0</v>
      </c>
      <c r="CK40" s="119">
        <v>0</v>
      </c>
      <c r="CL40" s="119">
        <v>0</v>
      </c>
      <c r="CM40" s="119">
        <v>0</v>
      </c>
      <c r="CN40" s="119">
        <v>0</v>
      </c>
      <c r="CO40" s="119">
        <v>0</v>
      </c>
      <c r="CP40" s="119">
        <v>0</v>
      </c>
      <c r="CQ40" s="119">
        <v>20</v>
      </c>
      <c r="CR40" s="119">
        <v>0</v>
      </c>
      <c r="CS40" t="s">
        <v>384</v>
      </c>
      <c r="CT40" s="119">
        <v>0</v>
      </c>
      <c r="CU40" s="119">
        <v>0</v>
      </c>
      <c r="CV40" s="119">
        <v>0</v>
      </c>
      <c r="CW40" s="119">
        <v>0</v>
      </c>
      <c r="CX40" s="119">
        <v>0</v>
      </c>
      <c r="CY40" s="119">
        <v>0</v>
      </c>
      <c r="CZ40" s="119">
        <v>0</v>
      </c>
      <c r="DA40" s="119">
        <v>0</v>
      </c>
      <c r="DB40" s="119">
        <v>0</v>
      </c>
      <c r="DC40" s="119">
        <v>0</v>
      </c>
      <c r="DD40" s="119">
        <v>20</v>
      </c>
      <c r="DE40" s="119">
        <v>0</v>
      </c>
      <c r="DF40" t="s">
        <v>385</v>
      </c>
      <c r="DG40" s="119">
        <v>0</v>
      </c>
      <c r="DH40" s="119">
        <v>0</v>
      </c>
      <c r="DI40" s="119">
        <v>0</v>
      </c>
      <c r="DJ40" s="119">
        <v>0</v>
      </c>
      <c r="DK40" s="119">
        <v>0</v>
      </c>
      <c r="DL40" s="119">
        <v>0</v>
      </c>
      <c r="DM40" s="119">
        <v>0</v>
      </c>
      <c r="DN40" s="119">
        <v>0</v>
      </c>
      <c r="DO40" s="119">
        <v>0</v>
      </c>
      <c r="DP40" s="119">
        <v>0</v>
      </c>
      <c r="DQ40" s="119">
        <v>20</v>
      </c>
      <c r="DR40" s="119">
        <v>0</v>
      </c>
      <c r="DS40" t="s">
        <v>386</v>
      </c>
      <c r="DT40" s="119">
        <v>0</v>
      </c>
      <c r="DU40" s="119">
        <v>0</v>
      </c>
      <c r="DV40" s="119">
        <v>0</v>
      </c>
      <c r="DW40" s="119">
        <v>0</v>
      </c>
      <c r="DX40" s="119">
        <v>0</v>
      </c>
      <c r="DY40" s="119">
        <v>0</v>
      </c>
      <c r="DZ40" s="119">
        <v>0</v>
      </c>
      <c r="EA40" s="119">
        <v>0</v>
      </c>
      <c r="EB40" s="119">
        <v>0</v>
      </c>
      <c r="EC40" s="119">
        <v>0</v>
      </c>
      <c r="ED40" s="119">
        <v>20</v>
      </c>
      <c r="EE40" s="119">
        <v>0</v>
      </c>
      <c r="EF40" t="s">
        <v>387</v>
      </c>
      <c r="EG40" s="119">
        <v>0</v>
      </c>
      <c r="EH40" s="119">
        <v>0</v>
      </c>
      <c r="EI40" s="119">
        <v>0</v>
      </c>
      <c r="EJ40" s="119">
        <v>0</v>
      </c>
      <c r="EK40" s="119">
        <v>0</v>
      </c>
      <c r="EL40" s="119">
        <v>0</v>
      </c>
      <c r="EM40" s="119">
        <v>0</v>
      </c>
      <c r="EN40" s="119">
        <v>0</v>
      </c>
      <c r="EO40" s="119">
        <v>0</v>
      </c>
      <c r="EP40" s="119">
        <v>0</v>
      </c>
      <c r="EQ40" s="119">
        <v>20</v>
      </c>
      <c r="ER40" s="119">
        <v>0</v>
      </c>
      <c r="ES40" t="s">
        <v>388</v>
      </c>
      <c r="ET40" s="119">
        <v>0</v>
      </c>
      <c r="EU40" s="119">
        <v>0</v>
      </c>
      <c r="EV40" s="119">
        <v>0</v>
      </c>
      <c r="EW40" s="119">
        <v>0</v>
      </c>
      <c r="EX40" s="119">
        <v>0</v>
      </c>
      <c r="EY40" s="119">
        <v>0</v>
      </c>
      <c r="EZ40" s="119">
        <v>0</v>
      </c>
      <c r="FA40" s="119">
        <v>0</v>
      </c>
      <c r="FB40" s="119">
        <v>0</v>
      </c>
      <c r="FC40" s="119">
        <v>0</v>
      </c>
      <c r="FD40" s="119">
        <v>20</v>
      </c>
      <c r="FE40" s="119">
        <v>0</v>
      </c>
      <c r="FF40" t="s">
        <v>389</v>
      </c>
      <c r="FG40" s="119">
        <v>0</v>
      </c>
      <c r="FH40" s="119">
        <v>0</v>
      </c>
      <c r="FI40" s="119">
        <v>0</v>
      </c>
      <c r="FJ40" s="119">
        <v>0</v>
      </c>
      <c r="FK40" s="119">
        <v>0</v>
      </c>
      <c r="FL40" s="119">
        <v>0</v>
      </c>
      <c r="FM40" s="119">
        <v>0</v>
      </c>
      <c r="FN40" s="119">
        <v>0</v>
      </c>
      <c r="FO40" s="119">
        <v>0</v>
      </c>
      <c r="FP40" s="119">
        <v>0</v>
      </c>
      <c r="FQ40" s="119">
        <v>20</v>
      </c>
      <c r="FR40" s="119">
        <v>0</v>
      </c>
      <c r="FS40" t="s">
        <v>390</v>
      </c>
      <c r="FT40" s="119">
        <v>0</v>
      </c>
      <c r="FU40" s="119">
        <v>0</v>
      </c>
      <c r="FV40" s="119">
        <v>0</v>
      </c>
      <c r="FW40" s="119">
        <v>0</v>
      </c>
      <c r="FX40" s="119">
        <v>0</v>
      </c>
      <c r="FY40" s="119">
        <v>0</v>
      </c>
      <c r="FZ40" s="119">
        <v>0</v>
      </c>
      <c r="GA40" s="119">
        <v>0</v>
      </c>
      <c r="GB40" s="119">
        <v>0</v>
      </c>
      <c r="GC40" s="119">
        <v>0</v>
      </c>
      <c r="GD40" s="119">
        <v>20</v>
      </c>
      <c r="GE40" s="119">
        <v>0</v>
      </c>
      <c r="GF40" t="s">
        <v>391</v>
      </c>
      <c r="GG40" s="119">
        <v>0</v>
      </c>
      <c r="GH40" s="119">
        <v>0</v>
      </c>
      <c r="GI40" s="119">
        <v>0</v>
      </c>
      <c r="GJ40" s="119">
        <v>0</v>
      </c>
      <c r="GK40" s="119">
        <v>0</v>
      </c>
      <c r="GL40" s="119">
        <v>0</v>
      </c>
      <c r="GM40" s="119">
        <v>0</v>
      </c>
      <c r="GN40" s="119">
        <v>0</v>
      </c>
      <c r="GO40" s="119">
        <v>0</v>
      </c>
      <c r="GP40" s="119">
        <v>0</v>
      </c>
      <c r="GQ40" s="119">
        <v>20</v>
      </c>
      <c r="GR40" s="119">
        <v>0</v>
      </c>
      <c r="GU40" s="119">
        <f t="shared" si="2"/>
        <v>10500</v>
      </c>
      <c r="GV40" s="119">
        <f t="shared" si="2"/>
        <v>15622.55</v>
      </c>
      <c r="GW40" s="119">
        <f t="shared" si="2"/>
        <v>26122.55</v>
      </c>
      <c r="GX40" s="119">
        <f t="shared" si="2"/>
        <v>510</v>
      </c>
      <c r="GY40" s="119">
        <f t="shared" si="2"/>
        <v>510</v>
      </c>
      <c r="GZ40" s="119">
        <f t="shared" si="1"/>
        <v>510</v>
      </c>
      <c r="HA40" s="119">
        <f t="shared" si="1"/>
        <v>29230</v>
      </c>
      <c r="HB40" s="119">
        <f t="shared" si="1"/>
        <v>44852.55</v>
      </c>
      <c r="HC40" s="119">
        <f t="shared" si="1"/>
        <v>771.23</v>
      </c>
      <c r="HD40" s="119">
        <f t="shared" si="1"/>
        <v>55352.55</v>
      </c>
      <c r="HJ40"/>
      <c r="HK40" s="115"/>
      <c r="HR40" s="116"/>
      <c r="HT40" s="117"/>
      <c r="HY40"/>
      <c r="HZ40"/>
      <c r="IA40"/>
    </row>
    <row r="41" spans="1:235" x14ac:dyDescent="0.25">
      <c r="A41">
        <v>41</v>
      </c>
      <c r="B41" s="115">
        <v>43297</v>
      </c>
      <c r="C41" t="s">
        <v>392</v>
      </c>
      <c r="D41" t="s">
        <v>393</v>
      </c>
      <c r="E41" t="s">
        <v>394</v>
      </c>
      <c r="H41" t="s">
        <v>397</v>
      </c>
      <c r="I41" s="116">
        <v>25000</v>
      </c>
      <c r="J41" t="s">
        <v>398</v>
      </c>
      <c r="K41" s="117" t="s">
        <v>399</v>
      </c>
      <c r="N41" t="s">
        <v>423</v>
      </c>
      <c r="P41">
        <v>600</v>
      </c>
      <c r="Q41">
        <v>500</v>
      </c>
      <c r="R41">
        <v>100</v>
      </c>
      <c r="S41" t="s">
        <v>378</v>
      </c>
      <c r="T41" s="118">
        <v>500</v>
      </c>
      <c r="U41" s="118">
        <v>0</v>
      </c>
      <c r="V41" s="118">
        <v>500</v>
      </c>
      <c r="W41" s="119">
        <v>0</v>
      </c>
      <c r="X41" s="119">
        <v>0</v>
      </c>
      <c r="Y41" s="119">
        <v>0</v>
      </c>
      <c r="Z41" s="119">
        <v>0</v>
      </c>
      <c r="AA41" s="119">
        <v>0</v>
      </c>
      <c r="AB41" s="119">
        <v>0</v>
      </c>
      <c r="AC41" s="119">
        <v>500</v>
      </c>
      <c r="AD41" s="119">
        <v>20</v>
      </c>
      <c r="AE41" s="119">
        <v>100</v>
      </c>
      <c r="AF41" t="s">
        <v>379</v>
      </c>
      <c r="AG41" s="119">
        <v>0</v>
      </c>
      <c r="AH41" s="119">
        <v>0</v>
      </c>
      <c r="AI41" s="119">
        <v>0</v>
      </c>
      <c r="AJ41" s="119">
        <v>0</v>
      </c>
      <c r="AK41" s="119">
        <v>0</v>
      </c>
      <c r="AL41" s="119">
        <v>0</v>
      </c>
      <c r="AM41" s="119">
        <v>0</v>
      </c>
      <c r="AN41" s="119">
        <v>0</v>
      </c>
      <c r="AO41" s="119">
        <v>0</v>
      </c>
      <c r="AP41" s="119">
        <v>0</v>
      </c>
      <c r="AQ41" s="119">
        <v>20</v>
      </c>
      <c r="AR41" s="119">
        <v>0</v>
      </c>
      <c r="AS41" t="s">
        <v>380</v>
      </c>
      <c r="AT41" s="119">
        <v>0</v>
      </c>
      <c r="AU41" s="119">
        <v>0</v>
      </c>
      <c r="AV41" s="119">
        <v>0</v>
      </c>
      <c r="AW41" s="119">
        <v>0</v>
      </c>
      <c r="AX41" s="119">
        <v>0</v>
      </c>
      <c r="AY41" s="119">
        <v>0</v>
      </c>
      <c r="AZ41" s="119">
        <v>0</v>
      </c>
      <c r="BA41" s="119">
        <v>0</v>
      </c>
      <c r="BB41" s="119">
        <v>0</v>
      </c>
      <c r="BC41" s="119">
        <v>0</v>
      </c>
      <c r="BD41" s="119">
        <v>20</v>
      </c>
      <c r="BE41" s="119">
        <v>0</v>
      </c>
      <c r="BF41" t="s">
        <v>381</v>
      </c>
      <c r="BG41" s="119">
        <v>0</v>
      </c>
      <c r="BH41" s="119">
        <v>0</v>
      </c>
      <c r="BI41" s="119">
        <v>0</v>
      </c>
      <c r="BJ41" s="119">
        <v>0</v>
      </c>
      <c r="BK41" s="119">
        <v>0</v>
      </c>
      <c r="BL41" s="119">
        <v>0</v>
      </c>
      <c r="BM41" s="119">
        <v>0</v>
      </c>
      <c r="BN41" s="119">
        <v>0</v>
      </c>
      <c r="BO41" s="119">
        <v>0</v>
      </c>
      <c r="BP41" s="119">
        <v>0</v>
      </c>
      <c r="BQ41" s="119">
        <v>20</v>
      </c>
      <c r="BR41" s="119">
        <v>0</v>
      </c>
      <c r="BS41" t="s">
        <v>382</v>
      </c>
      <c r="BT41" s="119">
        <v>0</v>
      </c>
      <c r="BU41" s="119">
        <v>0</v>
      </c>
      <c r="BV41" s="119">
        <v>0</v>
      </c>
      <c r="BW41" s="119">
        <v>0</v>
      </c>
      <c r="BX41" s="119">
        <v>0</v>
      </c>
      <c r="BY41" s="119">
        <v>0</v>
      </c>
      <c r="BZ41" s="119">
        <v>0</v>
      </c>
      <c r="CA41" s="119">
        <v>0</v>
      </c>
      <c r="CB41" s="119">
        <v>0</v>
      </c>
      <c r="CC41" s="119">
        <v>0</v>
      </c>
      <c r="CD41" s="119">
        <v>20</v>
      </c>
      <c r="CE41" s="119">
        <v>0</v>
      </c>
      <c r="CF41" t="s">
        <v>383</v>
      </c>
      <c r="CG41" s="119">
        <v>0</v>
      </c>
      <c r="CH41" s="119">
        <v>0</v>
      </c>
      <c r="CI41" s="119">
        <v>0</v>
      </c>
      <c r="CJ41" s="119">
        <v>0</v>
      </c>
      <c r="CK41" s="119">
        <v>0</v>
      </c>
      <c r="CL41" s="119">
        <v>0</v>
      </c>
      <c r="CM41" s="119">
        <v>0</v>
      </c>
      <c r="CN41" s="119">
        <v>0</v>
      </c>
      <c r="CO41" s="119">
        <v>0</v>
      </c>
      <c r="CP41" s="119">
        <v>0</v>
      </c>
      <c r="CQ41" s="119">
        <v>20</v>
      </c>
      <c r="CR41" s="119">
        <v>0</v>
      </c>
      <c r="CS41" t="s">
        <v>384</v>
      </c>
      <c r="CT41" s="119">
        <v>0</v>
      </c>
      <c r="CU41" s="119">
        <v>0</v>
      </c>
      <c r="CV41" s="119">
        <v>0</v>
      </c>
      <c r="CW41" s="119">
        <v>0</v>
      </c>
      <c r="CX41" s="119">
        <v>0</v>
      </c>
      <c r="CY41" s="119">
        <v>0</v>
      </c>
      <c r="CZ41" s="119">
        <v>0</v>
      </c>
      <c r="DA41" s="119">
        <v>0</v>
      </c>
      <c r="DB41" s="119">
        <v>0</v>
      </c>
      <c r="DC41" s="119">
        <v>0</v>
      </c>
      <c r="DD41" s="119">
        <v>20</v>
      </c>
      <c r="DE41" s="119">
        <v>0</v>
      </c>
      <c r="DF41" t="s">
        <v>385</v>
      </c>
      <c r="DG41" s="119">
        <v>0</v>
      </c>
      <c r="DH41" s="119">
        <v>0</v>
      </c>
      <c r="DI41" s="119">
        <v>0</v>
      </c>
      <c r="DJ41" s="119">
        <v>0</v>
      </c>
      <c r="DK41" s="119">
        <v>0</v>
      </c>
      <c r="DL41" s="119">
        <v>0</v>
      </c>
      <c r="DM41" s="119">
        <v>0</v>
      </c>
      <c r="DN41" s="119">
        <v>0</v>
      </c>
      <c r="DO41" s="119">
        <v>0</v>
      </c>
      <c r="DP41" s="119">
        <v>0</v>
      </c>
      <c r="DQ41" s="119">
        <v>20</v>
      </c>
      <c r="DR41" s="119">
        <v>0</v>
      </c>
      <c r="DS41" t="s">
        <v>386</v>
      </c>
      <c r="DT41" s="119">
        <v>0</v>
      </c>
      <c r="DU41" s="119">
        <v>0</v>
      </c>
      <c r="DV41" s="119">
        <v>0</v>
      </c>
      <c r="DW41" s="119">
        <v>0</v>
      </c>
      <c r="DX41" s="119">
        <v>0</v>
      </c>
      <c r="DY41" s="119">
        <v>0</v>
      </c>
      <c r="DZ41" s="119">
        <v>0</v>
      </c>
      <c r="EA41" s="119">
        <v>0</v>
      </c>
      <c r="EB41" s="119">
        <v>0</v>
      </c>
      <c r="EC41" s="119">
        <v>0</v>
      </c>
      <c r="ED41" s="119">
        <v>20</v>
      </c>
      <c r="EE41" s="119">
        <v>0</v>
      </c>
      <c r="EF41" t="s">
        <v>387</v>
      </c>
      <c r="EG41" s="119">
        <v>0</v>
      </c>
      <c r="EH41" s="119">
        <v>0</v>
      </c>
      <c r="EI41" s="119">
        <v>0</v>
      </c>
      <c r="EJ41" s="119">
        <v>0</v>
      </c>
      <c r="EK41" s="119">
        <v>0</v>
      </c>
      <c r="EL41" s="119">
        <v>0</v>
      </c>
      <c r="EM41" s="119">
        <v>0</v>
      </c>
      <c r="EN41" s="119">
        <v>0</v>
      </c>
      <c r="EO41" s="119">
        <v>0</v>
      </c>
      <c r="EP41" s="119">
        <v>0</v>
      </c>
      <c r="EQ41" s="119">
        <v>20</v>
      </c>
      <c r="ER41" s="119">
        <v>0</v>
      </c>
      <c r="ES41" t="s">
        <v>388</v>
      </c>
      <c r="ET41" s="119">
        <v>0</v>
      </c>
      <c r="EU41" s="119">
        <v>0</v>
      </c>
      <c r="EV41" s="119">
        <v>0</v>
      </c>
      <c r="EW41" s="119">
        <v>0</v>
      </c>
      <c r="EX41" s="119">
        <v>0</v>
      </c>
      <c r="EY41" s="119">
        <v>0</v>
      </c>
      <c r="EZ41" s="119">
        <v>0</v>
      </c>
      <c r="FA41" s="119">
        <v>0</v>
      </c>
      <c r="FB41" s="119">
        <v>0</v>
      </c>
      <c r="FC41" s="119">
        <v>0</v>
      </c>
      <c r="FD41" s="119">
        <v>20</v>
      </c>
      <c r="FE41" s="119">
        <v>0</v>
      </c>
      <c r="FF41" t="s">
        <v>389</v>
      </c>
      <c r="FG41" s="119">
        <v>0</v>
      </c>
      <c r="FH41" s="119">
        <v>0</v>
      </c>
      <c r="FI41" s="119">
        <v>0</v>
      </c>
      <c r="FJ41" s="119">
        <v>0</v>
      </c>
      <c r="FK41" s="119">
        <v>0</v>
      </c>
      <c r="FL41" s="119">
        <v>0</v>
      </c>
      <c r="FM41" s="119">
        <v>0</v>
      </c>
      <c r="FN41" s="119">
        <v>0</v>
      </c>
      <c r="FO41" s="119">
        <v>0</v>
      </c>
      <c r="FP41" s="119">
        <v>0</v>
      </c>
      <c r="FQ41" s="119">
        <v>20</v>
      </c>
      <c r="FR41" s="119">
        <v>0</v>
      </c>
      <c r="FS41" t="s">
        <v>390</v>
      </c>
      <c r="FT41" s="119">
        <v>0</v>
      </c>
      <c r="FU41" s="119">
        <v>0</v>
      </c>
      <c r="FV41" s="119">
        <v>0</v>
      </c>
      <c r="FW41" s="119">
        <v>0</v>
      </c>
      <c r="FX41" s="119">
        <v>0</v>
      </c>
      <c r="FY41" s="119">
        <v>0</v>
      </c>
      <c r="FZ41" s="119">
        <v>0</v>
      </c>
      <c r="GA41" s="119">
        <v>0</v>
      </c>
      <c r="GB41" s="119">
        <v>0</v>
      </c>
      <c r="GC41" s="119">
        <v>0</v>
      </c>
      <c r="GD41" s="119">
        <v>20</v>
      </c>
      <c r="GE41" s="119">
        <v>0</v>
      </c>
      <c r="GF41" t="s">
        <v>391</v>
      </c>
      <c r="GG41" s="119">
        <v>0</v>
      </c>
      <c r="GH41" s="119">
        <v>0</v>
      </c>
      <c r="GI41" s="119">
        <v>0</v>
      </c>
      <c r="GJ41" s="119">
        <v>0</v>
      </c>
      <c r="GK41" s="119">
        <v>0</v>
      </c>
      <c r="GL41" s="119">
        <v>0</v>
      </c>
      <c r="GM41" s="119">
        <v>0</v>
      </c>
      <c r="GN41" s="119">
        <v>0</v>
      </c>
      <c r="GO41" s="119">
        <v>0</v>
      </c>
      <c r="GP41" s="119">
        <v>0</v>
      </c>
      <c r="GQ41" s="119">
        <v>20</v>
      </c>
      <c r="GR41" s="119">
        <v>0</v>
      </c>
      <c r="GU41" s="119">
        <f t="shared" si="2"/>
        <v>500</v>
      </c>
      <c r="GV41" s="119">
        <f t="shared" si="2"/>
        <v>214.29</v>
      </c>
      <c r="GW41" s="119">
        <f t="shared" si="2"/>
        <v>714.29</v>
      </c>
      <c r="GX41" s="119">
        <f t="shared" si="2"/>
        <v>30</v>
      </c>
      <c r="GY41" s="119">
        <f t="shared" si="2"/>
        <v>10</v>
      </c>
      <c r="GZ41" s="119">
        <f t="shared" si="1"/>
        <v>50</v>
      </c>
      <c r="HA41" s="119">
        <f t="shared" si="1"/>
        <v>500</v>
      </c>
      <c r="HB41" s="119">
        <f t="shared" si="1"/>
        <v>714.29</v>
      </c>
      <c r="HC41" s="119">
        <f t="shared" si="1"/>
        <v>71.430000000000007</v>
      </c>
      <c r="HD41" s="119">
        <f t="shared" si="1"/>
        <v>1214.29</v>
      </c>
      <c r="HJ41"/>
      <c r="HK41" s="115"/>
      <c r="HR41" s="116"/>
      <c r="HT41" s="117"/>
      <c r="HY41"/>
      <c r="HZ41"/>
      <c r="IA41"/>
    </row>
    <row r="42" spans="1:235" x14ac:dyDescent="0.25">
      <c r="A42">
        <v>42</v>
      </c>
      <c r="B42" s="115">
        <v>43297</v>
      </c>
      <c r="C42" t="s">
        <v>392</v>
      </c>
      <c r="D42" t="s">
        <v>393</v>
      </c>
      <c r="E42" t="s">
        <v>394</v>
      </c>
      <c r="H42" t="s">
        <v>397</v>
      </c>
      <c r="I42" s="116">
        <v>25000</v>
      </c>
      <c r="J42" t="s">
        <v>398</v>
      </c>
      <c r="K42" s="117" t="s">
        <v>399</v>
      </c>
      <c r="N42" t="s">
        <v>423</v>
      </c>
      <c r="P42">
        <v>600</v>
      </c>
      <c r="Q42">
        <v>500</v>
      </c>
      <c r="R42">
        <v>100</v>
      </c>
      <c r="S42" t="s">
        <v>378</v>
      </c>
      <c r="T42" s="118">
        <v>500</v>
      </c>
      <c r="U42" s="118">
        <v>0</v>
      </c>
      <c r="V42" s="118">
        <v>500</v>
      </c>
      <c r="W42" s="119">
        <v>0</v>
      </c>
      <c r="X42" s="119">
        <v>0</v>
      </c>
      <c r="Y42" s="119">
        <v>0</v>
      </c>
      <c r="Z42" s="119">
        <v>0</v>
      </c>
      <c r="AA42" s="119">
        <v>0</v>
      </c>
      <c r="AB42" s="119">
        <v>0</v>
      </c>
      <c r="AC42" s="119">
        <v>500</v>
      </c>
      <c r="AD42" s="119">
        <v>20</v>
      </c>
      <c r="AE42" s="119">
        <v>100</v>
      </c>
      <c r="AF42" t="s">
        <v>379</v>
      </c>
      <c r="AG42" s="119">
        <v>0</v>
      </c>
      <c r="AH42" s="119">
        <v>0</v>
      </c>
      <c r="AI42" s="119">
        <v>0</v>
      </c>
      <c r="AJ42" s="119">
        <v>0</v>
      </c>
      <c r="AK42" s="119">
        <v>0</v>
      </c>
      <c r="AL42" s="119">
        <v>0</v>
      </c>
      <c r="AM42" s="119">
        <v>0</v>
      </c>
      <c r="AN42" s="119">
        <v>0</v>
      </c>
      <c r="AO42" s="119">
        <v>0</v>
      </c>
      <c r="AP42" s="119">
        <v>0</v>
      </c>
      <c r="AQ42" s="119">
        <v>20</v>
      </c>
      <c r="AR42" s="119">
        <v>0</v>
      </c>
      <c r="AS42" t="s">
        <v>380</v>
      </c>
      <c r="AT42" s="119">
        <v>0</v>
      </c>
      <c r="AU42" s="119">
        <v>0</v>
      </c>
      <c r="AV42" s="119">
        <v>0</v>
      </c>
      <c r="AW42" s="119">
        <v>0</v>
      </c>
      <c r="AX42" s="119">
        <v>0</v>
      </c>
      <c r="AY42" s="119">
        <v>0</v>
      </c>
      <c r="AZ42" s="119">
        <v>0</v>
      </c>
      <c r="BA42" s="119">
        <v>0</v>
      </c>
      <c r="BB42" s="119">
        <v>0</v>
      </c>
      <c r="BC42" s="119">
        <v>0</v>
      </c>
      <c r="BD42" s="119">
        <v>20</v>
      </c>
      <c r="BE42" s="119">
        <v>0</v>
      </c>
      <c r="BF42" t="s">
        <v>381</v>
      </c>
      <c r="BG42" s="119">
        <v>0</v>
      </c>
      <c r="BH42" s="119">
        <v>0</v>
      </c>
      <c r="BI42" s="119">
        <v>0</v>
      </c>
      <c r="BJ42" s="119">
        <v>0</v>
      </c>
      <c r="BK42" s="119">
        <v>0</v>
      </c>
      <c r="BL42" s="119">
        <v>0</v>
      </c>
      <c r="BM42" s="119">
        <v>0</v>
      </c>
      <c r="BN42" s="119">
        <v>0</v>
      </c>
      <c r="BO42" s="119">
        <v>0</v>
      </c>
      <c r="BP42" s="119">
        <v>0</v>
      </c>
      <c r="BQ42" s="119">
        <v>20</v>
      </c>
      <c r="BR42" s="119">
        <v>0</v>
      </c>
      <c r="BS42" t="s">
        <v>382</v>
      </c>
      <c r="BT42" s="119">
        <v>0</v>
      </c>
      <c r="BU42" s="119">
        <v>0</v>
      </c>
      <c r="BV42" s="119">
        <v>0</v>
      </c>
      <c r="BW42" s="119">
        <v>0</v>
      </c>
      <c r="BX42" s="119">
        <v>0</v>
      </c>
      <c r="BY42" s="119">
        <v>0</v>
      </c>
      <c r="BZ42" s="119">
        <v>0</v>
      </c>
      <c r="CA42" s="119">
        <v>0</v>
      </c>
      <c r="CB42" s="119">
        <v>0</v>
      </c>
      <c r="CC42" s="119">
        <v>0</v>
      </c>
      <c r="CD42" s="119">
        <v>20</v>
      </c>
      <c r="CE42" s="119">
        <v>0</v>
      </c>
      <c r="CF42" t="s">
        <v>383</v>
      </c>
      <c r="CG42" s="119">
        <v>0</v>
      </c>
      <c r="CH42" s="119">
        <v>0</v>
      </c>
      <c r="CI42" s="119">
        <v>0</v>
      </c>
      <c r="CJ42" s="119">
        <v>0</v>
      </c>
      <c r="CK42" s="119">
        <v>0</v>
      </c>
      <c r="CL42" s="119">
        <v>0</v>
      </c>
      <c r="CM42" s="119">
        <v>0</v>
      </c>
      <c r="CN42" s="119">
        <v>0</v>
      </c>
      <c r="CO42" s="119">
        <v>0</v>
      </c>
      <c r="CP42" s="119">
        <v>0</v>
      </c>
      <c r="CQ42" s="119">
        <v>20</v>
      </c>
      <c r="CR42" s="119">
        <v>0</v>
      </c>
      <c r="CS42" t="s">
        <v>384</v>
      </c>
      <c r="CT42" s="119">
        <v>0</v>
      </c>
      <c r="CU42" s="119">
        <v>0</v>
      </c>
      <c r="CV42" s="119">
        <v>0</v>
      </c>
      <c r="CW42" s="119">
        <v>0</v>
      </c>
      <c r="CX42" s="119">
        <v>0</v>
      </c>
      <c r="CY42" s="119">
        <v>0</v>
      </c>
      <c r="CZ42" s="119">
        <v>0</v>
      </c>
      <c r="DA42" s="119">
        <v>0</v>
      </c>
      <c r="DB42" s="119">
        <v>0</v>
      </c>
      <c r="DC42" s="119">
        <v>0</v>
      </c>
      <c r="DD42" s="119">
        <v>20</v>
      </c>
      <c r="DE42" s="119">
        <v>0</v>
      </c>
      <c r="DF42" t="s">
        <v>385</v>
      </c>
      <c r="DG42" s="119">
        <v>0</v>
      </c>
      <c r="DH42" s="119">
        <v>0</v>
      </c>
      <c r="DI42" s="119">
        <v>0</v>
      </c>
      <c r="DJ42" s="119">
        <v>0</v>
      </c>
      <c r="DK42" s="119">
        <v>0</v>
      </c>
      <c r="DL42" s="119">
        <v>0</v>
      </c>
      <c r="DM42" s="119">
        <v>0</v>
      </c>
      <c r="DN42" s="119">
        <v>0</v>
      </c>
      <c r="DO42" s="119">
        <v>0</v>
      </c>
      <c r="DP42" s="119">
        <v>0</v>
      </c>
      <c r="DQ42" s="119">
        <v>20</v>
      </c>
      <c r="DR42" s="119">
        <v>0</v>
      </c>
      <c r="DS42" t="s">
        <v>386</v>
      </c>
      <c r="DT42" s="119">
        <v>0</v>
      </c>
      <c r="DU42" s="119">
        <v>0</v>
      </c>
      <c r="DV42" s="119">
        <v>0</v>
      </c>
      <c r="DW42" s="119">
        <v>0</v>
      </c>
      <c r="DX42" s="119">
        <v>0</v>
      </c>
      <c r="DY42" s="119">
        <v>0</v>
      </c>
      <c r="DZ42" s="119">
        <v>0</v>
      </c>
      <c r="EA42" s="119">
        <v>0</v>
      </c>
      <c r="EB42" s="119">
        <v>0</v>
      </c>
      <c r="EC42" s="119">
        <v>0</v>
      </c>
      <c r="ED42" s="119">
        <v>20</v>
      </c>
      <c r="EE42" s="119">
        <v>0</v>
      </c>
      <c r="EF42" t="s">
        <v>387</v>
      </c>
      <c r="EG42" s="119">
        <v>0</v>
      </c>
      <c r="EH42" s="119">
        <v>0</v>
      </c>
      <c r="EI42" s="119">
        <v>0</v>
      </c>
      <c r="EJ42" s="119">
        <v>0</v>
      </c>
      <c r="EK42" s="119">
        <v>0</v>
      </c>
      <c r="EL42" s="119">
        <v>0</v>
      </c>
      <c r="EM42" s="119">
        <v>0</v>
      </c>
      <c r="EN42" s="119">
        <v>0</v>
      </c>
      <c r="EO42" s="119">
        <v>0</v>
      </c>
      <c r="EP42" s="119">
        <v>0</v>
      </c>
      <c r="EQ42" s="119">
        <v>20</v>
      </c>
      <c r="ER42" s="119">
        <v>0</v>
      </c>
      <c r="ES42" t="s">
        <v>388</v>
      </c>
      <c r="ET42" s="119">
        <v>0</v>
      </c>
      <c r="EU42" s="119">
        <v>0</v>
      </c>
      <c r="EV42" s="119">
        <v>0</v>
      </c>
      <c r="EW42" s="119">
        <v>0</v>
      </c>
      <c r="EX42" s="119">
        <v>0</v>
      </c>
      <c r="EY42" s="119">
        <v>0</v>
      </c>
      <c r="EZ42" s="119">
        <v>0</v>
      </c>
      <c r="FA42" s="119">
        <v>0</v>
      </c>
      <c r="FB42" s="119">
        <v>0</v>
      </c>
      <c r="FC42" s="119">
        <v>0</v>
      </c>
      <c r="FD42" s="119">
        <v>20</v>
      </c>
      <c r="FE42" s="119">
        <v>0</v>
      </c>
      <c r="FF42" t="s">
        <v>389</v>
      </c>
      <c r="FG42" s="119">
        <v>0</v>
      </c>
      <c r="FH42" s="119">
        <v>0</v>
      </c>
      <c r="FI42" s="119">
        <v>0</v>
      </c>
      <c r="FJ42" s="119">
        <v>0</v>
      </c>
      <c r="FK42" s="119">
        <v>0</v>
      </c>
      <c r="FL42" s="119">
        <v>0</v>
      </c>
      <c r="FM42" s="119">
        <v>0</v>
      </c>
      <c r="FN42" s="119">
        <v>0</v>
      </c>
      <c r="FO42" s="119">
        <v>0</v>
      </c>
      <c r="FP42" s="119">
        <v>0</v>
      </c>
      <c r="FQ42" s="119">
        <v>20</v>
      </c>
      <c r="FR42" s="119">
        <v>0</v>
      </c>
      <c r="FS42" t="s">
        <v>390</v>
      </c>
      <c r="FT42" s="119">
        <v>0</v>
      </c>
      <c r="FU42" s="119">
        <v>0</v>
      </c>
      <c r="FV42" s="119">
        <v>0</v>
      </c>
      <c r="FW42" s="119">
        <v>0</v>
      </c>
      <c r="FX42" s="119">
        <v>0</v>
      </c>
      <c r="FY42" s="119">
        <v>0</v>
      </c>
      <c r="FZ42" s="119">
        <v>0</v>
      </c>
      <c r="GA42" s="119">
        <v>0</v>
      </c>
      <c r="GB42" s="119">
        <v>0</v>
      </c>
      <c r="GC42" s="119">
        <v>0</v>
      </c>
      <c r="GD42" s="119">
        <v>20</v>
      </c>
      <c r="GE42" s="119">
        <v>0</v>
      </c>
      <c r="GF42" t="s">
        <v>391</v>
      </c>
      <c r="GG42" s="119">
        <v>0</v>
      </c>
      <c r="GH42" s="119">
        <v>0</v>
      </c>
      <c r="GI42" s="119">
        <v>0</v>
      </c>
      <c r="GJ42" s="119">
        <v>0</v>
      </c>
      <c r="GK42" s="119">
        <v>0</v>
      </c>
      <c r="GL42" s="119">
        <v>0</v>
      </c>
      <c r="GM42" s="119">
        <v>0</v>
      </c>
      <c r="GN42" s="119">
        <v>0</v>
      </c>
      <c r="GO42" s="119">
        <v>0</v>
      </c>
      <c r="GP42" s="119">
        <v>0</v>
      </c>
      <c r="GQ42" s="119">
        <v>20</v>
      </c>
      <c r="GR42" s="119">
        <v>0</v>
      </c>
      <c r="GU42" s="119">
        <f t="shared" si="2"/>
        <v>500</v>
      </c>
      <c r="GV42" s="119">
        <f t="shared" si="2"/>
        <v>55.56</v>
      </c>
      <c r="GW42" s="119">
        <f t="shared" si="2"/>
        <v>555.55999999999995</v>
      </c>
      <c r="GX42" s="119">
        <f t="shared" si="2"/>
        <v>10</v>
      </c>
      <c r="GY42" s="119">
        <f t="shared" si="2"/>
        <v>10</v>
      </c>
      <c r="GZ42" s="119">
        <f t="shared" si="1"/>
        <v>50</v>
      </c>
      <c r="HA42" s="119">
        <f t="shared" si="1"/>
        <v>500</v>
      </c>
      <c r="HB42" s="119">
        <f t="shared" si="1"/>
        <v>555.55999999999995</v>
      </c>
      <c r="HC42" s="119">
        <f t="shared" si="1"/>
        <v>55.56</v>
      </c>
      <c r="HD42" s="119">
        <f t="shared" si="1"/>
        <v>1055.56</v>
      </c>
      <c r="HJ42"/>
      <c r="HK42" s="115"/>
      <c r="HR42" s="116"/>
      <c r="HT42" s="117"/>
      <c r="HY42"/>
      <c r="HZ42"/>
      <c r="IA42"/>
    </row>
    <row r="43" spans="1:235" x14ac:dyDescent="0.25">
      <c r="A43">
        <v>43</v>
      </c>
      <c r="B43" s="115">
        <v>43297</v>
      </c>
      <c r="C43" t="s">
        <v>392</v>
      </c>
      <c r="D43" t="s">
        <v>393</v>
      </c>
      <c r="E43" t="s">
        <v>394</v>
      </c>
      <c r="H43" t="s">
        <v>397</v>
      </c>
      <c r="I43" s="116">
        <v>25000</v>
      </c>
      <c r="J43" t="s">
        <v>398</v>
      </c>
      <c r="K43" s="117" t="s">
        <v>399</v>
      </c>
      <c r="N43" t="s">
        <v>423</v>
      </c>
      <c r="P43">
        <v>600</v>
      </c>
      <c r="Q43">
        <v>500</v>
      </c>
      <c r="R43">
        <v>100</v>
      </c>
      <c r="S43" t="s">
        <v>378</v>
      </c>
      <c r="T43" s="118">
        <v>500</v>
      </c>
      <c r="U43" s="118">
        <v>0</v>
      </c>
      <c r="V43" s="118">
        <v>500</v>
      </c>
      <c r="W43" s="119">
        <v>0</v>
      </c>
      <c r="X43" s="119">
        <v>0</v>
      </c>
      <c r="Y43" s="119">
        <v>0</v>
      </c>
      <c r="Z43" s="119">
        <v>0</v>
      </c>
      <c r="AA43" s="119">
        <v>0</v>
      </c>
      <c r="AB43" s="119">
        <v>0</v>
      </c>
      <c r="AC43" s="119">
        <v>500</v>
      </c>
      <c r="AD43" s="119">
        <v>20</v>
      </c>
      <c r="AE43" s="119">
        <v>100</v>
      </c>
      <c r="AF43" t="s">
        <v>379</v>
      </c>
      <c r="AG43" s="119">
        <v>0</v>
      </c>
      <c r="AH43" s="119">
        <v>0</v>
      </c>
      <c r="AI43" s="119">
        <v>0</v>
      </c>
      <c r="AJ43" s="119">
        <v>0</v>
      </c>
      <c r="AK43" s="119">
        <v>0</v>
      </c>
      <c r="AL43" s="119">
        <v>0</v>
      </c>
      <c r="AM43" s="119">
        <v>0</v>
      </c>
      <c r="AN43" s="119">
        <v>0</v>
      </c>
      <c r="AO43" s="119">
        <v>0</v>
      </c>
      <c r="AP43" s="119">
        <v>0</v>
      </c>
      <c r="AQ43" s="119">
        <v>20</v>
      </c>
      <c r="AR43" s="119">
        <v>0</v>
      </c>
      <c r="AS43" t="s">
        <v>380</v>
      </c>
      <c r="AT43" s="119">
        <v>0</v>
      </c>
      <c r="AU43" s="119">
        <v>0</v>
      </c>
      <c r="AV43" s="119">
        <v>0</v>
      </c>
      <c r="AW43" s="119">
        <v>0</v>
      </c>
      <c r="AX43" s="119">
        <v>0</v>
      </c>
      <c r="AY43" s="119">
        <v>0</v>
      </c>
      <c r="AZ43" s="119">
        <v>0</v>
      </c>
      <c r="BA43" s="119">
        <v>0</v>
      </c>
      <c r="BB43" s="119">
        <v>0</v>
      </c>
      <c r="BC43" s="119">
        <v>0</v>
      </c>
      <c r="BD43" s="119">
        <v>20</v>
      </c>
      <c r="BE43" s="119">
        <v>0</v>
      </c>
      <c r="BF43" t="s">
        <v>381</v>
      </c>
      <c r="BG43" s="119">
        <v>0</v>
      </c>
      <c r="BH43" s="119">
        <v>0</v>
      </c>
      <c r="BI43" s="119">
        <v>0</v>
      </c>
      <c r="BJ43" s="119">
        <v>0</v>
      </c>
      <c r="BK43" s="119">
        <v>0</v>
      </c>
      <c r="BL43" s="119">
        <v>0</v>
      </c>
      <c r="BM43" s="119">
        <v>0</v>
      </c>
      <c r="BN43" s="119">
        <v>0</v>
      </c>
      <c r="BO43" s="119">
        <v>0</v>
      </c>
      <c r="BP43" s="119">
        <v>0</v>
      </c>
      <c r="BQ43" s="119">
        <v>20</v>
      </c>
      <c r="BR43" s="119">
        <v>0</v>
      </c>
      <c r="BS43" t="s">
        <v>382</v>
      </c>
      <c r="BT43" s="119">
        <v>0</v>
      </c>
      <c r="BU43" s="119">
        <v>0</v>
      </c>
      <c r="BV43" s="119">
        <v>0</v>
      </c>
      <c r="BW43" s="119">
        <v>0</v>
      </c>
      <c r="BX43" s="119">
        <v>0</v>
      </c>
      <c r="BY43" s="119">
        <v>0</v>
      </c>
      <c r="BZ43" s="119">
        <v>0</v>
      </c>
      <c r="CA43" s="119">
        <v>0</v>
      </c>
      <c r="CB43" s="119">
        <v>0</v>
      </c>
      <c r="CC43" s="119">
        <v>0</v>
      </c>
      <c r="CD43" s="119">
        <v>20</v>
      </c>
      <c r="CE43" s="119">
        <v>0</v>
      </c>
      <c r="CF43" t="s">
        <v>383</v>
      </c>
      <c r="CG43" s="119">
        <v>0</v>
      </c>
      <c r="CH43" s="119">
        <v>0</v>
      </c>
      <c r="CI43" s="119">
        <v>0</v>
      </c>
      <c r="CJ43" s="119">
        <v>0</v>
      </c>
      <c r="CK43" s="119">
        <v>0</v>
      </c>
      <c r="CL43" s="119">
        <v>0</v>
      </c>
      <c r="CM43" s="119">
        <v>0</v>
      </c>
      <c r="CN43" s="119">
        <v>0</v>
      </c>
      <c r="CO43" s="119">
        <v>0</v>
      </c>
      <c r="CP43" s="119">
        <v>0</v>
      </c>
      <c r="CQ43" s="119">
        <v>20</v>
      </c>
      <c r="CR43" s="119">
        <v>0</v>
      </c>
      <c r="CS43" t="s">
        <v>384</v>
      </c>
      <c r="CT43" s="119">
        <v>0</v>
      </c>
      <c r="CU43" s="119">
        <v>0</v>
      </c>
      <c r="CV43" s="119">
        <v>0</v>
      </c>
      <c r="CW43" s="119">
        <v>0</v>
      </c>
      <c r="CX43" s="119">
        <v>0</v>
      </c>
      <c r="CY43" s="119">
        <v>0</v>
      </c>
      <c r="CZ43" s="119">
        <v>0</v>
      </c>
      <c r="DA43" s="119">
        <v>0</v>
      </c>
      <c r="DB43" s="119">
        <v>0</v>
      </c>
      <c r="DC43" s="119">
        <v>0</v>
      </c>
      <c r="DD43" s="119">
        <v>20</v>
      </c>
      <c r="DE43" s="119">
        <v>0</v>
      </c>
      <c r="DF43" t="s">
        <v>385</v>
      </c>
      <c r="DG43" s="119">
        <v>0</v>
      </c>
      <c r="DH43" s="119">
        <v>0</v>
      </c>
      <c r="DI43" s="119">
        <v>0</v>
      </c>
      <c r="DJ43" s="119">
        <v>0</v>
      </c>
      <c r="DK43" s="119">
        <v>0</v>
      </c>
      <c r="DL43" s="119">
        <v>0</v>
      </c>
      <c r="DM43" s="119">
        <v>0</v>
      </c>
      <c r="DN43" s="119">
        <v>0</v>
      </c>
      <c r="DO43" s="119">
        <v>0</v>
      </c>
      <c r="DP43" s="119">
        <v>0</v>
      </c>
      <c r="DQ43" s="119">
        <v>20</v>
      </c>
      <c r="DR43" s="119">
        <v>0</v>
      </c>
      <c r="DS43" t="s">
        <v>386</v>
      </c>
      <c r="DT43" s="119">
        <v>0</v>
      </c>
      <c r="DU43" s="119">
        <v>0</v>
      </c>
      <c r="DV43" s="119">
        <v>0</v>
      </c>
      <c r="DW43" s="119">
        <v>0</v>
      </c>
      <c r="DX43" s="119">
        <v>0</v>
      </c>
      <c r="DY43" s="119">
        <v>0</v>
      </c>
      <c r="DZ43" s="119">
        <v>0</v>
      </c>
      <c r="EA43" s="119">
        <v>0</v>
      </c>
      <c r="EB43" s="119">
        <v>0</v>
      </c>
      <c r="EC43" s="119">
        <v>0</v>
      </c>
      <c r="ED43" s="119">
        <v>20</v>
      </c>
      <c r="EE43" s="119">
        <v>0</v>
      </c>
      <c r="EF43" t="s">
        <v>387</v>
      </c>
      <c r="EG43" s="119">
        <v>0</v>
      </c>
      <c r="EH43" s="119">
        <v>0</v>
      </c>
      <c r="EI43" s="119">
        <v>0</v>
      </c>
      <c r="EJ43" s="119">
        <v>0</v>
      </c>
      <c r="EK43" s="119">
        <v>0</v>
      </c>
      <c r="EL43" s="119">
        <v>0</v>
      </c>
      <c r="EM43" s="119">
        <v>0</v>
      </c>
      <c r="EN43" s="119">
        <v>0</v>
      </c>
      <c r="EO43" s="119">
        <v>0</v>
      </c>
      <c r="EP43" s="119">
        <v>0</v>
      </c>
      <c r="EQ43" s="119">
        <v>20</v>
      </c>
      <c r="ER43" s="119">
        <v>0</v>
      </c>
      <c r="ES43" t="s">
        <v>388</v>
      </c>
      <c r="ET43" s="119">
        <v>0</v>
      </c>
      <c r="EU43" s="119">
        <v>0</v>
      </c>
      <c r="EV43" s="119">
        <v>0</v>
      </c>
      <c r="EW43" s="119">
        <v>0</v>
      </c>
      <c r="EX43" s="119">
        <v>0</v>
      </c>
      <c r="EY43" s="119">
        <v>0</v>
      </c>
      <c r="EZ43" s="119">
        <v>0</v>
      </c>
      <c r="FA43" s="119">
        <v>0</v>
      </c>
      <c r="FB43" s="119">
        <v>0</v>
      </c>
      <c r="FC43" s="119">
        <v>0</v>
      </c>
      <c r="FD43" s="119">
        <v>20</v>
      </c>
      <c r="FE43" s="119">
        <v>0</v>
      </c>
      <c r="FF43" t="s">
        <v>389</v>
      </c>
      <c r="FG43" s="119">
        <v>0</v>
      </c>
      <c r="FH43" s="119">
        <v>0</v>
      </c>
      <c r="FI43" s="119">
        <v>0</v>
      </c>
      <c r="FJ43" s="119">
        <v>0</v>
      </c>
      <c r="FK43" s="119">
        <v>0</v>
      </c>
      <c r="FL43" s="119">
        <v>0</v>
      </c>
      <c r="FM43" s="119">
        <v>0</v>
      </c>
      <c r="FN43" s="119">
        <v>0</v>
      </c>
      <c r="FO43" s="119">
        <v>0</v>
      </c>
      <c r="FP43" s="119">
        <v>0</v>
      </c>
      <c r="FQ43" s="119">
        <v>20</v>
      </c>
      <c r="FR43" s="119">
        <v>0</v>
      </c>
      <c r="FS43" t="s">
        <v>390</v>
      </c>
      <c r="FT43" s="119">
        <v>0</v>
      </c>
      <c r="FU43" s="119">
        <v>0</v>
      </c>
      <c r="FV43" s="119">
        <v>0</v>
      </c>
      <c r="FW43" s="119">
        <v>0</v>
      </c>
      <c r="FX43" s="119">
        <v>0</v>
      </c>
      <c r="FY43" s="119">
        <v>0</v>
      </c>
      <c r="FZ43" s="119">
        <v>0</v>
      </c>
      <c r="GA43" s="119">
        <v>0</v>
      </c>
      <c r="GB43" s="119">
        <v>0</v>
      </c>
      <c r="GC43" s="119">
        <v>0</v>
      </c>
      <c r="GD43" s="119">
        <v>20</v>
      </c>
      <c r="GE43" s="119">
        <v>0</v>
      </c>
      <c r="GF43" t="s">
        <v>391</v>
      </c>
      <c r="GG43" s="119">
        <v>0</v>
      </c>
      <c r="GH43" s="119">
        <v>0</v>
      </c>
      <c r="GI43" s="119">
        <v>0</v>
      </c>
      <c r="GJ43" s="119">
        <v>0</v>
      </c>
      <c r="GK43" s="119">
        <v>0</v>
      </c>
      <c r="GL43" s="119">
        <v>0</v>
      </c>
      <c r="GM43" s="119">
        <v>0</v>
      </c>
      <c r="GN43" s="119">
        <v>0</v>
      </c>
      <c r="GO43" s="119">
        <v>0</v>
      </c>
      <c r="GP43" s="119">
        <v>0</v>
      </c>
      <c r="GQ43" s="119">
        <v>20</v>
      </c>
      <c r="GR43" s="119">
        <v>0</v>
      </c>
      <c r="GU43" s="119">
        <f t="shared" si="2"/>
        <v>500</v>
      </c>
      <c r="GV43" s="119">
        <f t="shared" si="2"/>
        <v>55.56</v>
      </c>
      <c r="GW43" s="119">
        <f t="shared" si="2"/>
        <v>555.55999999999995</v>
      </c>
      <c r="GX43" s="119">
        <f t="shared" si="2"/>
        <v>10</v>
      </c>
      <c r="GY43" s="119">
        <f t="shared" si="2"/>
        <v>10</v>
      </c>
      <c r="GZ43" s="119">
        <f t="shared" si="1"/>
        <v>50</v>
      </c>
      <c r="HA43" s="119">
        <f t="shared" si="1"/>
        <v>500</v>
      </c>
      <c r="HB43" s="119">
        <f t="shared" si="1"/>
        <v>555.55999999999995</v>
      </c>
      <c r="HC43" s="119">
        <f t="shared" si="1"/>
        <v>55.56</v>
      </c>
      <c r="HD43" s="119">
        <f t="shared" si="1"/>
        <v>1055.56</v>
      </c>
      <c r="HJ43"/>
      <c r="HK43" s="115"/>
      <c r="HR43" s="116"/>
      <c r="HT43" s="117"/>
      <c r="HY43"/>
      <c r="HZ43"/>
      <c r="IA43"/>
    </row>
    <row r="44" spans="1:235" x14ac:dyDescent="0.25">
      <c r="A44">
        <v>44</v>
      </c>
      <c r="B44" s="115">
        <v>43297</v>
      </c>
      <c r="C44" t="s">
        <v>392</v>
      </c>
      <c r="D44" t="s">
        <v>393</v>
      </c>
      <c r="E44" t="s">
        <v>394</v>
      </c>
      <c r="H44" t="s">
        <v>397</v>
      </c>
      <c r="I44" s="116">
        <v>25000</v>
      </c>
      <c r="J44" t="s">
        <v>398</v>
      </c>
      <c r="K44" s="117" t="s">
        <v>399</v>
      </c>
      <c r="N44" t="s">
        <v>423</v>
      </c>
      <c r="P44">
        <v>600</v>
      </c>
      <c r="Q44">
        <v>500</v>
      </c>
      <c r="R44">
        <v>100</v>
      </c>
      <c r="S44" t="s">
        <v>378</v>
      </c>
      <c r="T44" s="118">
        <v>500</v>
      </c>
      <c r="U44" s="118">
        <v>0</v>
      </c>
      <c r="V44" s="118">
        <v>500</v>
      </c>
      <c r="W44" s="119">
        <v>0</v>
      </c>
      <c r="X44" s="119">
        <v>0</v>
      </c>
      <c r="Y44" s="119">
        <v>0</v>
      </c>
      <c r="Z44" s="119">
        <v>0</v>
      </c>
      <c r="AA44" s="119">
        <v>0</v>
      </c>
      <c r="AB44" s="119">
        <v>0</v>
      </c>
      <c r="AC44" s="119">
        <v>500</v>
      </c>
      <c r="AD44" s="119">
        <v>20</v>
      </c>
      <c r="AE44" s="119">
        <v>100</v>
      </c>
      <c r="AF44" t="s">
        <v>379</v>
      </c>
      <c r="AG44" s="119">
        <v>0</v>
      </c>
      <c r="AH44" s="119">
        <v>0</v>
      </c>
      <c r="AI44" s="119">
        <v>0</v>
      </c>
      <c r="AJ44" s="119">
        <v>0</v>
      </c>
      <c r="AK44" s="119">
        <v>0</v>
      </c>
      <c r="AL44" s="119">
        <v>0</v>
      </c>
      <c r="AM44" s="119">
        <v>0</v>
      </c>
      <c r="AN44" s="119">
        <v>0</v>
      </c>
      <c r="AO44" s="119">
        <v>0</v>
      </c>
      <c r="AP44" s="119">
        <v>0</v>
      </c>
      <c r="AQ44" s="119">
        <v>20</v>
      </c>
      <c r="AR44" s="119">
        <v>0</v>
      </c>
      <c r="AS44" t="s">
        <v>380</v>
      </c>
      <c r="AT44" s="119">
        <v>0</v>
      </c>
      <c r="AU44" s="119">
        <v>0</v>
      </c>
      <c r="AV44" s="119">
        <v>0</v>
      </c>
      <c r="AW44" s="119">
        <v>0</v>
      </c>
      <c r="AX44" s="119">
        <v>0</v>
      </c>
      <c r="AY44" s="119">
        <v>0</v>
      </c>
      <c r="AZ44" s="119">
        <v>0</v>
      </c>
      <c r="BA44" s="119">
        <v>0</v>
      </c>
      <c r="BB44" s="119">
        <v>0</v>
      </c>
      <c r="BC44" s="119">
        <v>0</v>
      </c>
      <c r="BD44" s="119">
        <v>20</v>
      </c>
      <c r="BE44" s="119">
        <v>0</v>
      </c>
      <c r="BF44" t="s">
        <v>381</v>
      </c>
      <c r="BG44" s="119">
        <v>0</v>
      </c>
      <c r="BH44" s="119">
        <v>0</v>
      </c>
      <c r="BI44" s="119">
        <v>0</v>
      </c>
      <c r="BJ44" s="119">
        <v>0</v>
      </c>
      <c r="BK44" s="119">
        <v>0</v>
      </c>
      <c r="BL44" s="119">
        <v>0</v>
      </c>
      <c r="BM44" s="119">
        <v>0</v>
      </c>
      <c r="BN44" s="119">
        <v>0</v>
      </c>
      <c r="BO44" s="119">
        <v>0</v>
      </c>
      <c r="BP44" s="119">
        <v>0</v>
      </c>
      <c r="BQ44" s="119">
        <v>20</v>
      </c>
      <c r="BR44" s="119">
        <v>0</v>
      </c>
      <c r="BS44" t="s">
        <v>382</v>
      </c>
      <c r="BT44" s="119">
        <v>0</v>
      </c>
      <c r="BU44" s="119">
        <v>0</v>
      </c>
      <c r="BV44" s="119">
        <v>0</v>
      </c>
      <c r="BW44" s="119">
        <v>0</v>
      </c>
      <c r="BX44" s="119">
        <v>0</v>
      </c>
      <c r="BY44" s="119">
        <v>0</v>
      </c>
      <c r="BZ44" s="119">
        <v>0</v>
      </c>
      <c r="CA44" s="119">
        <v>0</v>
      </c>
      <c r="CB44" s="119">
        <v>0</v>
      </c>
      <c r="CC44" s="119">
        <v>0</v>
      </c>
      <c r="CD44" s="119">
        <v>20</v>
      </c>
      <c r="CE44" s="119">
        <v>0</v>
      </c>
      <c r="CF44" t="s">
        <v>383</v>
      </c>
      <c r="CG44" s="119">
        <v>0</v>
      </c>
      <c r="CH44" s="119">
        <v>0</v>
      </c>
      <c r="CI44" s="119">
        <v>0</v>
      </c>
      <c r="CJ44" s="119">
        <v>0</v>
      </c>
      <c r="CK44" s="119">
        <v>0</v>
      </c>
      <c r="CL44" s="119">
        <v>0</v>
      </c>
      <c r="CM44" s="119">
        <v>0</v>
      </c>
      <c r="CN44" s="119">
        <v>0</v>
      </c>
      <c r="CO44" s="119">
        <v>0</v>
      </c>
      <c r="CP44" s="119">
        <v>0</v>
      </c>
      <c r="CQ44" s="119">
        <v>20</v>
      </c>
      <c r="CR44" s="119">
        <v>0</v>
      </c>
      <c r="CS44" t="s">
        <v>384</v>
      </c>
      <c r="CT44" s="119">
        <v>0</v>
      </c>
      <c r="CU44" s="119">
        <v>0</v>
      </c>
      <c r="CV44" s="119">
        <v>0</v>
      </c>
      <c r="CW44" s="119">
        <v>0</v>
      </c>
      <c r="CX44" s="119">
        <v>0</v>
      </c>
      <c r="CY44" s="119">
        <v>0</v>
      </c>
      <c r="CZ44" s="119">
        <v>0</v>
      </c>
      <c r="DA44" s="119">
        <v>0</v>
      </c>
      <c r="DB44" s="119">
        <v>0</v>
      </c>
      <c r="DC44" s="119">
        <v>0</v>
      </c>
      <c r="DD44" s="119">
        <v>20</v>
      </c>
      <c r="DE44" s="119">
        <v>0</v>
      </c>
      <c r="DF44" t="s">
        <v>385</v>
      </c>
      <c r="DG44" s="119">
        <v>0</v>
      </c>
      <c r="DH44" s="119">
        <v>0</v>
      </c>
      <c r="DI44" s="119">
        <v>0</v>
      </c>
      <c r="DJ44" s="119">
        <v>0</v>
      </c>
      <c r="DK44" s="119">
        <v>0</v>
      </c>
      <c r="DL44" s="119">
        <v>0</v>
      </c>
      <c r="DM44" s="119">
        <v>0</v>
      </c>
      <c r="DN44" s="119">
        <v>0</v>
      </c>
      <c r="DO44" s="119">
        <v>0</v>
      </c>
      <c r="DP44" s="119">
        <v>0</v>
      </c>
      <c r="DQ44" s="119">
        <v>20</v>
      </c>
      <c r="DR44" s="119">
        <v>0</v>
      </c>
      <c r="DS44" t="s">
        <v>386</v>
      </c>
      <c r="DT44" s="119">
        <v>0</v>
      </c>
      <c r="DU44" s="119">
        <v>0</v>
      </c>
      <c r="DV44" s="119">
        <v>0</v>
      </c>
      <c r="DW44" s="119">
        <v>0</v>
      </c>
      <c r="DX44" s="119">
        <v>0</v>
      </c>
      <c r="DY44" s="119">
        <v>0</v>
      </c>
      <c r="DZ44" s="119">
        <v>0</v>
      </c>
      <c r="EA44" s="119">
        <v>0</v>
      </c>
      <c r="EB44" s="119">
        <v>0</v>
      </c>
      <c r="EC44" s="119">
        <v>0</v>
      </c>
      <c r="ED44" s="119">
        <v>20</v>
      </c>
      <c r="EE44" s="119">
        <v>0</v>
      </c>
      <c r="EF44" t="s">
        <v>387</v>
      </c>
      <c r="EG44" s="119">
        <v>0</v>
      </c>
      <c r="EH44" s="119">
        <v>0</v>
      </c>
      <c r="EI44" s="119">
        <v>0</v>
      </c>
      <c r="EJ44" s="119">
        <v>0</v>
      </c>
      <c r="EK44" s="119">
        <v>0</v>
      </c>
      <c r="EL44" s="119">
        <v>0</v>
      </c>
      <c r="EM44" s="119">
        <v>0</v>
      </c>
      <c r="EN44" s="119">
        <v>0</v>
      </c>
      <c r="EO44" s="119">
        <v>0</v>
      </c>
      <c r="EP44" s="119">
        <v>0</v>
      </c>
      <c r="EQ44" s="119">
        <v>20</v>
      </c>
      <c r="ER44" s="119">
        <v>0</v>
      </c>
      <c r="ES44" t="s">
        <v>388</v>
      </c>
      <c r="ET44" s="119">
        <v>0</v>
      </c>
      <c r="EU44" s="119">
        <v>0</v>
      </c>
      <c r="EV44" s="119">
        <v>0</v>
      </c>
      <c r="EW44" s="119">
        <v>0</v>
      </c>
      <c r="EX44" s="119">
        <v>0</v>
      </c>
      <c r="EY44" s="119">
        <v>0</v>
      </c>
      <c r="EZ44" s="119">
        <v>0</v>
      </c>
      <c r="FA44" s="119">
        <v>0</v>
      </c>
      <c r="FB44" s="119">
        <v>0</v>
      </c>
      <c r="FC44" s="119">
        <v>0</v>
      </c>
      <c r="FD44" s="119">
        <v>20</v>
      </c>
      <c r="FE44" s="119">
        <v>0</v>
      </c>
      <c r="FF44" t="s">
        <v>389</v>
      </c>
      <c r="FG44" s="119">
        <v>0</v>
      </c>
      <c r="FH44" s="119">
        <v>0</v>
      </c>
      <c r="FI44" s="119">
        <v>0</v>
      </c>
      <c r="FJ44" s="119">
        <v>0</v>
      </c>
      <c r="FK44" s="119">
        <v>0</v>
      </c>
      <c r="FL44" s="119">
        <v>0</v>
      </c>
      <c r="FM44" s="119">
        <v>0</v>
      </c>
      <c r="FN44" s="119">
        <v>0</v>
      </c>
      <c r="FO44" s="119">
        <v>0</v>
      </c>
      <c r="FP44" s="119">
        <v>0</v>
      </c>
      <c r="FQ44" s="119">
        <v>20</v>
      </c>
      <c r="FR44" s="119">
        <v>0</v>
      </c>
      <c r="FS44" t="s">
        <v>390</v>
      </c>
      <c r="FT44" s="119">
        <v>0</v>
      </c>
      <c r="FU44" s="119">
        <v>0</v>
      </c>
      <c r="FV44" s="119">
        <v>0</v>
      </c>
      <c r="FW44" s="119">
        <v>0</v>
      </c>
      <c r="FX44" s="119">
        <v>0</v>
      </c>
      <c r="FY44" s="119">
        <v>0</v>
      </c>
      <c r="FZ44" s="119">
        <v>0</v>
      </c>
      <c r="GA44" s="119">
        <v>0</v>
      </c>
      <c r="GB44" s="119">
        <v>0</v>
      </c>
      <c r="GC44" s="119">
        <v>0</v>
      </c>
      <c r="GD44" s="119">
        <v>20</v>
      </c>
      <c r="GE44" s="119">
        <v>0</v>
      </c>
      <c r="GF44" t="s">
        <v>391</v>
      </c>
      <c r="GG44" s="119">
        <v>0</v>
      </c>
      <c r="GH44" s="119">
        <v>0</v>
      </c>
      <c r="GI44" s="119">
        <v>0</v>
      </c>
      <c r="GJ44" s="119">
        <v>0</v>
      </c>
      <c r="GK44" s="119">
        <v>0</v>
      </c>
      <c r="GL44" s="119">
        <v>0</v>
      </c>
      <c r="GM44" s="119">
        <v>0</v>
      </c>
      <c r="GN44" s="119">
        <v>0</v>
      </c>
      <c r="GO44" s="119">
        <v>0</v>
      </c>
      <c r="GP44" s="119">
        <v>0</v>
      </c>
      <c r="GQ44" s="119">
        <v>20</v>
      </c>
      <c r="GR44" s="119">
        <v>0</v>
      </c>
      <c r="GU44" s="119">
        <f t="shared" si="2"/>
        <v>500</v>
      </c>
      <c r="GV44" s="119">
        <f t="shared" si="2"/>
        <v>125</v>
      </c>
      <c r="GW44" s="119">
        <f t="shared" si="2"/>
        <v>625</v>
      </c>
      <c r="GX44" s="119">
        <f t="shared" si="2"/>
        <v>20</v>
      </c>
      <c r="GY44" s="119">
        <f t="shared" si="2"/>
        <v>10</v>
      </c>
      <c r="GZ44" s="119">
        <f t="shared" si="1"/>
        <v>50</v>
      </c>
      <c r="HA44" s="119">
        <f t="shared" si="1"/>
        <v>500</v>
      </c>
      <c r="HB44" s="119">
        <f t="shared" si="1"/>
        <v>625</v>
      </c>
      <c r="HC44" s="119">
        <f t="shared" si="1"/>
        <v>62.5</v>
      </c>
      <c r="HD44" s="119">
        <f t="shared" si="1"/>
        <v>1125</v>
      </c>
      <c r="HJ44"/>
      <c r="HK44" s="115"/>
      <c r="HR44" s="116"/>
      <c r="HT44" s="117"/>
      <c r="HY44"/>
      <c r="HZ44"/>
      <c r="IA44"/>
    </row>
    <row r="45" spans="1:235" x14ac:dyDescent="0.25">
      <c r="A45">
        <v>45</v>
      </c>
      <c r="B45" s="115">
        <v>43297</v>
      </c>
      <c r="C45" t="s">
        <v>392</v>
      </c>
      <c r="D45" t="s">
        <v>393</v>
      </c>
      <c r="E45" t="s">
        <v>394</v>
      </c>
      <c r="H45" t="s">
        <v>397</v>
      </c>
      <c r="I45" s="116">
        <v>25000</v>
      </c>
      <c r="J45" t="s">
        <v>398</v>
      </c>
      <c r="K45" s="117" t="s">
        <v>399</v>
      </c>
      <c r="N45" t="s">
        <v>423</v>
      </c>
      <c r="P45">
        <v>600</v>
      </c>
      <c r="Q45">
        <v>500</v>
      </c>
      <c r="R45">
        <v>100</v>
      </c>
      <c r="S45" t="s">
        <v>378</v>
      </c>
      <c r="T45" s="118">
        <v>500</v>
      </c>
      <c r="U45" s="118">
        <v>0</v>
      </c>
      <c r="V45" s="118">
        <v>500</v>
      </c>
      <c r="W45" s="119">
        <v>0</v>
      </c>
      <c r="X45" s="119">
        <v>0</v>
      </c>
      <c r="Y45" s="119">
        <v>0</v>
      </c>
      <c r="Z45" s="119">
        <v>0</v>
      </c>
      <c r="AA45" s="119">
        <v>0</v>
      </c>
      <c r="AB45" s="119">
        <v>0</v>
      </c>
      <c r="AC45" s="119">
        <v>500</v>
      </c>
      <c r="AD45" s="119">
        <v>20</v>
      </c>
      <c r="AE45" s="119">
        <v>100</v>
      </c>
      <c r="AF45" t="s">
        <v>379</v>
      </c>
      <c r="AG45" s="119">
        <v>0</v>
      </c>
      <c r="AH45" s="119">
        <v>0</v>
      </c>
      <c r="AI45" s="119">
        <v>0</v>
      </c>
      <c r="AJ45" s="119">
        <v>0</v>
      </c>
      <c r="AK45" s="119">
        <v>0</v>
      </c>
      <c r="AL45" s="119">
        <v>0</v>
      </c>
      <c r="AM45" s="119">
        <v>0</v>
      </c>
      <c r="AN45" s="119">
        <v>0</v>
      </c>
      <c r="AO45" s="119">
        <v>0</v>
      </c>
      <c r="AP45" s="119">
        <v>0</v>
      </c>
      <c r="AQ45" s="119">
        <v>20</v>
      </c>
      <c r="AR45" s="119">
        <v>0</v>
      </c>
      <c r="AS45" t="s">
        <v>380</v>
      </c>
      <c r="AT45" s="119">
        <v>0</v>
      </c>
      <c r="AU45" s="119">
        <v>0</v>
      </c>
      <c r="AV45" s="119">
        <v>0</v>
      </c>
      <c r="AW45" s="119">
        <v>0</v>
      </c>
      <c r="AX45" s="119">
        <v>0</v>
      </c>
      <c r="AY45" s="119">
        <v>0</v>
      </c>
      <c r="AZ45" s="119">
        <v>0</v>
      </c>
      <c r="BA45" s="119">
        <v>0</v>
      </c>
      <c r="BB45" s="119">
        <v>0</v>
      </c>
      <c r="BC45" s="119">
        <v>0</v>
      </c>
      <c r="BD45" s="119">
        <v>20</v>
      </c>
      <c r="BE45" s="119">
        <v>0</v>
      </c>
      <c r="BF45" t="s">
        <v>381</v>
      </c>
      <c r="BG45" s="119">
        <v>0</v>
      </c>
      <c r="BH45" s="119">
        <v>0</v>
      </c>
      <c r="BI45" s="119">
        <v>0</v>
      </c>
      <c r="BJ45" s="119">
        <v>0</v>
      </c>
      <c r="BK45" s="119">
        <v>0</v>
      </c>
      <c r="BL45" s="119">
        <v>0</v>
      </c>
      <c r="BM45" s="119">
        <v>0</v>
      </c>
      <c r="BN45" s="119">
        <v>0</v>
      </c>
      <c r="BO45" s="119">
        <v>0</v>
      </c>
      <c r="BP45" s="119">
        <v>0</v>
      </c>
      <c r="BQ45" s="119">
        <v>20</v>
      </c>
      <c r="BR45" s="119">
        <v>0</v>
      </c>
      <c r="BS45" t="s">
        <v>382</v>
      </c>
      <c r="BT45" s="119">
        <v>0</v>
      </c>
      <c r="BU45" s="119">
        <v>0</v>
      </c>
      <c r="BV45" s="119">
        <v>0</v>
      </c>
      <c r="BW45" s="119">
        <v>0</v>
      </c>
      <c r="BX45" s="119">
        <v>0</v>
      </c>
      <c r="BY45" s="119">
        <v>0</v>
      </c>
      <c r="BZ45" s="119">
        <v>0</v>
      </c>
      <c r="CA45" s="119">
        <v>0</v>
      </c>
      <c r="CB45" s="119">
        <v>0</v>
      </c>
      <c r="CC45" s="119">
        <v>0</v>
      </c>
      <c r="CD45" s="119">
        <v>20</v>
      </c>
      <c r="CE45" s="119">
        <v>0</v>
      </c>
      <c r="CF45" t="s">
        <v>383</v>
      </c>
      <c r="CG45" s="119">
        <v>0</v>
      </c>
      <c r="CH45" s="119">
        <v>0</v>
      </c>
      <c r="CI45" s="119">
        <v>0</v>
      </c>
      <c r="CJ45" s="119">
        <v>0</v>
      </c>
      <c r="CK45" s="119">
        <v>0</v>
      </c>
      <c r="CL45" s="119">
        <v>0</v>
      </c>
      <c r="CM45" s="119">
        <v>0</v>
      </c>
      <c r="CN45" s="119">
        <v>0</v>
      </c>
      <c r="CO45" s="119">
        <v>0</v>
      </c>
      <c r="CP45" s="119">
        <v>0</v>
      </c>
      <c r="CQ45" s="119">
        <v>20</v>
      </c>
      <c r="CR45" s="119">
        <v>0</v>
      </c>
      <c r="CS45" t="s">
        <v>384</v>
      </c>
      <c r="CT45" s="119">
        <v>0</v>
      </c>
      <c r="CU45" s="119">
        <v>0</v>
      </c>
      <c r="CV45" s="119">
        <v>0</v>
      </c>
      <c r="CW45" s="119">
        <v>0</v>
      </c>
      <c r="CX45" s="119">
        <v>0</v>
      </c>
      <c r="CY45" s="119">
        <v>0</v>
      </c>
      <c r="CZ45" s="119">
        <v>0</v>
      </c>
      <c r="DA45" s="119">
        <v>0</v>
      </c>
      <c r="DB45" s="119">
        <v>0</v>
      </c>
      <c r="DC45" s="119">
        <v>0</v>
      </c>
      <c r="DD45" s="119">
        <v>20</v>
      </c>
      <c r="DE45" s="119">
        <v>0</v>
      </c>
      <c r="DF45" t="s">
        <v>385</v>
      </c>
      <c r="DG45" s="119">
        <v>0</v>
      </c>
      <c r="DH45" s="119">
        <v>0</v>
      </c>
      <c r="DI45" s="119">
        <v>0</v>
      </c>
      <c r="DJ45" s="119">
        <v>0</v>
      </c>
      <c r="DK45" s="119">
        <v>0</v>
      </c>
      <c r="DL45" s="119">
        <v>0</v>
      </c>
      <c r="DM45" s="119">
        <v>0</v>
      </c>
      <c r="DN45" s="119">
        <v>0</v>
      </c>
      <c r="DO45" s="119">
        <v>0</v>
      </c>
      <c r="DP45" s="119">
        <v>0</v>
      </c>
      <c r="DQ45" s="119">
        <v>20</v>
      </c>
      <c r="DR45" s="119">
        <v>0</v>
      </c>
      <c r="DS45" t="s">
        <v>386</v>
      </c>
      <c r="DT45" s="119">
        <v>0</v>
      </c>
      <c r="DU45" s="119">
        <v>0</v>
      </c>
      <c r="DV45" s="119">
        <v>0</v>
      </c>
      <c r="DW45" s="119">
        <v>0</v>
      </c>
      <c r="DX45" s="119">
        <v>0</v>
      </c>
      <c r="DY45" s="119">
        <v>0</v>
      </c>
      <c r="DZ45" s="119">
        <v>0</v>
      </c>
      <c r="EA45" s="119">
        <v>0</v>
      </c>
      <c r="EB45" s="119">
        <v>0</v>
      </c>
      <c r="EC45" s="119">
        <v>0</v>
      </c>
      <c r="ED45" s="119">
        <v>20</v>
      </c>
      <c r="EE45" s="119">
        <v>0</v>
      </c>
      <c r="EF45" t="s">
        <v>387</v>
      </c>
      <c r="EG45" s="119">
        <v>0</v>
      </c>
      <c r="EH45" s="119">
        <v>0</v>
      </c>
      <c r="EI45" s="119">
        <v>0</v>
      </c>
      <c r="EJ45" s="119">
        <v>0</v>
      </c>
      <c r="EK45" s="119">
        <v>0</v>
      </c>
      <c r="EL45" s="119">
        <v>0</v>
      </c>
      <c r="EM45" s="119">
        <v>0</v>
      </c>
      <c r="EN45" s="119">
        <v>0</v>
      </c>
      <c r="EO45" s="119">
        <v>0</v>
      </c>
      <c r="EP45" s="119">
        <v>0</v>
      </c>
      <c r="EQ45" s="119">
        <v>20</v>
      </c>
      <c r="ER45" s="119">
        <v>0</v>
      </c>
      <c r="ES45" t="s">
        <v>388</v>
      </c>
      <c r="ET45" s="119">
        <v>0</v>
      </c>
      <c r="EU45" s="119">
        <v>0</v>
      </c>
      <c r="EV45" s="119">
        <v>0</v>
      </c>
      <c r="EW45" s="119">
        <v>0</v>
      </c>
      <c r="EX45" s="119">
        <v>0</v>
      </c>
      <c r="EY45" s="119">
        <v>0</v>
      </c>
      <c r="EZ45" s="119">
        <v>0</v>
      </c>
      <c r="FA45" s="119">
        <v>0</v>
      </c>
      <c r="FB45" s="119">
        <v>0</v>
      </c>
      <c r="FC45" s="119">
        <v>0</v>
      </c>
      <c r="FD45" s="119">
        <v>20</v>
      </c>
      <c r="FE45" s="119">
        <v>0</v>
      </c>
      <c r="FF45" t="s">
        <v>389</v>
      </c>
      <c r="FG45" s="119">
        <v>0</v>
      </c>
      <c r="FH45" s="119">
        <v>0</v>
      </c>
      <c r="FI45" s="119">
        <v>0</v>
      </c>
      <c r="FJ45" s="119">
        <v>0</v>
      </c>
      <c r="FK45" s="119">
        <v>0</v>
      </c>
      <c r="FL45" s="119">
        <v>0</v>
      </c>
      <c r="FM45" s="119">
        <v>0</v>
      </c>
      <c r="FN45" s="119">
        <v>0</v>
      </c>
      <c r="FO45" s="119">
        <v>0</v>
      </c>
      <c r="FP45" s="119">
        <v>0</v>
      </c>
      <c r="FQ45" s="119">
        <v>20</v>
      </c>
      <c r="FR45" s="119">
        <v>0</v>
      </c>
      <c r="FS45" t="s">
        <v>390</v>
      </c>
      <c r="FT45" s="119">
        <v>0</v>
      </c>
      <c r="FU45" s="119">
        <v>0</v>
      </c>
      <c r="FV45" s="119">
        <v>0</v>
      </c>
      <c r="FW45" s="119">
        <v>0</v>
      </c>
      <c r="FX45" s="119">
        <v>0</v>
      </c>
      <c r="FY45" s="119">
        <v>0</v>
      </c>
      <c r="FZ45" s="119">
        <v>0</v>
      </c>
      <c r="GA45" s="119">
        <v>0</v>
      </c>
      <c r="GB45" s="119">
        <v>0</v>
      </c>
      <c r="GC45" s="119">
        <v>0</v>
      </c>
      <c r="GD45" s="119">
        <v>20</v>
      </c>
      <c r="GE45" s="119">
        <v>0</v>
      </c>
      <c r="GF45" t="s">
        <v>391</v>
      </c>
      <c r="GG45" s="119">
        <v>0</v>
      </c>
      <c r="GH45" s="119">
        <v>0</v>
      </c>
      <c r="GI45" s="119">
        <v>0</v>
      </c>
      <c r="GJ45" s="119">
        <v>0</v>
      </c>
      <c r="GK45" s="119">
        <v>0</v>
      </c>
      <c r="GL45" s="119">
        <v>0</v>
      </c>
      <c r="GM45" s="119">
        <v>0</v>
      </c>
      <c r="GN45" s="119">
        <v>0</v>
      </c>
      <c r="GO45" s="119">
        <v>0</v>
      </c>
      <c r="GP45" s="119">
        <v>0</v>
      </c>
      <c r="GQ45" s="119">
        <v>20</v>
      </c>
      <c r="GR45" s="119">
        <v>0</v>
      </c>
      <c r="GU45" s="119">
        <f t="shared" si="2"/>
        <v>500</v>
      </c>
      <c r="GV45" s="119">
        <f t="shared" si="2"/>
        <v>214.29</v>
      </c>
      <c r="GW45" s="119">
        <f t="shared" si="2"/>
        <v>714.29</v>
      </c>
      <c r="GX45" s="119">
        <f t="shared" si="2"/>
        <v>30</v>
      </c>
      <c r="GY45" s="119">
        <f t="shared" si="2"/>
        <v>0</v>
      </c>
      <c r="GZ45" s="119">
        <f t="shared" si="1"/>
        <v>0</v>
      </c>
      <c r="HA45" s="119">
        <f t="shared" si="1"/>
        <v>0</v>
      </c>
      <c r="HB45" s="119">
        <f t="shared" si="1"/>
        <v>214.29</v>
      </c>
      <c r="HC45" s="119">
        <f t="shared" si="1"/>
        <v>0</v>
      </c>
      <c r="HD45" s="119">
        <f t="shared" si="1"/>
        <v>714.29</v>
      </c>
      <c r="HJ45"/>
      <c r="HK45" s="115"/>
      <c r="HR45" s="116"/>
      <c r="HT45" s="117"/>
      <c r="HY45"/>
      <c r="HZ45"/>
      <c r="IA45"/>
    </row>
    <row r="46" spans="1:235" x14ac:dyDescent="0.25">
      <c r="A46">
        <v>46</v>
      </c>
      <c r="B46" s="115">
        <v>43297</v>
      </c>
      <c r="C46" t="s">
        <v>392</v>
      </c>
      <c r="D46" t="s">
        <v>393</v>
      </c>
      <c r="E46" t="s">
        <v>394</v>
      </c>
      <c r="H46" t="s">
        <v>397</v>
      </c>
      <c r="I46" s="116">
        <v>25000</v>
      </c>
      <c r="J46" t="s">
        <v>398</v>
      </c>
      <c r="K46" s="117" t="s">
        <v>399</v>
      </c>
      <c r="N46" t="s">
        <v>423</v>
      </c>
      <c r="P46">
        <v>600</v>
      </c>
      <c r="Q46">
        <v>500</v>
      </c>
      <c r="R46">
        <v>100</v>
      </c>
      <c r="S46" t="s">
        <v>378</v>
      </c>
      <c r="T46" s="118">
        <v>500</v>
      </c>
      <c r="U46" s="118">
        <v>0</v>
      </c>
      <c r="V46" s="118">
        <v>500</v>
      </c>
      <c r="W46" s="119">
        <v>0</v>
      </c>
      <c r="X46" s="119">
        <v>0</v>
      </c>
      <c r="Y46" s="119">
        <v>0</v>
      </c>
      <c r="Z46" s="119">
        <v>0</v>
      </c>
      <c r="AA46" s="119">
        <v>0</v>
      </c>
      <c r="AB46" s="119">
        <v>0</v>
      </c>
      <c r="AC46" s="119">
        <v>500</v>
      </c>
      <c r="AD46" s="119">
        <v>20</v>
      </c>
      <c r="AE46" s="119">
        <v>100</v>
      </c>
      <c r="AF46" t="s">
        <v>379</v>
      </c>
      <c r="AG46" s="119">
        <v>0</v>
      </c>
      <c r="AH46" s="119">
        <v>0</v>
      </c>
      <c r="AI46" s="119">
        <v>0</v>
      </c>
      <c r="AJ46" s="119">
        <v>0</v>
      </c>
      <c r="AK46" s="119">
        <v>0</v>
      </c>
      <c r="AL46" s="119">
        <v>0</v>
      </c>
      <c r="AM46" s="119">
        <v>0</v>
      </c>
      <c r="AN46" s="119">
        <v>0</v>
      </c>
      <c r="AO46" s="119">
        <v>0</v>
      </c>
      <c r="AP46" s="119">
        <v>0</v>
      </c>
      <c r="AQ46" s="119">
        <v>20</v>
      </c>
      <c r="AR46" s="119">
        <v>0</v>
      </c>
      <c r="AS46" t="s">
        <v>380</v>
      </c>
      <c r="AT46" s="119">
        <v>0</v>
      </c>
      <c r="AU46" s="119">
        <v>0</v>
      </c>
      <c r="AV46" s="119">
        <v>0</v>
      </c>
      <c r="AW46" s="119">
        <v>0</v>
      </c>
      <c r="AX46" s="119">
        <v>0</v>
      </c>
      <c r="AY46" s="119">
        <v>0</v>
      </c>
      <c r="AZ46" s="119">
        <v>0</v>
      </c>
      <c r="BA46" s="119">
        <v>0</v>
      </c>
      <c r="BB46" s="119">
        <v>0</v>
      </c>
      <c r="BC46" s="119">
        <v>0</v>
      </c>
      <c r="BD46" s="119">
        <v>20</v>
      </c>
      <c r="BE46" s="119">
        <v>0</v>
      </c>
      <c r="BF46" t="s">
        <v>381</v>
      </c>
      <c r="BG46" s="119">
        <v>0</v>
      </c>
      <c r="BH46" s="119">
        <v>0</v>
      </c>
      <c r="BI46" s="119">
        <v>0</v>
      </c>
      <c r="BJ46" s="119">
        <v>0</v>
      </c>
      <c r="BK46" s="119">
        <v>0</v>
      </c>
      <c r="BL46" s="119">
        <v>0</v>
      </c>
      <c r="BM46" s="119">
        <v>0</v>
      </c>
      <c r="BN46" s="119">
        <v>0</v>
      </c>
      <c r="BO46" s="119">
        <v>0</v>
      </c>
      <c r="BP46" s="119">
        <v>0</v>
      </c>
      <c r="BQ46" s="119">
        <v>20</v>
      </c>
      <c r="BR46" s="119">
        <v>0</v>
      </c>
      <c r="BS46" t="s">
        <v>382</v>
      </c>
      <c r="BT46" s="119">
        <v>0</v>
      </c>
      <c r="BU46" s="119">
        <v>0</v>
      </c>
      <c r="BV46" s="119">
        <v>0</v>
      </c>
      <c r="BW46" s="119">
        <v>0</v>
      </c>
      <c r="BX46" s="119">
        <v>0</v>
      </c>
      <c r="BY46" s="119">
        <v>0</v>
      </c>
      <c r="BZ46" s="119">
        <v>0</v>
      </c>
      <c r="CA46" s="119">
        <v>0</v>
      </c>
      <c r="CB46" s="119">
        <v>0</v>
      </c>
      <c r="CC46" s="119">
        <v>0</v>
      </c>
      <c r="CD46" s="119">
        <v>20</v>
      </c>
      <c r="CE46" s="119">
        <v>0</v>
      </c>
      <c r="CF46" t="s">
        <v>383</v>
      </c>
      <c r="CG46" s="119">
        <v>0</v>
      </c>
      <c r="CH46" s="119">
        <v>0</v>
      </c>
      <c r="CI46" s="119">
        <v>0</v>
      </c>
      <c r="CJ46" s="119">
        <v>0</v>
      </c>
      <c r="CK46" s="119">
        <v>0</v>
      </c>
      <c r="CL46" s="119">
        <v>0</v>
      </c>
      <c r="CM46" s="119">
        <v>0</v>
      </c>
      <c r="CN46" s="119">
        <v>0</v>
      </c>
      <c r="CO46" s="119">
        <v>0</v>
      </c>
      <c r="CP46" s="119">
        <v>0</v>
      </c>
      <c r="CQ46" s="119">
        <v>20</v>
      </c>
      <c r="CR46" s="119">
        <v>0</v>
      </c>
      <c r="CS46" t="s">
        <v>384</v>
      </c>
      <c r="CT46" s="119">
        <v>0</v>
      </c>
      <c r="CU46" s="119">
        <v>0</v>
      </c>
      <c r="CV46" s="119">
        <v>0</v>
      </c>
      <c r="CW46" s="119">
        <v>0</v>
      </c>
      <c r="CX46" s="119">
        <v>0</v>
      </c>
      <c r="CY46" s="119">
        <v>0</v>
      </c>
      <c r="CZ46" s="119">
        <v>0</v>
      </c>
      <c r="DA46" s="119">
        <v>0</v>
      </c>
      <c r="DB46" s="119">
        <v>0</v>
      </c>
      <c r="DC46" s="119">
        <v>0</v>
      </c>
      <c r="DD46" s="119">
        <v>20</v>
      </c>
      <c r="DE46" s="119">
        <v>0</v>
      </c>
      <c r="DF46" t="s">
        <v>385</v>
      </c>
      <c r="DG46" s="119">
        <v>0</v>
      </c>
      <c r="DH46" s="119">
        <v>0</v>
      </c>
      <c r="DI46" s="119">
        <v>0</v>
      </c>
      <c r="DJ46" s="119">
        <v>0</v>
      </c>
      <c r="DK46" s="119">
        <v>0</v>
      </c>
      <c r="DL46" s="119">
        <v>0</v>
      </c>
      <c r="DM46" s="119">
        <v>0</v>
      </c>
      <c r="DN46" s="119">
        <v>0</v>
      </c>
      <c r="DO46" s="119">
        <v>0</v>
      </c>
      <c r="DP46" s="119">
        <v>0</v>
      </c>
      <c r="DQ46" s="119">
        <v>20</v>
      </c>
      <c r="DR46" s="119">
        <v>0</v>
      </c>
      <c r="DS46" t="s">
        <v>386</v>
      </c>
      <c r="DT46" s="119">
        <v>0</v>
      </c>
      <c r="DU46" s="119">
        <v>0</v>
      </c>
      <c r="DV46" s="119">
        <v>0</v>
      </c>
      <c r="DW46" s="119">
        <v>0</v>
      </c>
      <c r="DX46" s="119">
        <v>0</v>
      </c>
      <c r="DY46" s="119">
        <v>0</v>
      </c>
      <c r="DZ46" s="119">
        <v>0</v>
      </c>
      <c r="EA46" s="119">
        <v>0</v>
      </c>
      <c r="EB46" s="119">
        <v>0</v>
      </c>
      <c r="EC46" s="119">
        <v>0</v>
      </c>
      <c r="ED46" s="119">
        <v>20</v>
      </c>
      <c r="EE46" s="119">
        <v>0</v>
      </c>
      <c r="EF46" t="s">
        <v>387</v>
      </c>
      <c r="EG46" s="119">
        <v>0</v>
      </c>
      <c r="EH46" s="119">
        <v>0</v>
      </c>
      <c r="EI46" s="119">
        <v>0</v>
      </c>
      <c r="EJ46" s="119">
        <v>0</v>
      </c>
      <c r="EK46" s="119">
        <v>0</v>
      </c>
      <c r="EL46" s="119">
        <v>0</v>
      </c>
      <c r="EM46" s="119">
        <v>0</v>
      </c>
      <c r="EN46" s="119">
        <v>0</v>
      </c>
      <c r="EO46" s="119">
        <v>0</v>
      </c>
      <c r="EP46" s="119">
        <v>0</v>
      </c>
      <c r="EQ46" s="119">
        <v>20</v>
      </c>
      <c r="ER46" s="119">
        <v>0</v>
      </c>
      <c r="ES46" t="s">
        <v>388</v>
      </c>
      <c r="ET46" s="119">
        <v>0</v>
      </c>
      <c r="EU46" s="119">
        <v>0</v>
      </c>
      <c r="EV46" s="119">
        <v>0</v>
      </c>
      <c r="EW46" s="119">
        <v>0</v>
      </c>
      <c r="EX46" s="119">
        <v>0</v>
      </c>
      <c r="EY46" s="119">
        <v>0</v>
      </c>
      <c r="EZ46" s="119">
        <v>0</v>
      </c>
      <c r="FA46" s="119">
        <v>0</v>
      </c>
      <c r="FB46" s="119">
        <v>0</v>
      </c>
      <c r="FC46" s="119">
        <v>0</v>
      </c>
      <c r="FD46" s="119">
        <v>20</v>
      </c>
      <c r="FE46" s="119">
        <v>0</v>
      </c>
      <c r="FF46" t="s">
        <v>389</v>
      </c>
      <c r="FG46" s="119">
        <v>0</v>
      </c>
      <c r="FH46" s="119">
        <v>0</v>
      </c>
      <c r="FI46" s="119">
        <v>0</v>
      </c>
      <c r="FJ46" s="119">
        <v>0</v>
      </c>
      <c r="FK46" s="119">
        <v>0</v>
      </c>
      <c r="FL46" s="119">
        <v>0</v>
      </c>
      <c r="FM46" s="119">
        <v>0</v>
      </c>
      <c r="FN46" s="119">
        <v>0</v>
      </c>
      <c r="FO46" s="119">
        <v>0</v>
      </c>
      <c r="FP46" s="119">
        <v>0</v>
      </c>
      <c r="FQ46" s="119">
        <v>20</v>
      </c>
      <c r="FR46" s="119">
        <v>0</v>
      </c>
      <c r="FS46" t="s">
        <v>390</v>
      </c>
      <c r="FT46" s="119">
        <v>0</v>
      </c>
      <c r="FU46" s="119">
        <v>0</v>
      </c>
      <c r="FV46" s="119">
        <v>0</v>
      </c>
      <c r="FW46" s="119">
        <v>0</v>
      </c>
      <c r="FX46" s="119">
        <v>0</v>
      </c>
      <c r="FY46" s="119">
        <v>0</v>
      </c>
      <c r="FZ46" s="119">
        <v>0</v>
      </c>
      <c r="GA46" s="119">
        <v>0</v>
      </c>
      <c r="GB46" s="119">
        <v>0</v>
      </c>
      <c r="GC46" s="119">
        <v>0</v>
      </c>
      <c r="GD46" s="119">
        <v>20</v>
      </c>
      <c r="GE46" s="119">
        <v>0</v>
      </c>
      <c r="GF46" t="s">
        <v>391</v>
      </c>
      <c r="GG46" s="119">
        <v>0</v>
      </c>
      <c r="GH46" s="119">
        <v>0</v>
      </c>
      <c r="GI46" s="119">
        <v>0</v>
      </c>
      <c r="GJ46" s="119">
        <v>0</v>
      </c>
      <c r="GK46" s="119">
        <v>0</v>
      </c>
      <c r="GL46" s="119">
        <v>0</v>
      </c>
      <c r="GM46" s="119">
        <v>0</v>
      </c>
      <c r="GN46" s="119">
        <v>0</v>
      </c>
      <c r="GO46" s="119">
        <v>0</v>
      </c>
      <c r="GP46" s="119">
        <v>0</v>
      </c>
      <c r="GQ46" s="119">
        <v>20</v>
      </c>
      <c r="GR46" s="119">
        <v>0</v>
      </c>
      <c r="HJ46"/>
      <c r="HK46" s="115"/>
      <c r="HR46" s="116"/>
      <c r="HT46" s="117"/>
      <c r="HY46"/>
      <c r="HZ46"/>
      <c r="IA46"/>
    </row>
    <row r="47" spans="1:235" x14ac:dyDescent="0.25">
      <c r="A47">
        <v>47</v>
      </c>
      <c r="B47" s="115">
        <v>43297</v>
      </c>
      <c r="C47" t="s">
        <v>392</v>
      </c>
      <c r="D47" t="s">
        <v>393</v>
      </c>
      <c r="E47" t="s">
        <v>394</v>
      </c>
      <c r="H47" t="s">
        <v>397</v>
      </c>
      <c r="I47" s="116">
        <v>25000</v>
      </c>
      <c r="J47" t="s">
        <v>398</v>
      </c>
      <c r="K47" s="117" t="s">
        <v>399</v>
      </c>
      <c r="N47" t="s">
        <v>423</v>
      </c>
      <c r="P47">
        <v>600</v>
      </c>
      <c r="Q47">
        <v>500</v>
      </c>
      <c r="R47">
        <v>100</v>
      </c>
      <c r="S47" t="s">
        <v>378</v>
      </c>
      <c r="T47" s="118">
        <v>500</v>
      </c>
      <c r="U47" s="118">
        <v>0</v>
      </c>
      <c r="V47" s="118">
        <v>500</v>
      </c>
      <c r="W47" s="119">
        <v>0</v>
      </c>
      <c r="X47" s="119">
        <v>0</v>
      </c>
      <c r="Y47" s="119">
        <v>0</v>
      </c>
      <c r="Z47" s="119">
        <v>0</v>
      </c>
      <c r="AA47" s="119">
        <v>0</v>
      </c>
      <c r="AB47" s="119">
        <v>0</v>
      </c>
      <c r="AC47" s="119">
        <v>500</v>
      </c>
      <c r="AD47" s="119">
        <v>20</v>
      </c>
      <c r="AE47" s="119">
        <v>100</v>
      </c>
      <c r="AF47" t="s">
        <v>379</v>
      </c>
      <c r="AG47" s="119">
        <v>0</v>
      </c>
      <c r="AH47" s="119">
        <v>0</v>
      </c>
      <c r="AI47" s="119">
        <v>0</v>
      </c>
      <c r="AJ47" s="119">
        <v>0</v>
      </c>
      <c r="AK47" s="119">
        <v>0</v>
      </c>
      <c r="AL47" s="119">
        <v>0</v>
      </c>
      <c r="AM47" s="119">
        <v>0</v>
      </c>
      <c r="AN47" s="119">
        <v>0</v>
      </c>
      <c r="AO47" s="119">
        <v>0</v>
      </c>
      <c r="AP47" s="119">
        <v>0</v>
      </c>
      <c r="AQ47" s="119">
        <v>20</v>
      </c>
      <c r="AR47" s="119">
        <v>0</v>
      </c>
      <c r="AS47" t="s">
        <v>380</v>
      </c>
      <c r="AT47" s="119">
        <v>0</v>
      </c>
      <c r="AU47" s="119">
        <v>0</v>
      </c>
      <c r="AV47" s="119">
        <v>0</v>
      </c>
      <c r="AW47" s="119">
        <v>0</v>
      </c>
      <c r="AX47" s="119">
        <v>0</v>
      </c>
      <c r="AY47" s="119">
        <v>0</v>
      </c>
      <c r="AZ47" s="119">
        <v>0</v>
      </c>
      <c r="BA47" s="119">
        <v>0</v>
      </c>
      <c r="BB47" s="119">
        <v>0</v>
      </c>
      <c r="BC47" s="119">
        <v>0</v>
      </c>
      <c r="BD47" s="119">
        <v>20</v>
      </c>
      <c r="BE47" s="119">
        <v>0</v>
      </c>
      <c r="BF47" t="s">
        <v>381</v>
      </c>
      <c r="BG47" s="119">
        <v>0</v>
      </c>
      <c r="BH47" s="119">
        <v>0</v>
      </c>
      <c r="BI47" s="119">
        <v>0</v>
      </c>
      <c r="BJ47" s="119">
        <v>0</v>
      </c>
      <c r="BK47" s="119">
        <v>0</v>
      </c>
      <c r="BL47" s="119">
        <v>0</v>
      </c>
      <c r="BM47" s="119">
        <v>0</v>
      </c>
      <c r="BN47" s="119">
        <v>0</v>
      </c>
      <c r="BO47" s="119">
        <v>0</v>
      </c>
      <c r="BP47" s="119">
        <v>0</v>
      </c>
      <c r="BQ47" s="119">
        <v>20</v>
      </c>
      <c r="BR47" s="119">
        <v>0</v>
      </c>
      <c r="BS47" t="s">
        <v>382</v>
      </c>
      <c r="BT47" s="119">
        <v>0</v>
      </c>
      <c r="BU47" s="119">
        <v>0</v>
      </c>
      <c r="BV47" s="119">
        <v>0</v>
      </c>
      <c r="BW47" s="119">
        <v>0</v>
      </c>
      <c r="BX47" s="119">
        <v>0</v>
      </c>
      <c r="BY47" s="119">
        <v>0</v>
      </c>
      <c r="BZ47" s="119">
        <v>0</v>
      </c>
      <c r="CA47" s="119">
        <v>0</v>
      </c>
      <c r="CB47" s="119">
        <v>0</v>
      </c>
      <c r="CC47" s="119">
        <v>0</v>
      </c>
      <c r="CD47" s="119">
        <v>20</v>
      </c>
      <c r="CE47" s="119">
        <v>0</v>
      </c>
      <c r="CF47" t="s">
        <v>383</v>
      </c>
      <c r="CG47" s="119">
        <v>0</v>
      </c>
      <c r="CH47" s="119">
        <v>0</v>
      </c>
      <c r="CI47" s="119">
        <v>0</v>
      </c>
      <c r="CJ47" s="119">
        <v>0</v>
      </c>
      <c r="CK47" s="119">
        <v>0</v>
      </c>
      <c r="CL47" s="119">
        <v>0</v>
      </c>
      <c r="CM47" s="119">
        <v>0</v>
      </c>
      <c r="CN47" s="119">
        <v>0</v>
      </c>
      <c r="CO47" s="119">
        <v>0</v>
      </c>
      <c r="CP47" s="119">
        <v>0</v>
      </c>
      <c r="CQ47" s="119">
        <v>20</v>
      </c>
      <c r="CR47" s="119">
        <v>0</v>
      </c>
      <c r="CS47" t="s">
        <v>384</v>
      </c>
      <c r="CT47" s="119">
        <v>0</v>
      </c>
      <c r="CU47" s="119">
        <v>0</v>
      </c>
      <c r="CV47" s="119">
        <v>0</v>
      </c>
      <c r="CW47" s="119">
        <v>0</v>
      </c>
      <c r="CX47" s="119">
        <v>0</v>
      </c>
      <c r="CY47" s="119">
        <v>0</v>
      </c>
      <c r="CZ47" s="119">
        <v>0</v>
      </c>
      <c r="DA47" s="119">
        <v>0</v>
      </c>
      <c r="DB47" s="119">
        <v>0</v>
      </c>
      <c r="DC47" s="119">
        <v>0</v>
      </c>
      <c r="DD47" s="119">
        <v>20</v>
      </c>
      <c r="DE47" s="119">
        <v>0</v>
      </c>
      <c r="DF47" t="s">
        <v>385</v>
      </c>
      <c r="DG47" s="119">
        <v>0</v>
      </c>
      <c r="DH47" s="119">
        <v>0</v>
      </c>
      <c r="DI47" s="119">
        <v>0</v>
      </c>
      <c r="DJ47" s="119">
        <v>0</v>
      </c>
      <c r="DK47" s="119">
        <v>0</v>
      </c>
      <c r="DL47" s="119">
        <v>0</v>
      </c>
      <c r="DM47" s="119">
        <v>0</v>
      </c>
      <c r="DN47" s="119">
        <v>0</v>
      </c>
      <c r="DO47" s="119">
        <v>0</v>
      </c>
      <c r="DP47" s="119">
        <v>0</v>
      </c>
      <c r="DQ47" s="119">
        <v>20</v>
      </c>
      <c r="DR47" s="119">
        <v>0</v>
      </c>
      <c r="DS47" t="s">
        <v>386</v>
      </c>
      <c r="DT47" s="119">
        <v>0</v>
      </c>
      <c r="DU47" s="119">
        <v>0</v>
      </c>
      <c r="DV47" s="119">
        <v>0</v>
      </c>
      <c r="DW47" s="119">
        <v>0</v>
      </c>
      <c r="DX47" s="119">
        <v>0</v>
      </c>
      <c r="DY47" s="119">
        <v>0</v>
      </c>
      <c r="DZ47" s="119">
        <v>0</v>
      </c>
      <c r="EA47" s="119">
        <v>0</v>
      </c>
      <c r="EB47" s="119">
        <v>0</v>
      </c>
      <c r="EC47" s="119">
        <v>0</v>
      </c>
      <c r="ED47" s="119">
        <v>20</v>
      </c>
      <c r="EE47" s="119">
        <v>0</v>
      </c>
      <c r="EF47" t="s">
        <v>387</v>
      </c>
      <c r="EG47" s="119">
        <v>0</v>
      </c>
      <c r="EH47" s="119">
        <v>0</v>
      </c>
      <c r="EI47" s="119">
        <v>0</v>
      </c>
      <c r="EJ47" s="119">
        <v>0</v>
      </c>
      <c r="EK47" s="119">
        <v>0</v>
      </c>
      <c r="EL47" s="119">
        <v>0</v>
      </c>
      <c r="EM47" s="119">
        <v>0</v>
      </c>
      <c r="EN47" s="119">
        <v>0</v>
      </c>
      <c r="EO47" s="119">
        <v>0</v>
      </c>
      <c r="EP47" s="119">
        <v>0</v>
      </c>
      <c r="EQ47" s="119">
        <v>20</v>
      </c>
      <c r="ER47" s="119">
        <v>0</v>
      </c>
      <c r="ES47" t="s">
        <v>388</v>
      </c>
      <c r="ET47" s="119">
        <v>0</v>
      </c>
      <c r="EU47" s="119">
        <v>0</v>
      </c>
      <c r="EV47" s="119">
        <v>0</v>
      </c>
      <c r="EW47" s="119">
        <v>0</v>
      </c>
      <c r="EX47" s="119">
        <v>0</v>
      </c>
      <c r="EY47" s="119">
        <v>0</v>
      </c>
      <c r="EZ47" s="119">
        <v>0</v>
      </c>
      <c r="FA47" s="119">
        <v>0</v>
      </c>
      <c r="FB47" s="119">
        <v>0</v>
      </c>
      <c r="FC47" s="119">
        <v>0</v>
      </c>
      <c r="FD47" s="119">
        <v>20</v>
      </c>
      <c r="FE47" s="119">
        <v>0</v>
      </c>
      <c r="FF47" t="s">
        <v>389</v>
      </c>
      <c r="FG47" s="119">
        <v>0</v>
      </c>
      <c r="FH47" s="119">
        <v>0</v>
      </c>
      <c r="FI47" s="119">
        <v>0</v>
      </c>
      <c r="FJ47" s="119">
        <v>0</v>
      </c>
      <c r="FK47" s="119">
        <v>0</v>
      </c>
      <c r="FL47" s="119">
        <v>0</v>
      </c>
      <c r="FM47" s="119">
        <v>0</v>
      </c>
      <c r="FN47" s="119">
        <v>0</v>
      </c>
      <c r="FO47" s="119">
        <v>0</v>
      </c>
      <c r="FP47" s="119">
        <v>0</v>
      </c>
      <c r="FQ47" s="119">
        <v>20</v>
      </c>
      <c r="FR47" s="119">
        <v>0</v>
      </c>
      <c r="FS47" t="s">
        <v>390</v>
      </c>
      <c r="FT47" s="119">
        <v>0</v>
      </c>
      <c r="FU47" s="119">
        <v>0</v>
      </c>
      <c r="FV47" s="119">
        <v>0</v>
      </c>
      <c r="FW47" s="119">
        <v>0</v>
      </c>
      <c r="FX47" s="119">
        <v>0</v>
      </c>
      <c r="FY47" s="119">
        <v>0</v>
      </c>
      <c r="FZ47" s="119">
        <v>0</v>
      </c>
      <c r="GA47" s="119">
        <v>0</v>
      </c>
      <c r="GB47" s="119">
        <v>0</v>
      </c>
      <c r="GC47" s="119">
        <v>0</v>
      </c>
      <c r="GD47" s="119">
        <v>20</v>
      </c>
      <c r="GE47" s="119">
        <v>0</v>
      </c>
      <c r="GF47" t="s">
        <v>391</v>
      </c>
      <c r="GG47" s="119">
        <v>0</v>
      </c>
      <c r="GH47" s="119">
        <v>0</v>
      </c>
      <c r="GI47" s="119">
        <v>0</v>
      </c>
      <c r="GJ47" s="119">
        <v>0</v>
      </c>
      <c r="GK47" s="119">
        <v>0</v>
      </c>
      <c r="GL47" s="119">
        <v>0</v>
      </c>
      <c r="GM47" s="119">
        <v>0</v>
      </c>
      <c r="GN47" s="119">
        <v>0</v>
      </c>
      <c r="GO47" s="119">
        <v>0</v>
      </c>
      <c r="GP47" s="119">
        <v>0</v>
      </c>
      <c r="GQ47" s="119">
        <v>20</v>
      </c>
      <c r="GR47" s="119">
        <v>0</v>
      </c>
      <c r="HJ47"/>
      <c r="HK47" s="115"/>
      <c r="HR47" s="116"/>
      <c r="HT47" s="117"/>
      <c r="HY47"/>
      <c r="HZ47"/>
      <c r="IA47"/>
    </row>
    <row r="48" spans="1:235" x14ac:dyDescent="0.25">
      <c r="A48">
        <v>48</v>
      </c>
      <c r="B48" s="115">
        <v>43297</v>
      </c>
      <c r="C48" t="s">
        <v>392</v>
      </c>
      <c r="D48" t="s">
        <v>393</v>
      </c>
      <c r="E48" t="s">
        <v>394</v>
      </c>
      <c r="H48" t="s">
        <v>397</v>
      </c>
      <c r="I48" s="116">
        <v>25000</v>
      </c>
      <c r="J48" t="s">
        <v>398</v>
      </c>
      <c r="K48" s="117" t="s">
        <v>399</v>
      </c>
      <c r="N48" t="s">
        <v>423</v>
      </c>
      <c r="P48">
        <v>600</v>
      </c>
      <c r="Q48">
        <v>500</v>
      </c>
      <c r="R48">
        <v>100</v>
      </c>
      <c r="S48" t="s">
        <v>378</v>
      </c>
      <c r="T48" s="118">
        <v>500</v>
      </c>
      <c r="U48" s="118">
        <v>0</v>
      </c>
      <c r="V48" s="118">
        <v>500</v>
      </c>
      <c r="W48" s="119">
        <v>0</v>
      </c>
      <c r="X48" s="119">
        <v>0</v>
      </c>
      <c r="Y48" s="119">
        <v>0</v>
      </c>
      <c r="Z48" s="119">
        <v>0</v>
      </c>
      <c r="AA48" s="119">
        <v>0</v>
      </c>
      <c r="AB48" s="119">
        <v>0</v>
      </c>
      <c r="AC48" s="119">
        <v>500</v>
      </c>
      <c r="AD48" s="119">
        <v>20</v>
      </c>
      <c r="AE48" s="119">
        <v>100</v>
      </c>
      <c r="AF48" t="s">
        <v>379</v>
      </c>
      <c r="AG48" s="119">
        <v>0</v>
      </c>
      <c r="AH48" s="119">
        <v>0</v>
      </c>
      <c r="AI48" s="119">
        <v>0</v>
      </c>
      <c r="AJ48" s="119">
        <v>0</v>
      </c>
      <c r="AK48" s="119">
        <v>0</v>
      </c>
      <c r="AL48" s="119">
        <v>0</v>
      </c>
      <c r="AM48" s="119">
        <v>0</v>
      </c>
      <c r="AN48" s="119">
        <v>0</v>
      </c>
      <c r="AO48" s="119">
        <v>0</v>
      </c>
      <c r="AP48" s="119">
        <v>0</v>
      </c>
      <c r="AQ48" s="119">
        <v>20</v>
      </c>
      <c r="AR48" s="119">
        <v>0</v>
      </c>
      <c r="AS48" t="s">
        <v>380</v>
      </c>
      <c r="AT48" s="119">
        <v>0</v>
      </c>
      <c r="AU48" s="119">
        <v>0</v>
      </c>
      <c r="AV48" s="119">
        <v>0</v>
      </c>
      <c r="AW48" s="119">
        <v>0</v>
      </c>
      <c r="AX48" s="119">
        <v>0</v>
      </c>
      <c r="AY48" s="119">
        <v>0</v>
      </c>
      <c r="AZ48" s="119">
        <v>0</v>
      </c>
      <c r="BA48" s="119">
        <v>0</v>
      </c>
      <c r="BB48" s="119">
        <v>0</v>
      </c>
      <c r="BC48" s="119">
        <v>0</v>
      </c>
      <c r="BD48" s="119">
        <v>20</v>
      </c>
      <c r="BE48" s="119">
        <v>0</v>
      </c>
      <c r="BF48" t="s">
        <v>381</v>
      </c>
      <c r="BG48" s="119">
        <v>0</v>
      </c>
      <c r="BH48" s="119">
        <v>0</v>
      </c>
      <c r="BI48" s="119">
        <v>0</v>
      </c>
      <c r="BJ48" s="119">
        <v>0</v>
      </c>
      <c r="BK48" s="119">
        <v>0</v>
      </c>
      <c r="BL48" s="119">
        <v>0</v>
      </c>
      <c r="BM48" s="119">
        <v>0</v>
      </c>
      <c r="BN48" s="119">
        <v>0</v>
      </c>
      <c r="BO48" s="119">
        <v>0</v>
      </c>
      <c r="BP48" s="119">
        <v>0</v>
      </c>
      <c r="BQ48" s="119">
        <v>20</v>
      </c>
      <c r="BR48" s="119">
        <v>0</v>
      </c>
      <c r="BS48" t="s">
        <v>382</v>
      </c>
      <c r="BT48" s="119">
        <v>0</v>
      </c>
      <c r="BU48" s="119">
        <v>0</v>
      </c>
      <c r="BV48" s="119">
        <v>0</v>
      </c>
      <c r="BW48" s="119">
        <v>0</v>
      </c>
      <c r="BX48" s="119">
        <v>0</v>
      </c>
      <c r="BY48" s="119">
        <v>0</v>
      </c>
      <c r="BZ48" s="119">
        <v>0</v>
      </c>
      <c r="CA48" s="119">
        <v>0</v>
      </c>
      <c r="CB48" s="119">
        <v>0</v>
      </c>
      <c r="CC48" s="119">
        <v>0</v>
      </c>
      <c r="CD48" s="119">
        <v>20</v>
      </c>
      <c r="CE48" s="119">
        <v>0</v>
      </c>
      <c r="CF48" t="s">
        <v>383</v>
      </c>
      <c r="CG48" s="119">
        <v>0</v>
      </c>
      <c r="CH48" s="119">
        <v>0</v>
      </c>
      <c r="CI48" s="119">
        <v>0</v>
      </c>
      <c r="CJ48" s="119">
        <v>0</v>
      </c>
      <c r="CK48" s="119">
        <v>0</v>
      </c>
      <c r="CL48" s="119">
        <v>0</v>
      </c>
      <c r="CM48" s="119">
        <v>0</v>
      </c>
      <c r="CN48" s="119">
        <v>0</v>
      </c>
      <c r="CO48" s="119">
        <v>0</v>
      </c>
      <c r="CP48" s="119">
        <v>0</v>
      </c>
      <c r="CQ48" s="119">
        <v>20</v>
      </c>
      <c r="CR48" s="119">
        <v>0</v>
      </c>
      <c r="CS48" t="s">
        <v>384</v>
      </c>
      <c r="CT48" s="119">
        <v>0</v>
      </c>
      <c r="CU48" s="119">
        <v>0</v>
      </c>
      <c r="CV48" s="119">
        <v>0</v>
      </c>
      <c r="CW48" s="119">
        <v>0</v>
      </c>
      <c r="CX48" s="119">
        <v>0</v>
      </c>
      <c r="CY48" s="119">
        <v>0</v>
      </c>
      <c r="CZ48" s="119">
        <v>0</v>
      </c>
      <c r="DA48" s="119">
        <v>0</v>
      </c>
      <c r="DB48" s="119">
        <v>0</v>
      </c>
      <c r="DC48" s="119">
        <v>0</v>
      </c>
      <c r="DD48" s="119">
        <v>20</v>
      </c>
      <c r="DE48" s="119">
        <v>0</v>
      </c>
      <c r="DF48" t="s">
        <v>385</v>
      </c>
      <c r="DG48" s="119">
        <v>0</v>
      </c>
      <c r="DH48" s="119">
        <v>0</v>
      </c>
      <c r="DI48" s="119">
        <v>0</v>
      </c>
      <c r="DJ48" s="119">
        <v>0</v>
      </c>
      <c r="DK48" s="119">
        <v>0</v>
      </c>
      <c r="DL48" s="119">
        <v>0</v>
      </c>
      <c r="DM48" s="119">
        <v>0</v>
      </c>
      <c r="DN48" s="119">
        <v>0</v>
      </c>
      <c r="DO48" s="119">
        <v>0</v>
      </c>
      <c r="DP48" s="119">
        <v>0</v>
      </c>
      <c r="DQ48" s="119">
        <v>20</v>
      </c>
      <c r="DR48" s="119">
        <v>0</v>
      </c>
      <c r="DS48" t="s">
        <v>386</v>
      </c>
      <c r="DT48" s="119">
        <v>0</v>
      </c>
      <c r="DU48" s="119">
        <v>0</v>
      </c>
      <c r="DV48" s="119">
        <v>0</v>
      </c>
      <c r="DW48" s="119">
        <v>0</v>
      </c>
      <c r="DX48" s="119">
        <v>0</v>
      </c>
      <c r="DY48" s="119">
        <v>0</v>
      </c>
      <c r="DZ48" s="119">
        <v>0</v>
      </c>
      <c r="EA48" s="119">
        <v>0</v>
      </c>
      <c r="EB48" s="119">
        <v>0</v>
      </c>
      <c r="EC48" s="119">
        <v>0</v>
      </c>
      <c r="ED48" s="119">
        <v>20</v>
      </c>
      <c r="EE48" s="119">
        <v>0</v>
      </c>
      <c r="EF48" t="s">
        <v>387</v>
      </c>
      <c r="EG48" s="119">
        <v>0</v>
      </c>
      <c r="EH48" s="119">
        <v>0</v>
      </c>
      <c r="EI48" s="119">
        <v>0</v>
      </c>
      <c r="EJ48" s="119">
        <v>0</v>
      </c>
      <c r="EK48" s="119">
        <v>0</v>
      </c>
      <c r="EL48" s="119">
        <v>0</v>
      </c>
      <c r="EM48" s="119">
        <v>0</v>
      </c>
      <c r="EN48" s="119">
        <v>0</v>
      </c>
      <c r="EO48" s="119">
        <v>0</v>
      </c>
      <c r="EP48" s="119">
        <v>0</v>
      </c>
      <c r="EQ48" s="119">
        <v>20</v>
      </c>
      <c r="ER48" s="119">
        <v>0</v>
      </c>
      <c r="ES48" t="s">
        <v>388</v>
      </c>
      <c r="ET48" s="119">
        <v>0</v>
      </c>
      <c r="EU48" s="119">
        <v>0</v>
      </c>
      <c r="EV48" s="119">
        <v>0</v>
      </c>
      <c r="EW48" s="119">
        <v>0</v>
      </c>
      <c r="EX48" s="119">
        <v>0</v>
      </c>
      <c r="EY48" s="119">
        <v>0</v>
      </c>
      <c r="EZ48" s="119">
        <v>0</v>
      </c>
      <c r="FA48" s="119">
        <v>0</v>
      </c>
      <c r="FB48" s="119">
        <v>0</v>
      </c>
      <c r="FC48" s="119">
        <v>0</v>
      </c>
      <c r="FD48" s="119">
        <v>20</v>
      </c>
      <c r="FE48" s="119">
        <v>0</v>
      </c>
      <c r="FF48" t="s">
        <v>389</v>
      </c>
      <c r="FG48" s="119">
        <v>0</v>
      </c>
      <c r="FH48" s="119">
        <v>0</v>
      </c>
      <c r="FI48" s="119">
        <v>0</v>
      </c>
      <c r="FJ48" s="119">
        <v>0</v>
      </c>
      <c r="FK48" s="119">
        <v>0</v>
      </c>
      <c r="FL48" s="119">
        <v>0</v>
      </c>
      <c r="FM48" s="119">
        <v>0</v>
      </c>
      <c r="FN48" s="119">
        <v>0</v>
      </c>
      <c r="FO48" s="119">
        <v>0</v>
      </c>
      <c r="FP48" s="119">
        <v>0</v>
      </c>
      <c r="FQ48" s="119">
        <v>20</v>
      </c>
      <c r="FR48" s="119">
        <v>0</v>
      </c>
      <c r="FS48" t="s">
        <v>390</v>
      </c>
      <c r="FT48" s="119">
        <v>0</v>
      </c>
      <c r="FU48" s="119">
        <v>0</v>
      </c>
      <c r="FV48" s="119">
        <v>0</v>
      </c>
      <c r="FW48" s="119">
        <v>0</v>
      </c>
      <c r="FX48" s="119">
        <v>0</v>
      </c>
      <c r="FY48" s="119">
        <v>0</v>
      </c>
      <c r="FZ48" s="119">
        <v>0</v>
      </c>
      <c r="GA48" s="119">
        <v>0</v>
      </c>
      <c r="GB48" s="119">
        <v>0</v>
      </c>
      <c r="GC48" s="119">
        <v>0</v>
      </c>
      <c r="GD48" s="119">
        <v>20</v>
      </c>
      <c r="GE48" s="119">
        <v>0</v>
      </c>
      <c r="GF48" t="s">
        <v>391</v>
      </c>
      <c r="GG48" s="119">
        <v>0</v>
      </c>
      <c r="GH48" s="119">
        <v>0</v>
      </c>
      <c r="GI48" s="119">
        <v>0</v>
      </c>
      <c r="GJ48" s="119">
        <v>0</v>
      </c>
      <c r="GK48" s="119">
        <v>0</v>
      </c>
      <c r="GL48" s="119">
        <v>0</v>
      </c>
      <c r="GM48" s="119">
        <v>0</v>
      </c>
      <c r="GN48" s="119">
        <v>0</v>
      </c>
      <c r="GO48" s="119">
        <v>0</v>
      </c>
      <c r="GP48" s="119">
        <v>0</v>
      </c>
      <c r="GQ48" s="119">
        <v>20</v>
      </c>
      <c r="GR48" s="119">
        <v>0</v>
      </c>
      <c r="HJ48"/>
      <c r="HK48" s="115"/>
      <c r="HR48" s="116"/>
      <c r="HT48" s="117"/>
      <c r="HY48"/>
      <c r="HZ48"/>
      <c r="IA48"/>
    </row>
    <row r="49" spans="1:235" x14ac:dyDescent="0.25">
      <c r="A49">
        <v>49</v>
      </c>
      <c r="B49" s="115">
        <v>43297</v>
      </c>
      <c r="C49" t="s">
        <v>392</v>
      </c>
      <c r="D49" t="s">
        <v>393</v>
      </c>
      <c r="E49" t="s">
        <v>394</v>
      </c>
      <c r="H49" t="s">
        <v>397</v>
      </c>
      <c r="I49" s="116">
        <v>25000</v>
      </c>
      <c r="J49" t="s">
        <v>398</v>
      </c>
      <c r="K49" s="117" t="s">
        <v>399</v>
      </c>
      <c r="N49" t="s">
        <v>423</v>
      </c>
      <c r="P49">
        <v>600</v>
      </c>
      <c r="Q49">
        <v>500</v>
      </c>
      <c r="R49">
        <v>100</v>
      </c>
      <c r="S49" t="s">
        <v>378</v>
      </c>
      <c r="T49" s="118">
        <v>500</v>
      </c>
      <c r="U49" s="118">
        <v>0</v>
      </c>
      <c r="V49" s="118">
        <v>500</v>
      </c>
      <c r="W49" s="119">
        <v>0</v>
      </c>
      <c r="X49" s="119">
        <v>0</v>
      </c>
      <c r="Y49" s="119">
        <v>0</v>
      </c>
      <c r="Z49" s="119">
        <v>0</v>
      </c>
      <c r="AA49" s="119">
        <v>0</v>
      </c>
      <c r="AB49" s="119">
        <v>0</v>
      </c>
      <c r="AC49" s="119">
        <v>500</v>
      </c>
      <c r="AD49" s="119">
        <v>20</v>
      </c>
      <c r="AE49" s="119">
        <v>100</v>
      </c>
      <c r="AF49" t="s">
        <v>379</v>
      </c>
      <c r="AG49" s="119">
        <v>0</v>
      </c>
      <c r="AH49" s="119">
        <v>0</v>
      </c>
      <c r="AI49" s="119">
        <v>0</v>
      </c>
      <c r="AJ49" s="119">
        <v>0</v>
      </c>
      <c r="AK49" s="119">
        <v>0</v>
      </c>
      <c r="AL49" s="119">
        <v>0</v>
      </c>
      <c r="AM49" s="119">
        <v>0</v>
      </c>
      <c r="AN49" s="119">
        <v>0</v>
      </c>
      <c r="AO49" s="119">
        <v>0</v>
      </c>
      <c r="AP49" s="119">
        <v>0</v>
      </c>
      <c r="AQ49" s="119">
        <v>20</v>
      </c>
      <c r="AR49" s="119">
        <v>0</v>
      </c>
      <c r="AS49" t="s">
        <v>380</v>
      </c>
      <c r="AT49" s="119">
        <v>0</v>
      </c>
      <c r="AU49" s="119">
        <v>0</v>
      </c>
      <c r="AV49" s="119">
        <v>0</v>
      </c>
      <c r="AW49" s="119">
        <v>0</v>
      </c>
      <c r="AX49" s="119">
        <v>0</v>
      </c>
      <c r="AY49" s="119">
        <v>0</v>
      </c>
      <c r="AZ49" s="119">
        <v>0</v>
      </c>
      <c r="BA49" s="119">
        <v>0</v>
      </c>
      <c r="BB49" s="119">
        <v>0</v>
      </c>
      <c r="BC49" s="119">
        <v>0</v>
      </c>
      <c r="BD49" s="119">
        <v>20</v>
      </c>
      <c r="BE49" s="119">
        <v>0</v>
      </c>
      <c r="BF49" t="s">
        <v>381</v>
      </c>
      <c r="BG49" s="119">
        <v>0</v>
      </c>
      <c r="BH49" s="119">
        <v>0</v>
      </c>
      <c r="BI49" s="119">
        <v>0</v>
      </c>
      <c r="BJ49" s="119">
        <v>0</v>
      </c>
      <c r="BK49" s="119">
        <v>0</v>
      </c>
      <c r="BL49" s="119">
        <v>0</v>
      </c>
      <c r="BM49" s="119">
        <v>0</v>
      </c>
      <c r="BN49" s="119">
        <v>0</v>
      </c>
      <c r="BO49" s="119">
        <v>0</v>
      </c>
      <c r="BP49" s="119">
        <v>0</v>
      </c>
      <c r="BQ49" s="119">
        <v>20</v>
      </c>
      <c r="BR49" s="119">
        <v>0</v>
      </c>
      <c r="BS49" t="s">
        <v>382</v>
      </c>
      <c r="BT49" s="119">
        <v>0</v>
      </c>
      <c r="BU49" s="119">
        <v>0</v>
      </c>
      <c r="BV49" s="119">
        <v>0</v>
      </c>
      <c r="BW49" s="119">
        <v>0</v>
      </c>
      <c r="BX49" s="119">
        <v>0</v>
      </c>
      <c r="BY49" s="119">
        <v>0</v>
      </c>
      <c r="BZ49" s="119">
        <v>0</v>
      </c>
      <c r="CA49" s="119">
        <v>0</v>
      </c>
      <c r="CB49" s="119">
        <v>0</v>
      </c>
      <c r="CC49" s="119">
        <v>0</v>
      </c>
      <c r="CD49" s="119">
        <v>20</v>
      </c>
      <c r="CE49" s="119">
        <v>0</v>
      </c>
      <c r="CF49" t="s">
        <v>383</v>
      </c>
      <c r="CG49" s="119">
        <v>0</v>
      </c>
      <c r="CH49" s="119">
        <v>0</v>
      </c>
      <c r="CI49" s="119">
        <v>0</v>
      </c>
      <c r="CJ49" s="119">
        <v>0</v>
      </c>
      <c r="CK49" s="119">
        <v>0</v>
      </c>
      <c r="CL49" s="119">
        <v>0</v>
      </c>
      <c r="CM49" s="119">
        <v>0</v>
      </c>
      <c r="CN49" s="119">
        <v>0</v>
      </c>
      <c r="CO49" s="119">
        <v>0</v>
      </c>
      <c r="CP49" s="119">
        <v>0</v>
      </c>
      <c r="CQ49" s="119">
        <v>20</v>
      </c>
      <c r="CR49" s="119">
        <v>0</v>
      </c>
      <c r="CS49" t="s">
        <v>384</v>
      </c>
      <c r="CT49" s="119">
        <v>0</v>
      </c>
      <c r="CU49" s="119">
        <v>0</v>
      </c>
      <c r="CV49" s="119">
        <v>0</v>
      </c>
      <c r="CW49" s="119">
        <v>0</v>
      </c>
      <c r="CX49" s="119">
        <v>0</v>
      </c>
      <c r="CY49" s="119">
        <v>0</v>
      </c>
      <c r="CZ49" s="119">
        <v>0</v>
      </c>
      <c r="DA49" s="119">
        <v>0</v>
      </c>
      <c r="DB49" s="119">
        <v>0</v>
      </c>
      <c r="DC49" s="119">
        <v>0</v>
      </c>
      <c r="DD49" s="119">
        <v>20</v>
      </c>
      <c r="DE49" s="119">
        <v>0</v>
      </c>
      <c r="DF49" t="s">
        <v>385</v>
      </c>
      <c r="DG49" s="119">
        <v>0</v>
      </c>
      <c r="DH49" s="119">
        <v>0</v>
      </c>
      <c r="DI49" s="119">
        <v>0</v>
      </c>
      <c r="DJ49" s="119">
        <v>0</v>
      </c>
      <c r="DK49" s="119">
        <v>0</v>
      </c>
      <c r="DL49" s="119">
        <v>0</v>
      </c>
      <c r="DM49" s="119">
        <v>0</v>
      </c>
      <c r="DN49" s="119">
        <v>0</v>
      </c>
      <c r="DO49" s="119">
        <v>0</v>
      </c>
      <c r="DP49" s="119">
        <v>0</v>
      </c>
      <c r="DQ49" s="119">
        <v>20</v>
      </c>
      <c r="DR49" s="119">
        <v>0</v>
      </c>
      <c r="DS49" t="s">
        <v>386</v>
      </c>
      <c r="DT49" s="119">
        <v>0</v>
      </c>
      <c r="DU49" s="119">
        <v>0</v>
      </c>
      <c r="DV49" s="119">
        <v>0</v>
      </c>
      <c r="DW49" s="119">
        <v>0</v>
      </c>
      <c r="DX49" s="119">
        <v>0</v>
      </c>
      <c r="DY49" s="119">
        <v>0</v>
      </c>
      <c r="DZ49" s="119">
        <v>0</v>
      </c>
      <c r="EA49" s="119">
        <v>0</v>
      </c>
      <c r="EB49" s="119">
        <v>0</v>
      </c>
      <c r="EC49" s="119">
        <v>0</v>
      </c>
      <c r="ED49" s="119">
        <v>20</v>
      </c>
      <c r="EE49" s="119">
        <v>0</v>
      </c>
      <c r="EF49" t="s">
        <v>387</v>
      </c>
      <c r="EG49" s="119">
        <v>0</v>
      </c>
      <c r="EH49" s="119">
        <v>0</v>
      </c>
      <c r="EI49" s="119">
        <v>0</v>
      </c>
      <c r="EJ49" s="119">
        <v>0</v>
      </c>
      <c r="EK49" s="119">
        <v>0</v>
      </c>
      <c r="EL49" s="119">
        <v>0</v>
      </c>
      <c r="EM49" s="119">
        <v>0</v>
      </c>
      <c r="EN49" s="119">
        <v>0</v>
      </c>
      <c r="EO49" s="119">
        <v>0</v>
      </c>
      <c r="EP49" s="119">
        <v>0</v>
      </c>
      <c r="EQ49" s="119">
        <v>20</v>
      </c>
      <c r="ER49" s="119">
        <v>0</v>
      </c>
      <c r="ES49" t="s">
        <v>388</v>
      </c>
      <c r="ET49" s="119">
        <v>0</v>
      </c>
      <c r="EU49" s="119">
        <v>0</v>
      </c>
      <c r="EV49" s="119">
        <v>0</v>
      </c>
      <c r="EW49" s="119">
        <v>0</v>
      </c>
      <c r="EX49" s="119">
        <v>0</v>
      </c>
      <c r="EY49" s="119">
        <v>0</v>
      </c>
      <c r="EZ49" s="119">
        <v>0</v>
      </c>
      <c r="FA49" s="119">
        <v>0</v>
      </c>
      <c r="FB49" s="119">
        <v>0</v>
      </c>
      <c r="FC49" s="119">
        <v>0</v>
      </c>
      <c r="FD49" s="119">
        <v>20</v>
      </c>
      <c r="FE49" s="119">
        <v>0</v>
      </c>
      <c r="FF49" t="s">
        <v>389</v>
      </c>
      <c r="FG49" s="119">
        <v>0</v>
      </c>
      <c r="FH49" s="119">
        <v>0</v>
      </c>
      <c r="FI49" s="119">
        <v>0</v>
      </c>
      <c r="FJ49" s="119">
        <v>0</v>
      </c>
      <c r="FK49" s="119">
        <v>0</v>
      </c>
      <c r="FL49" s="119">
        <v>0</v>
      </c>
      <c r="FM49" s="119">
        <v>0</v>
      </c>
      <c r="FN49" s="119">
        <v>0</v>
      </c>
      <c r="FO49" s="119">
        <v>0</v>
      </c>
      <c r="FP49" s="119">
        <v>0</v>
      </c>
      <c r="FQ49" s="119">
        <v>20</v>
      </c>
      <c r="FR49" s="119">
        <v>0</v>
      </c>
      <c r="FS49" t="s">
        <v>390</v>
      </c>
      <c r="FT49" s="119">
        <v>0</v>
      </c>
      <c r="FU49" s="119">
        <v>0</v>
      </c>
      <c r="FV49" s="119">
        <v>0</v>
      </c>
      <c r="FW49" s="119">
        <v>0</v>
      </c>
      <c r="FX49" s="119">
        <v>0</v>
      </c>
      <c r="FY49" s="119">
        <v>0</v>
      </c>
      <c r="FZ49" s="119">
        <v>0</v>
      </c>
      <c r="GA49" s="119">
        <v>0</v>
      </c>
      <c r="GB49" s="119">
        <v>0</v>
      </c>
      <c r="GC49" s="119">
        <v>0</v>
      </c>
      <c r="GD49" s="119">
        <v>20</v>
      </c>
      <c r="GE49" s="119">
        <v>0</v>
      </c>
      <c r="GF49" t="s">
        <v>391</v>
      </c>
      <c r="GG49" s="119">
        <v>0</v>
      </c>
      <c r="GH49" s="119">
        <v>0</v>
      </c>
      <c r="GI49" s="119">
        <v>0</v>
      </c>
      <c r="GJ49" s="119">
        <v>0</v>
      </c>
      <c r="GK49" s="119">
        <v>0</v>
      </c>
      <c r="GL49" s="119">
        <v>0</v>
      </c>
      <c r="GM49" s="119">
        <v>0</v>
      </c>
      <c r="GN49" s="119">
        <v>0</v>
      </c>
      <c r="GO49" s="119">
        <v>0</v>
      </c>
      <c r="GP49" s="119">
        <v>0</v>
      </c>
      <c r="GQ49" s="119">
        <v>20</v>
      </c>
      <c r="GR49" s="119">
        <v>0</v>
      </c>
      <c r="HJ49"/>
      <c r="HK49" s="115"/>
      <c r="HR49" s="116"/>
      <c r="HT49" s="117"/>
      <c r="HY49"/>
      <c r="HZ49"/>
      <c r="IA49"/>
    </row>
    <row r="50" spans="1:235" x14ac:dyDescent="0.25">
      <c r="A50">
        <v>50</v>
      </c>
      <c r="B50" s="115">
        <v>43297</v>
      </c>
      <c r="C50" t="s">
        <v>392</v>
      </c>
      <c r="D50" t="s">
        <v>393</v>
      </c>
      <c r="E50" t="s">
        <v>394</v>
      </c>
      <c r="H50" t="s">
        <v>397</v>
      </c>
      <c r="I50" s="116">
        <v>25000</v>
      </c>
      <c r="J50" t="s">
        <v>398</v>
      </c>
      <c r="K50" s="117" t="s">
        <v>399</v>
      </c>
      <c r="N50" t="s">
        <v>423</v>
      </c>
      <c r="P50">
        <v>857.14</v>
      </c>
      <c r="Q50">
        <v>714.29</v>
      </c>
      <c r="R50">
        <v>142.86000000000001</v>
      </c>
      <c r="S50" t="s">
        <v>378</v>
      </c>
      <c r="T50" s="118">
        <v>500</v>
      </c>
      <c r="U50" s="118">
        <v>214.29</v>
      </c>
      <c r="V50" s="118">
        <v>714.29</v>
      </c>
      <c r="W50" s="119">
        <v>30</v>
      </c>
      <c r="X50" s="119">
        <v>0</v>
      </c>
      <c r="Y50" s="119">
        <v>0</v>
      </c>
      <c r="Z50" s="119">
        <v>0</v>
      </c>
      <c r="AA50" s="119">
        <v>214.29</v>
      </c>
      <c r="AB50" s="119">
        <v>0</v>
      </c>
      <c r="AC50" s="119">
        <v>714.29</v>
      </c>
      <c r="AD50" s="119">
        <v>20</v>
      </c>
      <c r="AE50" s="119">
        <v>142.86000000000001</v>
      </c>
      <c r="AF50" t="s">
        <v>379</v>
      </c>
      <c r="AG50" s="119">
        <v>0</v>
      </c>
      <c r="AH50" s="119">
        <v>0</v>
      </c>
      <c r="AI50" s="119">
        <v>0</v>
      </c>
      <c r="AJ50" s="119">
        <v>0</v>
      </c>
      <c r="AK50" s="119">
        <v>0</v>
      </c>
      <c r="AL50" s="119">
        <v>0</v>
      </c>
      <c r="AM50" s="119">
        <v>0</v>
      </c>
      <c r="AN50" s="119">
        <v>0</v>
      </c>
      <c r="AO50" s="119">
        <v>0</v>
      </c>
      <c r="AP50" s="119">
        <v>0</v>
      </c>
      <c r="AQ50" s="119">
        <v>20</v>
      </c>
      <c r="AR50" s="119">
        <v>0</v>
      </c>
      <c r="AS50" t="s">
        <v>380</v>
      </c>
      <c r="AT50" s="119">
        <v>0</v>
      </c>
      <c r="AU50" s="119">
        <v>0</v>
      </c>
      <c r="AV50" s="119">
        <v>0</v>
      </c>
      <c r="AW50" s="119">
        <v>0</v>
      </c>
      <c r="AX50" s="119">
        <v>0</v>
      </c>
      <c r="AY50" s="119">
        <v>0</v>
      </c>
      <c r="AZ50" s="119">
        <v>0</v>
      </c>
      <c r="BA50" s="119">
        <v>0</v>
      </c>
      <c r="BB50" s="119">
        <v>0</v>
      </c>
      <c r="BC50" s="119">
        <v>0</v>
      </c>
      <c r="BD50" s="119">
        <v>20</v>
      </c>
      <c r="BE50" s="119">
        <v>0</v>
      </c>
      <c r="BF50" t="s">
        <v>381</v>
      </c>
      <c r="BG50" s="119">
        <v>0</v>
      </c>
      <c r="BH50" s="119">
        <v>0</v>
      </c>
      <c r="BI50" s="119">
        <v>0</v>
      </c>
      <c r="BJ50" s="119">
        <v>0</v>
      </c>
      <c r="BK50" s="119">
        <v>0</v>
      </c>
      <c r="BL50" s="119">
        <v>0</v>
      </c>
      <c r="BM50" s="119">
        <v>0</v>
      </c>
      <c r="BN50" s="119">
        <v>0</v>
      </c>
      <c r="BO50" s="119">
        <v>0</v>
      </c>
      <c r="BP50" s="119">
        <v>0</v>
      </c>
      <c r="BQ50" s="119">
        <v>20</v>
      </c>
      <c r="BR50" s="119">
        <v>0</v>
      </c>
      <c r="BS50" t="s">
        <v>382</v>
      </c>
      <c r="BT50" s="119">
        <v>0</v>
      </c>
      <c r="BU50" s="119">
        <v>0</v>
      </c>
      <c r="BV50" s="119">
        <v>0</v>
      </c>
      <c r="BW50" s="119">
        <v>0</v>
      </c>
      <c r="BX50" s="119">
        <v>0</v>
      </c>
      <c r="BY50" s="119">
        <v>0</v>
      </c>
      <c r="BZ50" s="119">
        <v>0</v>
      </c>
      <c r="CA50" s="119">
        <v>0</v>
      </c>
      <c r="CB50" s="119">
        <v>0</v>
      </c>
      <c r="CC50" s="119">
        <v>0</v>
      </c>
      <c r="CD50" s="119">
        <v>20</v>
      </c>
      <c r="CE50" s="119">
        <v>0</v>
      </c>
      <c r="CF50" t="s">
        <v>383</v>
      </c>
      <c r="CG50" s="119">
        <v>0</v>
      </c>
      <c r="CH50" s="119">
        <v>0</v>
      </c>
      <c r="CI50" s="119">
        <v>0</v>
      </c>
      <c r="CJ50" s="119">
        <v>0</v>
      </c>
      <c r="CK50" s="119">
        <v>0</v>
      </c>
      <c r="CL50" s="119">
        <v>0</v>
      </c>
      <c r="CM50" s="119">
        <v>0</v>
      </c>
      <c r="CN50" s="119">
        <v>0</v>
      </c>
      <c r="CO50" s="119">
        <v>0</v>
      </c>
      <c r="CP50" s="119">
        <v>0</v>
      </c>
      <c r="CQ50" s="119">
        <v>20</v>
      </c>
      <c r="CR50" s="119">
        <v>0</v>
      </c>
      <c r="CS50" t="s">
        <v>384</v>
      </c>
      <c r="CT50" s="119">
        <v>0</v>
      </c>
      <c r="CU50" s="119">
        <v>0</v>
      </c>
      <c r="CV50" s="119">
        <v>0</v>
      </c>
      <c r="CW50" s="119">
        <v>0</v>
      </c>
      <c r="CX50" s="119">
        <v>0</v>
      </c>
      <c r="CY50" s="119">
        <v>0</v>
      </c>
      <c r="CZ50" s="119">
        <v>0</v>
      </c>
      <c r="DA50" s="119">
        <v>0</v>
      </c>
      <c r="DB50" s="119">
        <v>0</v>
      </c>
      <c r="DC50" s="119">
        <v>0</v>
      </c>
      <c r="DD50" s="119">
        <v>20</v>
      </c>
      <c r="DE50" s="119">
        <v>0</v>
      </c>
      <c r="DF50" t="s">
        <v>385</v>
      </c>
      <c r="DG50" s="119">
        <v>0</v>
      </c>
      <c r="DH50" s="119">
        <v>0</v>
      </c>
      <c r="DI50" s="119">
        <v>0</v>
      </c>
      <c r="DJ50" s="119">
        <v>0</v>
      </c>
      <c r="DK50" s="119">
        <v>0</v>
      </c>
      <c r="DL50" s="119">
        <v>0</v>
      </c>
      <c r="DM50" s="119">
        <v>0</v>
      </c>
      <c r="DN50" s="119">
        <v>0</v>
      </c>
      <c r="DO50" s="119">
        <v>0</v>
      </c>
      <c r="DP50" s="119">
        <v>0</v>
      </c>
      <c r="DQ50" s="119">
        <v>20</v>
      </c>
      <c r="DR50" s="119">
        <v>0</v>
      </c>
      <c r="DS50" t="s">
        <v>386</v>
      </c>
      <c r="DT50" s="119">
        <v>0</v>
      </c>
      <c r="DU50" s="119">
        <v>0</v>
      </c>
      <c r="DV50" s="119">
        <v>0</v>
      </c>
      <c r="DW50" s="119">
        <v>0</v>
      </c>
      <c r="DX50" s="119">
        <v>0</v>
      </c>
      <c r="DY50" s="119">
        <v>0</v>
      </c>
      <c r="DZ50" s="119">
        <v>0</v>
      </c>
      <c r="EA50" s="119">
        <v>0</v>
      </c>
      <c r="EB50" s="119">
        <v>0</v>
      </c>
      <c r="EC50" s="119">
        <v>0</v>
      </c>
      <c r="ED50" s="119">
        <v>20</v>
      </c>
      <c r="EE50" s="119">
        <v>0</v>
      </c>
      <c r="EF50" t="s">
        <v>387</v>
      </c>
      <c r="EG50" s="119">
        <v>0</v>
      </c>
      <c r="EH50" s="119">
        <v>0</v>
      </c>
      <c r="EI50" s="119">
        <v>0</v>
      </c>
      <c r="EJ50" s="119">
        <v>0</v>
      </c>
      <c r="EK50" s="119">
        <v>0</v>
      </c>
      <c r="EL50" s="119">
        <v>0</v>
      </c>
      <c r="EM50" s="119">
        <v>0</v>
      </c>
      <c r="EN50" s="119">
        <v>0</v>
      </c>
      <c r="EO50" s="119">
        <v>0</v>
      </c>
      <c r="EP50" s="119">
        <v>0</v>
      </c>
      <c r="EQ50" s="119">
        <v>20</v>
      </c>
      <c r="ER50" s="119">
        <v>0</v>
      </c>
      <c r="ES50" t="s">
        <v>388</v>
      </c>
      <c r="ET50" s="119">
        <v>0</v>
      </c>
      <c r="EU50" s="119">
        <v>0</v>
      </c>
      <c r="EV50" s="119">
        <v>0</v>
      </c>
      <c r="EW50" s="119">
        <v>0</v>
      </c>
      <c r="EX50" s="119">
        <v>0</v>
      </c>
      <c r="EY50" s="119">
        <v>0</v>
      </c>
      <c r="EZ50" s="119">
        <v>0</v>
      </c>
      <c r="FA50" s="119">
        <v>0</v>
      </c>
      <c r="FB50" s="119">
        <v>0</v>
      </c>
      <c r="FC50" s="119">
        <v>0</v>
      </c>
      <c r="FD50" s="119">
        <v>20</v>
      </c>
      <c r="FE50" s="119">
        <v>0</v>
      </c>
      <c r="FF50" t="s">
        <v>389</v>
      </c>
      <c r="FG50" s="119">
        <v>0</v>
      </c>
      <c r="FH50" s="119">
        <v>0</v>
      </c>
      <c r="FI50" s="119">
        <v>0</v>
      </c>
      <c r="FJ50" s="119">
        <v>0</v>
      </c>
      <c r="FK50" s="119">
        <v>0</v>
      </c>
      <c r="FL50" s="119">
        <v>0</v>
      </c>
      <c r="FM50" s="119">
        <v>0</v>
      </c>
      <c r="FN50" s="119">
        <v>0</v>
      </c>
      <c r="FO50" s="119">
        <v>0</v>
      </c>
      <c r="FP50" s="119">
        <v>0</v>
      </c>
      <c r="FQ50" s="119">
        <v>20</v>
      </c>
      <c r="FR50" s="119">
        <v>0</v>
      </c>
      <c r="FS50" t="s">
        <v>390</v>
      </c>
      <c r="FT50" s="119">
        <v>0</v>
      </c>
      <c r="FU50" s="119">
        <v>0</v>
      </c>
      <c r="FV50" s="119">
        <v>0</v>
      </c>
      <c r="FW50" s="119">
        <v>0</v>
      </c>
      <c r="FX50" s="119">
        <v>0</v>
      </c>
      <c r="FY50" s="119">
        <v>0</v>
      </c>
      <c r="FZ50" s="119">
        <v>0</v>
      </c>
      <c r="GA50" s="119">
        <v>0</v>
      </c>
      <c r="GB50" s="119">
        <v>0</v>
      </c>
      <c r="GC50" s="119">
        <v>0</v>
      </c>
      <c r="GD50" s="119">
        <v>20</v>
      </c>
      <c r="GE50" s="119">
        <v>0</v>
      </c>
      <c r="GF50" t="s">
        <v>391</v>
      </c>
      <c r="GG50" s="119">
        <v>0</v>
      </c>
      <c r="GH50" s="119">
        <v>0</v>
      </c>
      <c r="GI50" s="119">
        <v>0</v>
      </c>
      <c r="GJ50" s="119">
        <v>0</v>
      </c>
      <c r="GK50" s="119">
        <v>0</v>
      </c>
      <c r="GL50" s="119">
        <v>0</v>
      </c>
      <c r="GM50" s="119">
        <v>0</v>
      </c>
      <c r="GN50" s="119">
        <v>0</v>
      </c>
      <c r="GO50" s="119">
        <v>0</v>
      </c>
      <c r="GP50" s="119">
        <v>0</v>
      </c>
      <c r="GQ50" s="119">
        <v>20</v>
      </c>
      <c r="GR50" s="119">
        <v>0</v>
      </c>
      <c r="HJ50"/>
      <c r="HK50" s="115"/>
      <c r="HR50" s="116"/>
      <c r="HT50" s="117"/>
      <c r="HY50"/>
      <c r="HZ50"/>
      <c r="IA50"/>
    </row>
    <row r="51" spans="1:235" x14ac:dyDescent="0.25">
      <c r="A51">
        <v>51</v>
      </c>
      <c r="B51" s="115">
        <v>43297</v>
      </c>
      <c r="C51" t="s">
        <v>462</v>
      </c>
      <c r="D51" t="s">
        <v>463</v>
      </c>
      <c r="E51" t="s">
        <v>426</v>
      </c>
      <c r="F51" t="s">
        <v>464</v>
      </c>
      <c r="H51" t="s">
        <v>465</v>
      </c>
      <c r="I51" s="116">
        <v>21130</v>
      </c>
      <c r="J51" t="s">
        <v>466</v>
      </c>
      <c r="K51" s="117" t="s">
        <v>467</v>
      </c>
      <c r="N51" t="s">
        <v>423</v>
      </c>
      <c r="P51">
        <v>7969.89</v>
      </c>
      <c r="Q51">
        <v>6641.57</v>
      </c>
      <c r="R51">
        <v>1328.31</v>
      </c>
      <c r="S51" t="s">
        <v>378</v>
      </c>
      <c r="T51" s="118">
        <v>500</v>
      </c>
      <c r="U51" s="118">
        <v>214.29</v>
      </c>
      <c r="V51" s="118">
        <v>714.29</v>
      </c>
      <c r="W51" s="119">
        <v>30</v>
      </c>
      <c r="X51" s="119">
        <v>10</v>
      </c>
      <c r="Y51" s="119">
        <v>65</v>
      </c>
      <c r="Z51" s="119">
        <v>650</v>
      </c>
      <c r="AA51" s="119">
        <v>864.29</v>
      </c>
      <c r="AB51" s="119">
        <v>86.43</v>
      </c>
      <c r="AC51" s="119">
        <v>1364.29</v>
      </c>
      <c r="AD51" s="119">
        <v>20</v>
      </c>
      <c r="AE51" s="119">
        <v>272.86</v>
      </c>
      <c r="AF51" t="s">
        <v>379</v>
      </c>
      <c r="AG51" s="119">
        <v>1500</v>
      </c>
      <c r="AH51" s="119">
        <v>642.86</v>
      </c>
      <c r="AI51" s="119">
        <v>2142.86</v>
      </c>
      <c r="AJ51" s="119">
        <v>30</v>
      </c>
      <c r="AK51" s="119">
        <v>15</v>
      </c>
      <c r="AL51" s="119">
        <v>65</v>
      </c>
      <c r="AM51" s="119">
        <v>975</v>
      </c>
      <c r="AN51" s="119">
        <v>1617.86</v>
      </c>
      <c r="AO51" s="119">
        <v>107.86</v>
      </c>
      <c r="AP51" s="119">
        <v>3117.86</v>
      </c>
      <c r="AQ51" s="119">
        <v>20</v>
      </c>
      <c r="AR51" s="119">
        <v>623.57000000000005</v>
      </c>
      <c r="AS51" t="s">
        <v>380</v>
      </c>
      <c r="AT51" s="119">
        <v>750</v>
      </c>
      <c r="AU51" s="119">
        <v>321.43</v>
      </c>
      <c r="AV51" s="119">
        <v>1071.43</v>
      </c>
      <c r="AW51" s="119">
        <v>30</v>
      </c>
      <c r="AX51" s="119">
        <v>17</v>
      </c>
      <c r="AY51" s="119">
        <v>64</v>
      </c>
      <c r="AZ51" s="119">
        <v>1088</v>
      </c>
      <c r="BA51" s="119">
        <v>1409.43</v>
      </c>
      <c r="BB51" s="119">
        <v>82.91</v>
      </c>
      <c r="BC51" s="119">
        <v>2159.4299999999998</v>
      </c>
      <c r="BD51" s="119">
        <v>20</v>
      </c>
      <c r="BE51" s="119">
        <v>431.89</v>
      </c>
      <c r="BF51" t="s">
        <v>381</v>
      </c>
      <c r="BG51" s="119">
        <v>0</v>
      </c>
      <c r="BH51" s="119">
        <v>0</v>
      </c>
      <c r="BI51" s="119">
        <v>0</v>
      </c>
      <c r="BJ51" s="119">
        <v>0</v>
      </c>
      <c r="BK51" s="119">
        <v>0</v>
      </c>
      <c r="BL51" s="119">
        <v>0</v>
      </c>
      <c r="BM51" s="119">
        <v>0</v>
      </c>
      <c r="BN51" s="119">
        <v>0</v>
      </c>
      <c r="BO51" s="119">
        <v>0</v>
      </c>
      <c r="BP51" s="119">
        <v>0</v>
      </c>
      <c r="BQ51" s="119">
        <v>20</v>
      </c>
      <c r="BR51" s="119">
        <v>0</v>
      </c>
      <c r="BS51" t="s">
        <v>382</v>
      </c>
      <c r="BT51" s="119">
        <v>0</v>
      </c>
      <c r="BU51" s="119">
        <v>0</v>
      </c>
      <c r="BV51" s="119">
        <v>0</v>
      </c>
      <c r="BW51" s="119">
        <v>0</v>
      </c>
      <c r="BX51" s="119">
        <v>0</v>
      </c>
      <c r="BY51" s="119">
        <v>0</v>
      </c>
      <c r="BZ51" s="119">
        <v>0</v>
      </c>
      <c r="CA51" s="119">
        <v>0</v>
      </c>
      <c r="CB51" s="119">
        <v>0</v>
      </c>
      <c r="CC51" s="119">
        <v>0</v>
      </c>
      <c r="CD51" s="119">
        <v>20</v>
      </c>
      <c r="CE51" s="119">
        <v>0</v>
      </c>
      <c r="CF51" t="s">
        <v>383</v>
      </c>
      <c r="CG51" s="119">
        <v>0</v>
      </c>
      <c r="CH51" s="119">
        <v>0</v>
      </c>
      <c r="CI51" s="119">
        <v>0</v>
      </c>
      <c r="CJ51" s="119">
        <v>0</v>
      </c>
      <c r="CK51" s="119">
        <v>0</v>
      </c>
      <c r="CL51" s="119">
        <v>0</v>
      </c>
      <c r="CM51" s="119">
        <v>0</v>
      </c>
      <c r="CN51" s="119">
        <v>0</v>
      </c>
      <c r="CO51" s="119">
        <v>0</v>
      </c>
      <c r="CP51" s="119">
        <v>0</v>
      </c>
      <c r="CQ51" s="119">
        <v>20</v>
      </c>
      <c r="CR51" s="119">
        <v>0</v>
      </c>
      <c r="CS51" t="s">
        <v>384</v>
      </c>
      <c r="CT51" s="119">
        <v>0</v>
      </c>
      <c r="CU51" s="119">
        <v>0</v>
      </c>
      <c r="CV51" s="119">
        <v>0</v>
      </c>
      <c r="CW51" s="119">
        <v>0</v>
      </c>
      <c r="CX51" s="119">
        <v>0</v>
      </c>
      <c r="CY51" s="119">
        <v>0</v>
      </c>
      <c r="CZ51" s="119">
        <v>0</v>
      </c>
      <c r="DA51" s="119">
        <v>0</v>
      </c>
      <c r="DB51" s="119">
        <v>0</v>
      </c>
      <c r="DC51" s="119">
        <v>0</v>
      </c>
      <c r="DD51" s="119">
        <v>20</v>
      </c>
      <c r="DE51" s="119">
        <v>0</v>
      </c>
      <c r="DF51" t="s">
        <v>385</v>
      </c>
      <c r="DG51" s="119">
        <v>0</v>
      </c>
      <c r="DH51" s="119">
        <v>0</v>
      </c>
      <c r="DI51" s="119">
        <v>0</v>
      </c>
      <c r="DJ51" s="119">
        <v>0</v>
      </c>
      <c r="DK51" s="119">
        <v>0</v>
      </c>
      <c r="DL51" s="119">
        <v>0</v>
      </c>
      <c r="DM51" s="119">
        <v>0</v>
      </c>
      <c r="DN51" s="119">
        <v>0</v>
      </c>
      <c r="DO51" s="119">
        <v>0</v>
      </c>
      <c r="DP51" s="119">
        <v>0</v>
      </c>
      <c r="DQ51" s="119">
        <v>20</v>
      </c>
      <c r="DR51" s="119">
        <v>0</v>
      </c>
      <c r="DS51" t="s">
        <v>386</v>
      </c>
      <c r="DT51" s="119">
        <v>0</v>
      </c>
      <c r="DU51" s="119">
        <v>0</v>
      </c>
      <c r="DV51" s="119">
        <v>0</v>
      </c>
      <c r="DW51" s="119">
        <v>0</v>
      </c>
      <c r="DX51" s="119">
        <v>0</v>
      </c>
      <c r="DY51" s="119">
        <v>0</v>
      </c>
      <c r="DZ51" s="119">
        <v>0</v>
      </c>
      <c r="EA51" s="119">
        <v>0</v>
      </c>
      <c r="EB51" s="119">
        <v>0</v>
      </c>
      <c r="EC51" s="119">
        <v>0</v>
      </c>
      <c r="ED51" s="119">
        <v>20</v>
      </c>
      <c r="EE51" s="119">
        <v>0</v>
      </c>
      <c r="EF51" t="s">
        <v>387</v>
      </c>
      <c r="EG51" s="119">
        <v>0</v>
      </c>
      <c r="EH51" s="119">
        <v>0</v>
      </c>
      <c r="EI51" s="119">
        <v>0</v>
      </c>
      <c r="EJ51" s="119">
        <v>0</v>
      </c>
      <c r="EK51" s="119">
        <v>0</v>
      </c>
      <c r="EL51" s="119">
        <v>0</v>
      </c>
      <c r="EM51" s="119">
        <v>0</v>
      </c>
      <c r="EN51" s="119">
        <v>0</v>
      </c>
      <c r="EO51" s="119">
        <v>0</v>
      </c>
      <c r="EP51" s="119">
        <v>0</v>
      </c>
      <c r="EQ51" s="119">
        <v>20</v>
      </c>
      <c r="ER51" s="119">
        <v>0</v>
      </c>
      <c r="ES51" t="s">
        <v>388</v>
      </c>
      <c r="ET51" s="119">
        <v>0</v>
      </c>
      <c r="EU51" s="119">
        <v>0</v>
      </c>
      <c r="EV51" s="119">
        <v>0</v>
      </c>
      <c r="EW51" s="119">
        <v>0</v>
      </c>
      <c r="EX51" s="119">
        <v>0</v>
      </c>
      <c r="EY51" s="119">
        <v>0</v>
      </c>
      <c r="EZ51" s="119">
        <v>0</v>
      </c>
      <c r="FA51" s="119">
        <v>0</v>
      </c>
      <c r="FB51" s="119">
        <v>0</v>
      </c>
      <c r="FC51" s="119">
        <v>0</v>
      </c>
      <c r="FD51" s="119">
        <v>20</v>
      </c>
      <c r="FE51" s="119">
        <v>0</v>
      </c>
      <c r="FF51" t="s">
        <v>389</v>
      </c>
      <c r="FG51" s="119">
        <v>0</v>
      </c>
      <c r="FH51" s="119">
        <v>0</v>
      </c>
      <c r="FI51" s="119">
        <v>0</v>
      </c>
      <c r="FJ51" s="119">
        <v>0</v>
      </c>
      <c r="FK51" s="119">
        <v>0</v>
      </c>
      <c r="FL51" s="119">
        <v>0</v>
      </c>
      <c r="FM51" s="119">
        <v>0</v>
      </c>
      <c r="FN51" s="119">
        <v>0</v>
      </c>
      <c r="FO51" s="119">
        <v>0</v>
      </c>
      <c r="FP51" s="119">
        <v>0</v>
      </c>
      <c r="FQ51" s="119">
        <v>20</v>
      </c>
      <c r="FR51" s="119">
        <v>0</v>
      </c>
      <c r="FS51" t="s">
        <v>390</v>
      </c>
      <c r="FT51" s="119">
        <v>0</v>
      </c>
      <c r="FU51" s="119">
        <v>0</v>
      </c>
      <c r="FV51" s="119">
        <v>0</v>
      </c>
      <c r="FW51" s="119">
        <v>0</v>
      </c>
      <c r="FX51" s="119">
        <v>0</v>
      </c>
      <c r="FY51" s="119">
        <v>0</v>
      </c>
      <c r="FZ51" s="119">
        <v>0</v>
      </c>
      <c r="GA51" s="119">
        <v>0</v>
      </c>
      <c r="GB51" s="119">
        <v>0</v>
      </c>
      <c r="GC51" s="119">
        <v>0</v>
      </c>
      <c r="GD51" s="119">
        <v>20</v>
      </c>
      <c r="GE51" s="119">
        <v>0</v>
      </c>
      <c r="GF51" t="s">
        <v>391</v>
      </c>
      <c r="GG51" s="119">
        <v>0</v>
      </c>
      <c r="GH51" s="119">
        <v>0</v>
      </c>
      <c r="GI51" s="119">
        <v>0</v>
      </c>
      <c r="GJ51" s="119">
        <v>0</v>
      </c>
      <c r="GK51" s="119">
        <v>0</v>
      </c>
      <c r="GL51" s="119">
        <v>0</v>
      </c>
      <c r="GM51" s="119">
        <v>0</v>
      </c>
      <c r="GN51" s="119">
        <v>0</v>
      </c>
      <c r="GO51" s="119">
        <v>0</v>
      </c>
      <c r="GP51" s="119">
        <v>0</v>
      </c>
      <c r="GQ51" s="119">
        <v>20</v>
      </c>
      <c r="GR51" s="119">
        <v>0</v>
      </c>
      <c r="HJ51"/>
      <c r="HK51" s="115"/>
      <c r="HR51" s="116"/>
      <c r="HT51" s="117"/>
      <c r="HY51"/>
      <c r="HZ51"/>
      <c r="IA51"/>
    </row>
    <row r="52" spans="1:235" x14ac:dyDescent="0.25">
      <c r="A52">
        <v>52</v>
      </c>
      <c r="B52" s="115">
        <v>43297</v>
      </c>
      <c r="C52" t="s">
        <v>424</v>
      </c>
      <c r="D52" t="s">
        <v>425</v>
      </c>
      <c r="E52" t="s">
        <v>430</v>
      </c>
      <c r="F52" t="s">
        <v>426</v>
      </c>
      <c r="G52" t="s">
        <v>427</v>
      </c>
      <c r="H52" t="s">
        <v>428</v>
      </c>
      <c r="I52" s="116">
        <v>21130</v>
      </c>
      <c r="J52" t="s">
        <v>429</v>
      </c>
      <c r="K52" s="117" t="s">
        <v>431</v>
      </c>
      <c r="N52" t="s">
        <v>423</v>
      </c>
      <c r="P52">
        <v>1337.14</v>
      </c>
      <c r="Q52">
        <v>1114.29</v>
      </c>
      <c r="R52">
        <v>222.86</v>
      </c>
      <c r="S52" t="s">
        <v>378</v>
      </c>
      <c r="T52" s="118">
        <v>500</v>
      </c>
      <c r="U52" s="118">
        <v>214.29</v>
      </c>
      <c r="V52" s="118">
        <v>714.29</v>
      </c>
      <c r="W52" s="119">
        <v>30</v>
      </c>
      <c r="X52" s="119">
        <v>8</v>
      </c>
      <c r="Y52" s="119">
        <v>50</v>
      </c>
      <c r="Z52" s="119">
        <v>400</v>
      </c>
      <c r="AA52" s="119">
        <v>614.29</v>
      </c>
      <c r="AB52" s="119">
        <v>76.790000000000006</v>
      </c>
      <c r="AC52" s="119">
        <v>1114.29</v>
      </c>
      <c r="AD52" s="119">
        <v>20</v>
      </c>
      <c r="AE52" s="119">
        <v>222.86</v>
      </c>
      <c r="AF52" t="s">
        <v>379</v>
      </c>
      <c r="AG52" s="119">
        <v>0</v>
      </c>
      <c r="AH52" s="119">
        <v>0</v>
      </c>
      <c r="AI52" s="119">
        <v>0</v>
      </c>
      <c r="AJ52" s="119">
        <v>0</v>
      </c>
      <c r="AK52" s="119">
        <v>0</v>
      </c>
      <c r="AL52" s="119">
        <v>0</v>
      </c>
      <c r="AM52" s="119">
        <v>0</v>
      </c>
      <c r="AN52" s="119">
        <v>0</v>
      </c>
      <c r="AO52" s="119">
        <v>0</v>
      </c>
      <c r="AP52" s="119">
        <v>0</v>
      </c>
      <c r="AQ52" s="119">
        <v>20</v>
      </c>
      <c r="AR52" s="119">
        <v>0</v>
      </c>
      <c r="AS52" t="s">
        <v>380</v>
      </c>
      <c r="AT52" s="119">
        <v>0</v>
      </c>
      <c r="AU52" s="119">
        <v>0</v>
      </c>
      <c r="AV52" s="119">
        <v>0</v>
      </c>
      <c r="AW52" s="119">
        <v>0</v>
      </c>
      <c r="AX52" s="119">
        <v>0</v>
      </c>
      <c r="AY52" s="119">
        <v>0</v>
      </c>
      <c r="AZ52" s="119">
        <v>0</v>
      </c>
      <c r="BA52" s="119">
        <v>0</v>
      </c>
      <c r="BB52" s="119">
        <v>0</v>
      </c>
      <c r="BC52" s="119">
        <v>0</v>
      </c>
      <c r="BD52" s="119">
        <v>20</v>
      </c>
      <c r="BE52" s="119">
        <v>0</v>
      </c>
      <c r="BF52" t="s">
        <v>381</v>
      </c>
      <c r="BG52" s="119">
        <v>0</v>
      </c>
      <c r="BH52" s="119">
        <v>0</v>
      </c>
      <c r="BI52" s="119">
        <v>0</v>
      </c>
      <c r="BJ52" s="119">
        <v>0</v>
      </c>
      <c r="BK52" s="119">
        <v>0</v>
      </c>
      <c r="BL52" s="119">
        <v>0</v>
      </c>
      <c r="BM52" s="119">
        <v>0</v>
      </c>
      <c r="BN52" s="119">
        <v>0</v>
      </c>
      <c r="BO52" s="119">
        <v>0</v>
      </c>
      <c r="BP52" s="119">
        <v>0</v>
      </c>
      <c r="BQ52" s="119">
        <v>20</v>
      </c>
      <c r="BR52" s="119">
        <v>0</v>
      </c>
      <c r="BS52" t="s">
        <v>382</v>
      </c>
      <c r="BT52" s="119">
        <v>0</v>
      </c>
      <c r="BU52" s="119">
        <v>0</v>
      </c>
      <c r="BV52" s="119">
        <v>0</v>
      </c>
      <c r="BW52" s="119">
        <v>0</v>
      </c>
      <c r="BX52" s="119">
        <v>0</v>
      </c>
      <c r="BY52" s="119">
        <v>0</v>
      </c>
      <c r="BZ52" s="119">
        <v>0</v>
      </c>
      <c r="CA52" s="119">
        <v>0</v>
      </c>
      <c r="CB52" s="119">
        <v>0</v>
      </c>
      <c r="CC52" s="119">
        <v>0</v>
      </c>
      <c r="CD52" s="119">
        <v>20</v>
      </c>
      <c r="CE52" s="119">
        <v>0</v>
      </c>
      <c r="CF52" t="s">
        <v>383</v>
      </c>
      <c r="CG52" s="119">
        <v>0</v>
      </c>
      <c r="CH52" s="119">
        <v>0</v>
      </c>
      <c r="CI52" s="119">
        <v>0</v>
      </c>
      <c r="CJ52" s="119">
        <v>0</v>
      </c>
      <c r="CK52" s="119">
        <v>0</v>
      </c>
      <c r="CL52" s="119">
        <v>0</v>
      </c>
      <c r="CM52" s="119">
        <v>0</v>
      </c>
      <c r="CN52" s="119">
        <v>0</v>
      </c>
      <c r="CO52" s="119">
        <v>0</v>
      </c>
      <c r="CP52" s="119">
        <v>0</v>
      </c>
      <c r="CQ52" s="119">
        <v>20</v>
      </c>
      <c r="CR52" s="119">
        <v>0</v>
      </c>
      <c r="CS52" t="s">
        <v>384</v>
      </c>
      <c r="CT52" s="119">
        <v>0</v>
      </c>
      <c r="CU52" s="119">
        <v>0</v>
      </c>
      <c r="CV52" s="119">
        <v>0</v>
      </c>
      <c r="CW52" s="119">
        <v>0</v>
      </c>
      <c r="CX52" s="119">
        <v>0</v>
      </c>
      <c r="CY52" s="119">
        <v>0</v>
      </c>
      <c r="CZ52" s="119">
        <v>0</v>
      </c>
      <c r="DA52" s="119">
        <v>0</v>
      </c>
      <c r="DB52" s="119">
        <v>0</v>
      </c>
      <c r="DC52" s="119">
        <v>0</v>
      </c>
      <c r="DD52" s="119">
        <v>20</v>
      </c>
      <c r="DE52" s="119">
        <v>0</v>
      </c>
      <c r="DF52" t="s">
        <v>385</v>
      </c>
      <c r="DG52" s="119">
        <v>0</v>
      </c>
      <c r="DH52" s="119">
        <v>0</v>
      </c>
      <c r="DI52" s="119">
        <v>0</v>
      </c>
      <c r="DJ52" s="119">
        <v>0</v>
      </c>
      <c r="DK52" s="119">
        <v>0</v>
      </c>
      <c r="DL52" s="119">
        <v>0</v>
      </c>
      <c r="DM52" s="119">
        <v>0</v>
      </c>
      <c r="DN52" s="119">
        <v>0</v>
      </c>
      <c r="DO52" s="119">
        <v>0</v>
      </c>
      <c r="DP52" s="119">
        <v>0</v>
      </c>
      <c r="DQ52" s="119">
        <v>20</v>
      </c>
      <c r="DR52" s="119">
        <v>0</v>
      </c>
      <c r="DS52" t="s">
        <v>386</v>
      </c>
      <c r="DT52" s="119">
        <v>0</v>
      </c>
      <c r="DU52" s="119">
        <v>0</v>
      </c>
      <c r="DV52" s="119">
        <v>0</v>
      </c>
      <c r="DW52" s="119">
        <v>0</v>
      </c>
      <c r="DX52" s="119">
        <v>0</v>
      </c>
      <c r="DY52" s="119">
        <v>0</v>
      </c>
      <c r="DZ52" s="119">
        <v>0</v>
      </c>
      <c r="EA52" s="119">
        <v>0</v>
      </c>
      <c r="EB52" s="119">
        <v>0</v>
      </c>
      <c r="EC52" s="119">
        <v>0</v>
      </c>
      <c r="ED52" s="119">
        <v>20</v>
      </c>
      <c r="EE52" s="119">
        <v>0</v>
      </c>
      <c r="EF52" t="s">
        <v>387</v>
      </c>
      <c r="EG52" s="119">
        <v>0</v>
      </c>
      <c r="EH52" s="119">
        <v>0</v>
      </c>
      <c r="EI52" s="119">
        <v>0</v>
      </c>
      <c r="EJ52" s="119">
        <v>0</v>
      </c>
      <c r="EK52" s="119">
        <v>0</v>
      </c>
      <c r="EL52" s="119">
        <v>0</v>
      </c>
      <c r="EM52" s="119">
        <v>0</v>
      </c>
      <c r="EN52" s="119">
        <v>0</v>
      </c>
      <c r="EO52" s="119">
        <v>0</v>
      </c>
      <c r="EP52" s="119">
        <v>0</v>
      </c>
      <c r="EQ52" s="119">
        <v>20</v>
      </c>
      <c r="ER52" s="119">
        <v>0</v>
      </c>
      <c r="ES52" t="s">
        <v>388</v>
      </c>
      <c r="ET52" s="119">
        <v>0</v>
      </c>
      <c r="EU52" s="119">
        <v>0</v>
      </c>
      <c r="EV52" s="119">
        <v>0</v>
      </c>
      <c r="EW52" s="119">
        <v>0</v>
      </c>
      <c r="EX52" s="119">
        <v>0</v>
      </c>
      <c r="EY52" s="119">
        <v>0</v>
      </c>
      <c r="EZ52" s="119">
        <v>0</v>
      </c>
      <c r="FA52" s="119">
        <v>0</v>
      </c>
      <c r="FB52" s="119">
        <v>0</v>
      </c>
      <c r="FC52" s="119">
        <v>0</v>
      </c>
      <c r="FD52" s="119">
        <v>20</v>
      </c>
      <c r="FE52" s="119">
        <v>0</v>
      </c>
      <c r="FF52" t="s">
        <v>389</v>
      </c>
      <c r="FG52" s="119">
        <v>0</v>
      </c>
      <c r="FH52" s="119">
        <v>0</v>
      </c>
      <c r="FI52" s="119">
        <v>0</v>
      </c>
      <c r="FJ52" s="119">
        <v>0</v>
      </c>
      <c r="FK52" s="119">
        <v>0</v>
      </c>
      <c r="FL52" s="119">
        <v>0</v>
      </c>
      <c r="FM52" s="119">
        <v>0</v>
      </c>
      <c r="FN52" s="119">
        <v>0</v>
      </c>
      <c r="FO52" s="119">
        <v>0</v>
      </c>
      <c r="FP52" s="119">
        <v>0</v>
      </c>
      <c r="FQ52" s="119">
        <v>20</v>
      </c>
      <c r="FR52" s="119">
        <v>0</v>
      </c>
      <c r="FS52" t="s">
        <v>390</v>
      </c>
      <c r="FT52" s="119">
        <v>0</v>
      </c>
      <c r="FU52" s="119">
        <v>0</v>
      </c>
      <c r="FV52" s="119">
        <v>0</v>
      </c>
      <c r="FW52" s="119">
        <v>0</v>
      </c>
      <c r="FX52" s="119">
        <v>0</v>
      </c>
      <c r="FY52" s="119">
        <v>0</v>
      </c>
      <c r="FZ52" s="119">
        <v>0</v>
      </c>
      <c r="GA52" s="119">
        <v>0</v>
      </c>
      <c r="GB52" s="119">
        <v>0</v>
      </c>
      <c r="GC52" s="119">
        <v>0</v>
      </c>
      <c r="GD52" s="119">
        <v>20</v>
      </c>
      <c r="GE52" s="119">
        <v>0</v>
      </c>
      <c r="GF52" t="s">
        <v>391</v>
      </c>
      <c r="GG52" s="119">
        <v>0</v>
      </c>
      <c r="GH52" s="119">
        <v>0</v>
      </c>
      <c r="GI52" s="119">
        <v>0</v>
      </c>
      <c r="GJ52" s="119">
        <v>0</v>
      </c>
      <c r="GK52" s="119">
        <v>0</v>
      </c>
      <c r="GL52" s="119">
        <v>0</v>
      </c>
      <c r="GM52" s="119">
        <v>0</v>
      </c>
      <c r="GN52" s="119">
        <v>0</v>
      </c>
      <c r="GO52" s="119">
        <v>0</v>
      </c>
      <c r="GP52" s="119">
        <v>0</v>
      </c>
      <c r="GQ52" s="119">
        <v>20</v>
      </c>
      <c r="GR52" s="119">
        <v>0</v>
      </c>
      <c r="HJ52"/>
      <c r="HK52" s="115"/>
      <c r="HR52" s="116"/>
      <c r="HT52" s="117"/>
      <c r="HY52"/>
      <c r="HZ52"/>
      <c r="IA52"/>
    </row>
    <row r="53" spans="1:235" x14ac:dyDescent="0.25">
      <c r="A53">
        <v>53</v>
      </c>
      <c r="B53" s="115">
        <v>43297</v>
      </c>
      <c r="C53" t="s">
        <v>369</v>
      </c>
      <c r="D53" t="s">
        <v>370</v>
      </c>
      <c r="E53" t="s">
        <v>371</v>
      </c>
      <c r="F53" t="s">
        <v>372</v>
      </c>
      <c r="H53" t="s">
        <v>373</v>
      </c>
      <c r="I53" s="116">
        <v>39100</v>
      </c>
      <c r="J53" t="s">
        <v>374</v>
      </c>
      <c r="K53" s="117" t="s">
        <v>375</v>
      </c>
      <c r="N53" t="s">
        <v>423</v>
      </c>
      <c r="P53">
        <v>1457.14</v>
      </c>
      <c r="Q53">
        <v>1214.29</v>
      </c>
      <c r="R53">
        <v>242.86</v>
      </c>
      <c r="S53" t="s">
        <v>378</v>
      </c>
      <c r="T53" s="118">
        <v>500</v>
      </c>
      <c r="U53" s="118">
        <v>214.29</v>
      </c>
      <c r="V53" s="118">
        <v>714.29</v>
      </c>
      <c r="W53" s="119">
        <v>30</v>
      </c>
      <c r="X53" s="119">
        <v>10</v>
      </c>
      <c r="Y53" s="119">
        <v>50</v>
      </c>
      <c r="Z53" s="119">
        <v>500</v>
      </c>
      <c r="AA53" s="119">
        <v>714.29</v>
      </c>
      <c r="AB53" s="119">
        <v>71.430000000000007</v>
      </c>
      <c r="AC53" s="119">
        <v>1214.29</v>
      </c>
      <c r="AD53" s="119">
        <v>20</v>
      </c>
      <c r="AE53" s="119">
        <v>242.86</v>
      </c>
      <c r="AF53" t="s">
        <v>379</v>
      </c>
      <c r="AG53" s="119">
        <v>0</v>
      </c>
      <c r="AH53" s="119">
        <v>0</v>
      </c>
      <c r="AI53" s="119">
        <v>0</v>
      </c>
      <c r="AJ53" s="119">
        <v>0</v>
      </c>
      <c r="AK53" s="119">
        <v>0</v>
      </c>
      <c r="AL53" s="119">
        <v>0</v>
      </c>
      <c r="AM53" s="119">
        <v>0</v>
      </c>
      <c r="AN53" s="119">
        <v>0</v>
      </c>
      <c r="AO53" s="119">
        <v>0</v>
      </c>
      <c r="AP53" s="119">
        <v>0</v>
      </c>
      <c r="AQ53" s="119">
        <v>20</v>
      </c>
      <c r="AR53" s="119">
        <v>0</v>
      </c>
      <c r="AS53" t="s">
        <v>380</v>
      </c>
      <c r="AT53" s="119">
        <v>0</v>
      </c>
      <c r="AU53" s="119">
        <v>0</v>
      </c>
      <c r="AV53" s="119">
        <v>0</v>
      </c>
      <c r="AW53" s="119">
        <v>0</v>
      </c>
      <c r="AX53" s="119">
        <v>0</v>
      </c>
      <c r="AY53" s="119">
        <v>0</v>
      </c>
      <c r="AZ53" s="119">
        <v>0</v>
      </c>
      <c r="BA53" s="119">
        <v>0</v>
      </c>
      <c r="BB53" s="119">
        <v>0</v>
      </c>
      <c r="BC53" s="119">
        <v>0</v>
      </c>
      <c r="BD53" s="119">
        <v>20</v>
      </c>
      <c r="BE53" s="119">
        <v>0</v>
      </c>
      <c r="BF53" t="s">
        <v>381</v>
      </c>
      <c r="BG53" s="119">
        <v>0</v>
      </c>
      <c r="BH53" s="119">
        <v>0</v>
      </c>
      <c r="BI53" s="119">
        <v>0</v>
      </c>
      <c r="BJ53" s="119">
        <v>0</v>
      </c>
      <c r="BK53" s="119">
        <v>0</v>
      </c>
      <c r="BL53" s="119">
        <v>0</v>
      </c>
      <c r="BM53" s="119">
        <v>0</v>
      </c>
      <c r="BN53" s="119">
        <v>0</v>
      </c>
      <c r="BO53" s="119">
        <v>0</v>
      </c>
      <c r="BP53" s="119">
        <v>0</v>
      </c>
      <c r="BQ53" s="119">
        <v>20</v>
      </c>
      <c r="BR53" s="119">
        <v>0</v>
      </c>
      <c r="BS53" t="s">
        <v>382</v>
      </c>
      <c r="BT53" s="119">
        <v>0</v>
      </c>
      <c r="BU53" s="119">
        <v>0</v>
      </c>
      <c r="BV53" s="119">
        <v>0</v>
      </c>
      <c r="BW53" s="119">
        <v>0</v>
      </c>
      <c r="BX53" s="119">
        <v>0</v>
      </c>
      <c r="BY53" s="119">
        <v>0</v>
      </c>
      <c r="BZ53" s="119">
        <v>0</v>
      </c>
      <c r="CA53" s="119">
        <v>0</v>
      </c>
      <c r="CB53" s="119">
        <v>0</v>
      </c>
      <c r="CC53" s="119">
        <v>0</v>
      </c>
      <c r="CD53" s="119">
        <v>20</v>
      </c>
      <c r="CE53" s="119">
        <v>0</v>
      </c>
      <c r="CF53" t="s">
        <v>383</v>
      </c>
      <c r="CG53" s="119">
        <v>0</v>
      </c>
      <c r="CH53" s="119">
        <v>0</v>
      </c>
      <c r="CI53" s="119">
        <v>0</v>
      </c>
      <c r="CJ53" s="119">
        <v>0</v>
      </c>
      <c r="CK53" s="119">
        <v>0</v>
      </c>
      <c r="CL53" s="119">
        <v>0</v>
      </c>
      <c r="CM53" s="119">
        <v>0</v>
      </c>
      <c r="CN53" s="119">
        <v>0</v>
      </c>
      <c r="CO53" s="119">
        <v>0</v>
      </c>
      <c r="CP53" s="119">
        <v>0</v>
      </c>
      <c r="CQ53" s="119">
        <v>20</v>
      </c>
      <c r="CR53" s="119">
        <v>0</v>
      </c>
      <c r="CS53" t="s">
        <v>384</v>
      </c>
      <c r="CT53" s="119">
        <v>0</v>
      </c>
      <c r="CU53" s="119">
        <v>0</v>
      </c>
      <c r="CV53" s="119">
        <v>0</v>
      </c>
      <c r="CW53" s="119">
        <v>0</v>
      </c>
      <c r="CX53" s="119">
        <v>0</v>
      </c>
      <c r="CY53" s="119">
        <v>0</v>
      </c>
      <c r="CZ53" s="119">
        <v>0</v>
      </c>
      <c r="DA53" s="119">
        <v>0</v>
      </c>
      <c r="DB53" s="119">
        <v>0</v>
      </c>
      <c r="DC53" s="119">
        <v>0</v>
      </c>
      <c r="DD53" s="119">
        <v>20</v>
      </c>
      <c r="DE53" s="119">
        <v>0</v>
      </c>
      <c r="DF53" t="s">
        <v>385</v>
      </c>
      <c r="DG53" s="119">
        <v>0</v>
      </c>
      <c r="DH53" s="119">
        <v>0</v>
      </c>
      <c r="DI53" s="119">
        <v>0</v>
      </c>
      <c r="DJ53" s="119">
        <v>0</v>
      </c>
      <c r="DK53" s="119">
        <v>0</v>
      </c>
      <c r="DL53" s="119">
        <v>0</v>
      </c>
      <c r="DM53" s="119">
        <v>0</v>
      </c>
      <c r="DN53" s="119">
        <v>0</v>
      </c>
      <c r="DO53" s="119">
        <v>0</v>
      </c>
      <c r="DP53" s="119">
        <v>0</v>
      </c>
      <c r="DQ53" s="119">
        <v>20</v>
      </c>
      <c r="DR53" s="119">
        <v>0</v>
      </c>
      <c r="DS53" t="s">
        <v>386</v>
      </c>
      <c r="DT53" s="119">
        <v>0</v>
      </c>
      <c r="DU53" s="119">
        <v>0</v>
      </c>
      <c r="DV53" s="119">
        <v>0</v>
      </c>
      <c r="DW53" s="119">
        <v>0</v>
      </c>
      <c r="DX53" s="119">
        <v>0</v>
      </c>
      <c r="DY53" s="119">
        <v>0</v>
      </c>
      <c r="DZ53" s="119">
        <v>0</v>
      </c>
      <c r="EA53" s="119">
        <v>0</v>
      </c>
      <c r="EB53" s="119">
        <v>0</v>
      </c>
      <c r="EC53" s="119">
        <v>0</v>
      </c>
      <c r="ED53" s="119">
        <v>20</v>
      </c>
      <c r="EE53" s="119">
        <v>0</v>
      </c>
      <c r="EF53" t="s">
        <v>387</v>
      </c>
      <c r="EG53" s="119">
        <v>0</v>
      </c>
      <c r="EH53" s="119">
        <v>0</v>
      </c>
      <c r="EI53" s="119">
        <v>0</v>
      </c>
      <c r="EJ53" s="119">
        <v>0</v>
      </c>
      <c r="EK53" s="119">
        <v>0</v>
      </c>
      <c r="EL53" s="119">
        <v>0</v>
      </c>
      <c r="EM53" s="119">
        <v>0</v>
      </c>
      <c r="EN53" s="119">
        <v>0</v>
      </c>
      <c r="EO53" s="119">
        <v>0</v>
      </c>
      <c r="EP53" s="119">
        <v>0</v>
      </c>
      <c r="EQ53" s="119">
        <v>20</v>
      </c>
      <c r="ER53" s="119">
        <v>0</v>
      </c>
      <c r="ES53" t="s">
        <v>388</v>
      </c>
      <c r="ET53" s="119">
        <v>0</v>
      </c>
      <c r="EU53" s="119">
        <v>0</v>
      </c>
      <c r="EV53" s="119">
        <v>0</v>
      </c>
      <c r="EW53" s="119">
        <v>0</v>
      </c>
      <c r="EX53" s="119">
        <v>0</v>
      </c>
      <c r="EY53" s="119">
        <v>0</v>
      </c>
      <c r="EZ53" s="119">
        <v>0</v>
      </c>
      <c r="FA53" s="119">
        <v>0</v>
      </c>
      <c r="FB53" s="119">
        <v>0</v>
      </c>
      <c r="FC53" s="119">
        <v>0</v>
      </c>
      <c r="FD53" s="119">
        <v>20</v>
      </c>
      <c r="FE53" s="119">
        <v>0</v>
      </c>
      <c r="FF53" t="s">
        <v>389</v>
      </c>
      <c r="FG53" s="119">
        <v>0</v>
      </c>
      <c r="FH53" s="119">
        <v>0</v>
      </c>
      <c r="FI53" s="119">
        <v>0</v>
      </c>
      <c r="FJ53" s="119">
        <v>0</v>
      </c>
      <c r="FK53" s="119">
        <v>0</v>
      </c>
      <c r="FL53" s="119">
        <v>0</v>
      </c>
      <c r="FM53" s="119">
        <v>0</v>
      </c>
      <c r="FN53" s="119">
        <v>0</v>
      </c>
      <c r="FO53" s="119">
        <v>0</v>
      </c>
      <c r="FP53" s="119">
        <v>0</v>
      </c>
      <c r="FQ53" s="119">
        <v>20</v>
      </c>
      <c r="FR53" s="119">
        <v>0</v>
      </c>
      <c r="FS53" t="s">
        <v>390</v>
      </c>
      <c r="FT53" s="119">
        <v>0</v>
      </c>
      <c r="FU53" s="119">
        <v>0</v>
      </c>
      <c r="FV53" s="119">
        <v>0</v>
      </c>
      <c r="FW53" s="119">
        <v>0</v>
      </c>
      <c r="FX53" s="119">
        <v>0</v>
      </c>
      <c r="FY53" s="119">
        <v>0</v>
      </c>
      <c r="FZ53" s="119">
        <v>0</v>
      </c>
      <c r="GA53" s="119">
        <v>0</v>
      </c>
      <c r="GB53" s="119">
        <v>0</v>
      </c>
      <c r="GC53" s="119">
        <v>0</v>
      </c>
      <c r="GD53" s="119">
        <v>20</v>
      </c>
      <c r="GE53" s="119">
        <v>0</v>
      </c>
      <c r="GF53" t="s">
        <v>391</v>
      </c>
      <c r="GG53" s="119">
        <v>0</v>
      </c>
      <c r="GH53" s="119">
        <v>0</v>
      </c>
      <c r="GI53" s="119">
        <v>0</v>
      </c>
      <c r="GJ53" s="119">
        <v>0</v>
      </c>
      <c r="GK53" s="119">
        <v>0</v>
      </c>
      <c r="GL53" s="119">
        <v>0</v>
      </c>
      <c r="GM53" s="119">
        <v>0</v>
      </c>
      <c r="GN53" s="119">
        <v>0</v>
      </c>
      <c r="GO53" s="119">
        <v>0</v>
      </c>
      <c r="GP53" s="119">
        <v>0</v>
      </c>
      <c r="GQ53" s="119">
        <v>20</v>
      </c>
      <c r="GR53" s="119">
        <v>0</v>
      </c>
      <c r="HJ53"/>
      <c r="HK53" s="115"/>
      <c r="HR53" s="116"/>
      <c r="HT53" s="117"/>
      <c r="HY53"/>
      <c r="HZ53"/>
      <c r="IA53"/>
    </row>
    <row r="54" spans="1:235" x14ac:dyDescent="0.25">
      <c r="A54">
        <v>54</v>
      </c>
      <c r="B54" s="115">
        <v>43297</v>
      </c>
      <c r="C54" t="s">
        <v>424</v>
      </c>
      <c r="D54" t="s">
        <v>425</v>
      </c>
      <c r="E54" t="s">
        <v>430</v>
      </c>
      <c r="F54" t="s">
        <v>426</v>
      </c>
      <c r="G54" t="s">
        <v>427</v>
      </c>
      <c r="H54" t="s">
        <v>428</v>
      </c>
      <c r="I54" s="116">
        <v>21130</v>
      </c>
      <c r="J54" t="s">
        <v>429</v>
      </c>
      <c r="K54" s="117" t="s">
        <v>431</v>
      </c>
      <c r="N54" t="s">
        <v>423</v>
      </c>
      <c r="P54">
        <v>3632.37</v>
      </c>
      <c r="Q54">
        <v>3026.97</v>
      </c>
      <c r="R54">
        <v>605.39</v>
      </c>
      <c r="S54" t="s">
        <v>378</v>
      </c>
      <c r="T54" s="118">
        <v>611</v>
      </c>
      <c r="U54" s="118">
        <v>75.52</v>
      </c>
      <c r="V54" s="118">
        <v>686.52</v>
      </c>
      <c r="W54" s="119">
        <v>11</v>
      </c>
      <c r="X54" s="119">
        <v>11</v>
      </c>
      <c r="Y54" s="119">
        <v>71</v>
      </c>
      <c r="Z54" s="119">
        <v>781</v>
      </c>
      <c r="AA54" s="119">
        <v>856.52</v>
      </c>
      <c r="AB54" s="119">
        <v>77.87</v>
      </c>
      <c r="AC54" s="119">
        <v>1467.52</v>
      </c>
      <c r="AD54" s="119">
        <v>20</v>
      </c>
      <c r="AE54" s="119">
        <v>293.5</v>
      </c>
      <c r="AF54" t="s">
        <v>379</v>
      </c>
      <c r="AG54" s="119">
        <v>612</v>
      </c>
      <c r="AH54" s="119">
        <v>83.45</v>
      </c>
      <c r="AI54" s="119">
        <v>695.45</v>
      </c>
      <c r="AJ54" s="119">
        <v>12</v>
      </c>
      <c r="AK54" s="119">
        <v>12</v>
      </c>
      <c r="AL54" s="119">
        <v>72</v>
      </c>
      <c r="AM54" s="119">
        <v>864</v>
      </c>
      <c r="AN54" s="119">
        <v>947.45</v>
      </c>
      <c r="AO54" s="119">
        <v>78.95</v>
      </c>
      <c r="AP54" s="119">
        <v>1559.45</v>
      </c>
      <c r="AQ54" s="119">
        <v>20</v>
      </c>
      <c r="AR54" s="119">
        <v>311.89</v>
      </c>
      <c r="AS54" t="s">
        <v>380</v>
      </c>
      <c r="AT54" s="119">
        <v>0</v>
      </c>
      <c r="AU54" s="119">
        <v>0</v>
      </c>
      <c r="AV54" s="119">
        <v>0</v>
      </c>
      <c r="AW54" s="119">
        <v>0</v>
      </c>
      <c r="AX54" s="119">
        <v>0</v>
      </c>
      <c r="AY54" s="119">
        <v>0</v>
      </c>
      <c r="AZ54" s="119">
        <v>0</v>
      </c>
      <c r="BA54" s="119">
        <v>0</v>
      </c>
      <c r="BB54" s="119">
        <v>0</v>
      </c>
      <c r="BC54" s="119">
        <v>0</v>
      </c>
      <c r="BD54" s="119">
        <v>20</v>
      </c>
      <c r="BE54" s="119">
        <v>0</v>
      </c>
      <c r="BF54" t="s">
        <v>381</v>
      </c>
      <c r="BG54" s="119">
        <v>0</v>
      </c>
      <c r="BH54" s="119">
        <v>0</v>
      </c>
      <c r="BI54" s="119">
        <v>0</v>
      </c>
      <c r="BJ54" s="119">
        <v>0</v>
      </c>
      <c r="BK54" s="119">
        <v>0</v>
      </c>
      <c r="BL54" s="119">
        <v>0</v>
      </c>
      <c r="BM54" s="119">
        <v>0</v>
      </c>
      <c r="BN54" s="119">
        <v>0</v>
      </c>
      <c r="BO54" s="119">
        <v>0</v>
      </c>
      <c r="BP54" s="119">
        <v>0</v>
      </c>
      <c r="BQ54" s="119">
        <v>20</v>
      </c>
      <c r="BR54" s="119">
        <v>0</v>
      </c>
      <c r="BS54" t="s">
        <v>382</v>
      </c>
      <c r="BT54" s="119">
        <v>0</v>
      </c>
      <c r="BU54" s="119">
        <v>0</v>
      </c>
      <c r="BV54" s="119">
        <v>0</v>
      </c>
      <c r="BW54" s="119">
        <v>0</v>
      </c>
      <c r="BX54" s="119">
        <v>0</v>
      </c>
      <c r="BY54" s="119">
        <v>0</v>
      </c>
      <c r="BZ54" s="119">
        <v>0</v>
      </c>
      <c r="CA54" s="119">
        <v>0</v>
      </c>
      <c r="CB54" s="119">
        <v>0</v>
      </c>
      <c r="CC54" s="119">
        <v>0</v>
      </c>
      <c r="CD54" s="119">
        <v>20</v>
      </c>
      <c r="CE54" s="119">
        <v>0</v>
      </c>
      <c r="CF54" t="s">
        <v>383</v>
      </c>
      <c r="CG54" s="119">
        <v>0</v>
      </c>
      <c r="CH54" s="119">
        <v>0</v>
      </c>
      <c r="CI54" s="119">
        <v>0</v>
      </c>
      <c r="CJ54" s="119">
        <v>0</v>
      </c>
      <c r="CK54" s="119">
        <v>0</v>
      </c>
      <c r="CL54" s="119">
        <v>0</v>
      </c>
      <c r="CM54" s="119">
        <v>0</v>
      </c>
      <c r="CN54" s="119">
        <v>0</v>
      </c>
      <c r="CO54" s="119">
        <v>0</v>
      </c>
      <c r="CP54" s="119">
        <v>0</v>
      </c>
      <c r="CQ54" s="119">
        <v>20</v>
      </c>
      <c r="CR54" s="119">
        <v>0</v>
      </c>
      <c r="CS54" t="s">
        <v>384</v>
      </c>
      <c r="CT54" s="119">
        <v>0</v>
      </c>
      <c r="CU54" s="119">
        <v>0</v>
      </c>
      <c r="CV54" s="119">
        <v>0</v>
      </c>
      <c r="CW54" s="119">
        <v>0</v>
      </c>
      <c r="CX54" s="119">
        <v>0</v>
      </c>
      <c r="CY54" s="119">
        <v>0</v>
      </c>
      <c r="CZ54" s="119">
        <v>0</v>
      </c>
      <c r="DA54" s="119">
        <v>0</v>
      </c>
      <c r="DB54" s="119">
        <v>0</v>
      </c>
      <c r="DC54" s="119">
        <v>0</v>
      </c>
      <c r="DD54" s="119">
        <v>20</v>
      </c>
      <c r="DE54" s="119">
        <v>0</v>
      </c>
      <c r="DF54" t="s">
        <v>385</v>
      </c>
      <c r="DG54" s="119">
        <v>0</v>
      </c>
      <c r="DH54" s="119">
        <v>0</v>
      </c>
      <c r="DI54" s="119">
        <v>0</v>
      </c>
      <c r="DJ54" s="119">
        <v>0</v>
      </c>
      <c r="DK54" s="119">
        <v>0</v>
      </c>
      <c r="DL54" s="119">
        <v>0</v>
      </c>
      <c r="DM54" s="119">
        <v>0</v>
      </c>
      <c r="DN54" s="119">
        <v>0</v>
      </c>
      <c r="DO54" s="119">
        <v>0</v>
      </c>
      <c r="DP54" s="119">
        <v>0</v>
      </c>
      <c r="DQ54" s="119">
        <v>20</v>
      </c>
      <c r="DR54" s="119">
        <v>0</v>
      </c>
      <c r="DS54" t="s">
        <v>386</v>
      </c>
      <c r="DT54" s="119">
        <v>0</v>
      </c>
      <c r="DU54" s="119">
        <v>0</v>
      </c>
      <c r="DV54" s="119">
        <v>0</v>
      </c>
      <c r="DW54" s="119">
        <v>0</v>
      </c>
      <c r="DX54" s="119">
        <v>0</v>
      </c>
      <c r="DY54" s="119">
        <v>0</v>
      </c>
      <c r="DZ54" s="119">
        <v>0</v>
      </c>
      <c r="EA54" s="119">
        <v>0</v>
      </c>
      <c r="EB54" s="119">
        <v>0</v>
      </c>
      <c r="EC54" s="119">
        <v>0</v>
      </c>
      <c r="ED54" s="119">
        <v>20</v>
      </c>
      <c r="EE54" s="119">
        <v>0</v>
      </c>
      <c r="EF54" t="s">
        <v>387</v>
      </c>
      <c r="EG54" s="119">
        <v>0</v>
      </c>
      <c r="EH54" s="119">
        <v>0</v>
      </c>
      <c r="EI54" s="119">
        <v>0</v>
      </c>
      <c r="EJ54" s="119">
        <v>0</v>
      </c>
      <c r="EK54" s="119">
        <v>0</v>
      </c>
      <c r="EL54" s="119">
        <v>0</v>
      </c>
      <c r="EM54" s="119">
        <v>0</v>
      </c>
      <c r="EN54" s="119">
        <v>0</v>
      </c>
      <c r="EO54" s="119">
        <v>0</v>
      </c>
      <c r="EP54" s="119">
        <v>0</v>
      </c>
      <c r="EQ54" s="119">
        <v>20</v>
      </c>
      <c r="ER54" s="119">
        <v>0</v>
      </c>
      <c r="ES54" t="s">
        <v>388</v>
      </c>
      <c r="ET54" s="119">
        <v>0</v>
      </c>
      <c r="EU54" s="119">
        <v>0</v>
      </c>
      <c r="EV54" s="119">
        <v>0</v>
      </c>
      <c r="EW54" s="119">
        <v>0</v>
      </c>
      <c r="EX54" s="119">
        <v>0</v>
      </c>
      <c r="EY54" s="119">
        <v>0</v>
      </c>
      <c r="EZ54" s="119">
        <v>0</v>
      </c>
      <c r="FA54" s="119">
        <v>0</v>
      </c>
      <c r="FB54" s="119">
        <v>0</v>
      </c>
      <c r="FC54" s="119">
        <v>0</v>
      </c>
      <c r="FD54" s="119">
        <v>20</v>
      </c>
      <c r="FE54" s="119">
        <v>0</v>
      </c>
      <c r="FF54" t="s">
        <v>389</v>
      </c>
      <c r="FG54" s="119">
        <v>0</v>
      </c>
      <c r="FH54" s="119">
        <v>0</v>
      </c>
      <c r="FI54" s="119">
        <v>0</v>
      </c>
      <c r="FJ54" s="119">
        <v>0</v>
      </c>
      <c r="FK54" s="119">
        <v>0</v>
      </c>
      <c r="FL54" s="119">
        <v>0</v>
      </c>
      <c r="FM54" s="119">
        <v>0</v>
      </c>
      <c r="FN54" s="119">
        <v>0</v>
      </c>
      <c r="FO54" s="119">
        <v>0</v>
      </c>
      <c r="FP54" s="119">
        <v>0</v>
      </c>
      <c r="FQ54" s="119">
        <v>20</v>
      </c>
      <c r="FR54" s="119">
        <v>0</v>
      </c>
      <c r="FS54" t="s">
        <v>390</v>
      </c>
      <c r="FT54" s="119">
        <v>0</v>
      </c>
      <c r="FU54" s="119">
        <v>0</v>
      </c>
      <c r="FV54" s="119">
        <v>0</v>
      </c>
      <c r="FW54" s="119">
        <v>0</v>
      </c>
      <c r="FX54" s="119">
        <v>0</v>
      </c>
      <c r="FY54" s="119">
        <v>0</v>
      </c>
      <c r="FZ54" s="119">
        <v>0</v>
      </c>
      <c r="GA54" s="119">
        <v>0</v>
      </c>
      <c r="GB54" s="119">
        <v>0</v>
      </c>
      <c r="GC54" s="119">
        <v>0</v>
      </c>
      <c r="GD54" s="119">
        <v>20</v>
      </c>
      <c r="GE54" s="119">
        <v>0</v>
      </c>
      <c r="GF54" t="s">
        <v>391</v>
      </c>
      <c r="GG54" s="119">
        <v>0</v>
      </c>
      <c r="GH54" s="119">
        <v>0</v>
      </c>
      <c r="GI54" s="119">
        <v>0</v>
      </c>
      <c r="GJ54" s="119">
        <v>0</v>
      </c>
      <c r="GK54" s="119">
        <v>0</v>
      </c>
      <c r="GL54" s="119">
        <v>0</v>
      </c>
      <c r="GM54" s="119">
        <v>0</v>
      </c>
      <c r="GN54" s="119">
        <v>0</v>
      </c>
      <c r="GO54" s="119">
        <v>0</v>
      </c>
      <c r="GP54" s="119">
        <v>0</v>
      </c>
      <c r="GQ54" s="119">
        <v>20</v>
      </c>
      <c r="GR54" s="119">
        <v>0</v>
      </c>
      <c r="HJ54"/>
      <c r="HK54" s="115"/>
      <c r="HR54" s="116"/>
      <c r="HT54" s="117"/>
      <c r="HY54"/>
      <c r="HZ54"/>
      <c r="IA54"/>
    </row>
    <row r="55" spans="1:235" x14ac:dyDescent="0.25">
      <c r="A55">
        <v>55</v>
      </c>
      <c r="B55" s="115">
        <v>43297</v>
      </c>
      <c r="C55" t="s">
        <v>392</v>
      </c>
      <c r="D55" t="s">
        <v>393</v>
      </c>
      <c r="E55" t="s">
        <v>394</v>
      </c>
      <c r="H55" t="s">
        <v>397</v>
      </c>
      <c r="I55" s="116">
        <v>25000</v>
      </c>
      <c r="J55" t="s">
        <v>398</v>
      </c>
      <c r="K55" s="117" t="s">
        <v>399</v>
      </c>
      <c r="N55" t="s">
        <v>423</v>
      </c>
      <c r="P55">
        <v>336.44</v>
      </c>
      <c r="Q55">
        <v>280.36</v>
      </c>
      <c r="R55">
        <v>56.07</v>
      </c>
      <c r="S55" t="s">
        <v>378</v>
      </c>
      <c r="T55" s="118">
        <v>120</v>
      </c>
      <c r="U55" s="118">
        <v>16.36</v>
      </c>
      <c r="V55" s="118">
        <v>136.36000000000001</v>
      </c>
      <c r="W55" s="119">
        <v>12</v>
      </c>
      <c r="X55" s="119">
        <v>12</v>
      </c>
      <c r="Y55" s="119">
        <v>12</v>
      </c>
      <c r="Z55" s="119">
        <v>144</v>
      </c>
      <c r="AA55" s="119">
        <v>160.36000000000001</v>
      </c>
      <c r="AB55" s="119">
        <v>13.36</v>
      </c>
      <c r="AC55" s="119">
        <v>280.36</v>
      </c>
      <c r="AD55" s="119">
        <v>20</v>
      </c>
      <c r="AE55" s="119">
        <v>56.07</v>
      </c>
      <c r="AF55" t="s">
        <v>379</v>
      </c>
      <c r="AG55" s="119">
        <v>0</v>
      </c>
      <c r="AH55" s="119">
        <v>0</v>
      </c>
      <c r="AI55" s="119">
        <v>0</v>
      </c>
      <c r="AJ55" s="119">
        <v>0</v>
      </c>
      <c r="AK55" s="119">
        <v>0</v>
      </c>
      <c r="AL55" s="119">
        <v>0</v>
      </c>
      <c r="AM55" s="119">
        <v>0</v>
      </c>
      <c r="AN55" s="119">
        <v>0</v>
      </c>
      <c r="AO55" s="119">
        <v>0</v>
      </c>
      <c r="AP55" s="119">
        <v>0</v>
      </c>
      <c r="AQ55" s="119">
        <v>20</v>
      </c>
      <c r="AR55" s="119">
        <v>0</v>
      </c>
      <c r="AS55" t="s">
        <v>380</v>
      </c>
      <c r="AT55" s="119">
        <v>0</v>
      </c>
      <c r="AU55" s="119">
        <v>0</v>
      </c>
      <c r="AV55" s="119">
        <v>0</v>
      </c>
      <c r="AW55" s="119">
        <v>0</v>
      </c>
      <c r="AX55" s="119">
        <v>0</v>
      </c>
      <c r="AY55" s="119">
        <v>0</v>
      </c>
      <c r="AZ55" s="119">
        <v>0</v>
      </c>
      <c r="BA55" s="119">
        <v>0</v>
      </c>
      <c r="BB55" s="119">
        <v>0</v>
      </c>
      <c r="BC55" s="119">
        <v>0</v>
      </c>
      <c r="BD55" s="119">
        <v>20</v>
      </c>
      <c r="BE55" s="119">
        <v>0</v>
      </c>
      <c r="BF55" t="s">
        <v>381</v>
      </c>
      <c r="BG55" s="119">
        <v>0</v>
      </c>
      <c r="BH55" s="119">
        <v>0</v>
      </c>
      <c r="BI55" s="119">
        <v>0</v>
      </c>
      <c r="BJ55" s="119">
        <v>0</v>
      </c>
      <c r="BK55" s="119">
        <v>0</v>
      </c>
      <c r="BL55" s="119">
        <v>0</v>
      </c>
      <c r="BM55" s="119">
        <v>0</v>
      </c>
      <c r="BN55" s="119">
        <v>0</v>
      </c>
      <c r="BO55" s="119">
        <v>0</v>
      </c>
      <c r="BP55" s="119">
        <v>0</v>
      </c>
      <c r="BQ55" s="119">
        <v>20</v>
      </c>
      <c r="BR55" s="119">
        <v>0</v>
      </c>
      <c r="BS55" t="s">
        <v>382</v>
      </c>
      <c r="BT55" s="119">
        <v>0</v>
      </c>
      <c r="BU55" s="119">
        <v>0</v>
      </c>
      <c r="BV55" s="119">
        <v>0</v>
      </c>
      <c r="BW55" s="119">
        <v>0</v>
      </c>
      <c r="BX55" s="119">
        <v>0</v>
      </c>
      <c r="BY55" s="119">
        <v>0</v>
      </c>
      <c r="BZ55" s="119">
        <v>0</v>
      </c>
      <c r="CA55" s="119">
        <v>0</v>
      </c>
      <c r="CB55" s="119">
        <v>0</v>
      </c>
      <c r="CC55" s="119">
        <v>0</v>
      </c>
      <c r="CD55" s="119">
        <v>20</v>
      </c>
      <c r="CE55" s="119">
        <v>0</v>
      </c>
      <c r="CF55" t="s">
        <v>383</v>
      </c>
      <c r="CG55" s="119">
        <v>0</v>
      </c>
      <c r="CH55" s="119">
        <v>0</v>
      </c>
      <c r="CI55" s="119">
        <v>0</v>
      </c>
      <c r="CJ55" s="119">
        <v>0</v>
      </c>
      <c r="CK55" s="119">
        <v>0</v>
      </c>
      <c r="CL55" s="119">
        <v>0</v>
      </c>
      <c r="CM55" s="119">
        <v>0</v>
      </c>
      <c r="CN55" s="119">
        <v>0</v>
      </c>
      <c r="CO55" s="119">
        <v>0</v>
      </c>
      <c r="CP55" s="119">
        <v>0</v>
      </c>
      <c r="CQ55" s="119">
        <v>20</v>
      </c>
      <c r="CR55" s="119">
        <v>0</v>
      </c>
      <c r="CS55" t="s">
        <v>384</v>
      </c>
      <c r="CT55" s="119">
        <v>0</v>
      </c>
      <c r="CU55" s="119">
        <v>0</v>
      </c>
      <c r="CV55" s="119">
        <v>0</v>
      </c>
      <c r="CW55" s="119">
        <v>0</v>
      </c>
      <c r="CX55" s="119">
        <v>0</v>
      </c>
      <c r="CY55" s="119">
        <v>0</v>
      </c>
      <c r="CZ55" s="119">
        <v>0</v>
      </c>
      <c r="DA55" s="119">
        <v>0</v>
      </c>
      <c r="DB55" s="119">
        <v>0</v>
      </c>
      <c r="DC55" s="119">
        <v>0</v>
      </c>
      <c r="DD55" s="119">
        <v>20</v>
      </c>
      <c r="DE55" s="119">
        <v>0</v>
      </c>
      <c r="DF55" t="s">
        <v>385</v>
      </c>
      <c r="DG55" s="119">
        <v>0</v>
      </c>
      <c r="DH55" s="119">
        <v>0</v>
      </c>
      <c r="DI55" s="119">
        <v>0</v>
      </c>
      <c r="DJ55" s="119">
        <v>0</v>
      </c>
      <c r="DK55" s="119">
        <v>0</v>
      </c>
      <c r="DL55" s="119">
        <v>0</v>
      </c>
      <c r="DM55" s="119">
        <v>0</v>
      </c>
      <c r="DN55" s="119">
        <v>0</v>
      </c>
      <c r="DO55" s="119">
        <v>0</v>
      </c>
      <c r="DP55" s="119">
        <v>0</v>
      </c>
      <c r="DQ55" s="119">
        <v>20</v>
      </c>
      <c r="DR55" s="119">
        <v>0</v>
      </c>
      <c r="DS55" t="s">
        <v>386</v>
      </c>
      <c r="DT55" s="119">
        <v>0</v>
      </c>
      <c r="DU55" s="119">
        <v>0</v>
      </c>
      <c r="DV55" s="119">
        <v>0</v>
      </c>
      <c r="DW55" s="119">
        <v>0</v>
      </c>
      <c r="DX55" s="119">
        <v>0</v>
      </c>
      <c r="DY55" s="119">
        <v>0</v>
      </c>
      <c r="DZ55" s="119">
        <v>0</v>
      </c>
      <c r="EA55" s="119">
        <v>0</v>
      </c>
      <c r="EB55" s="119">
        <v>0</v>
      </c>
      <c r="EC55" s="119">
        <v>0</v>
      </c>
      <c r="ED55" s="119">
        <v>20</v>
      </c>
      <c r="EE55" s="119">
        <v>0</v>
      </c>
      <c r="EF55" t="s">
        <v>387</v>
      </c>
      <c r="EG55" s="119">
        <v>0</v>
      </c>
      <c r="EH55" s="119">
        <v>0</v>
      </c>
      <c r="EI55" s="119">
        <v>0</v>
      </c>
      <c r="EJ55" s="119">
        <v>0</v>
      </c>
      <c r="EK55" s="119">
        <v>0</v>
      </c>
      <c r="EL55" s="119">
        <v>0</v>
      </c>
      <c r="EM55" s="119">
        <v>0</v>
      </c>
      <c r="EN55" s="119">
        <v>0</v>
      </c>
      <c r="EO55" s="119">
        <v>0</v>
      </c>
      <c r="EP55" s="119">
        <v>0</v>
      </c>
      <c r="EQ55" s="119">
        <v>20</v>
      </c>
      <c r="ER55" s="119">
        <v>0</v>
      </c>
      <c r="ES55" t="s">
        <v>388</v>
      </c>
      <c r="ET55" s="119">
        <v>0</v>
      </c>
      <c r="EU55" s="119">
        <v>0</v>
      </c>
      <c r="EV55" s="119">
        <v>0</v>
      </c>
      <c r="EW55" s="119">
        <v>0</v>
      </c>
      <c r="EX55" s="119">
        <v>0</v>
      </c>
      <c r="EY55" s="119">
        <v>0</v>
      </c>
      <c r="EZ55" s="119">
        <v>0</v>
      </c>
      <c r="FA55" s="119">
        <v>0</v>
      </c>
      <c r="FB55" s="119">
        <v>0</v>
      </c>
      <c r="FC55" s="119">
        <v>0</v>
      </c>
      <c r="FD55" s="119">
        <v>20</v>
      </c>
      <c r="FE55" s="119">
        <v>0</v>
      </c>
      <c r="FF55" t="s">
        <v>389</v>
      </c>
      <c r="FG55" s="119">
        <v>0</v>
      </c>
      <c r="FH55" s="119">
        <v>0</v>
      </c>
      <c r="FI55" s="119">
        <v>0</v>
      </c>
      <c r="FJ55" s="119">
        <v>0</v>
      </c>
      <c r="FK55" s="119">
        <v>0</v>
      </c>
      <c r="FL55" s="119">
        <v>0</v>
      </c>
      <c r="FM55" s="119">
        <v>0</v>
      </c>
      <c r="FN55" s="119">
        <v>0</v>
      </c>
      <c r="FO55" s="119">
        <v>0</v>
      </c>
      <c r="FP55" s="119">
        <v>0</v>
      </c>
      <c r="FQ55" s="119">
        <v>20</v>
      </c>
      <c r="FR55" s="119">
        <v>0</v>
      </c>
      <c r="FS55" t="s">
        <v>390</v>
      </c>
      <c r="FT55" s="119">
        <v>0</v>
      </c>
      <c r="FU55" s="119">
        <v>0</v>
      </c>
      <c r="FV55" s="119">
        <v>0</v>
      </c>
      <c r="FW55" s="119">
        <v>0</v>
      </c>
      <c r="FX55" s="119">
        <v>0</v>
      </c>
      <c r="FY55" s="119">
        <v>0</v>
      </c>
      <c r="FZ55" s="119">
        <v>0</v>
      </c>
      <c r="GA55" s="119">
        <v>0</v>
      </c>
      <c r="GB55" s="119">
        <v>0</v>
      </c>
      <c r="GC55" s="119">
        <v>0</v>
      </c>
      <c r="GD55" s="119">
        <v>20</v>
      </c>
      <c r="GE55" s="119">
        <v>0</v>
      </c>
      <c r="GF55" t="s">
        <v>391</v>
      </c>
      <c r="GG55" s="119">
        <v>0</v>
      </c>
      <c r="GH55" s="119">
        <v>0</v>
      </c>
      <c r="GI55" s="119">
        <v>0</v>
      </c>
      <c r="GJ55" s="119">
        <v>0</v>
      </c>
      <c r="GK55" s="119">
        <v>0</v>
      </c>
      <c r="GL55" s="119">
        <v>0</v>
      </c>
      <c r="GM55" s="119">
        <v>0</v>
      </c>
      <c r="GN55" s="119">
        <v>0</v>
      </c>
      <c r="GO55" s="119">
        <v>0</v>
      </c>
      <c r="GP55" s="119">
        <v>0</v>
      </c>
      <c r="GQ55" s="119">
        <v>20</v>
      </c>
      <c r="GR55" s="119">
        <v>0</v>
      </c>
      <c r="HJ55"/>
      <c r="HK55" s="115"/>
      <c r="HR55" s="116"/>
      <c r="HT55" s="117"/>
      <c r="HY55"/>
      <c r="HZ55"/>
      <c r="IA55"/>
    </row>
    <row r="56" spans="1:235" x14ac:dyDescent="0.25">
      <c r="A56">
        <v>56</v>
      </c>
      <c r="B56" s="115">
        <v>43297</v>
      </c>
      <c r="C56" t="s">
        <v>392</v>
      </c>
      <c r="D56" t="s">
        <v>393</v>
      </c>
      <c r="E56" t="s">
        <v>394</v>
      </c>
      <c r="H56" t="s">
        <v>397</v>
      </c>
      <c r="I56" s="116">
        <v>25000</v>
      </c>
      <c r="J56" t="s">
        <v>398</v>
      </c>
      <c r="K56" s="117" t="s">
        <v>399</v>
      </c>
      <c r="N56" t="s">
        <v>423</v>
      </c>
      <c r="P56">
        <v>1326.67</v>
      </c>
      <c r="Q56">
        <v>1105.56</v>
      </c>
      <c r="R56">
        <v>221.11</v>
      </c>
      <c r="S56" t="s">
        <v>378</v>
      </c>
      <c r="T56" s="118">
        <v>500</v>
      </c>
      <c r="U56" s="118">
        <v>55.56</v>
      </c>
      <c r="V56" s="118">
        <v>555.55999999999995</v>
      </c>
      <c r="W56" s="119">
        <v>10</v>
      </c>
      <c r="X56" s="119">
        <v>10</v>
      </c>
      <c r="Y56" s="119">
        <v>55</v>
      </c>
      <c r="Z56" s="119">
        <v>550</v>
      </c>
      <c r="AA56" s="119">
        <v>605.55999999999995</v>
      </c>
      <c r="AB56" s="119">
        <v>60.56</v>
      </c>
      <c r="AC56" s="119">
        <v>1105.56</v>
      </c>
      <c r="AD56" s="119">
        <v>20</v>
      </c>
      <c r="AE56" s="119">
        <v>221.11</v>
      </c>
      <c r="AF56" t="s">
        <v>379</v>
      </c>
      <c r="AG56" s="119">
        <v>0</v>
      </c>
      <c r="AH56" s="119">
        <v>0</v>
      </c>
      <c r="AI56" s="119">
        <v>0</v>
      </c>
      <c r="AJ56" s="119">
        <v>0</v>
      </c>
      <c r="AK56" s="119">
        <v>0</v>
      </c>
      <c r="AL56" s="119">
        <v>0</v>
      </c>
      <c r="AM56" s="119">
        <v>0</v>
      </c>
      <c r="AN56" s="119">
        <v>0</v>
      </c>
      <c r="AO56" s="119">
        <v>0</v>
      </c>
      <c r="AP56" s="119">
        <v>0</v>
      </c>
      <c r="AQ56" s="119">
        <v>20</v>
      </c>
      <c r="AR56" s="119">
        <v>0</v>
      </c>
      <c r="AS56" t="s">
        <v>380</v>
      </c>
      <c r="AT56" s="119">
        <v>0</v>
      </c>
      <c r="AU56" s="119">
        <v>0</v>
      </c>
      <c r="AV56" s="119">
        <v>0</v>
      </c>
      <c r="AW56" s="119">
        <v>0</v>
      </c>
      <c r="AX56" s="119">
        <v>0</v>
      </c>
      <c r="AY56" s="119">
        <v>0</v>
      </c>
      <c r="AZ56" s="119">
        <v>0</v>
      </c>
      <c r="BA56" s="119">
        <v>0</v>
      </c>
      <c r="BB56" s="119">
        <v>0</v>
      </c>
      <c r="BC56" s="119">
        <v>0</v>
      </c>
      <c r="BD56" s="119">
        <v>20</v>
      </c>
      <c r="BE56" s="119">
        <v>0</v>
      </c>
      <c r="BF56" t="s">
        <v>381</v>
      </c>
      <c r="BG56" s="119">
        <v>0</v>
      </c>
      <c r="BH56" s="119">
        <v>0</v>
      </c>
      <c r="BI56" s="119">
        <v>0</v>
      </c>
      <c r="BJ56" s="119">
        <v>0</v>
      </c>
      <c r="BK56" s="119">
        <v>0</v>
      </c>
      <c r="BL56" s="119">
        <v>0</v>
      </c>
      <c r="BM56" s="119">
        <v>0</v>
      </c>
      <c r="BN56" s="119">
        <v>0</v>
      </c>
      <c r="BO56" s="119">
        <v>0</v>
      </c>
      <c r="BP56" s="119">
        <v>0</v>
      </c>
      <c r="BQ56" s="119">
        <v>20</v>
      </c>
      <c r="BR56" s="119">
        <v>0</v>
      </c>
      <c r="BS56" t="s">
        <v>382</v>
      </c>
      <c r="BT56" s="119">
        <v>0</v>
      </c>
      <c r="BU56" s="119">
        <v>0</v>
      </c>
      <c r="BV56" s="119">
        <v>0</v>
      </c>
      <c r="BW56" s="119">
        <v>0</v>
      </c>
      <c r="BX56" s="119">
        <v>0</v>
      </c>
      <c r="BY56" s="119">
        <v>0</v>
      </c>
      <c r="BZ56" s="119">
        <v>0</v>
      </c>
      <c r="CA56" s="119">
        <v>0</v>
      </c>
      <c r="CB56" s="119">
        <v>0</v>
      </c>
      <c r="CC56" s="119">
        <v>0</v>
      </c>
      <c r="CD56" s="119">
        <v>20</v>
      </c>
      <c r="CE56" s="119">
        <v>0</v>
      </c>
      <c r="CF56" t="s">
        <v>383</v>
      </c>
      <c r="CG56" s="119">
        <v>0</v>
      </c>
      <c r="CH56" s="119">
        <v>0</v>
      </c>
      <c r="CI56" s="119">
        <v>0</v>
      </c>
      <c r="CJ56" s="119">
        <v>0</v>
      </c>
      <c r="CK56" s="119">
        <v>0</v>
      </c>
      <c r="CL56" s="119">
        <v>0</v>
      </c>
      <c r="CM56" s="119">
        <v>0</v>
      </c>
      <c r="CN56" s="119">
        <v>0</v>
      </c>
      <c r="CO56" s="119">
        <v>0</v>
      </c>
      <c r="CP56" s="119">
        <v>0</v>
      </c>
      <c r="CQ56" s="119">
        <v>20</v>
      </c>
      <c r="CR56" s="119">
        <v>0</v>
      </c>
      <c r="CS56" t="s">
        <v>384</v>
      </c>
      <c r="CT56" s="119">
        <v>0</v>
      </c>
      <c r="CU56" s="119">
        <v>0</v>
      </c>
      <c r="CV56" s="119">
        <v>0</v>
      </c>
      <c r="CW56" s="119">
        <v>0</v>
      </c>
      <c r="CX56" s="119">
        <v>0</v>
      </c>
      <c r="CY56" s="119">
        <v>0</v>
      </c>
      <c r="CZ56" s="119">
        <v>0</v>
      </c>
      <c r="DA56" s="119">
        <v>0</v>
      </c>
      <c r="DB56" s="119">
        <v>0</v>
      </c>
      <c r="DC56" s="119">
        <v>0</v>
      </c>
      <c r="DD56" s="119">
        <v>20</v>
      </c>
      <c r="DE56" s="119">
        <v>0</v>
      </c>
      <c r="DF56" t="s">
        <v>385</v>
      </c>
      <c r="DG56" s="119">
        <v>0</v>
      </c>
      <c r="DH56" s="119">
        <v>0</v>
      </c>
      <c r="DI56" s="119">
        <v>0</v>
      </c>
      <c r="DJ56" s="119">
        <v>0</v>
      </c>
      <c r="DK56" s="119">
        <v>0</v>
      </c>
      <c r="DL56" s="119">
        <v>0</v>
      </c>
      <c r="DM56" s="119">
        <v>0</v>
      </c>
      <c r="DN56" s="119">
        <v>0</v>
      </c>
      <c r="DO56" s="119">
        <v>0</v>
      </c>
      <c r="DP56" s="119">
        <v>0</v>
      </c>
      <c r="DQ56" s="119">
        <v>20</v>
      </c>
      <c r="DR56" s="119">
        <v>0</v>
      </c>
      <c r="DS56" t="s">
        <v>386</v>
      </c>
      <c r="DT56" s="119">
        <v>0</v>
      </c>
      <c r="DU56" s="119">
        <v>0</v>
      </c>
      <c r="DV56" s="119">
        <v>0</v>
      </c>
      <c r="DW56" s="119">
        <v>0</v>
      </c>
      <c r="DX56" s="119">
        <v>0</v>
      </c>
      <c r="DY56" s="119">
        <v>0</v>
      </c>
      <c r="DZ56" s="119">
        <v>0</v>
      </c>
      <c r="EA56" s="119">
        <v>0</v>
      </c>
      <c r="EB56" s="119">
        <v>0</v>
      </c>
      <c r="EC56" s="119">
        <v>0</v>
      </c>
      <c r="ED56" s="119">
        <v>20</v>
      </c>
      <c r="EE56" s="119">
        <v>0</v>
      </c>
      <c r="EF56" t="s">
        <v>387</v>
      </c>
      <c r="EG56" s="119">
        <v>0</v>
      </c>
      <c r="EH56" s="119">
        <v>0</v>
      </c>
      <c r="EI56" s="119">
        <v>0</v>
      </c>
      <c r="EJ56" s="119">
        <v>0</v>
      </c>
      <c r="EK56" s="119">
        <v>0</v>
      </c>
      <c r="EL56" s="119">
        <v>0</v>
      </c>
      <c r="EM56" s="119">
        <v>0</v>
      </c>
      <c r="EN56" s="119">
        <v>0</v>
      </c>
      <c r="EO56" s="119">
        <v>0</v>
      </c>
      <c r="EP56" s="119">
        <v>0</v>
      </c>
      <c r="EQ56" s="119">
        <v>20</v>
      </c>
      <c r="ER56" s="119">
        <v>0</v>
      </c>
      <c r="ES56" t="s">
        <v>388</v>
      </c>
      <c r="ET56" s="119">
        <v>0</v>
      </c>
      <c r="EU56" s="119">
        <v>0</v>
      </c>
      <c r="EV56" s="119">
        <v>0</v>
      </c>
      <c r="EW56" s="119">
        <v>0</v>
      </c>
      <c r="EX56" s="119">
        <v>0</v>
      </c>
      <c r="EY56" s="119">
        <v>0</v>
      </c>
      <c r="EZ56" s="119">
        <v>0</v>
      </c>
      <c r="FA56" s="119">
        <v>0</v>
      </c>
      <c r="FB56" s="119">
        <v>0</v>
      </c>
      <c r="FC56" s="119">
        <v>0</v>
      </c>
      <c r="FD56" s="119">
        <v>20</v>
      </c>
      <c r="FE56" s="119">
        <v>0</v>
      </c>
      <c r="FF56" t="s">
        <v>389</v>
      </c>
      <c r="FG56" s="119">
        <v>0</v>
      </c>
      <c r="FH56" s="119">
        <v>0</v>
      </c>
      <c r="FI56" s="119">
        <v>0</v>
      </c>
      <c r="FJ56" s="119">
        <v>0</v>
      </c>
      <c r="FK56" s="119">
        <v>0</v>
      </c>
      <c r="FL56" s="119">
        <v>0</v>
      </c>
      <c r="FM56" s="119">
        <v>0</v>
      </c>
      <c r="FN56" s="119">
        <v>0</v>
      </c>
      <c r="FO56" s="119">
        <v>0</v>
      </c>
      <c r="FP56" s="119">
        <v>0</v>
      </c>
      <c r="FQ56" s="119">
        <v>20</v>
      </c>
      <c r="FR56" s="119">
        <v>0</v>
      </c>
      <c r="FS56" t="s">
        <v>390</v>
      </c>
      <c r="FT56" s="119">
        <v>0</v>
      </c>
      <c r="FU56" s="119">
        <v>0</v>
      </c>
      <c r="FV56" s="119">
        <v>0</v>
      </c>
      <c r="FW56" s="119">
        <v>0</v>
      </c>
      <c r="FX56" s="119">
        <v>0</v>
      </c>
      <c r="FY56" s="119">
        <v>0</v>
      </c>
      <c r="FZ56" s="119">
        <v>0</v>
      </c>
      <c r="GA56" s="119">
        <v>0</v>
      </c>
      <c r="GB56" s="119">
        <v>0</v>
      </c>
      <c r="GC56" s="119">
        <v>0</v>
      </c>
      <c r="GD56" s="119">
        <v>20</v>
      </c>
      <c r="GE56" s="119">
        <v>0</v>
      </c>
      <c r="GF56" t="s">
        <v>391</v>
      </c>
      <c r="GG56" s="119">
        <v>0</v>
      </c>
      <c r="GH56" s="119">
        <v>0</v>
      </c>
      <c r="GI56" s="119">
        <v>0</v>
      </c>
      <c r="GJ56" s="119">
        <v>0</v>
      </c>
      <c r="GK56" s="119">
        <v>0</v>
      </c>
      <c r="GL56" s="119">
        <v>0</v>
      </c>
      <c r="GM56" s="119">
        <v>0</v>
      </c>
      <c r="GN56" s="119">
        <v>0</v>
      </c>
      <c r="GO56" s="119">
        <v>0</v>
      </c>
      <c r="GP56" s="119">
        <v>0</v>
      </c>
      <c r="GQ56" s="119">
        <v>20</v>
      </c>
      <c r="GR56" s="119">
        <v>0</v>
      </c>
      <c r="HJ56"/>
      <c r="HK56" s="115"/>
      <c r="HR56" s="116"/>
      <c r="HT56" s="117"/>
      <c r="HY56"/>
      <c r="HZ56"/>
      <c r="IA56"/>
    </row>
    <row r="57" spans="1:235" x14ac:dyDescent="0.25">
      <c r="A57">
        <v>57</v>
      </c>
      <c r="B57" s="115">
        <v>43297</v>
      </c>
      <c r="C57" t="s">
        <v>392</v>
      </c>
      <c r="D57" t="s">
        <v>393</v>
      </c>
      <c r="E57" t="s">
        <v>394</v>
      </c>
      <c r="H57" t="s">
        <v>397</v>
      </c>
      <c r="I57" s="116">
        <v>25000</v>
      </c>
      <c r="J57" t="s">
        <v>398</v>
      </c>
      <c r="K57" s="117" t="s">
        <v>399</v>
      </c>
      <c r="N57" t="s">
        <v>423</v>
      </c>
      <c r="P57">
        <v>1457.14</v>
      </c>
      <c r="Q57">
        <v>1214.29</v>
      </c>
      <c r="R57">
        <v>242.86</v>
      </c>
      <c r="S57" t="s">
        <v>378</v>
      </c>
      <c r="T57" s="118">
        <v>500</v>
      </c>
      <c r="U57" s="118">
        <v>214.29</v>
      </c>
      <c r="V57" s="118">
        <v>714.29</v>
      </c>
      <c r="W57" s="119">
        <v>30</v>
      </c>
      <c r="X57" s="119">
        <v>10</v>
      </c>
      <c r="Y57" s="119">
        <v>50</v>
      </c>
      <c r="Z57" s="119">
        <v>500</v>
      </c>
      <c r="AA57" s="119">
        <v>714.29</v>
      </c>
      <c r="AB57" s="119">
        <v>71.430000000000007</v>
      </c>
      <c r="AC57" s="119">
        <v>1214.29</v>
      </c>
      <c r="AD57" s="119">
        <v>20</v>
      </c>
      <c r="AE57" s="119">
        <v>242.86</v>
      </c>
      <c r="AF57" t="s">
        <v>379</v>
      </c>
      <c r="AG57" s="119">
        <v>0</v>
      </c>
      <c r="AH57" s="119">
        <v>0</v>
      </c>
      <c r="AI57" s="119">
        <v>0</v>
      </c>
      <c r="AJ57" s="119">
        <v>0</v>
      </c>
      <c r="AK57" s="119">
        <v>0</v>
      </c>
      <c r="AL57" s="119">
        <v>0</v>
      </c>
      <c r="AM57" s="119">
        <v>0</v>
      </c>
      <c r="AN57" s="119">
        <v>0</v>
      </c>
      <c r="AO57" s="119">
        <v>0</v>
      </c>
      <c r="AP57" s="119">
        <v>0</v>
      </c>
      <c r="AQ57" s="119">
        <v>20</v>
      </c>
      <c r="AR57" s="119">
        <v>0</v>
      </c>
      <c r="AS57" t="s">
        <v>380</v>
      </c>
      <c r="AT57" s="119">
        <v>0</v>
      </c>
      <c r="AU57" s="119">
        <v>0</v>
      </c>
      <c r="AV57" s="119">
        <v>0</v>
      </c>
      <c r="AW57" s="119">
        <v>0</v>
      </c>
      <c r="AX57" s="119">
        <v>0</v>
      </c>
      <c r="AY57" s="119">
        <v>0</v>
      </c>
      <c r="AZ57" s="119">
        <v>0</v>
      </c>
      <c r="BA57" s="119">
        <v>0</v>
      </c>
      <c r="BB57" s="119">
        <v>0</v>
      </c>
      <c r="BC57" s="119">
        <v>0</v>
      </c>
      <c r="BD57" s="119">
        <v>20</v>
      </c>
      <c r="BE57" s="119">
        <v>0</v>
      </c>
      <c r="BF57" t="s">
        <v>381</v>
      </c>
      <c r="BG57" s="119">
        <v>0</v>
      </c>
      <c r="BH57" s="119">
        <v>0</v>
      </c>
      <c r="BI57" s="119">
        <v>0</v>
      </c>
      <c r="BJ57" s="119">
        <v>0</v>
      </c>
      <c r="BK57" s="119">
        <v>0</v>
      </c>
      <c r="BL57" s="119">
        <v>0</v>
      </c>
      <c r="BM57" s="119">
        <v>0</v>
      </c>
      <c r="BN57" s="119">
        <v>0</v>
      </c>
      <c r="BO57" s="119">
        <v>0</v>
      </c>
      <c r="BP57" s="119">
        <v>0</v>
      </c>
      <c r="BQ57" s="119">
        <v>20</v>
      </c>
      <c r="BR57" s="119">
        <v>0</v>
      </c>
      <c r="BS57" t="s">
        <v>382</v>
      </c>
      <c r="BT57" s="119">
        <v>0</v>
      </c>
      <c r="BU57" s="119">
        <v>0</v>
      </c>
      <c r="BV57" s="119">
        <v>0</v>
      </c>
      <c r="BW57" s="119">
        <v>0</v>
      </c>
      <c r="BX57" s="119">
        <v>0</v>
      </c>
      <c r="BY57" s="119">
        <v>0</v>
      </c>
      <c r="BZ57" s="119">
        <v>0</v>
      </c>
      <c r="CA57" s="119">
        <v>0</v>
      </c>
      <c r="CB57" s="119">
        <v>0</v>
      </c>
      <c r="CC57" s="119">
        <v>0</v>
      </c>
      <c r="CD57" s="119">
        <v>20</v>
      </c>
      <c r="CE57" s="119">
        <v>0</v>
      </c>
      <c r="CF57" t="s">
        <v>383</v>
      </c>
      <c r="CG57" s="119">
        <v>0</v>
      </c>
      <c r="CH57" s="119">
        <v>0</v>
      </c>
      <c r="CI57" s="119">
        <v>0</v>
      </c>
      <c r="CJ57" s="119">
        <v>0</v>
      </c>
      <c r="CK57" s="119">
        <v>0</v>
      </c>
      <c r="CL57" s="119">
        <v>0</v>
      </c>
      <c r="CM57" s="119">
        <v>0</v>
      </c>
      <c r="CN57" s="119">
        <v>0</v>
      </c>
      <c r="CO57" s="119">
        <v>0</v>
      </c>
      <c r="CP57" s="119">
        <v>0</v>
      </c>
      <c r="CQ57" s="119">
        <v>20</v>
      </c>
      <c r="CR57" s="119">
        <v>0</v>
      </c>
      <c r="CS57" t="s">
        <v>384</v>
      </c>
      <c r="CT57" s="119">
        <v>0</v>
      </c>
      <c r="CU57" s="119">
        <v>0</v>
      </c>
      <c r="CV57" s="119">
        <v>0</v>
      </c>
      <c r="CW57" s="119">
        <v>0</v>
      </c>
      <c r="CX57" s="119">
        <v>0</v>
      </c>
      <c r="CY57" s="119">
        <v>0</v>
      </c>
      <c r="CZ57" s="119">
        <v>0</v>
      </c>
      <c r="DA57" s="119">
        <v>0</v>
      </c>
      <c r="DB57" s="119">
        <v>0</v>
      </c>
      <c r="DC57" s="119">
        <v>0</v>
      </c>
      <c r="DD57" s="119">
        <v>20</v>
      </c>
      <c r="DE57" s="119">
        <v>0</v>
      </c>
      <c r="DF57" t="s">
        <v>385</v>
      </c>
      <c r="DG57" s="119">
        <v>0</v>
      </c>
      <c r="DH57" s="119">
        <v>0</v>
      </c>
      <c r="DI57" s="119">
        <v>0</v>
      </c>
      <c r="DJ57" s="119">
        <v>0</v>
      </c>
      <c r="DK57" s="119">
        <v>0</v>
      </c>
      <c r="DL57" s="119">
        <v>0</v>
      </c>
      <c r="DM57" s="119">
        <v>0</v>
      </c>
      <c r="DN57" s="119">
        <v>0</v>
      </c>
      <c r="DO57" s="119">
        <v>0</v>
      </c>
      <c r="DP57" s="119">
        <v>0</v>
      </c>
      <c r="DQ57" s="119">
        <v>20</v>
      </c>
      <c r="DR57" s="119">
        <v>0</v>
      </c>
      <c r="DS57" t="s">
        <v>386</v>
      </c>
      <c r="DT57" s="119">
        <v>0</v>
      </c>
      <c r="DU57" s="119">
        <v>0</v>
      </c>
      <c r="DV57" s="119">
        <v>0</v>
      </c>
      <c r="DW57" s="119">
        <v>0</v>
      </c>
      <c r="DX57" s="119">
        <v>0</v>
      </c>
      <c r="DY57" s="119">
        <v>0</v>
      </c>
      <c r="DZ57" s="119">
        <v>0</v>
      </c>
      <c r="EA57" s="119">
        <v>0</v>
      </c>
      <c r="EB57" s="119">
        <v>0</v>
      </c>
      <c r="EC57" s="119">
        <v>0</v>
      </c>
      <c r="ED57" s="119">
        <v>20</v>
      </c>
      <c r="EE57" s="119">
        <v>0</v>
      </c>
      <c r="EF57" t="s">
        <v>387</v>
      </c>
      <c r="EG57" s="119">
        <v>0</v>
      </c>
      <c r="EH57" s="119">
        <v>0</v>
      </c>
      <c r="EI57" s="119">
        <v>0</v>
      </c>
      <c r="EJ57" s="119">
        <v>0</v>
      </c>
      <c r="EK57" s="119">
        <v>0</v>
      </c>
      <c r="EL57" s="119">
        <v>0</v>
      </c>
      <c r="EM57" s="119">
        <v>0</v>
      </c>
      <c r="EN57" s="119">
        <v>0</v>
      </c>
      <c r="EO57" s="119">
        <v>0</v>
      </c>
      <c r="EP57" s="119">
        <v>0</v>
      </c>
      <c r="EQ57" s="119">
        <v>20</v>
      </c>
      <c r="ER57" s="119">
        <v>0</v>
      </c>
      <c r="ES57" t="s">
        <v>388</v>
      </c>
      <c r="ET57" s="119">
        <v>0</v>
      </c>
      <c r="EU57" s="119">
        <v>0</v>
      </c>
      <c r="EV57" s="119">
        <v>0</v>
      </c>
      <c r="EW57" s="119">
        <v>0</v>
      </c>
      <c r="EX57" s="119">
        <v>0</v>
      </c>
      <c r="EY57" s="119">
        <v>0</v>
      </c>
      <c r="EZ57" s="119">
        <v>0</v>
      </c>
      <c r="FA57" s="119">
        <v>0</v>
      </c>
      <c r="FB57" s="119">
        <v>0</v>
      </c>
      <c r="FC57" s="119">
        <v>0</v>
      </c>
      <c r="FD57" s="119">
        <v>20</v>
      </c>
      <c r="FE57" s="119">
        <v>0</v>
      </c>
      <c r="FF57" t="s">
        <v>389</v>
      </c>
      <c r="FG57" s="119">
        <v>0</v>
      </c>
      <c r="FH57" s="119">
        <v>0</v>
      </c>
      <c r="FI57" s="119">
        <v>0</v>
      </c>
      <c r="FJ57" s="119">
        <v>0</v>
      </c>
      <c r="FK57" s="119">
        <v>0</v>
      </c>
      <c r="FL57" s="119">
        <v>0</v>
      </c>
      <c r="FM57" s="119">
        <v>0</v>
      </c>
      <c r="FN57" s="119">
        <v>0</v>
      </c>
      <c r="FO57" s="119">
        <v>0</v>
      </c>
      <c r="FP57" s="119">
        <v>0</v>
      </c>
      <c r="FQ57" s="119">
        <v>20</v>
      </c>
      <c r="FR57" s="119">
        <v>0</v>
      </c>
      <c r="FS57" t="s">
        <v>390</v>
      </c>
      <c r="FT57" s="119">
        <v>0</v>
      </c>
      <c r="FU57" s="119">
        <v>0</v>
      </c>
      <c r="FV57" s="119">
        <v>0</v>
      </c>
      <c r="FW57" s="119">
        <v>0</v>
      </c>
      <c r="FX57" s="119">
        <v>0</v>
      </c>
      <c r="FY57" s="119">
        <v>0</v>
      </c>
      <c r="FZ57" s="119">
        <v>0</v>
      </c>
      <c r="GA57" s="119">
        <v>0</v>
      </c>
      <c r="GB57" s="119">
        <v>0</v>
      </c>
      <c r="GC57" s="119">
        <v>0</v>
      </c>
      <c r="GD57" s="119">
        <v>20</v>
      </c>
      <c r="GE57" s="119">
        <v>0</v>
      </c>
      <c r="GF57" t="s">
        <v>391</v>
      </c>
      <c r="GG57" s="119">
        <v>0</v>
      </c>
      <c r="GH57" s="119">
        <v>0</v>
      </c>
      <c r="GI57" s="119">
        <v>0</v>
      </c>
      <c r="GJ57" s="119">
        <v>0</v>
      </c>
      <c r="GK57" s="119">
        <v>0</v>
      </c>
      <c r="GL57" s="119">
        <v>0</v>
      </c>
      <c r="GM57" s="119">
        <v>0</v>
      </c>
      <c r="GN57" s="119">
        <v>0</v>
      </c>
      <c r="GO57" s="119">
        <v>0</v>
      </c>
      <c r="GP57" s="119">
        <v>0</v>
      </c>
      <c r="GQ57" s="119">
        <v>20</v>
      </c>
      <c r="GR57" s="119">
        <v>0</v>
      </c>
      <c r="HJ57"/>
      <c r="HK57" s="115"/>
      <c r="HR57" s="116"/>
      <c r="HT57" s="117"/>
      <c r="HY57"/>
      <c r="HZ57"/>
      <c r="IA57"/>
    </row>
    <row r="58" spans="1:235" x14ac:dyDescent="0.25">
      <c r="A58">
        <v>58</v>
      </c>
      <c r="B58" s="115">
        <v>43297</v>
      </c>
      <c r="C58" t="s">
        <v>392</v>
      </c>
      <c r="D58" t="s">
        <v>393</v>
      </c>
      <c r="E58" t="s">
        <v>394</v>
      </c>
      <c r="H58" t="s">
        <v>397</v>
      </c>
      <c r="I58" s="116">
        <v>25000</v>
      </c>
      <c r="J58" t="s">
        <v>398</v>
      </c>
      <c r="K58" s="117" t="s">
        <v>399</v>
      </c>
      <c r="N58" t="s">
        <v>423</v>
      </c>
      <c r="P58">
        <v>1577.14</v>
      </c>
      <c r="Q58">
        <v>1314.29</v>
      </c>
      <c r="R58">
        <v>262.86</v>
      </c>
      <c r="S58" t="s">
        <v>378</v>
      </c>
      <c r="T58" s="118">
        <v>500</v>
      </c>
      <c r="U58" s="118">
        <v>214.29</v>
      </c>
      <c r="V58" s="118">
        <v>714.29</v>
      </c>
      <c r="W58" s="119">
        <v>30</v>
      </c>
      <c r="X58" s="119">
        <v>10</v>
      </c>
      <c r="Y58" s="119">
        <v>60</v>
      </c>
      <c r="Z58" s="119">
        <v>600</v>
      </c>
      <c r="AA58" s="119">
        <v>814.29</v>
      </c>
      <c r="AB58" s="119">
        <v>81.430000000000007</v>
      </c>
      <c r="AC58" s="119">
        <v>1314.29</v>
      </c>
      <c r="AD58" s="119">
        <v>20</v>
      </c>
      <c r="AE58" s="119">
        <v>262.86</v>
      </c>
      <c r="AF58" t="s">
        <v>379</v>
      </c>
      <c r="AG58" s="119">
        <v>0</v>
      </c>
      <c r="AH58" s="119">
        <v>0</v>
      </c>
      <c r="AI58" s="119">
        <v>0</v>
      </c>
      <c r="AJ58" s="119">
        <v>0</v>
      </c>
      <c r="AK58" s="119">
        <v>0</v>
      </c>
      <c r="AL58" s="119">
        <v>0</v>
      </c>
      <c r="AM58" s="119">
        <v>0</v>
      </c>
      <c r="AN58" s="119">
        <v>0</v>
      </c>
      <c r="AO58" s="119">
        <v>0</v>
      </c>
      <c r="AP58" s="119">
        <v>0</v>
      </c>
      <c r="AQ58" s="119">
        <v>20</v>
      </c>
      <c r="AR58" s="119">
        <v>0</v>
      </c>
      <c r="AS58" t="s">
        <v>380</v>
      </c>
      <c r="AT58" s="119">
        <v>0</v>
      </c>
      <c r="AU58" s="119">
        <v>0</v>
      </c>
      <c r="AV58" s="119">
        <v>0</v>
      </c>
      <c r="AW58" s="119">
        <v>0</v>
      </c>
      <c r="AX58" s="119">
        <v>0</v>
      </c>
      <c r="AY58" s="119">
        <v>0</v>
      </c>
      <c r="AZ58" s="119">
        <v>0</v>
      </c>
      <c r="BA58" s="119">
        <v>0</v>
      </c>
      <c r="BB58" s="119">
        <v>0</v>
      </c>
      <c r="BC58" s="119">
        <v>0</v>
      </c>
      <c r="BD58" s="119">
        <v>20</v>
      </c>
      <c r="BE58" s="119">
        <v>0</v>
      </c>
      <c r="BF58" t="s">
        <v>381</v>
      </c>
      <c r="BG58" s="119">
        <v>0</v>
      </c>
      <c r="BH58" s="119">
        <v>0</v>
      </c>
      <c r="BI58" s="119">
        <v>0</v>
      </c>
      <c r="BJ58" s="119">
        <v>0</v>
      </c>
      <c r="BK58" s="119">
        <v>0</v>
      </c>
      <c r="BL58" s="119">
        <v>0</v>
      </c>
      <c r="BM58" s="119">
        <v>0</v>
      </c>
      <c r="BN58" s="119">
        <v>0</v>
      </c>
      <c r="BO58" s="119">
        <v>0</v>
      </c>
      <c r="BP58" s="119">
        <v>0</v>
      </c>
      <c r="BQ58" s="119">
        <v>20</v>
      </c>
      <c r="BR58" s="119">
        <v>0</v>
      </c>
      <c r="BS58" t="s">
        <v>382</v>
      </c>
      <c r="BT58" s="119">
        <v>0</v>
      </c>
      <c r="BU58" s="119">
        <v>0</v>
      </c>
      <c r="BV58" s="119">
        <v>0</v>
      </c>
      <c r="BW58" s="119">
        <v>0</v>
      </c>
      <c r="BX58" s="119">
        <v>0</v>
      </c>
      <c r="BY58" s="119">
        <v>0</v>
      </c>
      <c r="BZ58" s="119">
        <v>0</v>
      </c>
      <c r="CA58" s="119">
        <v>0</v>
      </c>
      <c r="CB58" s="119">
        <v>0</v>
      </c>
      <c r="CC58" s="119">
        <v>0</v>
      </c>
      <c r="CD58" s="119">
        <v>20</v>
      </c>
      <c r="CE58" s="119">
        <v>0</v>
      </c>
      <c r="CF58" t="s">
        <v>383</v>
      </c>
      <c r="CG58" s="119">
        <v>0</v>
      </c>
      <c r="CH58" s="119">
        <v>0</v>
      </c>
      <c r="CI58" s="119">
        <v>0</v>
      </c>
      <c r="CJ58" s="119">
        <v>0</v>
      </c>
      <c r="CK58" s="119">
        <v>0</v>
      </c>
      <c r="CL58" s="119">
        <v>0</v>
      </c>
      <c r="CM58" s="119">
        <v>0</v>
      </c>
      <c r="CN58" s="119">
        <v>0</v>
      </c>
      <c r="CO58" s="119">
        <v>0</v>
      </c>
      <c r="CP58" s="119">
        <v>0</v>
      </c>
      <c r="CQ58" s="119">
        <v>20</v>
      </c>
      <c r="CR58" s="119">
        <v>0</v>
      </c>
      <c r="CS58" t="s">
        <v>384</v>
      </c>
      <c r="CT58" s="119">
        <v>0</v>
      </c>
      <c r="CU58" s="119">
        <v>0</v>
      </c>
      <c r="CV58" s="119">
        <v>0</v>
      </c>
      <c r="CW58" s="119">
        <v>0</v>
      </c>
      <c r="CX58" s="119">
        <v>0</v>
      </c>
      <c r="CY58" s="119">
        <v>0</v>
      </c>
      <c r="CZ58" s="119">
        <v>0</v>
      </c>
      <c r="DA58" s="119">
        <v>0</v>
      </c>
      <c r="DB58" s="119">
        <v>0</v>
      </c>
      <c r="DC58" s="119">
        <v>0</v>
      </c>
      <c r="DD58" s="119">
        <v>20</v>
      </c>
      <c r="DE58" s="119">
        <v>0</v>
      </c>
      <c r="DF58" t="s">
        <v>385</v>
      </c>
      <c r="DG58" s="119">
        <v>0</v>
      </c>
      <c r="DH58" s="119">
        <v>0</v>
      </c>
      <c r="DI58" s="119">
        <v>0</v>
      </c>
      <c r="DJ58" s="119">
        <v>0</v>
      </c>
      <c r="DK58" s="119">
        <v>0</v>
      </c>
      <c r="DL58" s="119">
        <v>0</v>
      </c>
      <c r="DM58" s="119">
        <v>0</v>
      </c>
      <c r="DN58" s="119">
        <v>0</v>
      </c>
      <c r="DO58" s="119">
        <v>0</v>
      </c>
      <c r="DP58" s="119">
        <v>0</v>
      </c>
      <c r="DQ58" s="119">
        <v>20</v>
      </c>
      <c r="DR58" s="119">
        <v>0</v>
      </c>
      <c r="DS58" t="s">
        <v>386</v>
      </c>
      <c r="DT58" s="119">
        <v>0</v>
      </c>
      <c r="DU58" s="119">
        <v>0</v>
      </c>
      <c r="DV58" s="119">
        <v>0</v>
      </c>
      <c r="DW58" s="119">
        <v>0</v>
      </c>
      <c r="DX58" s="119">
        <v>0</v>
      </c>
      <c r="DY58" s="119">
        <v>0</v>
      </c>
      <c r="DZ58" s="119">
        <v>0</v>
      </c>
      <c r="EA58" s="119">
        <v>0</v>
      </c>
      <c r="EB58" s="119">
        <v>0</v>
      </c>
      <c r="EC58" s="119">
        <v>0</v>
      </c>
      <c r="ED58" s="119">
        <v>20</v>
      </c>
      <c r="EE58" s="119">
        <v>0</v>
      </c>
      <c r="EF58" t="s">
        <v>387</v>
      </c>
      <c r="EG58" s="119">
        <v>0</v>
      </c>
      <c r="EH58" s="119">
        <v>0</v>
      </c>
      <c r="EI58" s="119">
        <v>0</v>
      </c>
      <c r="EJ58" s="119">
        <v>0</v>
      </c>
      <c r="EK58" s="119">
        <v>0</v>
      </c>
      <c r="EL58" s="119">
        <v>0</v>
      </c>
      <c r="EM58" s="119">
        <v>0</v>
      </c>
      <c r="EN58" s="119">
        <v>0</v>
      </c>
      <c r="EO58" s="119">
        <v>0</v>
      </c>
      <c r="EP58" s="119">
        <v>0</v>
      </c>
      <c r="EQ58" s="119">
        <v>20</v>
      </c>
      <c r="ER58" s="119">
        <v>0</v>
      </c>
      <c r="ES58" t="s">
        <v>388</v>
      </c>
      <c r="ET58" s="119">
        <v>0</v>
      </c>
      <c r="EU58" s="119">
        <v>0</v>
      </c>
      <c r="EV58" s="119">
        <v>0</v>
      </c>
      <c r="EW58" s="119">
        <v>0</v>
      </c>
      <c r="EX58" s="119">
        <v>0</v>
      </c>
      <c r="EY58" s="119">
        <v>0</v>
      </c>
      <c r="EZ58" s="119">
        <v>0</v>
      </c>
      <c r="FA58" s="119">
        <v>0</v>
      </c>
      <c r="FB58" s="119">
        <v>0</v>
      </c>
      <c r="FC58" s="119">
        <v>0</v>
      </c>
      <c r="FD58" s="119">
        <v>20</v>
      </c>
      <c r="FE58" s="119">
        <v>0</v>
      </c>
      <c r="FF58" t="s">
        <v>389</v>
      </c>
      <c r="FG58" s="119">
        <v>0</v>
      </c>
      <c r="FH58" s="119">
        <v>0</v>
      </c>
      <c r="FI58" s="119">
        <v>0</v>
      </c>
      <c r="FJ58" s="119">
        <v>0</v>
      </c>
      <c r="FK58" s="119">
        <v>0</v>
      </c>
      <c r="FL58" s="119">
        <v>0</v>
      </c>
      <c r="FM58" s="119">
        <v>0</v>
      </c>
      <c r="FN58" s="119">
        <v>0</v>
      </c>
      <c r="FO58" s="119">
        <v>0</v>
      </c>
      <c r="FP58" s="119">
        <v>0</v>
      </c>
      <c r="FQ58" s="119">
        <v>20</v>
      </c>
      <c r="FR58" s="119">
        <v>0</v>
      </c>
      <c r="FS58" t="s">
        <v>390</v>
      </c>
      <c r="FT58" s="119">
        <v>0</v>
      </c>
      <c r="FU58" s="119">
        <v>0</v>
      </c>
      <c r="FV58" s="119">
        <v>0</v>
      </c>
      <c r="FW58" s="119">
        <v>0</v>
      </c>
      <c r="FX58" s="119">
        <v>0</v>
      </c>
      <c r="FY58" s="119">
        <v>0</v>
      </c>
      <c r="FZ58" s="119">
        <v>0</v>
      </c>
      <c r="GA58" s="119">
        <v>0</v>
      </c>
      <c r="GB58" s="119">
        <v>0</v>
      </c>
      <c r="GC58" s="119">
        <v>0</v>
      </c>
      <c r="GD58" s="119">
        <v>20</v>
      </c>
      <c r="GE58" s="119">
        <v>0</v>
      </c>
      <c r="GF58" t="s">
        <v>391</v>
      </c>
      <c r="GG58" s="119">
        <v>0</v>
      </c>
      <c r="GH58" s="119">
        <v>0</v>
      </c>
      <c r="GI58" s="119">
        <v>0</v>
      </c>
      <c r="GJ58" s="119">
        <v>0</v>
      </c>
      <c r="GK58" s="119">
        <v>0</v>
      </c>
      <c r="GL58" s="119">
        <v>0</v>
      </c>
      <c r="GM58" s="119">
        <v>0</v>
      </c>
      <c r="GN58" s="119">
        <v>0</v>
      </c>
      <c r="GO58" s="119">
        <v>0</v>
      </c>
      <c r="GP58" s="119">
        <v>0</v>
      </c>
      <c r="GQ58" s="119">
        <v>20</v>
      </c>
      <c r="GR58" s="119">
        <v>0</v>
      </c>
      <c r="HJ58"/>
      <c r="HK58" s="115"/>
      <c r="HR58" s="116"/>
      <c r="HT58" s="117"/>
      <c r="HY58"/>
      <c r="HZ58"/>
      <c r="IA58"/>
    </row>
    <row r="59" spans="1:235" x14ac:dyDescent="0.25">
      <c r="A59">
        <v>59</v>
      </c>
      <c r="B59" s="115">
        <v>43297</v>
      </c>
      <c r="C59" t="s">
        <v>392</v>
      </c>
      <c r="D59" t="s">
        <v>393</v>
      </c>
      <c r="E59" t="s">
        <v>394</v>
      </c>
      <c r="H59" t="s">
        <v>397</v>
      </c>
      <c r="I59" s="116">
        <v>25000</v>
      </c>
      <c r="J59" t="s">
        <v>398</v>
      </c>
      <c r="K59" s="117" t="s">
        <v>399</v>
      </c>
      <c r="L59" t="s">
        <v>468</v>
      </c>
      <c r="M59" t="s">
        <v>469</v>
      </c>
      <c r="N59" t="s">
        <v>154</v>
      </c>
      <c r="O59" t="s">
        <v>470</v>
      </c>
      <c r="P59">
        <v>23655.62</v>
      </c>
      <c r="Q59">
        <v>19713.009999999998</v>
      </c>
      <c r="R59">
        <v>3942.6</v>
      </c>
      <c r="S59" t="s">
        <v>378</v>
      </c>
      <c r="T59" s="118">
        <v>110</v>
      </c>
      <c r="U59" s="118">
        <v>12.22</v>
      </c>
      <c r="V59" s="118">
        <v>122.22</v>
      </c>
      <c r="W59" s="119">
        <v>10</v>
      </c>
      <c r="X59" s="119">
        <v>10</v>
      </c>
      <c r="Y59" s="119">
        <v>61</v>
      </c>
      <c r="Z59" s="119">
        <v>610</v>
      </c>
      <c r="AA59" s="119">
        <v>622.22</v>
      </c>
      <c r="AB59" s="119">
        <v>62.22</v>
      </c>
      <c r="AC59" s="119">
        <v>732.22</v>
      </c>
      <c r="AD59" s="119">
        <v>20</v>
      </c>
      <c r="AE59" s="119">
        <v>146.44</v>
      </c>
      <c r="AF59" t="s">
        <v>379</v>
      </c>
      <c r="AG59" s="119">
        <v>120</v>
      </c>
      <c r="AH59" s="119">
        <v>16.36</v>
      </c>
      <c r="AI59" s="119">
        <v>136.36000000000001</v>
      </c>
      <c r="AJ59" s="119">
        <v>12</v>
      </c>
      <c r="AK59" s="119">
        <v>12</v>
      </c>
      <c r="AL59" s="119">
        <v>62</v>
      </c>
      <c r="AM59" s="119">
        <v>744</v>
      </c>
      <c r="AN59" s="119">
        <v>760.36</v>
      </c>
      <c r="AO59" s="119">
        <v>63.36</v>
      </c>
      <c r="AP59" s="119">
        <v>880.36</v>
      </c>
      <c r="AQ59" s="119">
        <v>20</v>
      </c>
      <c r="AR59" s="119">
        <v>176.07</v>
      </c>
      <c r="AS59" t="s">
        <v>380</v>
      </c>
      <c r="AT59" s="119">
        <v>130</v>
      </c>
      <c r="AU59" s="119">
        <v>19.43</v>
      </c>
      <c r="AV59" s="119">
        <v>149.43</v>
      </c>
      <c r="AW59" s="119">
        <v>13</v>
      </c>
      <c r="AX59" s="119">
        <v>13</v>
      </c>
      <c r="AY59" s="119">
        <v>63</v>
      </c>
      <c r="AZ59" s="119">
        <v>819</v>
      </c>
      <c r="BA59" s="119">
        <v>838.43</v>
      </c>
      <c r="BB59" s="119">
        <v>64.489999999999995</v>
      </c>
      <c r="BC59" s="119">
        <v>968.43</v>
      </c>
      <c r="BD59" s="119">
        <v>20</v>
      </c>
      <c r="BE59" s="119">
        <v>193.69</v>
      </c>
      <c r="BF59" t="s">
        <v>381</v>
      </c>
      <c r="BG59" s="119">
        <v>140</v>
      </c>
      <c r="BH59" s="119">
        <v>22.79</v>
      </c>
      <c r="BI59" s="119">
        <v>162.79</v>
      </c>
      <c r="BJ59" s="119">
        <v>14</v>
      </c>
      <c r="BK59" s="119">
        <v>14</v>
      </c>
      <c r="BL59" s="119">
        <v>64</v>
      </c>
      <c r="BM59" s="119">
        <v>896</v>
      </c>
      <c r="BN59" s="119">
        <v>918.79</v>
      </c>
      <c r="BO59" s="119">
        <v>65.63</v>
      </c>
      <c r="BP59" s="119">
        <v>1058.79</v>
      </c>
      <c r="BQ59" s="119">
        <v>20</v>
      </c>
      <c r="BR59" s="119">
        <v>211.76</v>
      </c>
      <c r="BS59" t="s">
        <v>382</v>
      </c>
      <c r="BT59" s="119">
        <v>150</v>
      </c>
      <c r="BU59" s="119">
        <v>26.47</v>
      </c>
      <c r="BV59" s="119">
        <v>176.47</v>
      </c>
      <c r="BW59" s="119">
        <v>15</v>
      </c>
      <c r="BX59" s="119">
        <v>15</v>
      </c>
      <c r="BY59" s="119">
        <v>65</v>
      </c>
      <c r="BZ59" s="119">
        <v>975</v>
      </c>
      <c r="CA59" s="119">
        <v>1001.47</v>
      </c>
      <c r="CB59" s="119">
        <v>66.760000000000005</v>
      </c>
      <c r="CC59" s="119">
        <v>1151.47</v>
      </c>
      <c r="CD59" s="119">
        <v>20</v>
      </c>
      <c r="CE59" s="119">
        <v>230.29</v>
      </c>
      <c r="CF59" t="s">
        <v>383</v>
      </c>
      <c r="CG59" s="119">
        <v>160</v>
      </c>
      <c r="CH59" s="119">
        <v>30.48</v>
      </c>
      <c r="CI59" s="119">
        <v>190.48</v>
      </c>
      <c r="CJ59" s="119">
        <v>16</v>
      </c>
      <c r="CK59" s="119">
        <v>16</v>
      </c>
      <c r="CL59" s="119">
        <v>66</v>
      </c>
      <c r="CM59" s="119">
        <v>1056</v>
      </c>
      <c r="CN59" s="119">
        <v>1086.48</v>
      </c>
      <c r="CO59" s="119">
        <v>67.91</v>
      </c>
      <c r="CP59" s="119">
        <v>1246.48</v>
      </c>
      <c r="CQ59" s="119">
        <v>20</v>
      </c>
      <c r="CR59" s="119">
        <v>249.3</v>
      </c>
      <c r="CS59" t="s">
        <v>384</v>
      </c>
      <c r="CT59" s="119">
        <v>170</v>
      </c>
      <c r="CU59" s="119">
        <v>34.82</v>
      </c>
      <c r="CV59" s="119">
        <v>204.82</v>
      </c>
      <c r="CW59" s="119">
        <v>17</v>
      </c>
      <c r="CX59" s="119">
        <v>17</v>
      </c>
      <c r="CY59" s="119">
        <v>67</v>
      </c>
      <c r="CZ59" s="119">
        <v>1139</v>
      </c>
      <c r="DA59" s="119">
        <v>1173.82</v>
      </c>
      <c r="DB59" s="119">
        <v>69.05</v>
      </c>
      <c r="DC59" s="119">
        <v>1343.82</v>
      </c>
      <c r="DD59" s="119">
        <v>20</v>
      </c>
      <c r="DE59" s="119">
        <v>268.76</v>
      </c>
      <c r="DF59" t="s">
        <v>385</v>
      </c>
      <c r="DG59" s="119">
        <v>180</v>
      </c>
      <c r="DH59" s="119">
        <v>39.51</v>
      </c>
      <c r="DI59" s="119">
        <v>219.51</v>
      </c>
      <c r="DJ59" s="119">
        <v>18</v>
      </c>
      <c r="DK59" s="119">
        <v>18</v>
      </c>
      <c r="DL59" s="119">
        <v>68</v>
      </c>
      <c r="DM59" s="119">
        <v>1224</v>
      </c>
      <c r="DN59" s="119">
        <v>1263.51</v>
      </c>
      <c r="DO59" s="119">
        <v>70.2</v>
      </c>
      <c r="DP59" s="119">
        <v>1443.51</v>
      </c>
      <c r="DQ59" s="119">
        <v>20</v>
      </c>
      <c r="DR59" s="119">
        <v>288.7</v>
      </c>
      <c r="DS59" t="s">
        <v>386</v>
      </c>
      <c r="DT59" s="119">
        <v>190</v>
      </c>
      <c r="DU59" s="119">
        <v>44.57</v>
      </c>
      <c r="DV59" s="119">
        <v>234.57</v>
      </c>
      <c r="DW59" s="119">
        <v>19</v>
      </c>
      <c r="DX59" s="119">
        <v>19</v>
      </c>
      <c r="DY59" s="119">
        <v>69</v>
      </c>
      <c r="DZ59" s="119">
        <v>1311</v>
      </c>
      <c r="EA59" s="119">
        <v>1355.57</v>
      </c>
      <c r="EB59" s="119">
        <v>71.349999999999994</v>
      </c>
      <c r="EC59" s="119">
        <v>1545.57</v>
      </c>
      <c r="ED59" s="119">
        <v>20</v>
      </c>
      <c r="EE59" s="119">
        <v>309.11</v>
      </c>
      <c r="EF59" t="s">
        <v>387</v>
      </c>
      <c r="EG59" s="119">
        <v>200</v>
      </c>
      <c r="EH59" s="119">
        <v>50</v>
      </c>
      <c r="EI59" s="119">
        <v>250</v>
      </c>
      <c r="EJ59" s="119">
        <v>20</v>
      </c>
      <c r="EK59" s="119">
        <v>20</v>
      </c>
      <c r="EL59" s="119">
        <v>70</v>
      </c>
      <c r="EM59" s="119">
        <v>1400</v>
      </c>
      <c r="EN59" s="119">
        <v>1450</v>
      </c>
      <c r="EO59" s="119">
        <v>72.5</v>
      </c>
      <c r="EP59" s="119">
        <v>1650</v>
      </c>
      <c r="EQ59" s="119">
        <v>20</v>
      </c>
      <c r="ER59" s="119">
        <v>330</v>
      </c>
      <c r="ES59" t="s">
        <v>388</v>
      </c>
      <c r="ET59" s="119">
        <v>210</v>
      </c>
      <c r="EU59" s="119">
        <v>55.82</v>
      </c>
      <c r="EV59" s="119">
        <v>265.82</v>
      </c>
      <c r="EW59" s="119">
        <v>21</v>
      </c>
      <c r="EX59" s="119">
        <v>21</v>
      </c>
      <c r="EY59" s="119">
        <v>71</v>
      </c>
      <c r="EZ59" s="119">
        <v>1491</v>
      </c>
      <c r="FA59" s="119">
        <v>1546.82</v>
      </c>
      <c r="FB59" s="119">
        <v>73.66</v>
      </c>
      <c r="FC59" s="119">
        <v>1756.82</v>
      </c>
      <c r="FD59" s="119">
        <v>20</v>
      </c>
      <c r="FE59" s="119">
        <v>351.36</v>
      </c>
      <c r="FF59" t="s">
        <v>389</v>
      </c>
      <c r="FG59" s="119">
        <v>220</v>
      </c>
      <c r="FH59" s="119">
        <v>62.05</v>
      </c>
      <c r="FI59" s="119">
        <v>282.05</v>
      </c>
      <c r="FJ59" s="119">
        <v>22</v>
      </c>
      <c r="FK59" s="119">
        <v>22</v>
      </c>
      <c r="FL59" s="119">
        <v>72</v>
      </c>
      <c r="FM59" s="119">
        <v>1584</v>
      </c>
      <c r="FN59" s="119">
        <v>1646.05</v>
      </c>
      <c r="FO59" s="119">
        <v>74.819999999999993</v>
      </c>
      <c r="FP59" s="119">
        <v>1866.05</v>
      </c>
      <c r="FQ59" s="119">
        <v>20</v>
      </c>
      <c r="FR59" s="119">
        <v>373.21</v>
      </c>
      <c r="FS59" t="s">
        <v>390</v>
      </c>
      <c r="FT59" s="119">
        <v>230</v>
      </c>
      <c r="FU59" s="119">
        <v>68.7</v>
      </c>
      <c r="FV59" s="119">
        <v>298.7</v>
      </c>
      <c r="FW59" s="119">
        <v>23</v>
      </c>
      <c r="FX59" s="119">
        <v>23</v>
      </c>
      <c r="FY59" s="119">
        <v>73</v>
      </c>
      <c r="FZ59" s="119">
        <v>1679</v>
      </c>
      <c r="GA59" s="119">
        <v>1747.7</v>
      </c>
      <c r="GB59" s="119">
        <v>75.989999999999995</v>
      </c>
      <c r="GC59" s="119">
        <v>1977.7</v>
      </c>
      <c r="GD59" s="119">
        <v>20</v>
      </c>
      <c r="GE59" s="119">
        <v>395.54</v>
      </c>
      <c r="GF59" t="s">
        <v>391</v>
      </c>
      <c r="GG59" s="119">
        <v>240</v>
      </c>
      <c r="GH59" s="119">
        <v>75.790000000000006</v>
      </c>
      <c r="GI59" s="119">
        <v>315.79000000000002</v>
      </c>
      <c r="GJ59" s="119">
        <v>24</v>
      </c>
      <c r="GK59" s="119">
        <v>24</v>
      </c>
      <c r="GL59" s="119">
        <v>74</v>
      </c>
      <c r="GM59" s="119">
        <v>1776</v>
      </c>
      <c r="GN59" s="119">
        <v>1851.79</v>
      </c>
      <c r="GO59" s="119">
        <v>77.16</v>
      </c>
      <c r="GP59" s="119">
        <v>2091.79</v>
      </c>
      <c r="GQ59" s="119">
        <v>20</v>
      </c>
      <c r="GR59" s="119">
        <v>418.36</v>
      </c>
      <c r="HJ59"/>
      <c r="HK59" s="115"/>
      <c r="HR59" s="116"/>
      <c r="HT59" s="117"/>
      <c r="HY59"/>
      <c r="HZ59"/>
      <c r="IA59"/>
    </row>
    <row r="60" spans="1:235" x14ac:dyDescent="0.25">
      <c r="A60">
        <v>60</v>
      </c>
      <c r="B60" s="115">
        <v>43297</v>
      </c>
      <c r="C60" t="s">
        <v>424</v>
      </c>
      <c r="D60" t="s">
        <v>471</v>
      </c>
      <c r="F60" t="s">
        <v>472</v>
      </c>
      <c r="G60" t="s">
        <v>473</v>
      </c>
      <c r="H60" t="s">
        <v>474</v>
      </c>
      <c r="I60" s="116">
        <v>25000</v>
      </c>
      <c r="J60" t="s">
        <v>398</v>
      </c>
      <c r="K60" s="117" t="s">
        <v>475</v>
      </c>
      <c r="L60">
        <v>5852</v>
      </c>
      <c r="M60">
        <v>3840</v>
      </c>
      <c r="N60" t="s">
        <v>154</v>
      </c>
      <c r="O60" t="s">
        <v>476</v>
      </c>
      <c r="P60">
        <v>24980.57</v>
      </c>
      <c r="Q60">
        <v>20817.14</v>
      </c>
      <c r="R60">
        <v>4163.43</v>
      </c>
      <c r="S60" t="s">
        <v>378</v>
      </c>
      <c r="T60" s="118">
        <v>2532</v>
      </c>
      <c r="U60" s="118">
        <v>1085.1400000000001</v>
      </c>
      <c r="V60" s="118">
        <v>3617.14</v>
      </c>
      <c r="W60" s="119">
        <v>30</v>
      </c>
      <c r="X60" s="119">
        <v>50</v>
      </c>
      <c r="Y60" s="119">
        <v>120</v>
      </c>
      <c r="Z60" s="119">
        <v>6000</v>
      </c>
      <c r="AA60" s="119">
        <v>7085.14</v>
      </c>
      <c r="AB60" s="119">
        <v>141.69999999999999</v>
      </c>
      <c r="AC60" s="119">
        <v>9617.14</v>
      </c>
      <c r="AD60" s="119">
        <v>20</v>
      </c>
      <c r="AE60" s="119">
        <v>1923.43</v>
      </c>
      <c r="AF60" t="s">
        <v>379</v>
      </c>
      <c r="AG60" s="119">
        <v>3850</v>
      </c>
      <c r="AH60" s="119">
        <v>1650</v>
      </c>
      <c r="AI60" s="119">
        <v>5500</v>
      </c>
      <c r="AJ60" s="119">
        <v>30</v>
      </c>
      <c r="AK60" s="119">
        <v>60</v>
      </c>
      <c r="AL60" s="119">
        <v>95</v>
      </c>
      <c r="AM60" s="119">
        <v>5700</v>
      </c>
      <c r="AN60" s="119">
        <v>7350</v>
      </c>
      <c r="AO60" s="119">
        <v>122.5</v>
      </c>
      <c r="AP60" s="119">
        <v>11200</v>
      </c>
      <c r="AQ60" s="119">
        <v>20</v>
      </c>
      <c r="AR60" s="119">
        <v>2240</v>
      </c>
      <c r="AS60" t="s">
        <v>380</v>
      </c>
      <c r="AT60" s="119">
        <v>0</v>
      </c>
      <c r="AU60" s="119">
        <v>0</v>
      </c>
      <c r="AV60" s="119">
        <v>0</v>
      </c>
      <c r="AW60" s="119">
        <v>0</v>
      </c>
      <c r="AX60" s="119">
        <v>0</v>
      </c>
      <c r="AY60" s="119">
        <v>0</v>
      </c>
      <c r="AZ60" s="119">
        <v>0</v>
      </c>
      <c r="BA60" s="119">
        <v>0</v>
      </c>
      <c r="BB60" s="119">
        <v>0</v>
      </c>
      <c r="BC60" s="119">
        <v>0</v>
      </c>
      <c r="BD60" s="119">
        <v>20</v>
      </c>
      <c r="BE60" s="119">
        <v>0</v>
      </c>
      <c r="BF60" t="s">
        <v>381</v>
      </c>
      <c r="BG60" s="119">
        <v>0</v>
      </c>
      <c r="BH60" s="119">
        <v>0</v>
      </c>
      <c r="BI60" s="119">
        <v>0</v>
      </c>
      <c r="BJ60" s="119">
        <v>0</v>
      </c>
      <c r="BK60" s="119">
        <v>0</v>
      </c>
      <c r="BL60" s="119">
        <v>0</v>
      </c>
      <c r="BM60" s="119">
        <v>0</v>
      </c>
      <c r="BN60" s="119">
        <v>0</v>
      </c>
      <c r="BO60" s="119">
        <v>0</v>
      </c>
      <c r="BP60" s="119">
        <v>0</v>
      </c>
      <c r="BQ60" s="119">
        <v>20</v>
      </c>
      <c r="BR60" s="119">
        <v>0</v>
      </c>
      <c r="BS60" t="s">
        <v>382</v>
      </c>
      <c r="BT60" s="119">
        <v>0</v>
      </c>
      <c r="BU60" s="119">
        <v>0</v>
      </c>
      <c r="BV60" s="119">
        <v>0</v>
      </c>
      <c r="BW60" s="119">
        <v>0</v>
      </c>
      <c r="BX60" s="119">
        <v>0</v>
      </c>
      <c r="BY60" s="119">
        <v>0</v>
      </c>
      <c r="BZ60" s="119">
        <v>0</v>
      </c>
      <c r="CA60" s="119">
        <v>0</v>
      </c>
      <c r="CB60" s="119">
        <v>0</v>
      </c>
      <c r="CC60" s="119">
        <v>0</v>
      </c>
      <c r="CD60" s="119">
        <v>20</v>
      </c>
      <c r="CE60" s="119">
        <v>0</v>
      </c>
      <c r="CF60" t="s">
        <v>383</v>
      </c>
      <c r="CG60" s="119">
        <v>0</v>
      </c>
      <c r="CH60" s="119">
        <v>0</v>
      </c>
      <c r="CI60" s="119">
        <v>0</v>
      </c>
      <c r="CJ60" s="119">
        <v>0</v>
      </c>
      <c r="CK60" s="119">
        <v>0</v>
      </c>
      <c r="CL60" s="119">
        <v>0</v>
      </c>
      <c r="CM60" s="119">
        <v>0</v>
      </c>
      <c r="CN60" s="119">
        <v>0</v>
      </c>
      <c r="CO60" s="119">
        <v>0</v>
      </c>
      <c r="CP60" s="119">
        <v>0</v>
      </c>
      <c r="CQ60" s="119">
        <v>20</v>
      </c>
      <c r="CR60" s="119">
        <v>0</v>
      </c>
      <c r="CS60" t="s">
        <v>384</v>
      </c>
      <c r="CT60" s="119">
        <v>0</v>
      </c>
      <c r="CU60" s="119">
        <v>0</v>
      </c>
      <c r="CV60" s="119">
        <v>0</v>
      </c>
      <c r="CW60" s="119">
        <v>0</v>
      </c>
      <c r="CX60" s="119">
        <v>0</v>
      </c>
      <c r="CY60" s="119">
        <v>0</v>
      </c>
      <c r="CZ60" s="119">
        <v>0</v>
      </c>
      <c r="DA60" s="119">
        <v>0</v>
      </c>
      <c r="DB60" s="119">
        <v>0</v>
      </c>
      <c r="DC60" s="119">
        <v>0</v>
      </c>
      <c r="DD60" s="119">
        <v>20</v>
      </c>
      <c r="DE60" s="119">
        <v>0</v>
      </c>
      <c r="DF60" t="s">
        <v>385</v>
      </c>
      <c r="DG60" s="119">
        <v>0</v>
      </c>
      <c r="DH60" s="119">
        <v>0</v>
      </c>
      <c r="DI60" s="119">
        <v>0</v>
      </c>
      <c r="DJ60" s="119">
        <v>0</v>
      </c>
      <c r="DK60" s="119">
        <v>0</v>
      </c>
      <c r="DL60" s="119">
        <v>0</v>
      </c>
      <c r="DM60" s="119">
        <v>0</v>
      </c>
      <c r="DN60" s="119">
        <v>0</v>
      </c>
      <c r="DO60" s="119">
        <v>0</v>
      </c>
      <c r="DP60" s="119">
        <v>0</v>
      </c>
      <c r="DQ60" s="119">
        <v>20</v>
      </c>
      <c r="DR60" s="119">
        <v>0</v>
      </c>
      <c r="DS60" t="s">
        <v>386</v>
      </c>
      <c r="DT60" s="119">
        <v>0</v>
      </c>
      <c r="DU60" s="119">
        <v>0</v>
      </c>
      <c r="DV60" s="119">
        <v>0</v>
      </c>
      <c r="DW60" s="119">
        <v>0</v>
      </c>
      <c r="DX60" s="119">
        <v>0</v>
      </c>
      <c r="DY60" s="119">
        <v>0</v>
      </c>
      <c r="DZ60" s="119">
        <v>0</v>
      </c>
      <c r="EA60" s="119">
        <v>0</v>
      </c>
      <c r="EB60" s="119">
        <v>0</v>
      </c>
      <c r="EC60" s="119">
        <v>0</v>
      </c>
      <c r="ED60" s="119">
        <v>20</v>
      </c>
      <c r="EE60" s="119">
        <v>0</v>
      </c>
      <c r="EF60" t="s">
        <v>387</v>
      </c>
      <c r="EG60" s="119">
        <v>0</v>
      </c>
      <c r="EH60" s="119">
        <v>0</v>
      </c>
      <c r="EI60" s="119">
        <v>0</v>
      </c>
      <c r="EJ60" s="119">
        <v>0</v>
      </c>
      <c r="EK60" s="119">
        <v>0</v>
      </c>
      <c r="EL60" s="119">
        <v>0</v>
      </c>
      <c r="EM60" s="119">
        <v>0</v>
      </c>
      <c r="EN60" s="119">
        <v>0</v>
      </c>
      <c r="EO60" s="119">
        <v>0</v>
      </c>
      <c r="EP60" s="119">
        <v>0</v>
      </c>
      <c r="EQ60" s="119">
        <v>20</v>
      </c>
      <c r="ER60" s="119">
        <v>0</v>
      </c>
      <c r="ES60" t="s">
        <v>388</v>
      </c>
      <c r="ET60" s="119">
        <v>0</v>
      </c>
      <c r="EU60" s="119">
        <v>0</v>
      </c>
      <c r="EV60" s="119">
        <v>0</v>
      </c>
      <c r="EW60" s="119">
        <v>0</v>
      </c>
      <c r="EX60" s="119">
        <v>0</v>
      </c>
      <c r="EY60" s="119">
        <v>0</v>
      </c>
      <c r="EZ60" s="119">
        <v>0</v>
      </c>
      <c r="FA60" s="119">
        <v>0</v>
      </c>
      <c r="FB60" s="119">
        <v>0</v>
      </c>
      <c r="FC60" s="119">
        <v>0</v>
      </c>
      <c r="FD60" s="119">
        <v>20</v>
      </c>
      <c r="FE60" s="119">
        <v>0</v>
      </c>
      <c r="FF60" t="s">
        <v>389</v>
      </c>
      <c r="FG60" s="119">
        <v>0</v>
      </c>
      <c r="FH60" s="119">
        <v>0</v>
      </c>
      <c r="FI60" s="119">
        <v>0</v>
      </c>
      <c r="FJ60" s="119">
        <v>0</v>
      </c>
      <c r="FK60" s="119">
        <v>0</v>
      </c>
      <c r="FL60" s="119">
        <v>0</v>
      </c>
      <c r="FM60" s="119">
        <v>0</v>
      </c>
      <c r="FN60" s="119">
        <v>0</v>
      </c>
      <c r="FO60" s="119">
        <v>0</v>
      </c>
      <c r="FP60" s="119">
        <v>0</v>
      </c>
      <c r="FQ60" s="119">
        <v>20</v>
      </c>
      <c r="FR60" s="119">
        <v>0</v>
      </c>
      <c r="FS60" t="s">
        <v>390</v>
      </c>
      <c r="FT60" s="119">
        <v>0</v>
      </c>
      <c r="FU60" s="119">
        <v>0</v>
      </c>
      <c r="FV60" s="119">
        <v>0</v>
      </c>
      <c r="FW60" s="119">
        <v>0</v>
      </c>
      <c r="FX60" s="119">
        <v>0</v>
      </c>
      <c r="FY60" s="119">
        <v>0</v>
      </c>
      <c r="FZ60" s="119">
        <v>0</v>
      </c>
      <c r="GA60" s="119">
        <v>0</v>
      </c>
      <c r="GB60" s="119">
        <v>0</v>
      </c>
      <c r="GC60" s="119">
        <v>0</v>
      </c>
      <c r="GD60" s="119">
        <v>20</v>
      </c>
      <c r="GE60" s="119">
        <v>0</v>
      </c>
      <c r="GF60" t="s">
        <v>391</v>
      </c>
      <c r="GG60" s="119">
        <v>0</v>
      </c>
      <c r="GH60" s="119">
        <v>0</v>
      </c>
      <c r="GI60" s="119">
        <v>0</v>
      </c>
      <c r="GJ60" s="119">
        <v>0</v>
      </c>
      <c r="GK60" s="119">
        <v>0</v>
      </c>
      <c r="GL60" s="119">
        <v>0</v>
      </c>
      <c r="GM60" s="119">
        <v>0</v>
      </c>
      <c r="GN60" s="119">
        <v>0</v>
      </c>
      <c r="GO60" s="119">
        <v>0</v>
      </c>
      <c r="GP60" s="119">
        <v>0</v>
      </c>
      <c r="GQ60" s="119">
        <v>20</v>
      </c>
      <c r="GR60" s="119">
        <v>0</v>
      </c>
      <c r="HJ60"/>
      <c r="HK60" s="115"/>
      <c r="HR60" s="116"/>
      <c r="HT60" s="117"/>
      <c r="HY60"/>
      <c r="HZ60"/>
      <c r="IA60"/>
    </row>
    <row r="61" spans="1:235" x14ac:dyDescent="0.25">
      <c r="A61">
        <v>61</v>
      </c>
      <c r="B61" s="115">
        <v>43297</v>
      </c>
      <c r="C61" t="s">
        <v>424</v>
      </c>
      <c r="D61" t="s">
        <v>471</v>
      </c>
      <c r="F61" t="s">
        <v>472</v>
      </c>
      <c r="G61" t="s">
        <v>473</v>
      </c>
      <c r="H61" t="s">
        <v>474</v>
      </c>
      <c r="I61" s="116">
        <v>25000</v>
      </c>
      <c r="J61" t="s">
        <v>398</v>
      </c>
      <c r="K61" s="117" t="s">
        <v>475</v>
      </c>
      <c r="L61">
        <v>5646</v>
      </c>
      <c r="M61" t="s">
        <v>477</v>
      </c>
      <c r="N61" t="s">
        <v>154</v>
      </c>
      <c r="O61" t="s">
        <v>478</v>
      </c>
      <c r="P61">
        <v>31885.71</v>
      </c>
      <c r="Q61">
        <v>26571.43</v>
      </c>
      <c r="R61">
        <v>5314.29</v>
      </c>
      <c r="S61" t="s">
        <v>378</v>
      </c>
      <c r="T61" s="118">
        <v>2500</v>
      </c>
      <c r="U61" s="118">
        <v>1071.43</v>
      </c>
      <c r="V61" s="118">
        <v>3571.43</v>
      </c>
      <c r="W61" s="119">
        <v>30</v>
      </c>
      <c r="X61" s="119">
        <v>60</v>
      </c>
      <c r="Y61" s="119">
        <v>120</v>
      </c>
      <c r="Z61" s="119">
        <v>7200</v>
      </c>
      <c r="AA61" s="119">
        <v>8271.43</v>
      </c>
      <c r="AB61" s="119">
        <v>137.86000000000001</v>
      </c>
      <c r="AC61" s="119">
        <v>10771.43</v>
      </c>
      <c r="AD61" s="119">
        <v>20</v>
      </c>
      <c r="AE61" s="119">
        <v>2154.29</v>
      </c>
      <c r="AF61" t="s">
        <v>379</v>
      </c>
      <c r="AG61" s="119">
        <v>4200</v>
      </c>
      <c r="AH61" s="119">
        <v>1800</v>
      </c>
      <c r="AI61" s="119">
        <v>6000</v>
      </c>
      <c r="AJ61" s="119">
        <v>30</v>
      </c>
      <c r="AK61" s="119">
        <v>70</v>
      </c>
      <c r="AL61" s="119">
        <v>140</v>
      </c>
      <c r="AM61" s="119">
        <v>9800</v>
      </c>
      <c r="AN61" s="119">
        <v>11600</v>
      </c>
      <c r="AO61" s="119">
        <v>165.71</v>
      </c>
      <c r="AP61" s="119">
        <v>15800</v>
      </c>
      <c r="AQ61" s="119">
        <v>20</v>
      </c>
      <c r="AR61" s="119">
        <v>3160</v>
      </c>
      <c r="AS61" t="s">
        <v>380</v>
      </c>
      <c r="AT61" s="119">
        <v>0</v>
      </c>
      <c r="AU61" s="119">
        <v>0</v>
      </c>
      <c r="AV61" s="119">
        <v>0</v>
      </c>
      <c r="AW61" s="119">
        <v>0</v>
      </c>
      <c r="AX61" s="119">
        <v>0</v>
      </c>
      <c r="AY61" s="119">
        <v>0</v>
      </c>
      <c r="AZ61" s="119">
        <v>0</v>
      </c>
      <c r="BA61" s="119">
        <v>0</v>
      </c>
      <c r="BB61" s="119">
        <v>0</v>
      </c>
      <c r="BC61" s="119">
        <v>0</v>
      </c>
      <c r="BD61" s="119">
        <v>20</v>
      </c>
      <c r="BE61" s="119">
        <v>0</v>
      </c>
      <c r="BF61" t="s">
        <v>381</v>
      </c>
      <c r="BG61" s="119">
        <v>0</v>
      </c>
      <c r="BH61" s="119">
        <v>0</v>
      </c>
      <c r="BI61" s="119">
        <v>0</v>
      </c>
      <c r="BJ61" s="119">
        <v>0</v>
      </c>
      <c r="BK61" s="119">
        <v>0</v>
      </c>
      <c r="BL61" s="119">
        <v>0</v>
      </c>
      <c r="BM61" s="119">
        <v>0</v>
      </c>
      <c r="BN61" s="119">
        <v>0</v>
      </c>
      <c r="BO61" s="119">
        <v>0</v>
      </c>
      <c r="BP61" s="119">
        <v>0</v>
      </c>
      <c r="BQ61" s="119">
        <v>20</v>
      </c>
      <c r="BR61" s="119">
        <v>0</v>
      </c>
      <c r="BS61" t="s">
        <v>382</v>
      </c>
      <c r="BT61" s="119">
        <v>0</v>
      </c>
      <c r="BU61" s="119">
        <v>0</v>
      </c>
      <c r="BV61" s="119">
        <v>0</v>
      </c>
      <c r="BW61" s="119">
        <v>0</v>
      </c>
      <c r="BX61" s="119">
        <v>0</v>
      </c>
      <c r="BY61" s="119">
        <v>0</v>
      </c>
      <c r="BZ61" s="119">
        <v>0</v>
      </c>
      <c r="CA61" s="119">
        <v>0</v>
      </c>
      <c r="CB61" s="119">
        <v>0</v>
      </c>
      <c r="CC61" s="119">
        <v>0</v>
      </c>
      <c r="CD61" s="119">
        <v>20</v>
      </c>
      <c r="CE61" s="119">
        <v>0</v>
      </c>
      <c r="CF61" t="s">
        <v>383</v>
      </c>
      <c r="CG61" s="119">
        <v>0</v>
      </c>
      <c r="CH61" s="119">
        <v>0</v>
      </c>
      <c r="CI61" s="119">
        <v>0</v>
      </c>
      <c r="CJ61" s="119">
        <v>0</v>
      </c>
      <c r="CK61" s="119">
        <v>0</v>
      </c>
      <c r="CL61" s="119">
        <v>0</v>
      </c>
      <c r="CM61" s="119">
        <v>0</v>
      </c>
      <c r="CN61" s="119">
        <v>0</v>
      </c>
      <c r="CO61" s="119">
        <v>0</v>
      </c>
      <c r="CP61" s="119">
        <v>0</v>
      </c>
      <c r="CQ61" s="119">
        <v>20</v>
      </c>
      <c r="CR61" s="119">
        <v>0</v>
      </c>
      <c r="CS61" t="s">
        <v>384</v>
      </c>
      <c r="CT61" s="119">
        <v>0</v>
      </c>
      <c r="CU61" s="119">
        <v>0</v>
      </c>
      <c r="CV61" s="119">
        <v>0</v>
      </c>
      <c r="CW61" s="119">
        <v>0</v>
      </c>
      <c r="CX61" s="119">
        <v>0</v>
      </c>
      <c r="CY61" s="119">
        <v>0</v>
      </c>
      <c r="CZ61" s="119">
        <v>0</v>
      </c>
      <c r="DA61" s="119">
        <v>0</v>
      </c>
      <c r="DB61" s="119">
        <v>0</v>
      </c>
      <c r="DC61" s="119">
        <v>0</v>
      </c>
      <c r="DD61" s="119">
        <v>20</v>
      </c>
      <c r="DE61" s="119">
        <v>0</v>
      </c>
      <c r="DF61" t="s">
        <v>385</v>
      </c>
      <c r="DG61" s="119">
        <v>0</v>
      </c>
      <c r="DH61" s="119">
        <v>0</v>
      </c>
      <c r="DI61" s="119">
        <v>0</v>
      </c>
      <c r="DJ61" s="119">
        <v>0</v>
      </c>
      <c r="DK61" s="119">
        <v>0</v>
      </c>
      <c r="DL61" s="119">
        <v>0</v>
      </c>
      <c r="DM61" s="119">
        <v>0</v>
      </c>
      <c r="DN61" s="119">
        <v>0</v>
      </c>
      <c r="DO61" s="119">
        <v>0</v>
      </c>
      <c r="DP61" s="119">
        <v>0</v>
      </c>
      <c r="DQ61" s="119">
        <v>20</v>
      </c>
      <c r="DR61" s="119">
        <v>0</v>
      </c>
      <c r="DS61" t="s">
        <v>386</v>
      </c>
      <c r="DT61" s="119">
        <v>0</v>
      </c>
      <c r="DU61" s="119">
        <v>0</v>
      </c>
      <c r="DV61" s="119">
        <v>0</v>
      </c>
      <c r="DW61" s="119">
        <v>0</v>
      </c>
      <c r="DX61" s="119">
        <v>0</v>
      </c>
      <c r="DY61" s="119">
        <v>0</v>
      </c>
      <c r="DZ61" s="119">
        <v>0</v>
      </c>
      <c r="EA61" s="119">
        <v>0</v>
      </c>
      <c r="EB61" s="119">
        <v>0</v>
      </c>
      <c r="EC61" s="119">
        <v>0</v>
      </c>
      <c r="ED61" s="119">
        <v>20</v>
      </c>
      <c r="EE61" s="119">
        <v>0</v>
      </c>
      <c r="EF61" t="s">
        <v>387</v>
      </c>
      <c r="EG61" s="119">
        <v>0</v>
      </c>
      <c r="EH61" s="119">
        <v>0</v>
      </c>
      <c r="EI61" s="119">
        <v>0</v>
      </c>
      <c r="EJ61" s="119">
        <v>0</v>
      </c>
      <c r="EK61" s="119">
        <v>0</v>
      </c>
      <c r="EL61" s="119">
        <v>0</v>
      </c>
      <c r="EM61" s="119">
        <v>0</v>
      </c>
      <c r="EN61" s="119">
        <v>0</v>
      </c>
      <c r="EO61" s="119">
        <v>0</v>
      </c>
      <c r="EP61" s="119">
        <v>0</v>
      </c>
      <c r="EQ61" s="119">
        <v>20</v>
      </c>
      <c r="ER61" s="119">
        <v>0</v>
      </c>
      <c r="ES61" t="s">
        <v>388</v>
      </c>
      <c r="ET61" s="119">
        <v>0</v>
      </c>
      <c r="EU61" s="119">
        <v>0</v>
      </c>
      <c r="EV61" s="119">
        <v>0</v>
      </c>
      <c r="EW61" s="119">
        <v>0</v>
      </c>
      <c r="EX61" s="119">
        <v>0</v>
      </c>
      <c r="EY61" s="119">
        <v>0</v>
      </c>
      <c r="EZ61" s="119">
        <v>0</v>
      </c>
      <c r="FA61" s="119">
        <v>0</v>
      </c>
      <c r="FB61" s="119">
        <v>0</v>
      </c>
      <c r="FC61" s="119">
        <v>0</v>
      </c>
      <c r="FD61" s="119">
        <v>20</v>
      </c>
      <c r="FE61" s="119">
        <v>0</v>
      </c>
      <c r="FF61" t="s">
        <v>389</v>
      </c>
      <c r="FG61" s="119">
        <v>0</v>
      </c>
      <c r="FH61" s="119">
        <v>0</v>
      </c>
      <c r="FI61" s="119">
        <v>0</v>
      </c>
      <c r="FJ61" s="119">
        <v>0</v>
      </c>
      <c r="FK61" s="119">
        <v>0</v>
      </c>
      <c r="FL61" s="119">
        <v>0</v>
      </c>
      <c r="FM61" s="119">
        <v>0</v>
      </c>
      <c r="FN61" s="119">
        <v>0</v>
      </c>
      <c r="FO61" s="119">
        <v>0</v>
      </c>
      <c r="FP61" s="119">
        <v>0</v>
      </c>
      <c r="FQ61" s="119">
        <v>20</v>
      </c>
      <c r="FR61" s="119">
        <v>0</v>
      </c>
      <c r="FS61" t="s">
        <v>390</v>
      </c>
      <c r="FT61" s="119">
        <v>0</v>
      </c>
      <c r="FU61" s="119">
        <v>0</v>
      </c>
      <c r="FV61" s="119">
        <v>0</v>
      </c>
      <c r="FW61" s="119">
        <v>0</v>
      </c>
      <c r="FX61" s="119">
        <v>0</v>
      </c>
      <c r="FY61" s="119">
        <v>0</v>
      </c>
      <c r="FZ61" s="119">
        <v>0</v>
      </c>
      <c r="GA61" s="119">
        <v>0</v>
      </c>
      <c r="GB61" s="119">
        <v>0</v>
      </c>
      <c r="GC61" s="119">
        <v>0</v>
      </c>
      <c r="GD61" s="119">
        <v>20</v>
      </c>
      <c r="GE61" s="119">
        <v>0</v>
      </c>
      <c r="GF61" t="s">
        <v>391</v>
      </c>
      <c r="GG61" s="119">
        <v>0</v>
      </c>
      <c r="GH61" s="119">
        <v>0</v>
      </c>
      <c r="GI61" s="119">
        <v>0</v>
      </c>
      <c r="GJ61" s="119">
        <v>0</v>
      </c>
      <c r="GK61" s="119">
        <v>0</v>
      </c>
      <c r="GL61" s="119">
        <v>0</v>
      </c>
      <c r="GM61" s="119">
        <v>0</v>
      </c>
      <c r="GN61" s="119">
        <v>0</v>
      </c>
      <c r="GO61" s="119">
        <v>0</v>
      </c>
      <c r="GP61" s="119">
        <v>0</v>
      </c>
      <c r="GQ61" s="119">
        <v>20</v>
      </c>
      <c r="GR61" s="119">
        <v>0</v>
      </c>
      <c r="HJ61"/>
      <c r="HK61" s="115"/>
      <c r="HR61" s="116"/>
      <c r="HT61" s="117"/>
      <c r="HY61"/>
      <c r="HZ61"/>
      <c r="IA61"/>
    </row>
    <row r="62" spans="1:235" x14ac:dyDescent="0.25">
      <c r="A62">
        <v>62</v>
      </c>
      <c r="B62" s="115">
        <v>43297</v>
      </c>
      <c r="C62" t="s">
        <v>424</v>
      </c>
      <c r="D62" t="s">
        <v>471</v>
      </c>
      <c r="F62" t="s">
        <v>472</v>
      </c>
      <c r="G62" t="s">
        <v>473</v>
      </c>
      <c r="H62" t="s">
        <v>474</v>
      </c>
      <c r="I62" s="116">
        <v>25000</v>
      </c>
      <c r="J62" t="s">
        <v>398</v>
      </c>
      <c r="K62" s="117" t="s">
        <v>475</v>
      </c>
      <c r="L62">
        <v>24532</v>
      </c>
      <c r="M62" t="s">
        <v>479</v>
      </c>
      <c r="N62" t="s">
        <v>423</v>
      </c>
      <c r="O62">
        <v>24232</v>
      </c>
      <c r="P62">
        <v>1577.14</v>
      </c>
      <c r="Q62">
        <v>1314.29</v>
      </c>
      <c r="R62">
        <v>262.86</v>
      </c>
      <c r="S62" t="s">
        <v>378</v>
      </c>
      <c r="T62" s="118">
        <v>0</v>
      </c>
      <c r="U62" s="118">
        <v>0</v>
      </c>
      <c r="V62" s="118">
        <v>0</v>
      </c>
      <c r="W62" s="119">
        <v>0</v>
      </c>
      <c r="X62" s="119">
        <v>0</v>
      </c>
      <c r="Y62" s="119">
        <v>0</v>
      </c>
      <c r="Z62" s="119">
        <v>0</v>
      </c>
      <c r="AA62" s="119">
        <v>0</v>
      </c>
      <c r="AB62" s="119">
        <v>0</v>
      </c>
      <c r="AC62" s="119">
        <v>0</v>
      </c>
      <c r="AD62" s="119">
        <v>20</v>
      </c>
      <c r="AE62" s="119">
        <v>0</v>
      </c>
      <c r="AF62" t="s">
        <v>379</v>
      </c>
      <c r="AG62" s="119">
        <v>0</v>
      </c>
      <c r="AH62" s="119">
        <v>0</v>
      </c>
      <c r="AI62" s="119">
        <v>0</v>
      </c>
      <c r="AJ62" s="119">
        <v>0</v>
      </c>
      <c r="AK62" s="119">
        <v>0</v>
      </c>
      <c r="AL62" s="119">
        <v>0</v>
      </c>
      <c r="AM62" s="119">
        <v>0</v>
      </c>
      <c r="AN62" s="119">
        <v>0</v>
      </c>
      <c r="AO62" s="119">
        <v>0</v>
      </c>
      <c r="AP62" s="119">
        <v>0</v>
      </c>
      <c r="AQ62" s="119">
        <v>20</v>
      </c>
      <c r="AR62" s="119">
        <v>0</v>
      </c>
      <c r="AS62" t="s">
        <v>380</v>
      </c>
      <c r="AT62" s="119">
        <v>0</v>
      </c>
      <c r="AU62" s="119">
        <v>0</v>
      </c>
      <c r="AV62" s="119">
        <v>0</v>
      </c>
      <c r="AW62" s="119">
        <v>0</v>
      </c>
      <c r="AX62" s="119">
        <v>0</v>
      </c>
      <c r="AY62" s="119">
        <v>0</v>
      </c>
      <c r="AZ62" s="119">
        <v>0</v>
      </c>
      <c r="BA62" s="119">
        <v>0</v>
      </c>
      <c r="BB62" s="119">
        <v>0</v>
      </c>
      <c r="BC62" s="119">
        <v>0</v>
      </c>
      <c r="BD62" s="119">
        <v>20</v>
      </c>
      <c r="BE62" s="119">
        <v>0</v>
      </c>
      <c r="BF62" t="s">
        <v>381</v>
      </c>
      <c r="BG62" s="119">
        <v>0</v>
      </c>
      <c r="BH62" s="119">
        <v>0</v>
      </c>
      <c r="BI62" s="119">
        <v>0</v>
      </c>
      <c r="BJ62" s="119">
        <v>0</v>
      </c>
      <c r="BK62" s="119">
        <v>0</v>
      </c>
      <c r="BL62" s="119">
        <v>0</v>
      </c>
      <c r="BM62" s="119">
        <v>0</v>
      </c>
      <c r="BN62" s="119">
        <v>0</v>
      </c>
      <c r="BO62" s="119">
        <v>0</v>
      </c>
      <c r="BP62" s="119">
        <v>0</v>
      </c>
      <c r="BQ62" s="119">
        <v>20</v>
      </c>
      <c r="BR62" s="119">
        <v>0</v>
      </c>
      <c r="BS62" t="s">
        <v>382</v>
      </c>
      <c r="BT62" s="119">
        <v>0</v>
      </c>
      <c r="BU62" s="119">
        <v>0</v>
      </c>
      <c r="BV62" s="119">
        <v>0</v>
      </c>
      <c r="BW62" s="119">
        <v>0</v>
      </c>
      <c r="BX62" s="119">
        <v>0</v>
      </c>
      <c r="BY62" s="119">
        <v>0</v>
      </c>
      <c r="BZ62" s="119">
        <v>0</v>
      </c>
      <c r="CA62" s="119">
        <v>0</v>
      </c>
      <c r="CB62" s="119">
        <v>0</v>
      </c>
      <c r="CC62" s="119">
        <v>0</v>
      </c>
      <c r="CD62" s="119">
        <v>20</v>
      </c>
      <c r="CE62" s="119">
        <v>0</v>
      </c>
      <c r="CF62" t="s">
        <v>383</v>
      </c>
      <c r="CG62" s="119">
        <v>0</v>
      </c>
      <c r="CH62" s="119">
        <v>0</v>
      </c>
      <c r="CI62" s="119">
        <v>0</v>
      </c>
      <c r="CJ62" s="119">
        <v>0</v>
      </c>
      <c r="CK62" s="119">
        <v>0</v>
      </c>
      <c r="CL62" s="119">
        <v>0</v>
      </c>
      <c r="CM62" s="119">
        <v>0</v>
      </c>
      <c r="CN62" s="119">
        <v>0</v>
      </c>
      <c r="CO62" s="119">
        <v>0</v>
      </c>
      <c r="CP62" s="119">
        <v>0</v>
      </c>
      <c r="CQ62" s="119">
        <v>20</v>
      </c>
      <c r="CR62" s="119">
        <v>0</v>
      </c>
      <c r="CS62" t="s">
        <v>384</v>
      </c>
      <c r="CT62" s="119">
        <v>0</v>
      </c>
      <c r="CU62" s="119">
        <v>0</v>
      </c>
      <c r="CV62" s="119">
        <v>0</v>
      </c>
      <c r="CW62" s="119">
        <v>0</v>
      </c>
      <c r="CX62" s="119">
        <v>0</v>
      </c>
      <c r="CY62" s="119">
        <v>0</v>
      </c>
      <c r="CZ62" s="119">
        <v>0</v>
      </c>
      <c r="DA62" s="119">
        <v>0</v>
      </c>
      <c r="DB62" s="119">
        <v>0</v>
      </c>
      <c r="DC62" s="119">
        <v>0</v>
      </c>
      <c r="DD62" s="119">
        <v>20</v>
      </c>
      <c r="DE62" s="119">
        <v>0</v>
      </c>
      <c r="DF62" t="s">
        <v>385</v>
      </c>
      <c r="DG62" s="119">
        <v>500</v>
      </c>
      <c r="DH62" s="119">
        <v>214.29</v>
      </c>
      <c r="DI62" s="119">
        <v>714.29</v>
      </c>
      <c r="DJ62" s="119">
        <v>30</v>
      </c>
      <c r="DK62" s="119">
        <v>10</v>
      </c>
      <c r="DL62" s="119">
        <v>60</v>
      </c>
      <c r="DM62" s="119">
        <v>600</v>
      </c>
      <c r="DN62" s="119">
        <v>814.29</v>
      </c>
      <c r="DO62" s="119">
        <v>81.430000000000007</v>
      </c>
      <c r="DP62" s="119">
        <v>1314.29</v>
      </c>
      <c r="DQ62" s="119">
        <v>20</v>
      </c>
      <c r="DR62" s="119">
        <v>262.86</v>
      </c>
      <c r="DS62" t="s">
        <v>386</v>
      </c>
      <c r="DT62" s="119">
        <v>0</v>
      </c>
      <c r="DU62" s="119">
        <v>0</v>
      </c>
      <c r="DV62" s="119">
        <v>0</v>
      </c>
      <c r="DW62" s="119">
        <v>0</v>
      </c>
      <c r="DX62" s="119">
        <v>0</v>
      </c>
      <c r="DY62" s="119">
        <v>0</v>
      </c>
      <c r="DZ62" s="119">
        <v>0</v>
      </c>
      <c r="EA62" s="119">
        <v>0</v>
      </c>
      <c r="EB62" s="119">
        <v>0</v>
      </c>
      <c r="EC62" s="119">
        <v>0</v>
      </c>
      <c r="ED62" s="119">
        <v>20</v>
      </c>
      <c r="EE62" s="119">
        <v>0</v>
      </c>
      <c r="EF62" t="s">
        <v>387</v>
      </c>
      <c r="EG62" s="119">
        <v>0</v>
      </c>
      <c r="EH62" s="119">
        <v>0</v>
      </c>
      <c r="EI62" s="119">
        <v>0</v>
      </c>
      <c r="EJ62" s="119">
        <v>0</v>
      </c>
      <c r="EK62" s="119">
        <v>0</v>
      </c>
      <c r="EL62" s="119">
        <v>0</v>
      </c>
      <c r="EM62" s="119">
        <v>0</v>
      </c>
      <c r="EN62" s="119">
        <v>0</v>
      </c>
      <c r="EO62" s="119">
        <v>0</v>
      </c>
      <c r="EP62" s="119">
        <v>0</v>
      </c>
      <c r="EQ62" s="119">
        <v>20</v>
      </c>
      <c r="ER62" s="119">
        <v>0</v>
      </c>
      <c r="ES62" t="s">
        <v>388</v>
      </c>
      <c r="ET62" s="119">
        <v>0</v>
      </c>
      <c r="EU62" s="119">
        <v>0</v>
      </c>
      <c r="EV62" s="119">
        <v>0</v>
      </c>
      <c r="EW62" s="119">
        <v>0</v>
      </c>
      <c r="EX62" s="119">
        <v>0</v>
      </c>
      <c r="EY62" s="119">
        <v>0</v>
      </c>
      <c r="EZ62" s="119">
        <v>0</v>
      </c>
      <c r="FA62" s="119">
        <v>0</v>
      </c>
      <c r="FB62" s="119">
        <v>0</v>
      </c>
      <c r="FC62" s="119">
        <v>0</v>
      </c>
      <c r="FD62" s="119">
        <v>20</v>
      </c>
      <c r="FE62" s="119">
        <v>0</v>
      </c>
      <c r="FF62" t="s">
        <v>389</v>
      </c>
      <c r="FG62" s="119">
        <v>0</v>
      </c>
      <c r="FH62" s="119">
        <v>0</v>
      </c>
      <c r="FI62" s="119">
        <v>0</v>
      </c>
      <c r="FJ62" s="119">
        <v>0</v>
      </c>
      <c r="FK62" s="119">
        <v>0</v>
      </c>
      <c r="FL62" s="119">
        <v>0</v>
      </c>
      <c r="FM62" s="119">
        <v>0</v>
      </c>
      <c r="FN62" s="119">
        <v>0</v>
      </c>
      <c r="FO62" s="119">
        <v>0</v>
      </c>
      <c r="FP62" s="119">
        <v>0</v>
      </c>
      <c r="FQ62" s="119">
        <v>20</v>
      </c>
      <c r="FR62" s="119">
        <v>0</v>
      </c>
      <c r="FS62" t="s">
        <v>390</v>
      </c>
      <c r="FT62" s="119">
        <v>0</v>
      </c>
      <c r="FU62" s="119">
        <v>0</v>
      </c>
      <c r="FV62" s="119">
        <v>0</v>
      </c>
      <c r="FW62" s="119">
        <v>0</v>
      </c>
      <c r="FX62" s="119">
        <v>0</v>
      </c>
      <c r="FY62" s="119">
        <v>0</v>
      </c>
      <c r="FZ62" s="119">
        <v>0</v>
      </c>
      <c r="GA62" s="119">
        <v>0</v>
      </c>
      <c r="GB62" s="119">
        <v>0</v>
      </c>
      <c r="GC62" s="119">
        <v>0</v>
      </c>
      <c r="GD62" s="119">
        <v>20</v>
      </c>
      <c r="GE62" s="119">
        <v>0</v>
      </c>
      <c r="GF62" t="s">
        <v>391</v>
      </c>
      <c r="GG62" s="119">
        <v>0</v>
      </c>
      <c r="GH62" s="119">
        <v>0</v>
      </c>
      <c r="GI62" s="119">
        <v>0</v>
      </c>
      <c r="GJ62" s="119">
        <v>0</v>
      </c>
      <c r="GK62" s="119">
        <v>0</v>
      </c>
      <c r="GL62" s="119">
        <v>0</v>
      </c>
      <c r="GM62" s="119">
        <v>0</v>
      </c>
      <c r="GN62" s="119">
        <v>0</v>
      </c>
      <c r="GO62" s="119">
        <v>0</v>
      </c>
      <c r="GP62" s="119">
        <v>0</v>
      </c>
      <c r="GQ62" s="119">
        <v>20</v>
      </c>
      <c r="GR62" s="119">
        <v>0</v>
      </c>
      <c r="HJ62"/>
      <c r="HK62" s="115"/>
      <c r="HR62" s="116"/>
      <c r="HT62" s="117"/>
      <c r="HY62"/>
      <c r="HZ62"/>
      <c r="IA62"/>
    </row>
    <row r="63" spans="1:235" x14ac:dyDescent="0.25">
      <c r="A63">
        <v>63</v>
      </c>
      <c r="B63" s="115">
        <v>43297</v>
      </c>
      <c r="C63" t="s">
        <v>369</v>
      </c>
      <c r="D63" t="s">
        <v>370</v>
      </c>
      <c r="E63" t="s">
        <v>371</v>
      </c>
      <c r="F63" t="s">
        <v>372</v>
      </c>
      <c r="H63" t="s">
        <v>373</v>
      </c>
      <c r="I63" s="116">
        <v>39100</v>
      </c>
      <c r="J63" t="s">
        <v>374</v>
      </c>
      <c r="K63" s="117" t="s">
        <v>375</v>
      </c>
      <c r="N63" t="s">
        <v>423</v>
      </c>
      <c r="P63">
        <v>11827.56</v>
      </c>
      <c r="Q63">
        <v>9856.2999999999993</v>
      </c>
      <c r="R63">
        <v>1971.26</v>
      </c>
      <c r="S63" t="s">
        <v>378</v>
      </c>
      <c r="T63" s="118">
        <v>1250</v>
      </c>
      <c r="U63" s="118">
        <v>535.71</v>
      </c>
      <c r="V63" s="118">
        <v>1785.71</v>
      </c>
      <c r="W63" s="119">
        <v>30</v>
      </c>
      <c r="X63" s="119">
        <v>40</v>
      </c>
      <c r="Y63" s="119">
        <v>70</v>
      </c>
      <c r="Z63" s="119">
        <v>2800</v>
      </c>
      <c r="AA63" s="119">
        <v>3335.71</v>
      </c>
      <c r="AB63" s="119">
        <v>83.39</v>
      </c>
      <c r="AC63" s="119">
        <v>4585.71</v>
      </c>
      <c r="AD63" s="119">
        <v>20</v>
      </c>
      <c r="AE63" s="119">
        <v>917.14</v>
      </c>
      <c r="AF63" t="s">
        <v>379</v>
      </c>
      <c r="AG63" s="119">
        <v>3800</v>
      </c>
      <c r="AH63" s="119">
        <v>670.59</v>
      </c>
      <c r="AI63" s="119">
        <v>4470.59</v>
      </c>
      <c r="AJ63" s="119">
        <v>15</v>
      </c>
      <c r="AK63" s="119">
        <v>10</v>
      </c>
      <c r="AL63" s="119">
        <v>80</v>
      </c>
      <c r="AM63" s="119">
        <v>800</v>
      </c>
      <c r="AN63" s="119">
        <v>1470.59</v>
      </c>
      <c r="AO63" s="119">
        <v>147.06</v>
      </c>
      <c r="AP63" s="119">
        <v>5270.59</v>
      </c>
      <c r="AQ63" s="119">
        <v>20</v>
      </c>
      <c r="AR63" s="119">
        <v>1054.1199999999999</v>
      </c>
      <c r="AS63" t="s">
        <v>380</v>
      </c>
      <c r="AT63" s="119">
        <v>0</v>
      </c>
      <c r="AU63" s="119">
        <v>0</v>
      </c>
      <c r="AV63" s="119">
        <v>0</v>
      </c>
      <c r="AW63" s="119">
        <v>0</v>
      </c>
      <c r="AX63" s="119">
        <v>0</v>
      </c>
      <c r="AY63" s="119">
        <v>0</v>
      </c>
      <c r="AZ63" s="119">
        <v>0</v>
      </c>
      <c r="BA63" s="119">
        <v>0</v>
      </c>
      <c r="BB63" s="119">
        <v>0</v>
      </c>
      <c r="BC63" s="119">
        <v>0</v>
      </c>
      <c r="BD63" s="119">
        <v>20</v>
      </c>
      <c r="BE63" s="119">
        <v>0</v>
      </c>
      <c r="BF63" t="s">
        <v>381</v>
      </c>
      <c r="BG63" s="119">
        <v>0</v>
      </c>
      <c r="BH63" s="119">
        <v>0</v>
      </c>
      <c r="BI63" s="119">
        <v>0</v>
      </c>
      <c r="BJ63" s="119">
        <v>0</v>
      </c>
      <c r="BK63" s="119">
        <v>0</v>
      </c>
      <c r="BL63" s="119">
        <v>0</v>
      </c>
      <c r="BM63" s="119">
        <v>0</v>
      </c>
      <c r="BN63" s="119">
        <v>0</v>
      </c>
      <c r="BO63" s="119">
        <v>0</v>
      </c>
      <c r="BP63" s="119">
        <v>0</v>
      </c>
      <c r="BQ63" s="119">
        <v>20</v>
      </c>
      <c r="BR63" s="119">
        <v>0</v>
      </c>
      <c r="BS63" t="s">
        <v>382</v>
      </c>
      <c r="BT63" s="119">
        <v>0</v>
      </c>
      <c r="BU63" s="119">
        <v>0</v>
      </c>
      <c r="BV63" s="119">
        <v>0</v>
      </c>
      <c r="BW63" s="119">
        <v>0</v>
      </c>
      <c r="BX63" s="119">
        <v>0</v>
      </c>
      <c r="BY63" s="119">
        <v>0</v>
      </c>
      <c r="BZ63" s="119">
        <v>0</v>
      </c>
      <c r="CA63" s="119">
        <v>0</v>
      </c>
      <c r="CB63" s="119">
        <v>0</v>
      </c>
      <c r="CC63" s="119">
        <v>0</v>
      </c>
      <c r="CD63" s="119">
        <v>20</v>
      </c>
      <c r="CE63" s="119">
        <v>0</v>
      </c>
      <c r="CF63" t="s">
        <v>383</v>
      </c>
      <c r="CG63" s="119">
        <v>0</v>
      </c>
      <c r="CH63" s="119">
        <v>0</v>
      </c>
      <c r="CI63" s="119">
        <v>0</v>
      </c>
      <c r="CJ63" s="119">
        <v>0</v>
      </c>
      <c r="CK63" s="119">
        <v>0</v>
      </c>
      <c r="CL63" s="119">
        <v>0</v>
      </c>
      <c r="CM63" s="119">
        <v>0</v>
      </c>
      <c r="CN63" s="119">
        <v>0</v>
      </c>
      <c r="CO63" s="119">
        <v>0</v>
      </c>
      <c r="CP63" s="119">
        <v>0</v>
      </c>
      <c r="CQ63" s="119">
        <v>20</v>
      </c>
      <c r="CR63" s="119">
        <v>0</v>
      </c>
      <c r="CS63" t="s">
        <v>384</v>
      </c>
      <c r="CT63" s="119">
        <v>0</v>
      </c>
      <c r="CU63" s="119">
        <v>0</v>
      </c>
      <c r="CV63" s="119">
        <v>0</v>
      </c>
      <c r="CW63" s="119">
        <v>0</v>
      </c>
      <c r="CX63" s="119">
        <v>0</v>
      </c>
      <c r="CY63" s="119">
        <v>0</v>
      </c>
      <c r="CZ63" s="119">
        <v>0</v>
      </c>
      <c r="DA63" s="119">
        <v>0</v>
      </c>
      <c r="DB63" s="119">
        <v>0</v>
      </c>
      <c r="DC63" s="119">
        <v>0</v>
      </c>
      <c r="DD63" s="119">
        <v>20</v>
      </c>
      <c r="DE63" s="119">
        <v>0</v>
      </c>
      <c r="DF63" t="s">
        <v>385</v>
      </c>
      <c r="DG63" s="119">
        <v>0</v>
      </c>
      <c r="DH63" s="119">
        <v>0</v>
      </c>
      <c r="DI63" s="119">
        <v>0</v>
      </c>
      <c r="DJ63" s="119">
        <v>0</v>
      </c>
      <c r="DK63" s="119">
        <v>0</v>
      </c>
      <c r="DL63" s="119">
        <v>0</v>
      </c>
      <c r="DM63" s="119">
        <v>0</v>
      </c>
      <c r="DN63" s="119">
        <v>0</v>
      </c>
      <c r="DO63" s="119">
        <v>0</v>
      </c>
      <c r="DP63" s="119">
        <v>0</v>
      </c>
      <c r="DQ63" s="119">
        <v>20</v>
      </c>
      <c r="DR63" s="119">
        <v>0</v>
      </c>
      <c r="DS63" t="s">
        <v>386</v>
      </c>
      <c r="DT63" s="119">
        <v>0</v>
      </c>
      <c r="DU63" s="119">
        <v>0</v>
      </c>
      <c r="DV63" s="119">
        <v>0</v>
      </c>
      <c r="DW63" s="119">
        <v>0</v>
      </c>
      <c r="DX63" s="119">
        <v>0</v>
      </c>
      <c r="DY63" s="119">
        <v>0</v>
      </c>
      <c r="DZ63" s="119">
        <v>0</v>
      </c>
      <c r="EA63" s="119">
        <v>0</v>
      </c>
      <c r="EB63" s="119">
        <v>0</v>
      </c>
      <c r="EC63" s="119">
        <v>0</v>
      </c>
      <c r="ED63" s="119">
        <v>20</v>
      </c>
      <c r="EE63" s="119">
        <v>0</v>
      </c>
      <c r="EF63" t="s">
        <v>387</v>
      </c>
      <c r="EG63" s="119">
        <v>0</v>
      </c>
      <c r="EH63" s="119">
        <v>0</v>
      </c>
      <c r="EI63" s="119">
        <v>0</v>
      </c>
      <c r="EJ63" s="119">
        <v>0</v>
      </c>
      <c r="EK63" s="119">
        <v>0</v>
      </c>
      <c r="EL63" s="119">
        <v>0</v>
      </c>
      <c r="EM63" s="119">
        <v>0</v>
      </c>
      <c r="EN63" s="119">
        <v>0</v>
      </c>
      <c r="EO63" s="119">
        <v>0</v>
      </c>
      <c r="EP63" s="119">
        <v>0</v>
      </c>
      <c r="EQ63" s="119">
        <v>20</v>
      </c>
      <c r="ER63" s="119">
        <v>0</v>
      </c>
      <c r="ES63" t="s">
        <v>388</v>
      </c>
      <c r="ET63" s="119">
        <v>0</v>
      </c>
      <c r="EU63" s="119">
        <v>0</v>
      </c>
      <c r="EV63" s="119">
        <v>0</v>
      </c>
      <c r="EW63" s="119">
        <v>0</v>
      </c>
      <c r="EX63" s="119">
        <v>0</v>
      </c>
      <c r="EY63" s="119">
        <v>0</v>
      </c>
      <c r="EZ63" s="119">
        <v>0</v>
      </c>
      <c r="FA63" s="119">
        <v>0</v>
      </c>
      <c r="FB63" s="119">
        <v>0</v>
      </c>
      <c r="FC63" s="119">
        <v>0</v>
      </c>
      <c r="FD63" s="119">
        <v>20</v>
      </c>
      <c r="FE63" s="119">
        <v>0</v>
      </c>
      <c r="FF63" t="s">
        <v>389</v>
      </c>
      <c r="FG63" s="119">
        <v>0</v>
      </c>
      <c r="FH63" s="119">
        <v>0</v>
      </c>
      <c r="FI63" s="119">
        <v>0</v>
      </c>
      <c r="FJ63" s="119">
        <v>0</v>
      </c>
      <c r="FK63" s="119">
        <v>0</v>
      </c>
      <c r="FL63" s="119">
        <v>0</v>
      </c>
      <c r="FM63" s="119">
        <v>0</v>
      </c>
      <c r="FN63" s="119">
        <v>0</v>
      </c>
      <c r="FO63" s="119">
        <v>0</v>
      </c>
      <c r="FP63" s="119">
        <v>0</v>
      </c>
      <c r="FQ63" s="119">
        <v>20</v>
      </c>
      <c r="FR63" s="119">
        <v>0</v>
      </c>
      <c r="FS63" t="s">
        <v>390</v>
      </c>
      <c r="FT63" s="119">
        <v>0</v>
      </c>
      <c r="FU63" s="119">
        <v>0</v>
      </c>
      <c r="FV63" s="119">
        <v>0</v>
      </c>
      <c r="FW63" s="119">
        <v>0</v>
      </c>
      <c r="FX63" s="119">
        <v>0</v>
      </c>
      <c r="FY63" s="119">
        <v>0</v>
      </c>
      <c r="FZ63" s="119">
        <v>0</v>
      </c>
      <c r="GA63" s="119">
        <v>0</v>
      </c>
      <c r="GB63" s="119">
        <v>0</v>
      </c>
      <c r="GC63" s="119">
        <v>0</v>
      </c>
      <c r="GD63" s="119">
        <v>20</v>
      </c>
      <c r="GE63" s="119">
        <v>0</v>
      </c>
      <c r="GF63" t="s">
        <v>391</v>
      </c>
      <c r="GG63" s="119">
        <v>0</v>
      </c>
      <c r="GH63" s="119">
        <v>0</v>
      </c>
      <c r="GI63" s="119">
        <v>0</v>
      </c>
      <c r="GJ63" s="119">
        <v>0</v>
      </c>
      <c r="GK63" s="119">
        <v>0</v>
      </c>
      <c r="GL63" s="119">
        <v>0</v>
      </c>
      <c r="GM63" s="119">
        <v>0</v>
      </c>
      <c r="GN63" s="119">
        <v>0</v>
      </c>
      <c r="GO63" s="119">
        <v>0</v>
      </c>
      <c r="GP63" s="119">
        <v>0</v>
      </c>
      <c r="GQ63" s="119">
        <v>20</v>
      </c>
      <c r="GR63" s="119">
        <v>0</v>
      </c>
      <c r="HJ63"/>
      <c r="HK63" s="115"/>
      <c r="HR63" s="116"/>
      <c r="HT63" s="117"/>
      <c r="HY63"/>
      <c r="HZ63"/>
      <c r="IA63"/>
    </row>
    <row r="64" spans="1:235" x14ac:dyDescent="0.25">
      <c r="A64">
        <v>64</v>
      </c>
      <c r="B64" s="115">
        <v>43297</v>
      </c>
      <c r="C64" t="s">
        <v>369</v>
      </c>
      <c r="D64" t="s">
        <v>370</v>
      </c>
      <c r="E64" t="s">
        <v>371</v>
      </c>
      <c r="F64" t="s">
        <v>372</v>
      </c>
      <c r="H64" t="s">
        <v>373</v>
      </c>
      <c r="I64" s="116">
        <v>39100</v>
      </c>
      <c r="J64" t="s">
        <v>374</v>
      </c>
      <c r="K64" s="117" t="s">
        <v>375</v>
      </c>
      <c r="N64" t="s">
        <v>423</v>
      </c>
      <c r="P64">
        <v>1697.14</v>
      </c>
      <c r="Q64">
        <v>1414.29</v>
      </c>
      <c r="R64">
        <v>282.86</v>
      </c>
      <c r="S64" t="s">
        <v>378</v>
      </c>
      <c r="T64" s="118">
        <v>500</v>
      </c>
      <c r="U64" s="118">
        <v>214.29</v>
      </c>
      <c r="V64" s="118">
        <v>714.29</v>
      </c>
      <c r="W64" s="119">
        <v>30</v>
      </c>
      <c r="X64" s="119">
        <v>10</v>
      </c>
      <c r="Y64" s="119">
        <v>70</v>
      </c>
      <c r="Z64" s="119">
        <v>700</v>
      </c>
      <c r="AA64" s="119">
        <v>914.29</v>
      </c>
      <c r="AB64" s="119">
        <v>91.43</v>
      </c>
      <c r="AC64" s="119">
        <v>1414.29</v>
      </c>
      <c r="AD64" s="119">
        <v>20</v>
      </c>
      <c r="AE64" s="119">
        <v>282.86</v>
      </c>
      <c r="AF64" t="s">
        <v>379</v>
      </c>
      <c r="AG64" s="119">
        <v>0</v>
      </c>
      <c r="AH64" s="119">
        <v>0</v>
      </c>
      <c r="AI64" s="119">
        <v>0</v>
      </c>
      <c r="AJ64" s="119">
        <v>0</v>
      </c>
      <c r="AK64" s="119">
        <v>0</v>
      </c>
      <c r="AL64" s="119">
        <v>0</v>
      </c>
      <c r="AM64" s="119">
        <v>0</v>
      </c>
      <c r="AN64" s="119">
        <v>0</v>
      </c>
      <c r="AO64" s="119">
        <v>0</v>
      </c>
      <c r="AP64" s="119">
        <v>0</v>
      </c>
      <c r="AQ64" s="119">
        <v>20</v>
      </c>
      <c r="AR64" s="119">
        <v>0</v>
      </c>
      <c r="AS64" t="s">
        <v>380</v>
      </c>
      <c r="AT64" s="119">
        <v>0</v>
      </c>
      <c r="AU64" s="119">
        <v>0</v>
      </c>
      <c r="AV64" s="119">
        <v>0</v>
      </c>
      <c r="AW64" s="119">
        <v>0</v>
      </c>
      <c r="AX64" s="119">
        <v>0</v>
      </c>
      <c r="AY64" s="119">
        <v>0</v>
      </c>
      <c r="AZ64" s="119">
        <v>0</v>
      </c>
      <c r="BA64" s="119">
        <v>0</v>
      </c>
      <c r="BB64" s="119">
        <v>0</v>
      </c>
      <c r="BC64" s="119">
        <v>0</v>
      </c>
      <c r="BD64" s="119">
        <v>20</v>
      </c>
      <c r="BE64" s="119">
        <v>0</v>
      </c>
      <c r="BF64" t="s">
        <v>381</v>
      </c>
      <c r="BG64" s="119">
        <v>0</v>
      </c>
      <c r="BH64" s="119">
        <v>0</v>
      </c>
      <c r="BI64" s="119">
        <v>0</v>
      </c>
      <c r="BJ64" s="119">
        <v>0</v>
      </c>
      <c r="BK64" s="119">
        <v>0</v>
      </c>
      <c r="BL64" s="119">
        <v>0</v>
      </c>
      <c r="BM64" s="119">
        <v>0</v>
      </c>
      <c r="BN64" s="119">
        <v>0</v>
      </c>
      <c r="BO64" s="119">
        <v>0</v>
      </c>
      <c r="BP64" s="119">
        <v>0</v>
      </c>
      <c r="BQ64" s="119">
        <v>20</v>
      </c>
      <c r="BR64" s="119">
        <v>0</v>
      </c>
      <c r="BS64" t="s">
        <v>382</v>
      </c>
      <c r="BT64" s="119">
        <v>0</v>
      </c>
      <c r="BU64" s="119">
        <v>0</v>
      </c>
      <c r="BV64" s="119">
        <v>0</v>
      </c>
      <c r="BW64" s="119">
        <v>0</v>
      </c>
      <c r="BX64" s="119">
        <v>0</v>
      </c>
      <c r="BY64" s="119">
        <v>0</v>
      </c>
      <c r="BZ64" s="119">
        <v>0</v>
      </c>
      <c r="CA64" s="119">
        <v>0</v>
      </c>
      <c r="CB64" s="119">
        <v>0</v>
      </c>
      <c r="CC64" s="119">
        <v>0</v>
      </c>
      <c r="CD64" s="119">
        <v>20</v>
      </c>
      <c r="CE64" s="119">
        <v>0</v>
      </c>
      <c r="CF64" t="s">
        <v>383</v>
      </c>
      <c r="CG64" s="119">
        <v>0</v>
      </c>
      <c r="CH64" s="119">
        <v>0</v>
      </c>
      <c r="CI64" s="119">
        <v>0</v>
      </c>
      <c r="CJ64" s="119">
        <v>0</v>
      </c>
      <c r="CK64" s="119">
        <v>0</v>
      </c>
      <c r="CL64" s="119">
        <v>0</v>
      </c>
      <c r="CM64" s="119">
        <v>0</v>
      </c>
      <c r="CN64" s="119">
        <v>0</v>
      </c>
      <c r="CO64" s="119">
        <v>0</v>
      </c>
      <c r="CP64" s="119">
        <v>0</v>
      </c>
      <c r="CQ64" s="119">
        <v>20</v>
      </c>
      <c r="CR64" s="119">
        <v>0</v>
      </c>
      <c r="CS64" t="s">
        <v>384</v>
      </c>
      <c r="CT64" s="119">
        <v>0</v>
      </c>
      <c r="CU64" s="119">
        <v>0</v>
      </c>
      <c r="CV64" s="119">
        <v>0</v>
      </c>
      <c r="CW64" s="119">
        <v>0</v>
      </c>
      <c r="CX64" s="119">
        <v>0</v>
      </c>
      <c r="CY64" s="119">
        <v>0</v>
      </c>
      <c r="CZ64" s="119">
        <v>0</v>
      </c>
      <c r="DA64" s="119">
        <v>0</v>
      </c>
      <c r="DB64" s="119">
        <v>0</v>
      </c>
      <c r="DC64" s="119">
        <v>0</v>
      </c>
      <c r="DD64" s="119">
        <v>20</v>
      </c>
      <c r="DE64" s="119">
        <v>0</v>
      </c>
      <c r="DF64" t="s">
        <v>385</v>
      </c>
      <c r="DG64" s="119">
        <v>0</v>
      </c>
      <c r="DH64" s="119">
        <v>0</v>
      </c>
      <c r="DI64" s="119">
        <v>0</v>
      </c>
      <c r="DJ64" s="119">
        <v>0</v>
      </c>
      <c r="DK64" s="119">
        <v>0</v>
      </c>
      <c r="DL64" s="119">
        <v>0</v>
      </c>
      <c r="DM64" s="119">
        <v>0</v>
      </c>
      <c r="DN64" s="119">
        <v>0</v>
      </c>
      <c r="DO64" s="119">
        <v>0</v>
      </c>
      <c r="DP64" s="119">
        <v>0</v>
      </c>
      <c r="DQ64" s="119">
        <v>20</v>
      </c>
      <c r="DR64" s="119">
        <v>0</v>
      </c>
      <c r="DS64" t="s">
        <v>386</v>
      </c>
      <c r="DT64" s="119">
        <v>0</v>
      </c>
      <c r="DU64" s="119">
        <v>0</v>
      </c>
      <c r="DV64" s="119">
        <v>0</v>
      </c>
      <c r="DW64" s="119">
        <v>0</v>
      </c>
      <c r="DX64" s="119">
        <v>0</v>
      </c>
      <c r="DY64" s="119">
        <v>0</v>
      </c>
      <c r="DZ64" s="119">
        <v>0</v>
      </c>
      <c r="EA64" s="119">
        <v>0</v>
      </c>
      <c r="EB64" s="119">
        <v>0</v>
      </c>
      <c r="EC64" s="119">
        <v>0</v>
      </c>
      <c r="ED64" s="119">
        <v>20</v>
      </c>
      <c r="EE64" s="119">
        <v>0</v>
      </c>
      <c r="EF64" t="s">
        <v>387</v>
      </c>
      <c r="EG64" s="119">
        <v>0</v>
      </c>
      <c r="EH64" s="119">
        <v>0</v>
      </c>
      <c r="EI64" s="119">
        <v>0</v>
      </c>
      <c r="EJ64" s="119">
        <v>0</v>
      </c>
      <c r="EK64" s="119">
        <v>0</v>
      </c>
      <c r="EL64" s="119">
        <v>0</v>
      </c>
      <c r="EM64" s="119">
        <v>0</v>
      </c>
      <c r="EN64" s="119">
        <v>0</v>
      </c>
      <c r="EO64" s="119">
        <v>0</v>
      </c>
      <c r="EP64" s="119">
        <v>0</v>
      </c>
      <c r="EQ64" s="119">
        <v>20</v>
      </c>
      <c r="ER64" s="119">
        <v>0</v>
      </c>
      <c r="ES64" t="s">
        <v>388</v>
      </c>
      <c r="ET64" s="119">
        <v>0</v>
      </c>
      <c r="EU64" s="119">
        <v>0</v>
      </c>
      <c r="EV64" s="119">
        <v>0</v>
      </c>
      <c r="EW64" s="119">
        <v>0</v>
      </c>
      <c r="EX64" s="119">
        <v>0</v>
      </c>
      <c r="EY64" s="119">
        <v>0</v>
      </c>
      <c r="EZ64" s="119">
        <v>0</v>
      </c>
      <c r="FA64" s="119">
        <v>0</v>
      </c>
      <c r="FB64" s="119">
        <v>0</v>
      </c>
      <c r="FC64" s="119">
        <v>0</v>
      </c>
      <c r="FD64" s="119">
        <v>20</v>
      </c>
      <c r="FE64" s="119">
        <v>0</v>
      </c>
      <c r="FF64" t="s">
        <v>389</v>
      </c>
      <c r="FG64" s="119">
        <v>0</v>
      </c>
      <c r="FH64" s="119">
        <v>0</v>
      </c>
      <c r="FI64" s="119">
        <v>0</v>
      </c>
      <c r="FJ64" s="119">
        <v>0</v>
      </c>
      <c r="FK64" s="119">
        <v>0</v>
      </c>
      <c r="FL64" s="119">
        <v>0</v>
      </c>
      <c r="FM64" s="119">
        <v>0</v>
      </c>
      <c r="FN64" s="119">
        <v>0</v>
      </c>
      <c r="FO64" s="119">
        <v>0</v>
      </c>
      <c r="FP64" s="119">
        <v>0</v>
      </c>
      <c r="FQ64" s="119">
        <v>20</v>
      </c>
      <c r="FR64" s="119">
        <v>0</v>
      </c>
      <c r="FS64" t="s">
        <v>390</v>
      </c>
      <c r="FT64" s="119">
        <v>0</v>
      </c>
      <c r="FU64" s="119">
        <v>0</v>
      </c>
      <c r="FV64" s="119">
        <v>0</v>
      </c>
      <c r="FW64" s="119">
        <v>0</v>
      </c>
      <c r="FX64" s="119">
        <v>0</v>
      </c>
      <c r="FY64" s="119">
        <v>0</v>
      </c>
      <c r="FZ64" s="119">
        <v>0</v>
      </c>
      <c r="GA64" s="119">
        <v>0</v>
      </c>
      <c r="GB64" s="119">
        <v>0</v>
      </c>
      <c r="GC64" s="119">
        <v>0</v>
      </c>
      <c r="GD64" s="119">
        <v>20</v>
      </c>
      <c r="GE64" s="119">
        <v>0</v>
      </c>
      <c r="GF64" t="s">
        <v>391</v>
      </c>
      <c r="GG64" s="119">
        <v>0</v>
      </c>
      <c r="GH64" s="119">
        <v>0</v>
      </c>
      <c r="GI64" s="119">
        <v>0</v>
      </c>
      <c r="GJ64" s="119">
        <v>0</v>
      </c>
      <c r="GK64" s="119">
        <v>0</v>
      </c>
      <c r="GL64" s="119">
        <v>0</v>
      </c>
      <c r="GM64" s="119">
        <v>0</v>
      </c>
      <c r="GN64" s="119">
        <v>0</v>
      </c>
      <c r="GO64" s="119">
        <v>0</v>
      </c>
      <c r="GP64" s="119">
        <v>0</v>
      </c>
      <c r="GQ64" s="119">
        <v>20</v>
      </c>
      <c r="GR64" s="119">
        <v>0</v>
      </c>
      <c r="HJ64"/>
      <c r="HK64" s="115"/>
      <c r="HR64" s="116"/>
      <c r="HT64" s="117"/>
      <c r="HY64"/>
      <c r="HZ64"/>
      <c r="IA64"/>
    </row>
    <row r="65" spans="1:235" x14ac:dyDescent="0.25">
      <c r="A65">
        <v>65</v>
      </c>
      <c r="B65" s="115">
        <v>43297</v>
      </c>
      <c r="C65" t="s">
        <v>369</v>
      </c>
      <c r="D65" t="s">
        <v>370</v>
      </c>
      <c r="E65" t="s">
        <v>371</v>
      </c>
      <c r="F65" t="s">
        <v>372</v>
      </c>
      <c r="H65" t="s">
        <v>373</v>
      </c>
      <c r="I65" s="116">
        <v>39100</v>
      </c>
      <c r="J65" t="s">
        <v>374</v>
      </c>
      <c r="K65" s="117" t="s">
        <v>375</v>
      </c>
      <c r="N65" t="s">
        <v>423</v>
      </c>
      <c r="P65">
        <v>600</v>
      </c>
      <c r="Q65">
        <v>500</v>
      </c>
      <c r="R65">
        <v>100</v>
      </c>
      <c r="S65" t="s">
        <v>378</v>
      </c>
      <c r="T65" s="118">
        <v>500</v>
      </c>
      <c r="U65" s="118">
        <v>0</v>
      </c>
      <c r="V65" s="118">
        <v>500</v>
      </c>
      <c r="W65" s="119">
        <v>0</v>
      </c>
      <c r="X65" s="119">
        <v>0</v>
      </c>
      <c r="Y65" s="119">
        <v>0</v>
      </c>
      <c r="Z65" s="119">
        <v>0</v>
      </c>
      <c r="AA65" s="119">
        <v>0</v>
      </c>
      <c r="AB65" s="119">
        <v>0</v>
      </c>
      <c r="AC65" s="119">
        <v>500</v>
      </c>
      <c r="AD65" s="119">
        <v>20</v>
      </c>
      <c r="AE65" s="119">
        <v>100</v>
      </c>
      <c r="AF65" t="s">
        <v>379</v>
      </c>
      <c r="AG65" s="119">
        <v>0</v>
      </c>
      <c r="AH65" s="119">
        <v>0</v>
      </c>
      <c r="AI65" s="119">
        <v>0</v>
      </c>
      <c r="AJ65" s="119">
        <v>0</v>
      </c>
      <c r="AK65" s="119">
        <v>0</v>
      </c>
      <c r="AL65" s="119">
        <v>0</v>
      </c>
      <c r="AM65" s="119">
        <v>0</v>
      </c>
      <c r="AN65" s="119">
        <v>0</v>
      </c>
      <c r="AO65" s="119">
        <v>0</v>
      </c>
      <c r="AP65" s="119">
        <v>0</v>
      </c>
      <c r="AQ65" s="119">
        <v>20</v>
      </c>
      <c r="AR65" s="119">
        <v>0</v>
      </c>
      <c r="AS65" t="s">
        <v>380</v>
      </c>
      <c r="AT65" s="119">
        <v>0</v>
      </c>
      <c r="AU65" s="119">
        <v>0</v>
      </c>
      <c r="AV65" s="119">
        <v>0</v>
      </c>
      <c r="AW65" s="119">
        <v>0</v>
      </c>
      <c r="AX65" s="119">
        <v>0</v>
      </c>
      <c r="AY65" s="119">
        <v>0</v>
      </c>
      <c r="AZ65" s="119">
        <v>0</v>
      </c>
      <c r="BA65" s="119">
        <v>0</v>
      </c>
      <c r="BB65" s="119">
        <v>0</v>
      </c>
      <c r="BC65" s="119">
        <v>0</v>
      </c>
      <c r="BD65" s="119">
        <v>20</v>
      </c>
      <c r="BE65" s="119">
        <v>0</v>
      </c>
      <c r="BF65" t="s">
        <v>381</v>
      </c>
      <c r="BG65" s="119">
        <v>0</v>
      </c>
      <c r="BH65" s="119">
        <v>0</v>
      </c>
      <c r="BI65" s="119">
        <v>0</v>
      </c>
      <c r="BJ65" s="119">
        <v>0</v>
      </c>
      <c r="BK65" s="119">
        <v>0</v>
      </c>
      <c r="BL65" s="119">
        <v>0</v>
      </c>
      <c r="BM65" s="119">
        <v>0</v>
      </c>
      <c r="BN65" s="119">
        <v>0</v>
      </c>
      <c r="BO65" s="119">
        <v>0</v>
      </c>
      <c r="BP65" s="119">
        <v>0</v>
      </c>
      <c r="BQ65" s="119">
        <v>20</v>
      </c>
      <c r="BR65" s="119">
        <v>0</v>
      </c>
      <c r="BS65" t="s">
        <v>382</v>
      </c>
      <c r="BT65" s="119">
        <v>0</v>
      </c>
      <c r="BU65" s="119">
        <v>0</v>
      </c>
      <c r="BV65" s="119">
        <v>0</v>
      </c>
      <c r="BW65" s="119">
        <v>0</v>
      </c>
      <c r="BX65" s="119">
        <v>0</v>
      </c>
      <c r="BY65" s="119">
        <v>0</v>
      </c>
      <c r="BZ65" s="119">
        <v>0</v>
      </c>
      <c r="CA65" s="119">
        <v>0</v>
      </c>
      <c r="CB65" s="119">
        <v>0</v>
      </c>
      <c r="CC65" s="119">
        <v>0</v>
      </c>
      <c r="CD65" s="119">
        <v>20</v>
      </c>
      <c r="CE65" s="119">
        <v>0</v>
      </c>
      <c r="CF65" t="s">
        <v>383</v>
      </c>
      <c r="CG65" s="119">
        <v>0</v>
      </c>
      <c r="CH65" s="119">
        <v>0</v>
      </c>
      <c r="CI65" s="119">
        <v>0</v>
      </c>
      <c r="CJ65" s="119">
        <v>0</v>
      </c>
      <c r="CK65" s="119">
        <v>0</v>
      </c>
      <c r="CL65" s="119">
        <v>0</v>
      </c>
      <c r="CM65" s="119">
        <v>0</v>
      </c>
      <c r="CN65" s="119">
        <v>0</v>
      </c>
      <c r="CO65" s="119">
        <v>0</v>
      </c>
      <c r="CP65" s="119">
        <v>0</v>
      </c>
      <c r="CQ65" s="119">
        <v>20</v>
      </c>
      <c r="CR65" s="119">
        <v>0</v>
      </c>
      <c r="CS65" t="s">
        <v>384</v>
      </c>
      <c r="CT65" s="119">
        <v>0</v>
      </c>
      <c r="CU65" s="119">
        <v>0</v>
      </c>
      <c r="CV65" s="119">
        <v>0</v>
      </c>
      <c r="CW65" s="119">
        <v>0</v>
      </c>
      <c r="CX65" s="119">
        <v>0</v>
      </c>
      <c r="CY65" s="119">
        <v>0</v>
      </c>
      <c r="CZ65" s="119">
        <v>0</v>
      </c>
      <c r="DA65" s="119">
        <v>0</v>
      </c>
      <c r="DB65" s="119">
        <v>0</v>
      </c>
      <c r="DC65" s="119">
        <v>0</v>
      </c>
      <c r="DD65" s="119">
        <v>20</v>
      </c>
      <c r="DE65" s="119">
        <v>0</v>
      </c>
      <c r="DF65" t="s">
        <v>385</v>
      </c>
      <c r="DG65" s="119">
        <v>0</v>
      </c>
      <c r="DH65" s="119">
        <v>0</v>
      </c>
      <c r="DI65" s="119">
        <v>0</v>
      </c>
      <c r="DJ65" s="119">
        <v>0</v>
      </c>
      <c r="DK65" s="119">
        <v>0</v>
      </c>
      <c r="DL65" s="119">
        <v>0</v>
      </c>
      <c r="DM65" s="119">
        <v>0</v>
      </c>
      <c r="DN65" s="119">
        <v>0</v>
      </c>
      <c r="DO65" s="119">
        <v>0</v>
      </c>
      <c r="DP65" s="119">
        <v>0</v>
      </c>
      <c r="DQ65" s="119">
        <v>20</v>
      </c>
      <c r="DR65" s="119">
        <v>0</v>
      </c>
      <c r="DS65" t="s">
        <v>386</v>
      </c>
      <c r="DT65" s="119">
        <v>0</v>
      </c>
      <c r="DU65" s="119">
        <v>0</v>
      </c>
      <c r="DV65" s="119">
        <v>0</v>
      </c>
      <c r="DW65" s="119">
        <v>0</v>
      </c>
      <c r="DX65" s="119">
        <v>0</v>
      </c>
      <c r="DY65" s="119">
        <v>0</v>
      </c>
      <c r="DZ65" s="119">
        <v>0</v>
      </c>
      <c r="EA65" s="119">
        <v>0</v>
      </c>
      <c r="EB65" s="119">
        <v>0</v>
      </c>
      <c r="EC65" s="119">
        <v>0</v>
      </c>
      <c r="ED65" s="119">
        <v>20</v>
      </c>
      <c r="EE65" s="119">
        <v>0</v>
      </c>
      <c r="EF65" t="s">
        <v>387</v>
      </c>
      <c r="EG65" s="119">
        <v>0</v>
      </c>
      <c r="EH65" s="119">
        <v>0</v>
      </c>
      <c r="EI65" s="119">
        <v>0</v>
      </c>
      <c r="EJ65" s="119">
        <v>0</v>
      </c>
      <c r="EK65" s="119">
        <v>0</v>
      </c>
      <c r="EL65" s="119">
        <v>0</v>
      </c>
      <c r="EM65" s="119">
        <v>0</v>
      </c>
      <c r="EN65" s="119">
        <v>0</v>
      </c>
      <c r="EO65" s="119">
        <v>0</v>
      </c>
      <c r="EP65" s="119">
        <v>0</v>
      </c>
      <c r="EQ65" s="119">
        <v>20</v>
      </c>
      <c r="ER65" s="119">
        <v>0</v>
      </c>
      <c r="ES65" t="s">
        <v>388</v>
      </c>
      <c r="ET65" s="119">
        <v>0</v>
      </c>
      <c r="EU65" s="119">
        <v>0</v>
      </c>
      <c r="EV65" s="119">
        <v>0</v>
      </c>
      <c r="EW65" s="119">
        <v>0</v>
      </c>
      <c r="EX65" s="119">
        <v>0</v>
      </c>
      <c r="EY65" s="119">
        <v>0</v>
      </c>
      <c r="EZ65" s="119">
        <v>0</v>
      </c>
      <c r="FA65" s="119">
        <v>0</v>
      </c>
      <c r="FB65" s="119">
        <v>0</v>
      </c>
      <c r="FC65" s="119">
        <v>0</v>
      </c>
      <c r="FD65" s="119">
        <v>20</v>
      </c>
      <c r="FE65" s="119">
        <v>0</v>
      </c>
      <c r="FF65" t="s">
        <v>389</v>
      </c>
      <c r="FG65" s="119">
        <v>0</v>
      </c>
      <c r="FH65" s="119">
        <v>0</v>
      </c>
      <c r="FI65" s="119">
        <v>0</v>
      </c>
      <c r="FJ65" s="119">
        <v>0</v>
      </c>
      <c r="FK65" s="119">
        <v>0</v>
      </c>
      <c r="FL65" s="119">
        <v>0</v>
      </c>
      <c r="FM65" s="119">
        <v>0</v>
      </c>
      <c r="FN65" s="119">
        <v>0</v>
      </c>
      <c r="FO65" s="119">
        <v>0</v>
      </c>
      <c r="FP65" s="119">
        <v>0</v>
      </c>
      <c r="FQ65" s="119">
        <v>20</v>
      </c>
      <c r="FR65" s="119">
        <v>0</v>
      </c>
      <c r="FS65" t="s">
        <v>390</v>
      </c>
      <c r="FT65" s="119">
        <v>0</v>
      </c>
      <c r="FU65" s="119">
        <v>0</v>
      </c>
      <c r="FV65" s="119">
        <v>0</v>
      </c>
      <c r="FW65" s="119">
        <v>0</v>
      </c>
      <c r="FX65" s="119">
        <v>0</v>
      </c>
      <c r="FY65" s="119">
        <v>0</v>
      </c>
      <c r="FZ65" s="119">
        <v>0</v>
      </c>
      <c r="GA65" s="119">
        <v>0</v>
      </c>
      <c r="GB65" s="119">
        <v>0</v>
      </c>
      <c r="GC65" s="119">
        <v>0</v>
      </c>
      <c r="GD65" s="119">
        <v>20</v>
      </c>
      <c r="GE65" s="119">
        <v>0</v>
      </c>
      <c r="GF65" t="s">
        <v>391</v>
      </c>
      <c r="GG65" s="119">
        <v>0</v>
      </c>
      <c r="GH65" s="119">
        <v>0</v>
      </c>
      <c r="GI65" s="119">
        <v>0</v>
      </c>
      <c r="GJ65" s="119">
        <v>0</v>
      </c>
      <c r="GK65" s="119">
        <v>0</v>
      </c>
      <c r="GL65" s="119">
        <v>0</v>
      </c>
      <c r="GM65" s="119">
        <v>0</v>
      </c>
      <c r="GN65" s="119">
        <v>0</v>
      </c>
      <c r="GO65" s="119">
        <v>0</v>
      </c>
      <c r="GP65" s="119">
        <v>0</v>
      </c>
      <c r="GQ65" s="119">
        <v>20</v>
      </c>
      <c r="GR65" s="119">
        <v>0</v>
      </c>
      <c r="HJ65"/>
      <c r="HK65" s="115"/>
      <c r="HR65" s="116"/>
      <c r="HT65" s="117"/>
      <c r="HY65"/>
      <c r="HZ65"/>
      <c r="IA65"/>
    </row>
    <row r="66" spans="1:235" x14ac:dyDescent="0.25">
      <c r="A66">
        <v>66</v>
      </c>
      <c r="B66" s="115">
        <v>43297</v>
      </c>
      <c r="C66" t="s">
        <v>369</v>
      </c>
      <c r="D66" t="s">
        <v>370</v>
      </c>
      <c r="E66" t="s">
        <v>371</v>
      </c>
      <c r="F66" t="s">
        <v>372</v>
      </c>
      <c r="H66" t="s">
        <v>373</v>
      </c>
      <c r="I66" s="116">
        <v>39100</v>
      </c>
      <c r="J66" t="s">
        <v>374</v>
      </c>
      <c r="K66" s="117" t="s">
        <v>375</v>
      </c>
      <c r="N66" t="s">
        <v>154</v>
      </c>
      <c r="P66">
        <v>857.14</v>
      </c>
      <c r="Q66">
        <v>714.29</v>
      </c>
      <c r="R66">
        <v>142.86000000000001</v>
      </c>
      <c r="S66" t="s">
        <v>378</v>
      </c>
      <c r="T66" s="118">
        <v>500</v>
      </c>
      <c r="U66" s="118">
        <v>214.29</v>
      </c>
      <c r="V66" s="118">
        <v>714.29</v>
      </c>
      <c r="W66" s="119">
        <v>30</v>
      </c>
      <c r="X66" s="119">
        <v>0</v>
      </c>
      <c r="Y66" s="119">
        <v>0</v>
      </c>
      <c r="Z66" s="119">
        <v>0</v>
      </c>
      <c r="AA66" s="119">
        <v>214.29</v>
      </c>
      <c r="AB66" s="119">
        <v>0</v>
      </c>
      <c r="AC66" s="119">
        <v>714.29</v>
      </c>
      <c r="AD66" s="119">
        <v>20</v>
      </c>
      <c r="AE66" s="119">
        <v>142.86000000000001</v>
      </c>
      <c r="AF66" t="s">
        <v>379</v>
      </c>
      <c r="AG66" s="119">
        <v>0</v>
      </c>
      <c r="AH66" s="119">
        <v>0</v>
      </c>
      <c r="AI66" s="119">
        <v>0</v>
      </c>
      <c r="AJ66" s="119">
        <v>0</v>
      </c>
      <c r="AK66" s="119">
        <v>0</v>
      </c>
      <c r="AL66" s="119">
        <v>0</v>
      </c>
      <c r="AM66" s="119">
        <v>0</v>
      </c>
      <c r="AN66" s="119">
        <v>0</v>
      </c>
      <c r="AO66" s="119">
        <v>0</v>
      </c>
      <c r="AP66" s="119">
        <v>0</v>
      </c>
      <c r="AQ66" s="119">
        <v>20</v>
      </c>
      <c r="AR66" s="119">
        <v>0</v>
      </c>
      <c r="AS66" t="s">
        <v>380</v>
      </c>
      <c r="AT66" s="119">
        <v>0</v>
      </c>
      <c r="AU66" s="119">
        <v>0</v>
      </c>
      <c r="AV66" s="119">
        <v>0</v>
      </c>
      <c r="AW66" s="119">
        <v>0</v>
      </c>
      <c r="AX66" s="119">
        <v>0</v>
      </c>
      <c r="AY66" s="119">
        <v>0</v>
      </c>
      <c r="AZ66" s="119">
        <v>0</v>
      </c>
      <c r="BA66" s="119">
        <v>0</v>
      </c>
      <c r="BB66" s="119">
        <v>0</v>
      </c>
      <c r="BC66" s="119">
        <v>0</v>
      </c>
      <c r="BD66" s="119">
        <v>20</v>
      </c>
      <c r="BE66" s="119">
        <v>0</v>
      </c>
      <c r="BF66" t="s">
        <v>381</v>
      </c>
      <c r="BG66" s="119">
        <v>0</v>
      </c>
      <c r="BH66" s="119">
        <v>0</v>
      </c>
      <c r="BI66" s="119">
        <v>0</v>
      </c>
      <c r="BJ66" s="119">
        <v>0</v>
      </c>
      <c r="BK66" s="119">
        <v>0</v>
      </c>
      <c r="BL66" s="119">
        <v>0</v>
      </c>
      <c r="BM66" s="119">
        <v>0</v>
      </c>
      <c r="BN66" s="119">
        <v>0</v>
      </c>
      <c r="BO66" s="119">
        <v>0</v>
      </c>
      <c r="BP66" s="119">
        <v>0</v>
      </c>
      <c r="BQ66" s="119">
        <v>20</v>
      </c>
      <c r="BR66" s="119">
        <v>0</v>
      </c>
      <c r="BS66" t="s">
        <v>382</v>
      </c>
      <c r="BT66" s="119">
        <v>0</v>
      </c>
      <c r="BU66" s="119">
        <v>0</v>
      </c>
      <c r="BV66" s="119">
        <v>0</v>
      </c>
      <c r="BW66" s="119">
        <v>0</v>
      </c>
      <c r="BX66" s="119">
        <v>0</v>
      </c>
      <c r="BY66" s="119">
        <v>0</v>
      </c>
      <c r="BZ66" s="119">
        <v>0</v>
      </c>
      <c r="CA66" s="119">
        <v>0</v>
      </c>
      <c r="CB66" s="119">
        <v>0</v>
      </c>
      <c r="CC66" s="119">
        <v>0</v>
      </c>
      <c r="CD66" s="119">
        <v>20</v>
      </c>
      <c r="CE66" s="119">
        <v>0</v>
      </c>
      <c r="CF66" t="s">
        <v>383</v>
      </c>
      <c r="CG66" s="119">
        <v>0</v>
      </c>
      <c r="CH66" s="119">
        <v>0</v>
      </c>
      <c r="CI66" s="119">
        <v>0</v>
      </c>
      <c r="CJ66" s="119">
        <v>0</v>
      </c>
      <c r="CK66" s="119">
        <v>0</v>
      </c>
      <c r="CL66" s="119">
        <v>0</v>
      </c>
      <c r="CM66" s="119">
        <v>0</v>
      </c>
      <c r="CN66" s="119">
        <v>0</v>
      </c>
      <c r="CO66" s="119">
        <v>0</v>
      </c>
      <c r="CP66" s="119">
        <v>0</v>
      </c>
      <c r="CQ66" s="119">
        <v>20</v>
      </c>
      <c r="CR66" s="119">
        <v>0</v>
      </c>
      <c r="CS66" t="s">
        <v>384</v>
      </c>
      <c r="CT66" s="119">
        <v>0</v>
      </c>
      <c r="CU66" s="119">
        <v>0</v>
      </c>
      <c r="CV66" s="119">
        <v>0</v>
      </c>
      <c r="CW66" s="119">
        <v>0</v>
      </c>
      <c r="CX66" s="119">
        <v>0</v>
      </c>
      <c r="CY66" s="119">
        <v>0</v>
      </c>
      <c r="CZ66" s="119">
        <v>0</v>
      </c>
      <c r="DA66" s="119">
        <v>0</v>
      </c>
      <c r="DB66" s="119">
        <v>0</v>
      </c>
      <c r="DC66" s="119">
        <v>0</v>
      </c>
      <c r="DD66" s="119">
        <v>20</v>
      </c>
      <c r="DE66" s="119">
        <v>0</v>
      </c>
      <c r="DF66" t="s">
        <v>385</v>
      </c>
      <c r="DG66" s="119">
        <v>0</v>
      </c>
      <c r="DH66" s="119">
        <v>0</v>
      </c>
      <c r="DI66" s="119">
        <v>0</v>
      </c>
      <c r="DJ66" s="119">
        <v>0</v>
      </c>
      <c r="DK66" s="119">
        <v>0</v>
      </c>
      <c r="DL66" s="119">
        <v>0</v>
      </c>
      <c r="DM66" s="119">
        <v>0</v>
      </c>
      <c r="DN66" s="119">
        <v>0</v>
      </c>
      <c r="DO66" s="119">
        <v>0</v>
      </c>
      <c r="DP66" s="119">
        <v>0</v>
      </c>
      <c r="DQ66" s="119">
        <v>20</v>
      </c>
      <c r="DR66" s="119">
        <v>0</v>
      </c>
      <c r="DS66" t="s">
        <v>386</v>
      </c>
      <c r="DT66" s="119">
        <v>0</v>
      </c>
      <c r="DU66" s="119">
        <v>0</v>
      </c>
      <c r="DV66" s="119">
        <v>0</v>
      </c>
      <c r="DW66" s="119">
        <v>0</v>
      </c>
      <c r="DX66" s="119">
        <v>0</v>
      </c>
      <c r="DY66" s="119">
        <v>0</v>
      </c>
      <c r="DZ66" s="119">
        <v>0</v>
      </c>
      <c r="EA66" s="119">
        <v>0</v>
      </c>
      <c r="EB66" s="119">
        <v>0</v>
      </c>
      <c r="EC66" s="119">
        <v>0</v>
      </c>
      <c r="ED66" s="119">
        <v>20</v>
      </c>
      <c r="EE66" s="119">
        <v>0</v>
      </c>
      <c r="EF66" t="s">
        <v>387</v>
      </c>
      <c r="EG66" s="119">
        <v>0</v>
      </c>
      <c r="EH66" s="119">
        <v>0</v>
      </c>
      <c r="EI66" s="119">
        <v>0</v>
      </c>
      <c r="EJ66" s="119">
        <v>0</v>
      </c>
      <c r="EK66" s="119">
        <v>0</v>
      </c>
      <c r="EL66" s="119">
        <v>0</v>
      </c>
      <c r="EM66" s="119">
        <v>0</v>
      </c>
      <c r="EN66" s="119">
        <v>0</v>
      </c>
      <c r="EO66" s="119">
        <v>0</v>
      </c>
      <c r="EP66" s="119">
        <v>0</v>
      </c>
      <c r="EQ66" s="119">
        <v>20</v>
      </c>
      <c r="ER66" s="119">
        <v>0</v>
      </c>
      <c r="ES66" t="s">
        <v>388</v>
      </c>
      <c r="ET66" s="119">
        <v>0</v>
      </c>
      <c r="EU66" s="119">
        <v>0</v>
      </c>
      <c r="EV66" s="119">
        <v>0</v>
      </c>
      <c r="EW66" s="119">
        <v>0</v>
      </c>
      <c r="EX66" s="119">
        <v>0</v>
      </c>
      <c r="EY66" s="119">
        <v>0</v>
      </c>
      <c r="EZ66" s="119">
        <v>0</v>
      </c>
      <c r="FA66" s="119">
        <v>0</v>
      </c>
      <c r="FB66" s="119">
        <v>0</v>
      </c>
      <c r="FC66" s="119">
        <v>0</v>
      </c>
      <c r="FD66" s="119">
        <v>20</v>
      </c>
      <c r="FE66" s="119">
        <v>0</v>
      </c>
      <c r="FF66" t="s">
        <v>389</v>
      </c>
      <c r="FG66" s="119">
        <v>0</v>
      </c>
      <c r="FH66" s="119">
        <v>0</v>
      </c>
      <c r="FI66" s="119">
        <v>0</v>
      </c>
      <c r="FJ66" s="119">
        <v>0</v>
      </c>
      <c r="FK66" s="119">
        <v>0</v>
      </c>
      <c r="FL66" s="119">
        <v>0</v>
      </c>
      <c r="FM66" s="119">
        <v>0</v>
      </c>
      <c r="FN66" s="119">
        <v>0</v>
      </c>
      <c r="FO66" s="119">
        <v>0</v>
      </c>
      <c r="FP66" s="119">
        <v>0</v>
      </c>
      <c r="FQ66" s="119">
        <v>20</v>
      </c>
      <c r="FR66" s="119">
        <v>0</v>
      </c>
      <c r="FS66" t="s">
        <v>390</v>
      </c>
      <c r="FT66" s="119">
        <v>0</v>
      </c>
      <c r="FU66" s="119">
        <v>0</v>
      </c>
      <c r="FV66" s="119">
        <v>0</v>
      </c>
      <c r="FW66" s="119">
        <v>0</v>
      </c>
      <c r="FX66" s="119">
        <v>0</v>
      </c>
      <c r="FY66" s="119">
        <v>0</v>
      </c>
      <c r="FZ66" s="119">
        <v>0</v>
      </c>
      <c r="GA66" s="119">
        <v>0</v>
      </c>
      <c r="GB66" s="119">
        <v>0</v>
      </c>
      <c r="GC66" s="119">
        <v>0</v>
      </c>
      <c r="GD66" s="119">
        <v>20</v>
      </c>
      <c r="GE66" s="119">
        <v>0</v>
      </c>
      <c r="GF66" t="s">
        <v>391</v>
      </c>
      <c r="GG66" s="119">
        <v>0</v>
      </c>
      <c r="GH66" s="119">
        <v>0</v>
      </c>
      <c r="GI66" s="119">
        <v>0</v>
      </c>
      <c r="GJ66" s="119">
        <v>0</v>
      </c>
      <c r="GK66" s="119">
        <v>0</v>
      </c>
      <c r="GL66" s="119">
        <v>0</v>
      </c>
      <c r="GM66" s="119">
        <v>0</v>
      </c>
      <c r="GN66" s="119">
        <v>0</v>
      </c>
      <c r="GO66" s="119">
        <v>0</v>
      </c>
      <c r="GP66" s="119">
        <v>0</v>
      </c>
      <c r="GQ66" s="119">
        <v>20</v>
      </c>
      <c r="GR66" s="119">
        <v>0</v>
      </c>
      <c r="HJ66"/>
      <c r="HK66" s="115"/>
      <c r="HR66" s="116"/>
      <c r="HT66" s="117"/>
      <c r="HY66"/>
      <c r="HZ66"/>
      <c r="IA66"/>
    </row>
    <row r="67" spans="1:235" x14ac:dyDescent="0.25">
      <c r="A67">
        <v>67</v>
      </c>
      <c r="B67" s="115">
        <v>43297</v>
      </c>
      <c r="C67" t="s">
        <v>369</v>
      </c>
      <c r="D67" t="s">
        <v>370</v>
      </c>
      <c r="E67" t="s">
        <v>371</v>
      </c>
      <c r="F67" t="s">
        <v>372</v>
      </c>
      <c r="H67" t="s">
        <v>373</v>
      </c>
      <c r="I67" s="116">
        <v>39100</v>
      </c>
      <c r="J67" t="s">
        <v>374</v>
      </c>
      <c r="K67" s="117" t="s">
        <v>375</v>
      </c>
      <c r="N67" t="s">
        <v>423</v>
      </c>
      <c r="P67">
        <v>1697.14</v>
      </c>
      <c r="Q67">
        <v>1414.29</v>
      </c>
      <c r="R67">
        <v>282.86</v>
      </c>
      <c r="S67" t="s">
        <v>378</v>
      </c>
      <c r="T67" s="118">
        <v>500</v>
      </c>
      <c r="U67" s="118">
        <v>214.29</v>
      </c>
      <c r="V67" s="118">
        <v>714.29</v>
      </c>
      <c r="W67" s="119">
        <v>30</v>
      </c>
      <c r="X67" s="119">
        <v>10</v>
      </c>
      <c r="Y67" s="119">
        <v>70</v>
      </c>
      <c r="Z67" s="119">
        <v>700</v>
      </c>
      <c r="AA67" s="119">
        <v>914.29</v>
      </c>
      <c r="AB67" s="119">
        <v>91.43</v>
      </c>
      <c r="AC67" s="119">
        <v>1414.29</v>
      </c>
      <c r="AD67" s="119">
        <v>20</v>
      </c>
      <c r="AE67" s="119">
        <v>282.86</v>
      </c>
      <c r="AF67" t="s">
        <v>379</v>
      </c>
      <c r="AG67" s="119">
        <v>0</v>
      </c>
      <c r="AH67" s="119">
        <v>0</v>
      </c>
      <c r="AI67" s="119">
        <v>0</v>
      </c>
      <c r="AJ67" s="119">
        <v>0</v>
      </c>
      <c r="AK67" s="119">
        <v>0</v>
      </c>
      <c r="AL67" s="119">
        <v>0</v>
      </c>
      <c r="AM67" s="119">
        <v>0</v>
      </c>
      <c r="AN67" s="119">
        <v>0</v>
      </c>
      <c r="AO67" s="119">
        <v>0</v>
      </c>
      <c r="AP67" s="119">
        <v>0</v>
      </c>
      <c r="AQ67" s="119">
        <v>20</v>
      </c>
      <c r="AR67" s="119">
        <v>0</v>
      </c>
      <c r="AS67" t="s">
        <v>380</v>
      </c>
      <c r="AT67" s="119">
        <v>0</v>
      </c>
      <c r="AU67" s="119">
        <v>0</v>
      </c>
      <c r="AV67" s="119">
        <v>0</v>
      </c>
      <c r="AW67" s="119">
        <v>0</v>
      </c>
      <c r="AX67" s="119">
        <v>0</v>
      </c>
      <c r="AY67" s="119">
        <v>0</v>
      </c>
      <c r="AZ67" s="119">
        <v>0</v>
      </c>
      <c r="BA67" s="119">
        <v>0</v>
      </c>
      <c r="BB67" s="119">
        <v>0</v>
      </c>
      <c r="BC67" s="119">
        <v>0</v>
      </c>
      <c r="BD67" s="119">
        <v>20</v>
      </c>
      <c r="BE67" s="119">
        <v>0</v>
      </c>
      <c r="BF67" t="s">
        <v>381</v>
      </c>
      <c r="BG67" s="119">
        <v>0</v>
      </c>
      <c r="BH67" s="119">
        <v>0</v>
      </c>
      <c r="BI67" s="119">
        <v>0</v>
      </c>
      <c r="BJ67" s="119">
        <v>0</v>
      </c>
      <c r="BK67" s="119">
        <v>0</v>
      </c>
      <c r="BL67" s="119">
        <v>0</v>
      </c>
      <c r="BM67" s="119">
        <v>0</v>
      </c>
      <c r="BN67" s="119">
        <v>0</v>
      </c>
      <c r="BO67" s="119">
        <v>0</v>
      </c>
      <c r="BP67" s="119">
        <v>0</v>
      </c>
      <c r="BQ67" s="119">
        <v>20</v>
      </c>
      <c r="BR67" s="119">
        <v>0</v>
      </c>
      <c r="BS67" t="s">
        <v>382</v>
      </c>
      <c r="BT67" s="119">
        <v>0</v>
      </c>
      <c r="BU67" s="119">
        <v>0</v>
      </c>
      <c r="BV67" s="119">
        <v>0</v>
      </c>
      <c r="BW67" s="119">
        <v>0</v>
      </c>
      <c r="BX67" s="119">
        <v>0</v>
      </c>
      <c r="BY67" s="119">
        <v>0</v>
      </c>
      <c r="BZ67" s="119">
        <v>0</v>
      </c>
      <c r="CA67" s="119">
        <v>0</v>
      </c>
      <c r="CB67" s="119">
        <v>0</v>
      </c>
      <c r="CC67" s="119">
        <v>0</v>
      </c>
      <c r="CD67" s="119">
        <v>20</v>
      </c>
      <c r="CE67" s="119">
        <v>0</v>
      </c>
      <c r="CF67" t="s">
        <v>383</v>
      </c>
      <c r="CG67" s="119">
        <v>0</v>
      </c>
      <c r="CH67" s="119">
        <v>0</v>
      </c>
      <c r="CI67" s="119">
        <v>0</v>
      </c>
      <c r="CJ67" s="119">
        <v>0</v>
      </c>
      <c r="CK67" s="119">
        <v>0</v>
      </c>
      <c r="CL67" s="119">
        <v>0</v>
      </c>
      <c r="CM67" s="119">
        <v>0</v>
      </c>
      <c r="CN67" s="119">
        <v>0</v>
      </c>
      <c r="CO67" s="119">
        <v>0</v>
      </c>
      <c r="CP67" s="119">
        <v>0</v>
      </c>
      <c r="CQ67" s="119">
        <v>20</v>
      </c>
      <c r="CR67" s="119">
        <v>0</v>
      </c>
      <c r="CS67" t="s">
        <v>384</v>
      </c>
      <c r="CT67" s="119">
        <v>0</v>
      </c>
      <c r="CU67" s="119">
        <v>0</v>
      </c>
      <c r="CV67" s="119">
        <v>0</v>
      </c>
      <c r="CW67" s="119">
        <v>0</v>
      </c>
      <c r="CX67" s="119">
        <v>0</v>
      </c>
      <c r="CY67" s="119">
        <v>0</v>
      </c>
      <c r="CZ67" s="119">
        <v>0</v>
      </c>
      <c r="DA67" s="119">
        <v>0</v>
      </c>
      <c r="DB67" s="119">
        <v>0</v>
      </c>
      <c r="DC67" s="119">
        <v>0</v>
      </c>
      <c r="DD67" s="119">
        <v>20</v>
      </c>
      <c r="DE67" s="119">
        <v>0</v>
      </c>
      <c r="DF67" t="s">
        <v>385</v>
      </c>
      <c r="DG67" s="119">
        <v>0</v>
      </c>
      <c r="DH67" s="119">
        <v>0</v>
      </c>
      <c r="DI67" s="119">
        <v>0</v>
      </c>
      <c r="DJ67" s="119">
        <v>0</v>
      </c>
      <c r="DK67" s="119">
        <v>0</v>
      </c>
      <c r="DL67" s="119">
        <v>0</v>
      </c>
      <c r="DM67" s="119">
        <v>0</v>
      </c>
      <c r="DN67" s="119">
        <v>0</v>
      </c>
      <c r="DO67" s="119">
        <v>0</v>
      </c>
      <c r="DP67" s="119">
        <v>0</v>
      </c>
      <c r="DQ67" s="119">
        <v>20</v>
      </c>
      <c r="DR67" s="119">
        <v>0</v>
      </c>
      <c r="DS67" t="s">
        <v>386</v>
      </c>
      <c r="DT67" s="119">
        <v>0</v>
      </c>
      <c r="DU67" s="119">
        <v>0</v>
      </c>
      <c r="DV67" s="119">
        <v>0</v>
      </c>
      <c r="DW67" s="119">
        <v>0</v>
      </c>
      <c r="DX67" s="119">
        <v>0</v>
      </c>
      <c r="DY67" s="119">
        <v>0</v>
      </c>
      <c r="DZ67" s="119">
        <v>0</v>
      </c>
      <c r="EA67" s="119">
        <v>0</v>
      </c>
      <c r="EB67" s="119">
        <v>0</v>
      </c>
      <c r="EC67" s="119">
        <v>0</v>
      </c>
      <c r="ED67" s="119">
        <v>20</v>
      </c>
      <c r="EE67" s="119">
        <v>0</v>
      </c>
      <c r="EF67" t="s">
        <v>387</v>
      </c>
      <c r="EG67" s="119">
        <v>0</v>
      </c>
      <c r="EH67" s="119">
        <v>0</v>
      </c>
      <c r="EI67" s="119">
        <v>0</v>
      </c>
      <c r="EJ67" s="119">
        <v>0</v>
      </c>
      <c r="EK67" s="119">
        <v>0</v>
      </c>
      <c r="EL67" s="119">
        <v>0</v>
      </c>
      <c r="EM67" s="119">
        <v>0</v>
      </c>
      <c r="EN67" s="119">
        <v>0</v>
      </c>
      <c r="EO67" s="119">
        <v>0</v>
      </c>
      <c r="EP67" s="119">
        <v>0</v>
      </c>
      <c r="EQ67" s="119">
        <v>20</v>
      </c>
      <c r="ER67" s="119">
        <v>0</v>
      </c>
      <c r="ES67" t="s">
        <v>388</v>
      </c>
      <c r="ET67" s="119">
        <v>0</v>
      </c>
      <c r="EU67" s="119">
        <v>0</v>
      </c>
      <c r="EV67" s="119">
        <v>0</v>
      </c>
      <c r="EW67" s="119">
        <v>0</v>
      </c>
      <c r="EX67" s="119">
        <v>0</v>
      </c>
      <c r="EY67" s="119">
        <v>0</v>
      </c>
      <c r="EZ67" s="119">
        <v>0</v>
      </c>
      <c r="FA67" s="119">
        <v>0</v>
      </c>
      <c r="FB67" s="119">
        <v>0</v>
      </c>
      <c r="FC67" s="119">
        <v>0</v>
      </c>
      <c r="FD67" s="119">
        <v>20</v>
      </c>
      <c r="FE67" s="119">
        <v>0</v>
      </c>
      <c r="FF67" t="s">
        <v>389</v>
      </c>
      <c r="FG67" s="119">
        <v>0</v>
      </c>
      <c r="FH67" s="119">
        <v>0</v>
      </c>
      <c r="FI67" s="119">
        <v>0</v>
      </c>
      <c r="FJ67" s="119">
        <v>0</v>
      </c>
      <c r="FK67" s="119">
        <v>0</v>
      </c>
      <c r="FL67" s="119">
        <v>0</v>
      </c>
      <c r="FM67" s="119">
        <v>0</v>
      </c>
      <c r="FN67" s="119">
        <v>0</v>
      </c>
      <c r="FO67" s="119">
        <v>0</v>
      </c>
      <c r="FP67" s="119">
        <v>0</v>
      </c>
      <c r="FQ67" s="119">
        <v>20</v>
      </c>
      <c r="FR67" s="119">
        <v>0</v>
      </c>
      <c r="FS67" t="s">
        <v>390</v>
      </c>
      <c r="FT67" s="119">
        <v>0</v>
      </c>
      <c r="FU67" s="119">
        <v>0</v>
      </c>
      <c r="FV67" s="119">
        <v>0</v>
      </c>
      <c r="FW67" s="119">
        <v>0</v>
      </c>
      <c r="FX67" s="119">
        <v>0</v>
      </c>
      <c r="FY67" s="119">
        <v>0</v>
      </c>
      <c r="FZ67" s="119">
        <v>0</v>
      </c>
      <c r="GA67" s="119">
        <v>0</v>
      </c>
      <c r="GB67" s="119">
        <v>0</v>
      </c>
      <c r="GC67" s="119">
        <v>0</v>
      </c>
      <c r="GD67" s="119">
        <v>20</v>
      </c>
      <c r="GE67" s="119">
        <v>0</v>
      </c>
      <c r="GF67" t="s">
        <v>391</v>
      </c>
      <c r="GG67" s="119">
        <v>0</v>
      </c>
      <c r="GH67" s="119">
        <v>0</v>
      </c>
      <c r="GI67" s="119">
        <v>0</v>
      </c>
      <c r="GJ67" s="119">
        <v>0</v>
      </c>
      <c r="GK67" s="119">
        <v>0</v>
      </c>
      <c r="GL67" s="119">
        <v>0</v>
      </c>
      <c r="GM67" s="119">
        <v>0</v>
      </c>
      <c r="GN67" s="119">
        <v>0</v>
      </c>
      <c r="GO67" s="119">
        <v>0</v>
      </c>
      <c r="GP67" s="119">
        <v>0</v>
      </c>
      <c r="GQ67" s="119">
        <v>20</v>
      </c>
      <c r="GR67" s="119">
        <v>0</v>
      </c>
      <c r="HJ67"/>
      <c r="HK67" s="115"/>
      <c r="HR67" s="116"/>
      <c r="HT67" s="117"/>
      <c r="HY67"/>
      <c r="HZ67"/>
      <c r="IA67"/>
    </row>
    <row r="68" spans="1:235" x14ac:dyDescent="0.25">
      <c r="A68">
        <v>68</v>
      </c>
      <c r="B68" s="115">
        <v>43297</v>
      </c>
      <c r="C68" t="s">
        <v>369</v>
      </c>
      <c r="D68" t="s">
        <v>370</v>
      </c>
      <c r="E68" t="s">
        <v>371</v>
      </c>
      <c r="F68" t="s">
        <v>372</v>
      </c>
      <c r="H68" t="s">
        <v>373</v>
      </c>
      <c r="I68" s="116">
        <v>39100</v>
      </c>
      <c r="J68" t="s">
        <v>374</v>
      </c>
      <c r="K68" s="117" t="s">
        <v>375</v>
      </c>
      <c r="N68" t="s">
        <v>154</v>
      </c>
      <c r="P68">
        <v>1577.14</v>
      </c>
      <c r="Q68">
        <v>1314.29</v>
      </c>
      <c r="R68">
        <v>262.86</v>
      </c>
      <c r="S68" t="s">
        <v>378</v>
      </c>
      <c r="T68" s="118">
        <v>500</v>
      </c>
      <c r="U68" s="118">
        <v>214.29</v>
      </c>
      <c r="V68" s="118">
        <v>714.29</v>
      </c>
      <c r="W68" s="119">
        <v>30</v>
      </c>
      <c r="X68" s="119">
        <v>10</v>
      </c>
      <c r="Y68" s="119">
        <v>60</v>
      </c>
      <c r="Z68" s="119">
        <v>600</v>
      </c>
      <c r="AA68" s="119">
        <v>814.29</v>
      </c>
      <c r="AB68" s="119">
        <v>81.430000000000007</v>
      </c>
      <c r="AC68" s="119">
        <v>1314.29</v>
      </c>
      <c r="AD68" s="119">
        <v>20</v>
      </c>
      <c r="AE68" s="119">
        <v>262.86</v>
      </c>
      <c r="AF68" t="s">
        <v>379</v>
      </c>
      <c r="AG68" s="119">
        <v>0</v>
      </c>
      <c r="AH68" s="119">
        <v>0</v>
      </c>
      <c r="AI68" s="119">
        <v>0</v>
      </c>
      <c r="AJ68" s="119">
        <v>0</v>
      </c>
      <c r="AK68" s="119">
        <v>0</v>
      </c>
      <c r="AL68" s="119">
        <v>0</v>
      </c>
      <c r="AM68" s="119">
        <v>0</v>
      </c>
      <c r="AN68" s="119">
        <v>0</v>
      </c>
      <c r="AO68" s="119">
        <v>0</v>
      </c>
      <c r="AP68" s="119">
        <v>0</v>
      </c>
      <c r="AQ68" s="119">
        <v>20</v>
      </c>
      <c r="AR68" s="119">
        <v>0</v>
      </c>
      <c r="AS68" t="s">
        <v>380</v>
      </c>
      <c r="AT68" s="119">
        <v>0</v>
      </c>
      <c r="AU68" s="119">
        <v>0</v>
      </c>
      <c r="AV68" s="119">
        <v>0</v>
      </c>
      <c r="AW68" s="119">
        <v>0</v>
      </c>
      <c r="AX68" s="119">
        <v>0</v>
      </c>
      <c r="AY68" s="119">
        <v>0</v>
      </c>
      <c r="AZ68" s="119">
        <v>0</v>
      </c>
      <c r="BA68" s="119">
        <v>0</v>
      </c>
      <c r="BB68" s="119">
        <v>0</v>
      </c>
      <c r="BC68" s="119">
        <v>0</v>
      </c>
      <c r="BD68" s="119">
        <v>20</v>
      </c>
      <c r="BE68" s="119">
        <v>0</v>
      </c>
      <c r="BF68" t="s">
        <v>381</v>
      </c>
      <c r="BG68" s="119">
        <v>0</v>
      </c>
      <c r="BH68" s="119">
        <v>0</v>
      </c>
      <c r="BI68" s="119">
        <v>0</v>
      </c>
      <c r="BJ68" s="119">
        <v>0</v>
      </c>
      <c r="BK68" s="119">
        <v>0</v>
      </c>
      <c r="BL68" s="119">
        <v>0</v>
      </c>
      <c r="BM68" s="119">
        <v>0</v>
      </c>
      <c r="BN68" s="119">
        <v>0</v>
      </c>
      <c r="BO68" s="119">
        <v>0</v>
      </c>
      <c r="BP68" s="119">
        <v>0</v>
      </c>
      <c r="BQ68" s="119">
        <v>20</v>
      </c>
      <c r="BR68" s="119">
        <v>0</v>
      </c>
      <c r="BS68" t="s">
        <v>382</v>
      </c>
      <c r="BT68" s="119">
        <v>0</v>
      </c>
      <c r="BU68" s="119">
        <v>0</v>
      </c>
      <c r="BV68" s="119">
        <v>0</v>
      </c>
      <c r="BW68" s="119">
        <v>0</v>
      </c>
      <c r="BX68" s="119">
        <v>0</v>
      </c>
      <c r="BY68" s="119">
        <v>0</v>
      </c>
      <c r="BZ68" s="119">
        <v>0</v>
      </c>
      <c r="CA68" s="119">
        <v>0</v>
      </c>
      <c r="CB68" s="119">
        <v>0</v>
      </c>
      <c r="CC68" s="119">
        <v>0</v>
      </c>
      <c r="CD68" s="119">
        <v>20</v>
      </c>
      <c r="CE68" s="119">
        <v>0</v>
      </c>
      <c r="CF68" t="s">
        <v>383</v>
      </c>
      <c r="CG68" s="119">
        <v>0</v>
      </c>
      <c r="CH68" s="119">
        <v>0</v>
      </c>
      <c r="CI68" s="119">
        <v>0</v>
      </c>
      <c r="CJ68" s="119">
        <v>0</v>
      </c>
      <c r="CK68" s="119">
        <v>0</v>
      </c>
      <c r="CL68" s="119">
        <v>0</v>
      </c>
      <c r="CM68" s="119">
        <v>0</v>
      </c>
      <c r="CN68" s="119">
        <v>0</v>
      </c>
      <c r="CO68" s="119">
        <v>0</v>
      </c>
      <c r="CP68" s="119">
        <v>0</v>
      </c>
      <c r="CQ68" s="119">
        <v>20</v>
      </c>
      <c r="CR68" s="119">
        <v>0</v>
      </c>
      <c r="CS68" t="s">
        <v>384</v>
      </c>
      <c r="CT68" s="119">
        <v>0</v>
      </c>
      <c r="CU68" s="119">
        <v>0</v>
      </c>
      <c r="CV68" s="119">
        <v>0</v>
      </c>
      <c r="CW68" s="119">
        <v>0</v>
      </c>
      <c r="CX68" s="119">
        <v>0</v>
      </c>
      <c r="CY68" s="119">
        <v>0</v>
      </c>
      <c r="CZ68" s="119">
        <v>0</v>
      </c>
      <c r="DA68" s="119">
        <v>0</v>
      </c>
      <c r="DB68" s="119">
        <v>0</v>
      </c>
      <c r="DC68" s="119">
        <v>0</v>
      </c>
      <c r="DD68" s="119">
        <v>20</v>
      </c>
      <c r="DE68" s="119">
        <v>0</v>
      </c>
      <c r="DF68" t="s">
        <v>385</v>
      </c>
      <c r="DG68" s="119">
        <v>0</v>
      </c>
      <c r="DH68" s="119">
        <v>0</v>
      </c>
      <c r="DI68" s="119">
        <v>0</v>
      </c>
      <c r="DJ68" s="119">
        <v>0</v>
      </c>
      <c r="DK68" s="119">
        <v>0</v>
      </c>
      <c r="DL68" s="119">
        <v>0</v>
      </c>
      <c r="DM68" s="119">
        <v>0</v>
      </c>
      <c r="DN68" s="119">
        <v>0</v>
      </c>
      <c r="DO68" s="119">
        <v>0</v>
      </c>
      <c r="DP68" s="119">
        <v>0</v>
      </c>
      <c r="DQ68" s="119">
        <v>20</v>
      </c>
      <c r="DR68" s="119">
        <v>0</v>
      </c>
      <c r="DS68" t="s">
        <v>386</v>
      </c>
      <c r="DT68" s="119">
        <v>0</v>
      </c>
      <c r="DU68" s="119">
        <v>0</v>
      </c>
      <c r="DV68" s="119">
        <v>0</v>
      </c>
      <c r="DW68" s="119">
        <v>0</v>
      </c>
      <c r="DX68" s="119">
        <v>0</v>
      </c>
      <c r="DY68" s="119">
        <v>0</v>
      </c>
      <c r="DZ68" s="119">
        <v>0</v>
      </c>
      <c r="EA68" s="119">
        <v>0</v>
      </c>
      <c r="EB68" s="119">
        <v>0</v>
      </c>
      <c r="EC68" s="119">
        <v>0</v>
      </c>
      <c r="ED68" s="119">
        <v>20</v>
      </c>
      <c r="EE68" s="119">
        <v>0</v>
      </c>
      <c r="EF68" t="s">
        <v>387</v>
      </c>
      <c r="EG68" s="119">
        <v>0</v>
      </c>
      <c r="EH68" s="119">
        <v>0</v>
      </c>
      <c r="EI68" s="119">
        <v>0</v>
      </c>
      <c r="EJ68" s="119">
        <v>0</v>
      </c>
      <c r="EK68" s="119">
        <v>0</v>
      </c>
      <c r="EL68" s="119">
        <v>0</v>
      </c>
      <c r="EM68" s="119">
        <v>0</v>
      </c>
      <c r="EN68" s="119">
        <v>0</v>
      </c>
      <c r="EO68" s="119">
        <v>0</v>
      </c>
      <c r="EP68" s="119">
        <v>0</v>
      </c>
      <c r="EQ68" s="119">
        <v>20</v>
      </c>
      <c r="ER68" s="119">
        <v>0</v>
      </c>
      <c r="ES68" t="s">
        <v>388</v>
      </c>
      <c r="ET68" s="119">
        <v>0</v>
      </c>
      <c r="EU68" s="119">
        <v>0</v>
      </c>
      <c r="EV68" s="119">
        <v>0</v>
      </c>
      <c r="EW68" s="119">
        <v>0</v>
      </c>
      <c r="EX68" s="119">
        <v>0</v>
      </c>
      <c r="EY68" s="119">
        <v>0</v>
      </c>
      <c r="EZ68" s="119">
        <v>0</v>
      </c>
      <c r="FA68" s="119">
        <v>0</v>
      </c>
      <c r="FB68" s="119">
        <v>0</v>
      </c>
      <c r="FC68" s="119">
        <v>0</v>
      </c>
      <c r="FD68" s="119">
        <v>20</v>
      </c>
      <c r="FE68" s="119">
        <v>0</v>
      </c>
      <c r="FF68" t="s">
        <v>389</v>
      </c>
      <c r="FG68" s="119">
        <v>0</v>
      </c>
      <c r="FH68" s="119">
        <v>0</v>
      </c>
      <c r="FI68" s="119">
        <v>0</v>
      </c>
      <c r="FJ68" s="119">
        <v>0</v>
      </c>
      <c r="FK68" s="119">
        <v>0</v>
      </c>
      <c r="FL68" s="119">
        <v>0</v>
      </c>
      <c r="FM68" s="119">
        <v>0</v>
      </c>
      <c r="FN68" s="119">
        <v>0</v>
      </c>
      <c r="FO68" s="119">
        <v>0</v>
      </c>
      <c r="FP68" s="119">
        <v>0</v>
      </c>
      <c r="FQ68" s="119">
        <v>20</v>
      </c>
      <c r="FR68" s="119">
        <v>0</v>
      </c>
      <c r="FS68" t="s">
        <v>390</v>
      </c>
      <c r="FT68" s="119">
        <v>0</v>
      </c>
      <c r="FU68" s="119">
        <v>0</v>
      </c>
      <c r="FV68" s="119">
        <v>0</v>
      </c>
      <c r="FW68" s="119">
        <v>0</v>
      </c>
      <c r="FX68" s="119">
        <v>0</v>
      </c>
      <c r="FY68" s="119">
        <v>0</v>
      </c>
      <c r="FZ68" s="119">
        <v>0</v>
      </c>
      <c r="GA68" s="119">
        <v>0</v>
      </c>
      <c r="GB68" s="119">
        <v>0</v>
      </c>
      <c r="GC68" s="119">
        <v>0</v>
      </c>
      <c r="GD68" s="119">
        <v>20</v>
      </c>
      <c r="GE68" s="119">
        <v>0</v>
      </c>
      <c r="GF68" t="s">
        <v>391</v>
      </c>
      <c r="GG68" s="119">
        <v>0</v>
      </c>
      <c r="GH68" s="119">
        <v>0</v>
      </c>
      <c r="GI68" s="119">
        <v>0</v>
      </c>
      <c r="GJ68" s="119">
        <v>0</v>
      </c>
      <c r="GK68" s="119">
        <v>0</v>
      </c>
      <c r="GL68" s="119">
        <v>0</v>
      </c>
      <c r="GM68" s="119">
        <v>0</v>
      </c>
      <c r="GN68" s="119">
        <v>0</v>
      </c>
      <c r="GO68" s="119">
        <v>0</v>
      </c>
      <c r="GP68" s="119">
        <v>0</v>
      </c>
      <c r="GQ68" s="119">
        <v>20</v>
      </c>
      <c r="GR68" s="119">
        <v>0</v>
      </c>
      <c r="HJ68"/>
      <c r="HK68" s="115"/>
      <c r="HR68" s="116"/>
      <c r="HT68" s="117"/>
      <c r="HY68"/>
      <c r="HZ68"/>
      <c r="IA68"/>
    </row>
    <row r="69" spans="1:235" x14ac:dyDescent="0.25">
      <c r="A69">
        <v>69</v>
      </c>
      <c r="B69" s="115">
        <v>43297</v>
      </c>
      <c r="C69" t="s">
        <v>369</v>
      </c>
      <c r="D69" t="s">
        <v>370</v>
      </c>
      <c r="E69" t="s">
        <v>371</v>
      </c>
      <c r="F69" t="s">
        <v>372</v>
      </c>
      <c r="H69" t="s">
        <v>373</v>
      </c>
      <c r="I69" s="116">
        <v>39100</v>
      </c>
      <c r="J69" t="s">
        <v>374</v>
      </c>
      <c r="K69" s="117" t="s">
        <v>375</v>
      </c>
      <c r="N69" t="s">
        <v>154</v>
      </c>
      <c r="P69">
        <v>1577.14</v>
      </c>
      <c r="Q69">
        <v>1314.29</v>
      </c>
      <c r="R69">
        <v>262.86</v>
      </c>
      <c r="S69" t="s">
        <v>378</v>
      </c>
      <c r="T69" s="118">
        <v>500</v>
      </c>
      <c r="U69" s="118">
        <v>214.29</v>
      </c>
      <c r="V69" s="118">
        <v>714.29</v>
      </c>
      <c r="W69" s="119">
        <v>30</v>
      </c>
      <c r="X69" s="119">
        <v>10</v>
      </c>
      <c r="Y69" s="119">
        <v>60</v>
      </c>
      <c r="Z69" s="119">
        <v>600</v>
      </c>
      <c r="AA69" s="119">
        <v>814.29</v>
      </c>
      <c r="AB69" s="119">
        <v>81.430000000000007</v>
      </c>
      <c r="AC69" s="119">
        <v>1314.29</v>
      </c>
      <c r="AD69" s="119">
        <v>20</v>
      </c>
      <c r="AE69" s="119">
        <v>262.86</v>
      </c>
      <c r="AF69" t="s">
        <v>379</v>
      </c>
      <c r="AG69" s="119">
        <v>0</v>
      </c>
      <c r="AH69" s="119">
        <v>0</v>
      </c>
      <c r="AI69" s="119">
        <v>0</v>
      </c>
      <c r="AJ69" s="119">
        <v>0</v>
      </c>
      <c r="AK69" s="119">
        <v>0</v>
      </c>
      <c r="AL69" s="119">
        <v>0</v>
      </c>
      <c r="AM69" s="119">
        <v>0</v>
      </c>
      <c r="AN69" s="119">
        <v>0</v>
      </c>
      <c r="AO69" s="119">
        <v>0</v>
      </c>
      <c r="AP69" s="119">
        <v>0</v>
      </c>
      <c r="AQ69" s="119">
        <v>20</v>
      </c>
      <c r="AR69" s="119">
        <v>0</v>
      </c>
      <c r="AS69" t="s">
        <v>380</v>
      </c>
      <c r="AT69" s="119">
        <v>0</v>
      </c>
      <c r="AU69" s="119">
        <v>0</v>
      </c>
      <c r="AV69" s="119">
        <v>0</v>
      </c>
      <c r="AW69" s="119">
        <v>0</v>
      </c>
      <c r="AX69" s="119">
        <v>0</v>
      </c>
      <c r="AY69" s="119">
        <v>0</v>
      </c>
      <c r="AZ69" s="119">
        <v>0</v>
      </c>
      <c r="BA69" s="119">
        <v>0</v>
      </c>
      <c r="BB69" s="119">
        <v>0</v>
      </c>
      <c r="BC69" s="119">
        <v>0</v>
      </c>
      <c r="BD69" s="119">
        <v>20</v>
      </c>
      <c r="BE69" s="119">
        <v>0</v>
      </c>
      <c r="BF69" t="s">
        <v>381</v>
      </c>
      <c r="BG69" s="119">
        <v>0</v>
      </c>
      <c r="BH69" s="119">
        <v>0</v>
      </c>
      <c r="BI69" s="119">
        <v>0</v>
      </c>
      <c r="BJ69" s="119">
        <v>0</v>
      </c>
      <c r="BK69" s="119">
        <v>0</v>
      </c>
      <c r="BL69" s="119">
        <v>0</v>
      </c>
      <c r="BM69" s="119">
        <v>0</v>
      </c>
      <c r="BN69" s="119">
        <v>0</v>
      </c>
      <c r="BO69" s="119">
        <v>0</v>
      </c>
      <c r="BP69" s="119">
        <v>0</v>
      </c>
      <c r="BQ69" s="119">
        <v>20</v>
      </c>
      <c r="BR69" s="119">
        <v>0</v>
      </c>
      <c r="BS69" t="s">
        <v>382</v>
      </c>
      <c r="BT69" s="119">
        <v>0</v>
      </c>
      <c r="BU69" s="119">
        <v>0</v>
      </c>
      <c r="BV69" s="119">
        <v>0</v>
      </c>
      <c r="BW69" s="119">
        <v>0</v>
      </c>
      <c r="BX69" s="119">
        <v>0</v>
      </c>
      <c r="BY69" s="119">
        <v>0</v>
      </c>
      <c r="BZ69" s="119">
        <v>0</v>
      </c>
      <c r="CA69" s="119">
        <v>0</v>
      </c>
      <c r="CB69" s="119">
        <v>0</v>
      </c>
      <c r="CC69" s="119">
        <v>0</v>
      </c>
      <c r="CD69" s="119">
        <v>20</v>
      </c>
      <c r="CE69" s="119">
        <v>0</v>
      </c>
      <c r="CF69" t="s">
        <v>383</v>
      </c>
      <c r="CG69" s="119">
        <v>0</v>
      </c>
      <c r="CH69" s="119">
        <v>0</v>
      </c>
      <c r="CI69" s="119">
        <v>0</v>
      </c>
      <c r="CJ69" s="119">
        <v>0</v>
      </c>
      <c r="CK69" s="119">
        <v>0</v>
      </c>
      <c r="CL69" s="119">
        <v>0</v>
      </c>
      <c r="CM69" s="119">
        <v>0</v>
      </c>
      <c r="CN69" s="119">
        <v>0</v>
      </c>
      <c r="CO69" s="119">
        <v>0</v>
      </c>
      <c r="CP69" s="119">
        <v>0</v>
      </c>
      <c r="CQ69" s="119">
        <v>20</v>
      </c>
      <c r="CR69" s="119">
        <v>0</v>
      </c>
      <c r="CS69" t="s">
        <v>384</v>
      </c>
      <c r="CT69" s="119">
        <v>0</v>
      </c>
      <c r="CU69" s="119">
        <v>0</v>
      </c>
      <c r="CV69" s="119">
        <v>0</v>
      </c>
      <c r="CW69" s="119">
        <v>0</v>
      </c>
      <c r="CX69" s="119">
        <v>0</v>
      </c>
      <c r="CY69" s="119">
        <v>0</v>
      </c>
      <c r="CZ69" s="119">
        <v>0</v>
      </c>
      <c r="DA69" s="119">
        <v>0</v>
      </c>
      <c r="DB69" s="119">
        <v>0</v>
      </c>
      <c r="DC69" s="119">
        <v>0</v>
      </c>
      <c r="DD69" s="119">
        <v>20</v>
      </c>
      <c r="DE69" s="119">
        <v>0</v>
      </c>
      <c r="DF69" t="s">
        <v>385</v>
      </c>
      <c r="DG69" s="119">
        <v>0</v>
      </c>
      <c r="DH69" s="119">
        <v>0</v>
      </c>
      <c r="DI69" s="119">
        <v>0</v>
      </c>
      <c r="DJ69" s="119">
        <v>0</v>
      </c>
      <c r="DK69" s="119">
        <v>0</v>
      </c>
      <c r="DL69" s="119">
        <v>0</v>
      </c>
      <c r="DM69" s="119">
        <v>0</v>
      </c>
      <c r="DN69" s="119">
        <v>0</v>
      </c>
      <c r="DO69" s="119">
        <v>0</v>
      </c>
      <c r="DP69" s="119">
        <v>0</v>
      </c>
      <c r="DQ69" s="119">
        <v>20</v>
      </c>
      <c r="DR69" s="119">
        <v>0</v>
      </c>
      <c r="DS69" t="s">
        <v>386</v>
      </c>
      <c r="DT69" s="119">
        <v>0</v>
      </c>
      <c r="DU69" s="119">
        <v>0</v>
      </c>
      <c r="DV69" s="119">
        <v>0</v>
      </c>
      <c r="DW69" s="119">
        <v>0</v>
      </c>
      <c r="DX69" s="119">
        <v>0</v>
      </c>
      <c r="DY69" s="119">
        <v>0</v>
      </c>
      <c r="DZ69" s="119">
        <v>0</v>
      </c>
      <c r="EA69" s="119">
        <v>0</v>
      </c>
      <c r="EB69" s="119">
        <v>0</v>
      </c>
      <c r="EC69" s="119">
        <v>0</v>
      </c>
      <c r="ED69" s="119">
        <v>20</v>
      </c>
      <c r="EE69" s="119">
        <v>0</v>
      </c>
      <c r="EF69" t="s">
        <v>387</v>
      </c>
      <c r="EG69" s="119">
        <v>0</v>
      </c>
      <c r="EH69" s="119">
        <v>0</v>
      </c>
      <c r="EI69" s="119">
        <v>0</v>
      </c>
      <c r="EJ69" s="119">
        <v>0</v>
      </c>
      <c r="EK69" s="119">
        <v>0</v>
      </c>
      <c r="EL69" s="119">
        <v>0</v>
      </c>
      <c r="EM69" s="119">
        <v>0</v>
      </c>
      <c r="EN69" s="119">
        <v>0</v>
      </c>
      <c r="EO69" s="119">
        <v>0</v>
      </c>
      <c r="EP69" s="119">
        <v>0</v>
      </c>
      <c r="EQ69" s="119">
        <v>20</v>
      </c>
      <c r="ER69" s="119">
        <v>0</v>
      </c>
      <c r="ES69" t="s">
        <v>388</v>
      </c>
      <c r="ET69" s="119">
        <v>0</v>
      </c>
      <c r="EU69" s="119">
        <v>0</v>
      </c>
      <c r="EV69" s="119">
        <v>0</v>
      </c>
      <c r="EW69" s="119">
        <v>0</v>
      </c>
      <c r="EX69" s="119">
        <v>0</v>
      </c>
      <c r="EY69" s="119">
        <v>0</v>
      </c>
      <c r="EZ69" s="119">
        <v>0</v>
      </c>
      <c r="FA69" s="119">
        <v>0</v>
      </c>
      <c r="FB69" s="119">
        <v>0</v>
      </c>
      <c r="FC69" s="119">
        <v>0</v>
      </c>
      <c r="FD69" s="119">
        <v>20</v>
      </c>
      <c r="FE69" s="119">
        <v>0</v>
      </c>
      <c r="FF69" t="s">
        <v>389</v>
      </c>
      <c r="FG69" s="119">
        <v>0</v>
      </c>
      <c r="FH69" s="119">
        <v>0</v>
      </c>
      <c r="FI69" s="119">
        <v>0</v>
      </c>
      <c r="FJ69" s="119">
        <v>0</v>
      </c>
      <c r="FK69" s="119">
        <v>0</v>
      </c>
      <c r="FL69" s="119">
        <v>0</v>
      </c>
      <c r="FM69" s="119">
        <v>0</v>
      </c>
      <c r="FN69" s="119">
        <v>0</v>
      </c>
      <c r="FO69" s="119">
        <v>0</v>
      </c>
      <c r="FP69" s="119">
        <v>0</v>
      </c>
      <c r="FQ69" s="119">
        <v>20</v>
      </c>
      <c r="FR69" s="119">
        <v>0</v>
      </c>
      <c r="FS69" t="s">
        <v>390</v>
      </c>
      <c r="FT69" s="119">
        <v>0</v>
      </c>
      <c r="FU69" s="119">
        <v>0</v>
      </c>
      <c r="FV69" s="119">
        <v>0</v>
      </c>
      <c r="FW69" s="119">
        <v>0</v>
      </c>
      <c r="FX69" s="119">
        <v>0</v>
      </c>
      <c r="FY69" s="119">
        <v>0</v>
      </c>
      <c r="FZ69" s="119">
        <v>0</v>
      </c>
      <c r="GA69" s="119">
        <v>0</v>
      </c>
      <c r="GB69" s="119">
        <v>0</v>
      </c>
      <c r="GC69" s="119">
        <v>0</v>
      </c>
      <c r="GD69" s="119">
        <v>20</v>
      </c>
      <c r="GE69" s="119">
        <v>0</v>
      </c>
      <c r="GF69" t="s">
        <v>391</v>
      </c>
      <c r="GG69" s="119">
        <v>0</v>
      </c>
      <c r="GH69" s="119">
        <v>0</v>
      </c>
      <c r="GI69" s="119">
        <v>0</v>
      </c>
      <c r="GJ69" s="119">
        <v>0</v>
      </c>
      <c r="GK69" s="119">
        <v>0</v>
      </c>
      <c r="GL69" s="119">
        <v>0</v>
      </c>
      <c r="GM69" s="119">
        <v>0</v>
      </c>
      <c r="GN69" s="119">
        <v>0</v>
      </c>
      <c r="GO69" s="119">
        <v>0</v>
      </c>
      <c r="GP69" s="119">
        <v>0</v>
      </c>
      <c r="GQ69" s="119">
        <v>20</v>
      </c>
      <c r="GR69" s="119">
        <v>0</v>
      </c>
      <c r="HJ69"/>
      <c r="HK69" s="115"/>
      <c r="HR69" s="116"/>
      <c r="HT69" s="117"/>
      <c r="HY69"/>
      <c r="HZ69"/>
      <c r="IA69"/>
    </row>
    <row r="70" spans="1:235" x14ac:dyDescent="0.25">
      <c r="A70">
        <v>70</v>
      </c>
      <c r="B70" s="115">
        <v>43297</v>
      </c>
      <c r="C70" t="s">
        <v>369</v>
      </c>
      <c r="D70" t="s">
        <v>370</v>
      </c>
      <c r="E70" t="s">
        <v>371</v>
      </c>
      <c r="F70" t="s">
        <v>372</v>
      </c>
      <c r="H70" t="s">
        <v>373</v>
      </c>
      <c r="I70" s="116">
        <v>39100</v>
      </c>
      <c r="J70" t="s">
        <v>374</v>
      </c>
      <c r="K70" s="117" t="s">
        <v>375</v>
      </c>
      <c r="N70" t="s">
        <v>154</v>
      </c>
      <c r="P70">
        <v>7714.29</v>
      </c>
      <c r="Q70">
        <v>6428.57</v>
      </c>
      <c r="R70">
        <v>1285.71</v>
      </c>
      <c r="S70" t="s">
        <v>378</v>
      </c>
      <c r="T70" s="118">
        <v>4500</v>
      </c>
      <c r="U70" s="118">
        <v>1928.57</v>
      </c>
      <c r="V70" s="118">
        <v>6428.57</v>
      </c>
      <c r="W70" s="119">
        <v>30</v>
      </c>
      <c r="X70" s="119">
        <v>0</v>
      </c>
      <c r="Y70" s="119">
        <v>0</v>
      </c>
      <c r="Z70" s="119">
        <v>0</v>
      </c>
      <c r="AA70" s="119">
        <v>1928.57</v>
      </c>
      <c r="AB70" s="119">
        <v>0</v>
      </c>
      <c r="AC70" s="119">
        <v>6428.57</v>
      </c>
      <c r="AD70" s="119">
        <v>20</v>
      </c>
      <c r="AE70" s="119">
        <v>1285.71</v>
      </c>
      <c r="AF70" t="s">
        <v>379</v>
      </c>
      <c r="AG70" s="119">
        <v>0</v>
      </c>
      <c r="AH70" s="119">
        <v>0</v>
      </c>
      <c r="AI70" s="119">
        <v>0</v>
      </c>
      <c r="AJ70" s="119">
        <v>0</v>
      </c>
      <c r="AK70" s="119">
        <v>0</v>
      </c>
      <c r="AL70" s="119">
        <v>0</v>
      </c>
      <c r="AM70" s="119">
        <v>0</v>
      </c>
      <c r="AN70" s="119">
        <v>0</v>
      </c>
      <c r="AO70" s="119">
        <v>0</v>
      </c>
      <c r="AP70" s="119">
        <v>0</v>
      </c>
      <c r="AQ70" s="119">
        <v>20</v>
      </c>
      <c r="AR70" s="119">
        <v>0</v>
      </c>
      <c r="AS70" t="s">
        <v>380</v>
      </c>
      <c r="AT70" s="119">
        <v>0</v>
      </c>
      <c r="AU70" s="119">
        <v>0</v>
      </c>
      <c r="AV70" s="119">
        <v>0</v>
      </c>
      <c r="AW70" s="119">
        <v>0</v>
      </c>
      <c r="AX70" s="119">
        <v>0</v>
      </c>
      <c r="AY70" s="119">
        <v>0</v>
      </c>
      <c r="AZ70" s="119">
        <v>0</v>
      </c>
      <c r="BA70" s="119">
        <v>0</v>
      </c>
      <c r="BB70" s="119">
        <v>0</v>
      </c>
      <c r="BC70" s="119">
        <v>0</v>
      </c>
      <c r="BD70" s="119">
        <v>20</v>
      </c>
      <c r="BE70" s="119">
        <v>0</v>
      </c>
      <c r="BF70" t="s">
        <v>381</v>
      </c>
      <c r="BG70" s="119">
        <v>0</v>
      </c>
      <c r="BH70" s="119">
        <v>0</v>
      </c>
      <c r="BI70" s="119">
        <v>0</v>
      </c>
      <c r="BJ70" s="119">
        <v>0</v>
      </c>
      <c r="BK70" s="119">
        <v>0</v>
      </c>
      <c r="BL70" s="119">
        <v>0</v>
      </c>
      <c r="BM70" s="119">
        <v>0</v>
      </c>
      <c r="BN70" s="119">
        <v>0</v>
      </c>
      <c r="BO70" s="119">
        <v>0</v>
      </c>
      <c r="BP70" s="119">
        <v>0</v>
      </c>
      <c r="BQ70" s="119">
        <v>20</v>
      </c>
      <c r="BR70" s="119">
        <v>0</v>
      </c>
      <c r="BS70" t="s">
        <v>382</v>
      </c>
      <c r="BT70" s="119">
        <v>0</v>
      </c>
      <c r="BU70" s="119">
        <v>0</v>
      </c>
      <c r="BV70" s="119">
        <v>0</v>
      </c>
      <c r="BW70" s="119">
        <v>0</v>
      </c>
      <c r="BX70" s="119">
        <v>0</v>
      </c>
      <c r="BY70" s="119">
        <v>0</v>
      </c>
      <c r="BZ70" s="119">
        <v>0</v>
      </c>
      <c r="CA70" s="119">
        <v>0</v>
      </c>
      <c r="CB70" s="119">
        <v>0</v>
      </c>
      <c r="CC70" s="119">
        <v>0</v>
      </c>
      <c r="CD70" s="119">
        <v>20</v>
      </c>
      <c r="CE70" s="119">
        <v>0</v>
      </c>
      <c r="CF70" t="s">
        <v>383</v>
      </c>
      <c r="CG70" s="119">
        <v>0</v>
      </c>
      <c r="CH70" s="119">
        <v>0</v>
      </c>
      <c r="CI70" s="119">
        <v>0</v>
      </c>
      <c r="CJ70" s="119">
        <v>0</v>
      </c>
      <c r="CK70" s="119">
        <v>0</v>
      </c>
      <c r="CL70" s="119">
        <v>0</v>
      </c>
      <c r="CM70" s="119">
        <v>0</v>
      </c>
      <c r="CN70" s="119">
        <v>0</v>
      </c>
      <c r="CO70" s="119">
        <v>0</v>
      </c>
      <c r="CP70" s="119">
        <v>0</v>
      </c>
      <c r="CQ70" s="119">
        <v>20</v>
      </c>
      <c r="CR70" s="119">
        <v>0</v>
      </c>
      <c r="CS70" t="s">
        <v>384</v>
      </c>
      <c r="CT70" s="119">
        <v>0</v>
      </c>
      <c r="CU70" s="119">
        <v>0</v>
      </c>
      <c r="CV70" s="119">
        <v>0</v>
      </c>
      <c r="CW70" s="119">
        <v>0</v>
      </c>
      <c r="CX70" s="119">
        <v>0</v>
      </c>
      <c r="CY70" s="119">
        <v>0</v>
      </c>
      <c r="CZ70" s="119">
        <v>0</v>
      </c>
      <c r="DA70" s="119">
        <v>0</v>
      </c>
      <c r="DB70" s="119">
        <v>0</v>
      </c>
      <c r="DC70" s="119">
        <v>0</v>
      </c>
      <c r="DD70" s="119">
        <v>20</v>
      </c>
      <c r="DE70" s="119">
        <v>0</v>
      </c>
      <c r="DF70" t="s">
        <v>385</v>
      </c>
      <c r="DG70" s="119">
        <v>0</v>
      </c>
      <c r="DH70" s="119">
        <v>0</v>
      </c>
      <c r="DI70" s="119">
        <v>0</v>
      </c>
      <c r="DJ70" s="119">
        <v>0</v>
      </c>
      <c r="DK70" s="119">
        <v>0</v>
      </c>
      <c r="DL70" s="119">
        <v>0</v>
      </c>
      <c r="DM70" s="119">
        <v>0</v>
      </c>
      <c r="DN70" s="119">
        <v>0</v>
      </c>
      <c r="DO70" s="119">
        <v>0</v>
      </c>
      <c r="DP70" s="119">
        <v>0</v>
      </c>
      <c r="DQ70" s="119">
        <v>20</v>
      </c>
      <c r="DR70" s="119">
        <v>0</v>
      </c>
      <c r="DS70" t="s">
        <v>386</v>
      </c>
      <c r="DT70" s="119">
        <v>0</v>
      </c>
      <c r="DU70" s="119">
        <v>0</v>
      </c>
      <c r="DV70" s="119">
        <v>0</v>
      </c>
      <c r="DW70" s="119">
        <v>0</v>
      </c>
      <c r="DX70" s="119">
        <v>0</v>
      </c>
      <c r="DY70" s="119">
        <v>0</v>
      </c>
      <c r="DZ70" s="119">
        <v>0</v>
      </c>
      <c r="EA70" s="119">
        <v>0</v>
      </c>
      <c r="EB70" s="119">
        <v>0</v>
      </c>
      <c r="EC70" s="119">
        <v>0</v>
      </c>
      <c r="ED70" s="119">
        <v>20</v>
      </c>
      <c r="EE70" s="119">
        <v>0</v>
      </c>
      <c r="EF70" t="s">
        <v>387</v>
      </c>
      <c r="EG70" s="119">
        <v>0</v>
      </c>
      <c r="EH70" s="119">
        <v>0</v>
      </c>
      <c r="EI70" s="119">
        <v>0</v>
      </c>
      <c r="EJ70" s="119">
        <v>0</v>
      </c>
      <c r="EK70" s="119">
        <v>0</v>
      </c>
      <c r="EL70" s="119">
        <v>0</v>
      </c>
      <c r="EM70" s="119">
        <v>0</v>
      </c>
      <c r="EN70" s="119">
        <v>0</v>
      </c>
      <c r="EO70" s="119">
        <v>0</v>
      </c>
      <c r="EP70" s="119">
        <v>0</v>
      </c>
      <c r="EQ70" s="119">
        <v>20</v>
      </c>
      <c r="ER70" s="119">
        <v>0</v>
      </c>
      <c r="ES70" t="s">
        <v>388</v>
      </c>
      <c r="ET70" s="119">
        <v>0</v>
      </c>
      <c r="EU70" s="119">
        <v>0</v>
      </c>
      <c r="EV70" s="119">
        <v>0</v>
      </c>
      <c r="EW70" s="119">
        <v>0</v>
      </c>
      <c r="EX70" s="119">
        <v>0</v>
      </c>
      <c r="EY70" s="119">
        <v>0</v>
      </c>
      <c r="EZ70" s="119">
        <v>0</v>
      </c>
      <c r="FA70" s="119">
        <v>0</v>
      </c>
      <c r="FB70" s="119">
        <v>0</v>
      </c>
      <c r="FC70" s="119">
        <v>0</v>
      </c>
      <c r="FD70" s="119">
        <v>20</v>
      </c>
      <c r="FE70" s="119">
        <v>0</v>
      </c>
      <c r="FF70" t="s">
        <v>389</v>
      </c>
      <c r="FG70" s="119">
        <v>0</v>
      </c>
      <c r="FH70" s="119">
        <v>0</v>
      </c>
      <c r="FI70" s="119">
        <v>0</v>
      </c>
      <c r="FJ70" s="119">
        <v>0</v>
      </c>
      <c r="FK70" s="119">
        <v>0</v>
      </c>
      <c r="FL70" s="119">
        <v>0</v>
      </c>
      <c r="FM70" s="119">
        <v>0</v>
      </c>
      <c r="FN70" s="119">
        <v>0</v>
      </c>
      <c r="FO70" s="119">
        <v>0</v>
      </c>
      <c r="FP70" s="119">
        <v>0</v>
      </c>
      <c r="FQ70" s="119">
        <v>20</v>
      </c>
      <c r="FR70" s="119">
        <v>0</v>
      </c>
      <c r="FS70" t="s">
        <v>390</v>
      </c>
      <c r="FT70" s="119">
        <v>0</v>
      </c>
      <c r="FU70" s="119">
        <v>0</v>
      </c>
      <c r="FV70" s="119">
        <v>0</v>
      </c>
      <c r="FW70" s="119">
        <v>0</v>
      </c>
      <c r="FX70" s="119">
        <v>0</v>
      </c>
      <c r="FY70" s="119">
        <v>0</v>
      </c>
      <c r="FZ70" s="119">
        <v>0</v>
      </c>
      <c r="GA70" s="119">
        <v>0</v>
      </c>
      <c r="GB70" s="119">
        <v>0</v>
      </c>
      <c r="GC70" s="119">
        <v>0</v>
      </c>
      <c r="GD70" s="119">
        <v>20</v>
      </c>
      <c r="GE70" s="119">
        <v>0</v>
      </c>
      <c r="GF70" t="s">
        <v>391</v>
      </c>
      <c r="GG70" s="119">
        <v>0</v>
      </c>
      <c r="GH70" s="119">
        <v>0</v>
      </c>
      <c r="GI70" s="119">
        <v>0</v>
      </c>
      <c r="GJ70" s="119">
        <v>0</v>
      </c>
      <c r="GK70" s="119">
        <v>0</v>
      </c>
      <c r="GL70" s="119">
        <v>0</v>
      </c>
      <c r="GM70" s="119">
        <v>0</v>
      </c>
      <c r="GN70" s="119">
        <v>0</v>
      </c>
      <c r="GO70" s="119">
        <v>0</v>
      </c>
      <c r="GP70" s="119">
        <v>0</v>
      </c>
      <c r="GQ70" s="119">
        <v>20</v>
      </c>
      <c r="GR70" s="119">
        <v>0</v>
      </c>
      <c r="HJ70"/>
      <c r="HK70" s="115"/>
      <c r="HR70" s="116"/>
      <c r="HT70" s="117"/>
      <c r="HY70"/>
      <c r="HZ70"/>
      <c r="IA70"/>
    </row>
    <row r="71" spans="1:235" x14ac:dyDescent="0.25">
      <c r="A71">
        <v>71</v>
      </c>
      <c r="B71" s="115">
        <v>43297</v>
      </c>
      <c r="C71" t="s">
        <v>369</v>
      </c>
      <c r="D71" t="s">
        <v>370</v>
      </c>
      <c r="E71" t="s">
        <v>371</v>
      </c>
      <c r="F71" t="s">
        <v>372</v>
      </c>
      <c r="H71" t="s">
        <v>373</v>
      </c>
      <c r="I71" s="116">
        <v>39100</v>
      </c>
      <c r="J71" t="s">
        <v>374</v>
      </c>
      <c r="K71" s="117" t="s">
        <v>375</v>
      </c>
      <c r="N71" t="s">
        <v>154</v>
      </c>
      <c r="P71">
        <v>4457.1400000000003</v>
      </c>
      <c r="Q71">
        <v>3714.29</v>
      </c>
      <c r="R71">
        <v>742.86</v>
      </c>
      <c r="S71" t="s">
        <v>378</v>
      </c>
      <c r="T71" s="118">
        <v>500</v>
      </c>
      <c r="U71" s="118">
        <v>214.29</v>
      </c>
      <c r="V71" s="118">
        <v>714.29</v>
      </c>
      <c r="W71" s="119">
        <v>30</v>
      </c>
      <c r="X71" s="119">
        <v>50</v>
      </c>
      <c r="Y71" s="119">
        <v>60</v>
      </c>
      <c r="Z71" s="119">
        <v>3000</v>
      </c>
      <c r="AA71" s="119">
        <v>3214.29</v>
      </c>
      <c r="AB71" s="119">
        <v>64.290000000000006</v>
      </c>
      <c r="AC71" s="119">
        <v>3714.29</v>
      </c>
      <c r="AD71" s="119">
        <v>20</v>
      </c>
      <c r="AE71" s="119">
        <v>742.86</v>
      </c>
      <c r="AF71" t="s">
        <v>379</v>
      </c>
      <c r="AG71" s="119">
        <v>0</v>
      </c>
      <c r="AH71" s="119">
        <v>0</v>
      </c>
      <c r="AI71" s="119">
        <v>0</v>
      </c>
      <c r="AJ71" s="119">
        <v>0</v>
      </c>
      <c r="AK71" s="119">
        <v>0</v>
      </c>
      <c r="AL71" s="119">
        <v>0</v>
      </c>
      <c r="AM71" s="119">
        <v>0</v>
      </c>
      <c r="AN71" s="119">
        <v>0</v>
      </c>
      <c r="AO71" s="119">
        <v>0</v>
      </c>
      <c r="AP71" s="119">
        <v>0</v>
      </c>
      <c r="AQ71" s="119">
        <v>20</v>
      </c>
      <c r="AR71" s="119">
        <v>0</v>
      </c>
      <c r="AS71" t="s">
        <v>380</v>
      </c>
      <c r="AT71" s="119">
        <v>0</v>
      </c>
      <c r="AU71" s="119">
        <v>0</v>
      </c>
      <c r="AV71" s="119">
        <v>0</v>
      </c>
      <c r="AW71" s="119">
        <v>0</v>
      </c>
      <c r="AX71" s="119">
        <v>0</v>
      </c>
      <c r="AY71" s="119">
        <v>0</v>
      </c>
      <c r="AZ71" s="119">
        <v>0</v>
      </c>
      <c r="BA71" s="119">
        <v>0</v>
      </c>
      <c r="BB71" s="119">
        <v>0</v>
      </c>
      <c r="BC71" s="119">
        <v>0</v>
      </c>
      <c r="BD71" s="119">
        <v>20</v>
      </c>
      <c r="BE71" s="119">
        <v>0</v>
      </c>
      <c r="BF71" t="s">
        <v>381</v>
      </c>
      <c r="BG71" s="119">
        <v>0</v>
      </c>
      <c r="BH71" s="119">
        <v>0</v>
      </c>
      <c r="BI71" s="119">
        <v>0</v>
      </c>
      <c r="BJ71" s="119">
        <v>0</v>
      </c>
      <c r="BK71" s="119">
        <v>0</v>
      </c>
      <c r="BL71" s="119">
        <v>0</v>
      </c>
      <c r="BM71" s="119">
        <v>0</v>
      </c>
      <c r="BN71" s="119">
        <v>0</v>
      </c>
      <c r="BO71" s="119">
        <v>0</v>
      </c>
      <c r="BP71" s="119">
        <v>0</v>
      </c>
      <c r="BQ71" s="119">
        <v>20</v>
      </c>
      <c r="BR71" s="119">
        <v>0</v>
      </c>
      <c r="BS71" t="s">
        <v>382</v>
      </c>
      <c r="BT71" s="119">
        <v>0</v>
      </c>
      <c r="BU71" s="119">
        <v>0</v>
      </c>
      <c r="BV71" s="119">
        <v>0</v>
      </c>
      <c r="BW71" s="119">
        <v>0</v>
      </c>
      <c r="BX71" s="119">
        <v>0</v>
      </c>
      <c r="BY71" s="119">
        <v>0</v>
      </c>
      <c r="BZ71" s="119">
        <v>0</v>
      </c>
      <c r="CA71" s="119">
        <v>0</v>
      </c>
      <c r="CB71" s="119">
        <v>0</v>
      </c>
      <c r="CC71" s="119">
        <v>0</v>
      </c>
      <c r="CD71" s="119">
        <v>20</v>
      </c>
      <c r="CE71" s="119">
        <v>0</v>
      </c>
      <c r="CF71" t="s">
        <v>383</v>
      </c>
      <c r="CG71" s="119">
        <v>0</v>
      </c>
      <c r="CH71" s="119">
        <v>0</v>
      </c>
      <c r="CI71" s="119">
        <v>0</v>
      </c>
      <c r="CJ71" s="119">
        <v>0</v>
      </c>
      <c r="CK71" s="119">
        <v>0</v>
      </c>
      <c r="CL71" s="119">
        <v>0</v>
      </c>
      <c r="CM71" s="119">
        <v>0</v>
      </c>
      <c r="CN71" s="119">
        <v>0</v>
      </c>
      <c r="CO71" s="119">
        <v>0</v>
      </c>
      <c r="CP71" s="119">
        <v>0</v>
      </c>
      <c r="CQ71" s="119">
        <v>20</v>
      </c>
      <c r="CR71" s="119">
        <v>0</v>
      </c>
      <c r="CS71" t="s">
        <v>384</v>
      </c>
      <c r="CT71" s="119">
        <v>0</v>
      </c>
      <c r="CU71" s="119">
        <v>0</v>
      </c>
      <c r="CV71" s="119">
        <v>0</v>
      </c>
      <c r="CW71" s="119">
        <v>0</v>
      </c>
      <c r="CX71" s="119">
        <v>0</v>
      </c>
      <c r="CY71" s="119">
        <v>0</v>
      </c>
      <c r="CZ71" s="119">
        <v>0</v>
      </c>
      <c r="DA71" s="119">
        <v>0</v>
      </c>
      <c r="DB71" s="119">
        <v>0</v>
      </c>
      <c r="DC71" s="119">
        <v>0</v>
      </c>
      <c r="DD71" s="119">
        <v>20</v>
      </c>
      <c r="DE71" s="119">
        <v>0</v>
      </c>
      <c r="DF71" t="s">
        <v>385</v>
      </c>
      <c r="DG71" s="119">
        <v>0</v>
      </c>
      <c r="DH71" s="119">
        <v>0</v>
      </c>
      <c r="DI71" s="119">
        <v>0</v>
      </c>
      <c r="DJ71" s="119">
        <v>0</v>
      </c>
      <c r="DK71" s="119">
        <v>0</v>
      </c>
      <c r="DL71" s="119">
        <v>0</v>
      </c>
      <c r="DM71" s="119">
        <v>0</v>
      </c>
      <c r="DN71" s="119">
        <v>0</v>
      </c>
      <c r="DO71" s="119">
        <v>0</v>
      </c>
      <c r="DP71" s="119">
        <v>0</v>
      </c>
      <c r="DQ71" s="119">
        <v>20</v>
      </c>
      <c r="DR71" s="119">
        <v>0</v>
      </c>
      <c r="DS71" t="s">
        <v>386</v>
      </c>
      <c r="DT71" s="119">
        <v>0</v>
      </c>
      <c r="DU71" s="119">
        <v>0</v>
      </c>
      <c r="DV71" s="119">
        <v>0</v>
      </c>
      <c r="DW71" s="119">
        <v>0</v>
      </c>
      <c r="DX71" s="119">
        <v>0</v>
      </c>
      <c r="DY71" s="119">
        <v>0</v>
      </c>
      <c r="DZ71" s="119">
        <v>0</v>
      </c>
      <c r="EA71" s="119">
        <v>0</v>
      </c>
      <c r="EB71" s="119">
        <v>0</v>
      </c>
      <c r="EC71" s="119">
        <v>0</v>
      </c>
      <c r="ED71" s="119">
        <v>20</v>
      </c>
      <c r="EE71" s="119">
        <v>0</v>
      </c>
      <c r="EF71" t="s">
        <v>387</v>
      </c>
      <c r="EG71" s="119">
        <v>0</v>
      </c>
      <c r="EH71" s="119">
        <v>0</v>
      </c>
      <c r="EI71" s="119">
        <v>0</v>
      </c>
      <c r="EJ71" s="119">
        <v>0</v>
      </c>
      <c r="EK71" s="119">
        <v>0</v>
      </c>
      <c r="EL71" s="119">
        <v>0</v>
      </c>
      <c r="EM71" s="119">
        <v>0</v>
      </c>
      <c r="EN71" s="119">
        <v>0</v>
      </c>
      <c r="EO71" s="119">
        <v>0</v>
      </c>
      <c r="EP71" s="119">
        <v>0</v>
      </c>
      <c r="EQ71" s="119">
        <v>20</v>
      </c>
      <c r="ER71" s="119">
        <v>0</v>
      </c>
      <c r="ES71" t="s">
        <v>388</v>
      </c>
      <c r="ET71" s="119">
        <v>0</v>
      </c>
      <c r="EU71" s="119">
        <v>0</v>
      </c>
      <c r="EV71" s="119">
        <v>0</v>
      </c>
      <c r="EW71" s="119">
        <v>0</v>
      </c>
      <c r="EX71" s="119">
        <v>0</v>
      </c>
      <c r="EY71" s="119">
        <v>0</v>
      </c>
      <c r="EZ71" s="119">
        <v>0</v>
      </c>
      <c r="FA71" s="119">
        <v>0</v>
      </c>
      <c r="FB71" s="119">
        <v>0</v>
      </c>
      <c r="FC71" s="119">
        <v>0</v>
      </c>
      <c r="FD71" s="119">
        <v>20</v>
      </c>
      <c r="FE71" s="119">
        <v>0</v>
      </c>
      <c r="FF71" t="s">
        <v>389</v>
      </c>
      <c r="FG71" s="119">
        <v>0</v>
      </c>
      <c r="FH71" s="119">
        <v>0</v>
      </c>
      <c r="FI71" s="119">
        <v>0</v>
      </c>
      <c r="FJ71" s="119">
        <v>0</v>
      </c>
      <c r="FK71" s="119">
        <v>0</v>
      </c>
      <c r="FL71" s="119">
        <v>0</v>
      </c>
      <c r="FM71" s="119">
        <v>0</v>
      </c>
      <c r="FN71" s="119">
        <v>0</v>
      </c>
      <c r="FO71" s="119">
        <v>0</v>
      </c>
      <c r="FP71" s="119">
        <v>0</v>
      </c>
      <c r="FQ71" s="119">
        <v>20</v>
      </c>
      <c r="FR71" s="119">
        <v>0</v>
      </c>
      <c r="FS71" t="s">
        <v>390</v>
      </c>
      <c r="FT71" s="119">
        <v>0</v>
      </c>
      <c r="FU71" s="119">
        <v>0</v>
      </c>
      <c r="FV71" s="119">
        <v>0</v>
      </c>
      <c r="FW71" s="119">
        <v>0</v>
      </c>
      <c r="FX71" s="119">
        <v>0</v>
      </c>
      <c r="FY71" s="119">
        <v>0</v>
      </c>
      <c r="FZ71" s="119">
        <v>0</v>
      </c>
      <c r="GA71" s="119">
        <v>0</v>
      </c>
      <c r="GB71" s="119">
        <v>0</v>
      </c>
      <c r="GC71" s="119">
        <v>0</v>
      </c>
      <c r="GD71" s="119">
        <v>20</v>
      </c>
      <c r="GE71" s="119">
        <v>0</v>
      </c>
      <c r="GF71" t="s">
        <v>391</v>
      </c>
      <c r="GG71" s="119">
        <v>0</v>
      </c>
      <c r="GH71" s="119">
        <v>0</v>
      </c>
      <c r="GI71" s="119">
        <v>0</v>
      </c>
      <c r="GJ71" s="119">
        <v>0</v>
      </c>
      <c r="GK71" s="119">
        <v>0</v>
      </c>
      <c r="GL71" s="119">
        <v>0</v>
      </c>
      <c r="GM71" s="119">
        <v>0</v>
      </c>
      <c r="GN71" s="119">
        <v>0</v>
      </c>
      <c r="GO71" s="119">
        <v>0</v>
      </c>
      <c r="GP71" s="119">
        <v>0</v>
      </c>
      <c r="GQ71" s="119">
        <v>20</v>
      </c>
      <c r="GR71" s="119">
        <v>0</v>
      </c>
      <c r="HJ71"/>
      <c r="HK71" s="115"/>
      <c r="HR71" s="116"/>
      <c r="HT71" s="117"/>
      <c r="HY71"/>
      <c r="HZ71"/>
      <c r="IA71"/>
    </row>
    <row r="72" spans="1:235" x14ac:dyDescent="0.25">
      <c r="A72">
        <v>72</v>
      </c>
      <c r="B72" s="115">
        <v>43297</v>
      </c>
      <c r="C72" t="s">
        <v>369</v>
      </c>
      <c r="D72" t="s">
        <v>370</v>
      </c>
      <c r="E72" t="s">
        <v>371</v>
      </c>
      <c r="F72" t="s">
        <v>372</v>
      </c>
      <c r="H72" t="s">
        <v>373</v>
      </c>
      <c r="I72" s="116">
        <v>39100</v>
      </c>
      <c r="J72" t="s">
        <v>374</v>
      </c>
      <c r="K72" s="117" t="s">
        <v>375</v>
      </c>
      <c r="N72" t="s">
        <v>155</v>
      </c>
      <c r="P72">
        <v>1097.1400000000001</v>
      </c>
      <c r="Q72">
        <v>914.29</v>
      </c>
      <c r="R72">
        <v>182.86</v>
      </c>
      <c r="S72" t="s">
        <v>378</v>
      </c>
      <c r="T72" s="118">
        <v>500</v>
      </c>
      <c r="U72" s="118">
        <v>214.29</v>
      </c>
      <c r="V72" s="118">
        <v>714.29</v>
      </c>
      <c r="W72" s="119">
        <v>30</v>
      </c>
      <c r="X72" s="119">
        <v>10</v>
      </c>
      <c r="Y72" s="119">
        <v>20</v>
      </c>
      <c r="Z72" s="119">
        <v>200</v>
      </c>
      <c r="AA72" s="119">
        <v>414.29</v>
      </c>
      <c r="AB72" s="119">
        <v>41.43</v>
      </c>
      <c r="AC72" s="119">
        <v>914.29</v>
      </c>
      <c r="AD72" s="119">
        <v>20</v>
      </c>
      <c r="AE72" s="119">
        <v>182.86</v>
      </c>
      <c r="AF72" t="s">
        <v>379</v>
      </c>
      <c r="AG72" s="119">
        <v>0</v>
      </c>
      <c r="AH72" s="119">
        <v>0</v>
      </c>
      <c r="AI72" s="119">
        <v>0</v>
      </c>
      <c r="AJ72" s="119">
        <v>0</v>
      </c>
      <c r="AK72" s="119">
        <v>0</v>
      </c>
      <c r="AL72" s="119">
        <v>0</v>
      </c>
      <c r="AM72" s="119">
        <v>0</v>
      </c>
      <c r="AN72" s="119">
        <v>0</v>
      </c>
      <c r="AO72" s="119">
        <v>0</v>
      </c>
      <c r="AP72" s="119">
        <v>0</v>
      </c>
      <c r="AQ72" s="119">
        <v>20</v>
      </c>
      <c r="AR72" s="119">
        <v>0</v>
      </c>
      <c r="AS72" t="s">
        <v>380</v>
      </c>
      <c r="AT72" s="119">
        <v>0</v>
      </c>
      <c r="AU72" s="119">
        <v>0</v>
      </c>
      <c r="AV72" s="119">
        <v>0</v>
      </c>
      <c r="AW72" s="119">
        <v>0</v>
      </c>
      <c r="AX72" s="119">
        <v>0</v>
      </c>
      <c r="AY72" s="119">
        <v>0</v>
      </c>
      <c r="AZ72" s="119">
        <v>0</v>
      </c>
      <c r="BA72" s="119">
        <v>0</v>
      </c>
      <c r="BB72" s="119">
        <v>0</v>
      </c>
      <c r="BC72" s="119">
        <v>0</v>
      </c>
      <c r="BD72" s="119">
        <v>20</v>
      </c>
      <c r="BE72" s="119">
        <v>0</v>
      </c>
      <c r="BF72" t="s">
        <v>381</v>
      </c>
      <c r="BG72" s="119">
        <v>0</v>
      </c>
      <c r="BH72" s="119">
        <v>0</v>
      </c>
      <c r="BI72" s="119">
        <v>0</v>
      </c>
      <c r="BJ72" s="119">
        <v>0</v>
      </c>
      <c r="BK72" s="119">
        <v>0</v>
      </c>
      <c r="BL72" s="119">
        <v>0</v>
      </c>
      <c r="BM72" s="119">
        <v>0</v>
      </c>
      <c r="BN72" s="119">
        <v>0</v>
      </c>
      <c r="BO72" s="119">
        <v>0</v>
      </c>
      <c r="BP72" s="119">
        <v>0</v>
      </c>
      <c r="BQ72" s="119">
        <v>20</v>
      </c>
      <c r="BR72" s="119">
        <v>0</v>
      </c>
      <c r="BS72" t="s">
        <v>382</v>
      </c>
      <c r="BT72" s="119">
        <v>0</v>
      </c>
      <c r="BU72" s="119">
        <v>0</v>
      </c>
      <c r="BV72" s="119">
        <v>0</v>
      </c>
      <c r="BW72" s="119">
        <v>0</v>
      </c>
      <c r="BX72" s="119">
        <v>0</v>
      </c>
      <c r="BY72" s="119">
        <v>0</v>
      </c>
      <c r="BZ72" s="119">
        <v>0</v>
      </c>
      <c r="CA72" s="119">
        <v>0</v>
      </c>
      <c r="CB72" s="119">
        <v>0</v>
      </c>
      <c r="CC72" s="119">
        <v>0</v>
      </c>
      <c r="CD72" s="119">
        <v>20</v>
      </c>
      <c r="CE72" s="119">
        <v>0</v>
      </c>
      <c r="CF72" t="s">
        <v>383</v>
      </c>
      <c r="CG72" s="119">
        <v>0</v>
      </c>
      <c r="CH72" s="119">
        <v>0</v>
      </c>
      <c r="CI72" s="119">
        <v>0</v>
      </c>
      <c r="CJ72" s="119">
        <v>0</v>
      </c>
      <c r="CK72" s="119">
        <v>0</v>
      </c>
      <c r="CL72" s="119">
        <v>0</v>
      </c>
      <c r="CM72" s="119">
        <v>0</v>
      </c>
      <c r="CN72" s="119">
        <v>0</v>
      </c>
      <c r="CO72" s="119">
        <v>0</v>
      </c>
      <c r="CP72" s="119">
        <v>0</v>
      </c>
      <c r="CQ72" s="119">
        <v>20</v>
      </c>
      <c r="CR72" s="119">
        <v>0</v>
      </c>
      <c r="CS72" t="s">
        <v>384</v>
      </c>
      <c r="CT72" s="119">
        <v>0</v>
      </c>
      <c r="CU72" s="119">
        <v>0</v>
      </c>
      <c r="CV72" s="119">
        <v>0</v>
      </c>
      <c r="CW72" s="119">
        <v>0</v>
      </c>
      <c r="CX72" s="119">
        <v>0</v>
      </c>
      <c r="CY72" s="119">
        <v>0</v>
      </c>
      <c r="CZ72" s="119">
        <v>0</v>
      </c>
      <c r="DA72" s="119">
        <v>0</v>
      </c>
      <c r="DB72" s="119">
        <v>0</v>
      </c>
      <c r="DC72" s="119">
        <v>0</v>
      </c>
      <c r="DD72" s="119">
        <v>20</v>
      </c>
      <c r="DE72" s="119">
        <v>0</v>
      </c>
      <c r="DF72" t="s">
        <v>385</v>
      </c>
      <c r="DG72" s="119">
        <v>0</v>
      </c>
      <c r="DH72" s="119">
        <v>0</v>
      </c>
      <c r="DI72" s="119">
        <v>0</v>
      </c>
      <c r="DJ72" s="119">
        <v>0</v>
      </c>
      <c r="DK72" s="119">
        <v>0</v>
      </c>
      <c r="DL72" s="119">
        <v>0</v>
      </c>
      <c r="DM72" s="119">
        <v>0</v>
      </c>
      <c r="DN72" s="119">
        <v>0</v>
      </c>
      <c r="DO72" s="119">
        <v>0</v>
      </c>
      <c r="DP72" s="119">
        <v>0</v>
      </c>
      <c r="DQ72" s="119">
        <v>20</v>
      </c>
      <c r="DR72" s="119">
        <v>0</v>
      </c>
      <c r="DS72" t="s">
        <v>386</v>
      </c>
      <c r="DT72" s="119">
        <v>0</v>
      </c>
      <c r="DU72" s="119">
        <v>0</v>
      </c>
      <c r="DV72" s="119">
        <v>0</v>
      </c>
      <c r="DW72" s="119">
        <v>0</v>
      </c>
      <c r="DX72" s="119">
        <v>0</v>
      </c>
      <c r="DY72" s="119">
        <v>0</v>
      </c>
      <c r="DZ72" s="119">
        <v>0</v>
      </c>
      <c r="EA72" s="119">
        <v>0</v>
      </c>
      <c r="EB72" s="119">
        <v>0</v>
      </c>
      <c r="EC72" s="119">
        <v>0</v>
      </c>
      <c r="ED72" s="119">
        <v>20</v>
      </c>
      <c r="EE72" s="119">
        <v>0</v>
      </c>
      <c r="EF72" t="s">
        <v>387</v>
      </c>
      <c r="EG72" s="119">
        <v>0</v>
      </c>
      <c r="EH72" s="119">
        <v>0</v>
      </c>
      <c r="EI72" s="119">
        <v>0</v>
      </c>
      <c r="EJ72" s="119">
        <v>0</v>
      </c>
      <c r="EK72" s="119">
        <v>0</v>
      </c>
      <c r="EL72" s="119">
        <v>0</v>
      </c>
      <c r="EM72" s="119">
        <v>0</v>
      </c>
      <c r="EN72" s="119">
        <v>0</v>
      </c>
      <c r="EO72" s="119">
        <v>0</v>
      </c>
      <c r="EP72" s="119">
        <v>0</v>
      </c>
      <c r="EQ72" s="119">
        <v>20</v>
      </c>
      <c r="ER72" s="119">
        <v>0</v>
      </c>
      <c r="ES72" t="s">
        <v>388</v>
      </c>
      <c r="ET72" s="119">
        <v>0</v>
      </c>
      <c r="EU72" s="119">
        <v>0</v>
      </c>
      <c r="EV72" s="119">
        <v>0</v>
      </c>
      <c r="EW72" s="119">
        <v>0</v>
      </c>
      <c r="EX72" s="119">
        <v>0</v>
      </c>
      <c r="EY72" s="119">
        <v>0</v>
      </c>
      <c r="EZ72" s="119">
        <v>0</v>
      </c>
      <c r="FA72" s="119">
        <v>0</v>
      </c>
      <c r="FB72" s="119">
        <v>0</v>
      </c>
      <c r="FC72" s="119">
        <v>0</v>
      </c>
      <c r="FD72" s="119">
        <v>20</v>
      </c>
      <c r="FE72" s="119">
        <v>0</v>
      </c>
      <c r="FF72" t="s">
        <v>389</v>
      </c>
      <c r="FG72" s="119">
        <v>0</v>
      </c>
      <c r="FH72" s="119">
        <v>0</v>
      </c>
      <c r="FI72" s="119">
        <v>0</v>
      </c>
      <c r="FJ72" s="119">
        <v>0</v>
      </c>
      <c r="FK72" s="119">
        <v>0</v>
      </c>
      <c r="FL72" s="119">
        <v>0</v>
      </c>
      <c r="FM72" s="119">
        <v>0</v>
      </c>
      <c r="FN72" s="119">
        <v>0</v>
      </c>
      <c r="FO72" s="119">
        <v>0</v>
      </c>
      <c r="FP72" s="119">
        <v>0</v>
      </c>
      <c r="FQ72" s="119">
        <v>20</v>
      </c>
      <c r="FR72" s="119">
        <v>0</v>
      </c>
      <c r="FS72" t="s">
        <v>390</v>
      </c>
      <c r="FT72" s="119">
        <v>0</v>
      </c>
      <c r="FU72" s="119">
        <v>0</v>
      </c>
      <c r="FV72" s="119">
        <v>0</v>
      </c>
      <c r="FW72" s="119">
        <v>0</v>
      </c>
      <c r="FX72" s="119">
        <v>0</v>
      </c>
      <c r="FY72" s="119">
        <v>0</v>
      </c>
      <c r="FZ72" s="119">
        <v>0</v>
      </c>
      <c r="GA72" s="119">
        <v>0</v>
      </c>
      <c r="GB72" s="119">
        <v>0</v>
      </c>
      <c r="GC72" s="119">
        <v>0</v>
      </c>
      <c r="GD72" s="119">
        <v>20</v>
      </c>
      <c r="GE72" s="119">
        <v>0</v>
      </c>
      <c r="GF72" t="s">
        <v>391</v>
      </c>
      <c r="GG72" s="119">
        <v>0</v>
      </c>
      <c r="GH72" s="119">
        <v>0</v>
      </c>
      <c r="GI72" s="119">
        <v>0</v>
      </c>
      <c r="GJ72" s="119">
        <v>0</v>
      </c>
      <c r="GK72" s="119">
        <v>0</v>
      </c>
      <c r="GL72" s="119">
        <v>0</v>
      </c>
      <c r="GM72" s="119">
        <v>0</v>
      </c>
      <c r="GN72" s="119">
        <v>0</v>
      </c>
      <c r="GO72" s="119">
        <v>0</v>
      </c>
      <c r="GP72" s="119">
        <v>0</v>
      </c>
      <c r="GQ72" s="119">
        <v>20</v>
      </c>
      <c r="GR72" s="119">
        <v>0</v>
      </c>
      <c r="HJ72"/>
      <c r="HK72" s="115"/>
      <c r="HR72" s="116"/>
      <c r="HT72" s="117"/>
      <c r="HY72"/>
      <c r="HZ72"/>
      <c r="IA72"/>
    </row>
    <row r="73" spans="1:235" x14ac:dyDescent="0.25">
      <c r="A73">
        <v>73</v>
      </c>
      <c r="B73" s="115">
        <v>43297</v>
      </c>
      <c r="C73" t="s">
        <v>400</v>
      </c>
      <c r="D73" t="s">
        <v>433</v>
      </c>
      <c r="E73" t="s">
        <v>372</v>
      </c>
      <c r="F73" t="s">
        <v>480</v>
      </c>
      <c r="G73" t="s">
        <v>435</v>
      </c>
      <c r="H73" t="s">
        <v>436</v>
      </c>
      <c r="I73" s="116">
        <v>21300</v>
      </c>
      <c r="J73" t="s">
        <v>437</v>
      </c>
      <c r="K73" s="117">
        <v>380456545</v>
      </c>
      <c r="N73" t="s">
        <v>423</v>
      </c>
      <c r="O73">
        <v>180084</v>
      </c>
      <c r="P73">
        <v>3829.71</v>
      </c>
      <c r="Q73">
        <v>3191.43</v>
      </c>
      <c r="R73">
        <v>638.29</v>
      </c>
      <c r="S73" t="s">
        <v>378</v>
      </c>
      <c r="T73" s="118">
        <v>0</v>
      </c>
      <c r="U73" s="118">
        <v>0</v>
      </c>
      <c r="V73" s="118">
        <v>0</v>
      </c>
      <c r="W73" s="119">
        <v>0</v>
      </c>
      <c r="X73" s="119">
        <v>0</v>
      </c>
      <c r="Y73" s="119">
        <v>0</v>
      </c>
      <c r="Z73" s="119">
        <v>0</v>
      </c>
      <c r="AA73" s="119">
        <v>0</v>
      </c>
      <c r="AB73" s="119">
        <v>0</v>
      </c>
      <c r="AC73" s="119">
        <v>0</v>
      </c>
      <c r="AD73" s="119">
        <v>20</v>
      </c>
      <c r="AE73" s="119">
        <v>0</v>
      </c>
      <c r="AF73" t="s">
        <v>379</v>
      </c>
      <c r="AG73" s="119">
        <v>0</v>
      </c>
      <c r="AH73" s="119">
        <v>0</v>
      </c>
      <c r="AI73" s="119">
        <v>0</v>
      </c>
      <c r="AJ73" s="119">
        <v>0</v>
      </c>
      <c r="AK73" s="119">
        <v>0</v>
      </c>
      <c r="AL73" s="119">
        <v>0</v>
      </c>
      <c r="AM73" s="119">
        <v>0</v>
      </c>
      <c r="AN73" s="119">
        <v>0</v>
      </c>
      <c r="AO73" s="119">
        <v>0</v>
      </c>
      <c r="AP73" s="119">
        <v>0</v>
      </c>
      <c r="AQ73" s="119">
        <v>20</v>
      </c>
      <c r="AR73" s="119">
        <v>0</v>
      </c>
      <c r="AS73" t="s">
        <v>380</v>
      </c>
      <c r="AT73" s="119">
        <v>0</v>
      </c>
      <c r="AU73" s="119">
        <v>0</v>
      </c>
      <c r="AV73" s="119">
        <v>0</v>
      </c>
      <c r="AW73" s="119">
        <v>0</v>
      </c>
      <c r="AX73" s="119">
        <v>0</v>
      </c>
      <c r="AY73" s="119">
        <v>0</v>
      </c>
      <c r="AZ73" s="119">
        <v>0</v>
      </c>
      <c r="BA73" s="119">
        <v>0</v>
      </c>
      <c r="BB73" s="119">
        <v>0</v>
      </c>
      <c r="BC73" s="119">
        <v>0</v>
      </c>
      <c r="BD73" s="119">
        <v>20</v>
      </c>
      <c r="BE73" s="119">
        <v>0</v>
      </c>
      <c r="BF73" t="s">
        <v>381</v>
      </c>
      <c r="BG73" s="119">
        <v>0</v>
      </c>
      <c r="BH73" s="119">
        <v>0</v>
      </c>
      <c r="BI73" s="119">
        <v>0</v>
      </c>
      <c r="BJ73" s="119">
        <v>0</v>
      </c>
      <c r="BK73" s="119">
        <v>0</v>
      </c>
      <c r="BL73" s="119">
        <v>0</v>
      </c>
      <c r="BM73" s="119">
        <v>0</v>
      </c>
      <c r="BN73" s="119">
        <v>0</v>
      </c>
      <c r="BO73" s="119">
        <v>0</v>
      </c>
      <c r="BP73" s="119">
        <v>0</v>
      </c>
      <c r="BQ73" s="119">
        <v>20</v>
      </c>
      <c r="BR73" s="119">
        <v>0</v>
      </c>
      <c r="BS73" t="s">
        <v>382</v>
      </c>
      <c r="BT73" s="119">
        <v>0</v>
      </c>
      <c r="BU73" s="119">
        <v>0</v>
      </c>
      <c r="BV73" s="119">
        <v>0</v>
      </c>
      <c r="BW73" s="119">
        <v>0</v>
      </c>
      <c r="BX73" s="119">
        <v>0</v>
      </c>
      <c r="BY73" s="119">
        <v>0</v>
      </c>
      <c r="BZ73" s="119">
        <v>0</v>
      </c>
      <c r="CA73" s="119">
        <v>0</v>
      </c>
      <c r="CB73" s="119">
        <v>0</v>
      </c>
      <c r="CC73" s="119">
        <v>0</v>
      </c>
      <c r="CD73" s="119">
        <v>20</v>
      </c>
      <c r="CE73" s="119">
        <v>0</v>
      </c>
      <c r="CF73" t="s">
        <v>383</v>
      </c>
      <c r="CG73" s="119">
        <v>0</v>
      </c>
      <c r="CH73" s="119">
        <v>0</v>
      </c>
      <c r="CI73" s="119">
        <v>0</v>
      </c>
      <c r="CJ73" s="119">
        <v>0</v>
      </c>
      <c r="CK73" s="119">
        <v>0</v>
      </c>
      <c r="CL73" s="119">
        <v>0</v>
      </c>
      <c r="CM73" s="119">
        <v>0</v>
      </c>
      <c r="CN73" s="119">
        <v>0</v>
      </c>
      <c r="CO73" s="119">
        <v>0</v>
      </c>
      <c r="CP73" s="119">
        <v>0</v>
      </c>
      <c r="CQ73" s="119">
        <v>20</v>
      </c>
      <c r="CR73" s="119">
        <v>0</v>
      </c>
      <c r="CS73" t="s">
        <v>384</v>
      </c>
      <c r="CT73" s="119">
        <v>1450</v>
      </c>
      <c r="CU73" s="119">
        <v>621.42999999999995</v>
      </c>
      <c r="CV73" s="119">
        <v>2071.4299999999998</v>
      </c>
      <c r="CW73" s="119">
        <v>30</v>
      </c>
      <c r="CX73" s="119">
        <v>16</v>
      </c>
      <c r="CY73" s="119">
        <v>70</v>
      </c>
      <c r="CZ73" s="119">
        <v>1120</v>
      </c>
      <c r="DA73" s="119">
        <v>1741.43</v>
      </c>
      <c r="DB73" s="119">
        <v>108.84</v>
      </c>
      <c r="DC73" s="119">
        <v>3191.43</v>
      </c>
      <c r="DD73" s="119">
        <v>20</v>
      </c>
      <c r="DE73" s="119">
        <v>638.29</v>
      </c>
      <c r="DF73" t="s">
        <v>385</v>
      </c>
      <c r="DG73" s="119">
        <v>0</v>
      </c>
      <c r="DH73" s="119">
        <v>0</v>
      </c>
      <c r="DI73" s="119">
        <v>0</v>
      </c>
      <c r="DJ73" s="119">
        <v>0</v>
      </c>
      <c r="DK73" s="119">
        <v>0</v>
      </c>
      <c r="DL73" s="119">
        <v>0</v>
      </c>
      <c r="DM73" s="119">
        <v>0</v>
      </c>
      <c r="DN73" s="119">
        <v>0</v>
      </c>
      <c r="DO73" s="119">
        <v>0</v>
      </c>
      <c r="DP73" s="119">
        <v>0</v>
      </c>
      <c r="DQ73" s="119">
        <v>20</v>
      </c>
      <c r="DR73" s="119">
        <v>0</v>
      </c>
      <c r="DS73" t="s">
        <v>386</v>
      </c>
      <c r="DT73" s="119">
        <v>0</v>
      </c>
      <c r="DU73" s="119">
        <v>0</v>
      </c>
      <c r="DV73" s="119">
        <v>0</v>
      </c>
      <c r="DW73" s="119">
        <v>0</v>
      </c>
      <c r="DX73" s="119">
        <v>0</v>
      </c>
      <c r="DY73" s="119">
        <v>0</v>
      </c>
      <c r="DZ73" s="119">
        <v>0</v>
      </c>
      <c r="EA73" s="119">
        <v>0</v>
      </c>
      <c r="EB73" s="119">
        <v>0</v>
      </c>
      <c r="EC73" s="119">
        <v>0</v>
      </c>
      <c r="ED73" s="119">
        <v>20</v>
      </c>
      <c r="EE73" s="119">
        <v>0</v>
      </c>
      <c r="EF73" t="s">
        <v>387</v>
      </c>
      <c r="EG73" s="119">
        <v>0</v>
      </c>
      <c r="EH73" s="119">
        <v>0</v>
      </c>
      <c r="EI73" s="119">
        <v>0</v>
      </c>
      <c r="EJ73" s="119">
        <v>0</v>
      </c>
      <c r="EK73" s="119">
        <v>0</v>
      </c>
      <c r="EL73" s="119">
        <v>0</v>
      </c>
      <c r="EM73" s="119">
        <v>0</v>
      </c>
      <c r="EN73" s="119">
        <v>0</v>
      </c>
      <c r="EO73" s="119">
        <v>0</v>
      </c>
      <c r="EP73" s="119">
        <v>0</v>
      </c>
      <c r="EQ73" s="119">
        <v>20</v>
      </c>
      <c r="ER73" s="119">
        <v>0</v>
      </c>
      <c r="ES73" t="s">
        <v>388</v>
      </c>
      <c r="ET73" s="119">
        <v>0</v>
      </c>
      <c r="EU73" s="119">
        <v>0</v>
      </c>
      <c r="EV73" s="119">
        <v>0</v>
      </c>
      <c r="EW73" s="119">
        <v>0</v>
      </c>
      <c r="EX73" s="119">
        <v>0</v>
      </c>
      <c r="EY73" s="119">
        <v>0</v>
      </c>
      <c r="EZ73" s="119">
        <v>0</v>
      </c>
      <c r="FA73" s="119">
        <v>0</v>
      </c>
      <c r="FB73" s="119">
        <v>0</v>
      </c>
      <c r="FC73" s="119">
        <v>0</v>
      </c>
      <c r="FD73" s="119">
        <v>20</v>
      </c>
      <c r="FE73" s="119">
        <v>0</v>
      </c>
      <c r="FF73" t="s">
        <v>389</v>
      </c>
      <c r="FG73" s="119">
        <v>0</v>
      </c>
      <c r="FH73" s="119">
        <v>0</v>
      </c>
      <c r="FI73" s="119">
        <v>0</v>
      </c>
      <c r="FJ73" s="119">
        <v>0</v>
      </c>
      <c r="FK73" s="119">
        <v>0</v>
      </c>
      <c r="FL73" s="119">
        <v>0</v>
      </c>
      <c r="FM73" s="119">
        <v>0</v>
      </c>
      <c r="FN73" s="119">
        <v>0</v>
      </c>
      <c r="FO73" s="119">
        <v>0</v>
      </c>
      <c r="FP73" s="119">
        <v>0</v>
      </c>
      <c r="FQ73" s="119">
        <v>20</v>
      </c>
      <c r="FR73" s="119">
        <v>0</v>
      </c>
      <c r="FS73" t="s">
        <v>390</v>
      </c>
      <c r="FT73" s="119">
        <v>0</v>
      </c>
      <c r="FU73" s="119">
        <v>0</v>
      </c>
      <c r="FV73" s="119">
        <v>0</v>
      </c>
      <c r="FW73" s="119">
        <v>0</v>
      </c>
      <c r="FX73" s="119">
        <v>0</v>
      </c>
      <c r="FY73" s="119">
        <v>0</v>
      </c>
      <c r="FZ73" s="119">
        <v>0</v>
      </c>
      <c r="GA73" s="119">
        <v>0</v>
      </c>
      <c r="GB73" s="119">
        <v>0</v>
      </c>
      <c r="GC73" s="119">
        <v>0</v>
      </c>
      <c r="GD73" s="119">
        <v>20</v>
      </c>
      <c r="GE73" s="119">
        <v>0</v>
      </c>
      <c r="GF73" t="s">
        <v>391</v>
      </c>
      <c r="GG73" s="119">
        <v>0</v>
      </c>
      <c r="GH73" s="119">
        <v>0</v>
      </c>
      <c r="GI73" s="119">
        <v>0</v>
      </c>
      <c r="GJ73" s="119">
        <v>0</v>
      </c>
      <c r="GK73" s="119">
        <v>0</v>
      </c>
      <c r="GL73" s="119">
        <v>0</v>
      </c>
      <c r="GM73" s="119">
        <v>0</v>
      </c>
      <c r="GN73" s="119">
        <v>0</v>
      </c>
      <c r="GO73" s="119">
        <v>0</v>
      </c>
      <c r="GP73" s="119">
        <v>0</v>
      </c>
      <c r="GQ73" s="119">
        <v>20</v>
      </c>
      <c r="GR73" s="119">
        <v>0</v>
      </c>
      <c r="HJ73"/>
      <c r="HK73" s="115"/>
      <c r="HR73" s="116"/>
      <c r="HT73" s="117"/>
      <c r="HY73"/>
      <c r="HZ73"/>
      <c r="IA73"/>
    </row>
    <row r="74" spans="1:235" x14ac:dyDescent="0.25">
      <c r="A74">
        <v>74</v>
      </c>
      <c r="B74" s="115">
        <v>43297</v>
      </c>
      <c r="C74" t="s">
        <v>400</v>
      </c>
      <c r="D74" t="s">
        <v>433</v>
      </c>
      <c r="E74" t="s">
        <v>372</v>
      </c>
      <c r="F74" t="s">
        <v>434</v>
      </c>
      <c r="G74" t="s">
        <v>435</v>
      </c>
      <c r="H74" t="s">
        <v>436</v>
      </c>
      <c r="I74" s="116">
        <v>21300</v>
      </c>
      <c r="J74" t="s">
        <v>437</v>
      </c>
      <c r="K74" s="117">
        <v>380456545</v>
      </c>
      <c r="N74" t="s">
        <v>423</v>
      </c>
      <c r="O74">
        <v>180047</v>
      </c>
      <c r="P74">
        <v>7165.71</v>
      </c>
      <c r="Q74">
        <v>5971.43</v>
      </c>
      <c r="R74">
        <v>1194.29</v>
      </c>
      <c r="S74" t="s">
        <v>378</v>
      </c>
      <c r="T74" s="118">
        <v>2500</v>
      </c>
      <c r="U74" s="118">
        <v>1071.43</v>
      </c>
      <c r="V74" s="118">
        <v>3571.43</v>
      </c>
      <c r="W74" s="119">
        <v>30</v>
      </c>
      <c r="X74" s="119">
        <v>40</v>
      </c>
      <c r="Y74" s="119">
        <v>60</v>
      </c>
      <c r="Z74" s="119">
        <v>2400</v>
      </c>
      <c r="AA74" s="119">
        <v>3471.43</v>
      </c>
      <c r="AB74" s="119">
        <v>86.79</v>
      </c>
      <c r="AC74" s="119">
        <v>5971.43</v>
      </c>
      <c r="AD74" s="119">
        <v>20</v>
      </c>
      <c r="AE74" s="119">
        <v>1194.29</v>
      </c>
      <c r="AF74" t="s">
        <v>379</v>
      </c>
      <c r="AG74" s="119">
        <v>0</v>
      </c>
      <c r="AH74" s="119">
        <v>0</v>
      </c>
      <c r="AI74" s="119">
        <v>0</v>
      </c>
      <c r="AJ74" s="119">
        <v>0</v>
      </c>
      <c r="AK74" s="119">
        <v>0</v>
      </c>
      <c r="AL74" s="119">
        <v>0</v>
      </c>
      <c r="AM74" s="119">
        <v>0</v>
      </c>
      <c r="AN74" s="119">
        <v>0</v>
      </c>
      <c r="AO74" s="119">
        <v>0</v>
      </c>
      <c r="AP74" s="119">
        <v>0</v>
      </c>
      <c r="AQ74" s="119">
        <v>20</v>
      </c>
      <c r="AR74" s="119">
        <v>0</v>
      </c>
      <c r="AS74" t="s">
        <v>380</v>
      </c>
      <c r="AT74" s="119">
        <v>0</v>
      </c>
      <c r="AU74" s="119">
        <v>0</v>
      </c>
      <c r="AV74" s="119">
        <v>0</v>
      </c>
      <c r="AW74" s="119">
        <v>0</v>
      </c>
      <c r="AX74" s="119">
        <v>0</v>
      </c>
      <c r="AY74" s="119">
        <v>0</v>
      </c>
      <c r="AZ74" s="119">
        <v>0</v>
      </c>
      <c r="BA74" s="119">
        <v>0</v>
      </c>
      <c r="BB74" s="119">
        <v>0</v>
      </c>
      <c r="BC74" s="119">
        <v>0</v>
      </c>
      <c r="BD74" s="119">
        <v>20</v>
      </c>
      <c r="BE74" s="119">
        <v>0</v>
      </c>
      <c r="BF74" t="s">
        <v>381</v>
      </c>
      <c r="BG74" s="119">
        <v>0</v>
      </c>
      <c r="BH74" s="119">
        <v>0</v>
      </c>
      <c r="BI74" s="119">
        <v>0</v>
      </c>
      <c r="BJ74" s="119">
        <v>0</v>
      </c>
      <c r="BK74" s="119">
        <v>0</v>
      </c>
      <c r="BL74" s="119">
        <v>0</v>
      </c>
      <c r="BM74" s="119">
        <v>0</v>
      </c>
      <c r="BN74" s="119">
        <v>0</v>
      </c>
      <c r="BO74" s="119">
        <v>0</v>
      </c>
      <c r="BP74" s="119">
        <v>0</v>
      </c>
      <c r="BQ74" s="119">
        <v>20</v>
      </c>
      <c r="BR74" s="119">
        <v>0</v>
      </c>
      <c r="BS74" t="s">
        <v>382</v>
      </c>
      <c r="BT74" s="119">
        <v>0</v>
      </c>
      <c r="BU74" s="119">
        <v>0</v>
      </c>
      <c r="BV74" s="119">
        <v>0</v>
      </c>
      <c r="BW74" s="119">
        <v>0</v>
      </c>
      <c r="BX74" s="119">
        <v>0</v>
      </c>
      <c r="BY74" s="119">
        <v>0</v>
      </c>
      <c r="BZ74" s="119">
        <v>0</v>
      </c>
      <c r="CA74" s="119">
        <v>0</v>
      </c>
      <c r="CB74" s="119">
        <v>0</v>
      </c>
      <c r="CC74" s="119">
        <v>0</v>
      </c>
      <c r="CD74" s="119">
        <v>20</v>
      </c>
      <c r="CE74" s="119">
        <v>0</v>
      </c>
      <c r="CF74" t="s">
        <v>383</v>
      </c>
      <c r="CG74" s="119">
        <v>0</v>
      </c>
      <c r="CH74" s="119">
        <v>0</v>
      </c>
      <c r="CI74" s="119">
        <v>0</v>
      </c>
      <c r="CJ74" s="119">
        <v>0</v>
      </c>
      <c r="CK74" s="119">
        <v>0</v>
      </c>
      <c r="CL74" s="119">
        <v>0</v>
      </c>
      <c r="CM74" s="119">
        <v>0</v>
      </c>
      <c r="CN74" s="119">
        <v>0</v>
      </c>
      <c r="CO74" s="119">
        <v>0</v>
      </c>
      <c r="CP74" s="119">
        <v>0</v>
      </c>
      <c r="CQ74" s="119">
        <v>20</v>
      </c>
      <c r="CR74" s="119">
        <v>0</v>
      </c>
      <c r="CS74" t="s">
        <v>384</v>
      </c>
      <c r="CT74" s="119">
        <v>0</v>
      </c>
      <c r="CU74" s="119">
        <v>0</v>
      </c>
      <c r="CV74" s="119">
        <v>0</v>
      </c>
      <c r="CW74" s="119">
        <v>0</v>
      </c>
      <c r="CX74" s="119">
        <v>0</v>
      </c>
      <c r="CY74" s="119">
        <v>0</v>
      </c>
      <c r="CZ74" s="119">
        <v>0</v>
      </c>
      <c r="DA74" s="119">
        <v>0</v>
      </c>
      <c r="DB74" s="119">
        <v>0</v>
      </c>
      <c r="DC74" s="119">
        <v>0</v>
      </c>
      <c r="DD74" s="119">
        <v>20</v>
      </c>
      <c r="DE74" s="119">
        <v>0</v>
      </c>
      <c r="DF74" t="s">
        <v>385</v>
      </c>
      <c r="DG74" s="119">
        <v>0</v>
      </c>
      <c r="DH74" s="119">
        <v>0</v>
      </c>
      <c r="DI74" s="119">
        <v>0</v>
      </c>
      <c r="DJ74" s="119">
        <v>0</v>
      </c>
      <c r="DK74" s="119">
        <v>0</v>
      </c>
      <c r="DL74" s="119">
        <v>0</v>
      </c>
      <c r="DM74" s="119">
        <v>0</v>
      </c>
      <c r="DN74" s="119">
        <v>0</v>
      </c>
      <c r="DO74" s="119">
        <v>0</v>
      </c>
      <c r="DP74" s="119">
        <v>0</v>
      </c>
      <c r="DQ74" s="119">
        <v>20</v>
      </c>
      <c r="DR74" s="119">
        <v>0</v>
      </c>
      <c r="DS74" t="s">
        <v>386</v>
      </c>
      <c r="DT74" s="119">
        <v>0</v>
      </c>
      <c r="DU74" s="119">
        <v>0</v>
      </c>
      <c r="DV74" s="119">
        <v>0</v>
      </c>
      <c r="DW74" s="119">
        <v>0</v>
      </c>
      <c r="DX74" s="119">
        <v>0</v>
      </c>
      <c r="DY74" s="119">
        <v>0</v>
      </c>
      <c r="DZ74" s="119">
        <v>0</v>
      </c>
      <c r="EA74" s="119">
        <v>0</v>
      </c>
      <c r="EB74" s="119">
        <v>0</v>
      </c>
      <c r="EC74" s="119">
        <v>0</v>
      </c>
      <c r="ED74" s="119">
        <v>20</v>
      </c>
      <c r="EE74" s="119">
        <v>0</v>
      </c>
      <c r="EF74" t="s">
        <v>387</v>
      </c>
      <c r="EG74" s="119">
        <v>0</v>
      </c>
      <c r="EH74" s="119">
        <v>0</v>
      </c>
      <c r="EI74" s="119">
        <v>0</v>
      </c>
      <c r="EJ74" s="119">
        <v>0</v>
      </c>
      <c r="EK74" s="119">
        <v>0</v>
      </c>
      <c r="EL74" s="119">
        <v>0</v>
      </c>
      <c r="EM74" s="119">
        <v>0</v>
      </c>
      <c r="EN74" s="119">
        <v>0</v>
      </c>
      <c r="EO74" s="119">
        <v>0</v>
      </c>
      <c r="EP74" s="119">
        <v>0</v>
      </c>
      <c r="EQ74" s="119">
        <v>20</v>
      </c>
      <c r="ER74" s="119">
        <v>0</v>
      </c>
      <c r="ES74" t="s">
        <v>388</v>
      </c>
      <c r="ET74" s="119">
        <v>0</v>
      </c>
      <c r="EU74" s="119">
        <v>0</v>
      </c>
      <c r="EV74" s="119">
        <v>0</v>
      </c>
      <c r="EW74" s="119">
        <v>0</v>
      </c>
      <c r="EX74" s="119">
        <v>0</v>
      </c>
      <c r="EY74" s="119">
        <v>0</v>
      </c>
      <c r="EZ74" s="119">
        <v>0</v>
      </c>
      <c r="FA74" s="119">
        <v>0</v>
      </c>
      <c r="FB74" s="119">
        <v>0</v>
      </c>
      <c r="FC74" s="119">
        <v>0</v>
      </c>
      <c r="FD74" s="119">
        <v>20</v>
      </c>
      <c r="FE74" s="119">
        <v>0</v>
      </c>
      <c r="FF74" t="s">
        <v>389</v>
      </c>
      <c r="FG74" s="119">
        <v>0</v>
      </c>
      <c r="FH74" s="119">
        <v>0</v>
      </c>
      <c r="FI74" s="119">
        <v>0</v>
      </c>
      <c r="FJ74" s="119">
        <v>0</v>
      </c>
      <c r="FK74" s="119">
        <v>0</v>
      </c>
      <c r="FL74" s="119">
        <v>0</v>
      </c>
      <c r="FM74" s="119">
        <v>0</v>
      </c>
      <c r="FN74" s="119">
        <v>0</v>
      </c>
      <c r="FO74" s="119">
        <v>0</v>
      </c>
      <c r="FP74" s="119">
        <v>0</v>
      </c>
      <c r="FQ74" s="119">
        <v>20</v>
      </c>
      <c r="FR74" s="119">
        <v>0</v>
      </c>
      <c r="FS74" t="s">
        <v>390</v>
      </c>
      <c r="FT74" s="119">
        <v>0</v>
      </c>
      <c r="FU74" s="119">
        <v>0</v>
      </c>
      <c r="FV74" s="119">
        <v>0</v>
      </c>
      <c r="FW74" s="119">
        <v>0</v>
      </c>
      <c r="FX74" s="119">
        <v>0</v>
      </c>
      <c r="FY74" s="119">
        <v>0</v>
      </c>
      <c r="FZ74" s="119">
        <v>0</v>
      </c>
      <c r="GA74" s="119">
        <v>0</v>
      </c>
      <c r="GB74" s="119">
        <v>0</v>
      </c>
      <c r="GC74" s="119">
        <v>0</v>
      </c>
      <c r="GD74" s="119">
        <v>20</v>
      </c>
      <c r="GE74" s="119">
        <v>0</v>
      </c>
      <c r="GF74" t="s">
        <v>391</v>
      </c>
      <c r="GG74" s="119">
        <v>0</v>
      </c>
      <c r="GH74" s="119">
        <v>0</v>
      </c>
      <c r="GI74" s="119">
        <v>0</v>
      </c>
      <c r="GJ74" s="119">
        <v>0</v>
      </c>
      <c r="GK74" s="119">
        <v>0</v>
      </c>
      <c r="GL74" s="119">
        <v>0</v>
      </c>
      <c r="GM74" s="119">
        <v>0</v>
      </c>
      <c r="GN74" s="119">
        <v>0</v>
      </c>
      <c r="GO74" s="119">
        <v>0</v>
      </c>
      <c r="GP74" s="119">
        <v>0</v>
      </c>
      <c r="GQ74" s="119">
        <v>20</v>
      </c>
      <c r="GR74" s="119">
        <v>0</v>
      </c>
      <c r="HJ74"/>
      <c r="HK74" s="115"/>
      <c r="HR74" s="116"/>
      <c r="HT74" s="117"/>
      <c r="HY74"/>
      <c r="HZ74"/>
      <c r="IA74"/>
    </row>
    <row r="75" spans="1:235" x14ac:dyDescent="0.25">
      <c r="A75">
        <v>75</v>
      </c>
      <c r="B75" s="115">
        <v>43297</v>
      </c>
      <c r="C75" t="s">
        <v>369</v>
      </c>
      <c r="D75" t="s">
        <v>481</v>
      </c>
      <c r="E75" t="s">
        <v>430</v>
      </c>
      <c r="F75" t="s">
        <v>482</v>
      </c>
      <c r="G75" t="s">
        <v>396</v>
      </c>
      <c r="H75" t="s">
        <v>483</v>
      </c>
      <c r="I75" s="116">
        <v>21220</v>
      </c>
      <c r="J75" t="s">
        <v>484</v>
      </c>
      <c r="K75" s="117">
        <v>380586547</v>
      </c>
      <c r="N75" t="s">
        <v>423</v>
      </c>
      <c r="O75">
        <v>180524</v>
      </c>
      <c r="P75">
        <v>1714.29</v>
      </c>
      <c r="Q75">
        <v>1428.57</v>
      </c>
      <c r="R75">
        <v>285.70999999999998</v>
      </c>
      <c r="S75" t="s">
        <v>378</v>
      </c>
      <c r="T75" s="118">
        <v>0</v>
      </c>
      <c r="U75" s="118">
        <v>0</v>
      </c>
      <c r="V75" s="118">
        <v>0</v>
      </c>
      <c r="W75" s="119">
        <v>0</v>
      </c>
      <c r="X75" s="119">
        <v>0</v>
      </c>
      <c r="Y75" s="119">
        <v>0</v>
      </c>
      <c r="Z75" s="119">
        <v>0</v>
      </c>
      <c r="AA75" s="119">
        <v>0</v>
      </c>
      <c r="AB75" s="119">
        <v>0</v>
      </c>
      <c r="AC75" s="119">
        <v>0</v>
      </c>
      <c r="AD75" s="119">
        <v>20</v>
      </c>
      <c r="AE75" s="119">
        <v>0</v>
      </c>
      <c r="AF75" t="s">
        <v>379</v>
      </c>
      <c r="AG75" s="119">
        <v>0</v>
      </c>
      <c r="AH75" s="119">
        <v>0</v>
      </c>
      <c r="AI75" s="119">
        <v>0</v>
      </c>
      <c r="AJ75" s="119">
        <v>0</v>
      </c>
      <c r="AK75" s="119">
        <v>0</v>
      </c>
      <c r="AL75" s="119">
        <v>0</v>
      </c>
      <c r="AM75" s="119">
        <v>0</v>
      </c>
      <c r="AN75" s="119">
        <v>0</v>
      </c>
      <c r="AO75" s="119">
        <v>0</v>
      </c>
      <c r="AP75" s="119">
        <v>0</v>
      </c>
      <c r="AQ75" s="119">
        <v>20</v>
      </c>
      <c r="AR75" s="119">
        <v>0</v>
      </c>
      <c r="AS75" t="s">
        <v>380</v>
      </c>
      <c r="AT75" s="119">
        <v>0</v>
      </c>
      <c r="AU75" s="119">
        <v>0</v>
      </c>
      <c r="AV75" s="119">
        <v>0</v>
      </c>
      <c r="AW75" s="119">
        <v>0</v>
      </c>
      <c r="AX75" s="119">
        <v>0</v>
      </c>
      <c r="AY75" s="119">
        <v>0</v>
      </c>
      <c r="AZ75" s="119">
        <v>0</v>
      </c>
      <c r="BA75" s="119">
        <v>0</v>
      </c>
      <c r="BB75" s="119">
        <v>0</v>
      </c>
      <c r="BC75" s="119">
        <v>0</v>
      </c>
      <c r="BD75" s="119">
        <v>20</v>
      </c>
      <c r="BE75" s="119">
        <v>0</v>
      </c>
      <c r="BF75" t="s">
        <v>381</v>
      </c>
      <c r="BG75" s="119">
        <v>0</v>
      </c>
      <c r="BH75" s="119">
        <v>0</v>
      </c>
      <c r="BI75" s="119">
        <v>0</v>
      </c>
      <c r="BJ75" s="119">
        <v>0</v>
      </c>
      <c r="BK75" s="119">
        <v>0</v>
      </c>
      <c r="BL75" s="119">
        <v>0</v>
      </c>
      <c r="BM75" s="119">
        <v>0</v>
      </c>
      <c r="BN75" s="119">
        <v>0</v>
      </c>
      <c r="BO75" s="119">
        <v>0</v>
      </c>
      <c r="BP75" s="119">
        <v>0</v>
      </c>
      <c r="BQ75" s="119">
        <v>20</v>
      </c>
      <c r="BR75" s="119">
        <v>0</v>
      </c>
      <c r="BS75" t="s">
        <v>382</v>
      </c>
      <c r="BT75" s="119">
        <v>1000</v>
      </c>
      <c r="BU75" s="119">
        <v>428.57</v>
      </c>
      <c r="BV75" s="119">
        <v>1428.57</v>
      </c>
      <c r="BW75" s="119">
        <v>30</v>
      </c>
      <c r="BX75" s="119">
        <v>0</v>
      </c>
      <c r="BY75" s="119">
        <v>0</v>
      </c>
      <c r="BZ75" s="119">
        <v>0</v>
      </c>
      <c r="CA75" s="119">
        <v>428.57</v>
      </c>
      <c r="CB75" s="119">
        <v>0</v>
      </c>
      <c r="CC75" s="119">
        <v>1428.57</v>
      </c>
      <c r="CD75" s="119">
        <v>20</v>
      </c>
      <c r="CE75" s="119">
        <v>285.70999999999998</v>
      </c>
      <c r="CF75" t="s">
        <v>383</v>
      </c>
      <c r="CG75" s="119">
        <v>0</v>
      </c>
      <c r="CH75" s="119">
        <v>0</v>
      </c>
      <c r="CI75" s="119">
        <v>0</v>
      </c>
      <c r="CJ75" s="119">
        <v>0</v>
      </c>
      <c r="CK75" s="119">
        <v>0</v>
      </c>
      <c r="CL75" s="119">
        <v>0</v>
      </c>
      <c r="CM75" s="119">
        <v>0</v>
      </c>
      <c r="CN75" s="119">
        <v>0</v>
      </c>
      <c r="CO75" s="119">
        <v>0</v>
      </c>
      <c r="CP75" s="119">
        <v>0</v>
      </c>
      <c r="CQ75" s="119">
        <v>20</v>
      </c>
      <c r="CR75" s="119">
        <v>0</v>
      </c>
      <c r="CS75" t="s">
        <v>384</v>
      </c>
      <c r="CT75" s="119">
        <v>0</v>
      </c>
      <c r="CU75" s="119">
        <v>0</v>
      </c>
      <c r="CV75" s="119">
        <v>0</v>
      </c>
      <c r="CW75" s="119">
        <v>0</v>
      </c>
      <c r="CX75" s="119">
        <v>0</v>
      </c>
      <c r="CY75" s="119">
        <v>0</v>
      </c>
      <c r="CZ75" s="119">
        <v>0</v>
      </c>
      <c r="DA75" s="119">
        <v>0</v>
      </c>
      <c r="DB75" s="119">
        <v>0</v>
      </c>
      <c r="DC75" s="119">
        <v>0</v>
      </c>
      <c r="DD75" s="119">
        <v>20</v>
      </c>
      <c r="DE75" s="119">
        <v>0</v>
      </c>
      <c r="DF75" t="s">
        <v>385</v>
      </c>
      <c r="DG75" s="119">
        <v>0</v>
      </c>
      <c r="DH75" s="119">
        <v>0</v>
      </c>
      <c r="DI75" s="119">
        <v>0</v>
      </c>
      <c r="DJ75" s="119">
        <v>0</v>
      </c>
      <c r="DK75" s="119">
        <v>0</v>
      </c>
      <c r="DL75" s="119">
        <v>0</v>
      </c>
      <c r="DM75" s="119">
        <v>0</v>
      </c>
      <c r="DN75" s="119">
        <v>0</v>
      </c>
      <c r="DO75" s="119">
        <v>0</v>
      </c>
      <c r="DP75" s="119">
        <v>0</v>
      </c>
      <c r="DQ75" s="119">
        <v>20</v>
      </c>
      <c r="DR75" s="119">
        <v>0</v>
      </c>
      <c r="DS75" t="s">
        <v>386</v>
      </c>
      <c r="DT75" s="119">
        <v>0</v>
      </c>
      <c r="DU75" s="119">
        <v>0</v>
      </c>
      <c r="DV75" s="119">
        <v>0</v>
      </c>
      <c r="DW75" s="119">
        <v>0</v>
      </c>
      <c r="DX75" s="119">
        <v>0</v>
      </c>
      <c r="DY75" s="119">
        <v>0</v>
      </c>
      <c r="DZ75" s="119">
        <v>0</v>
      </c>
      <c r="EA75" s="119">
        <v>0</v>
      </c>
      <c r="EB75" s="119">
        <v>0</v>
      </c>
      <c r="EC75" s="119">
        <v>0</v>
      </c>
      <c r="ED75" s="119">
        <v>20</v>
      </c>
      <c r="EE75" s="119">
        <v>0</v>
      </c>
      <c r="EF75" t="s">
        <v>387</v>
      </c>
      <c r="EG75" s="119">
        <v>0</v>
      </c>
      <c r="EH75" s="119">
        <v>0</v>
      </c>
      <c r="EI75" s="119">
        <v>0</v>
      </c>
      <c r="EJ75" s="119">
        <v>0</v>
      </c>
      <c r="EK75" s="119">
        <v>0</v>
      </c>
      <c r="EL75" s="119">
        <v>0</v>
      </c>
      <c r="EM75" s="119">
        <v>0</v>
      </c>
      <c r="EN75" s="119">
        <v>0</v>
      </c>
      <c r="EO75" s="119">
        <v>0</v>
      </c>
      <c r="EP75" s="119">
        <v>0</v>
      </c>
      <c r="EQ75" s="119">
        <v>20</v>
      </c>
      <c r="ER75" s="119">
        <v>0</v>
      </c>
      <c r="ES75" t="s">
        <v>388</v>
      </c>
      <c r="ET75" s="119">
        <v>0</v>
      </c>
      <c r="EU75" s="119">
        <v>0</v>
      </c>
      <c r="EV75" s="119">
        <v>0</v>
      </c>
      <c r="EW75" s="119">
        <v>0</v>
      </c>
      <c r="EX75" s="119">
        <v>0</v>
      </c>
      <c r="EY75" s="119">
        <v>0</v>
      </c>
      <c r="EZ75" s="119">
        <v>0</v>
      </c>
      <c r="FA75" s="119">
        <v>0</v>
      </c>
      <c r="FB75" s="119">
        <v>0</v>
      </c>
      <c r="FC75" s="119">
        <v>0</v>
      </c>
      <c r="FD75" s="119">
        <v>20</v>
      </c>
      <c r="FE75" s="119">
        <v>0</v>
      </c>
      <c r="FF75" t="s">
        <v>389</v>
      </c>
      <c r="FG75" s="119">
        <v>0</v>
      </c>
      <c r="FH75" s="119">
        <v>0</v>
      </c>
      <c r="FI75" s="119">
        <v>0</v>
      </c>
      <c r="FJ75" s="119">
        <v>0</v>
      </c>
      <c r="FK75" s="119">
        <v>0</v>
      </c>
      <c r="FL75" s="119">
        <v>0</v>
      </c>
      <c r="FM75" s="119">
        <v>0</v>
      </c>
      <c r="FN75" s="119">
        <v>0</v>
      </c>
      <c r="FO75" s="119">
        <v>0</v>
      </c>
      <c r="FP75" s="119">
        <v>0</v>
      </c>
      <c r="FQ75" s="119">
        <v>20</v>
      </c>
      <c r="FR75" s="119">
        <v>0</v>
      </c>
      <c r="FS75" t="s">
        <v>390</v>
      </c>
      <c r="FT75" s="119">
        <v>0</v>
      </c>
      <c r="FU75" s="119">
        <v>0</v>
      </c>
      <c r="FV75" s="119">
        <v>0</v>
      </c>
      <c r="FW75" s="119">
        <v>0</v>
      </c>
      <c r="FX75" s="119">
        <v>0</v>
      </c>
      <c r="FY75" s="119">
        <v>0</v>
      </c>
      <c r="FZ75" s="119">
        <v>0</v>
      </c>
      <c r="GA75" s="119">
        <v>0</v>
      </c>
      <c r="GB75" s="119">
        <v>0</v>
      </c>
      <c r="GC75" s="119">
        <v>0</v>
      </c>
      <c r="GD75" s="119">
        <v>20</v>
      </c>
      <c r="GE75" s="119">
        <v>0</v>
      </c>
      <c r="GF75" t="s">
        <v>391</v>
      </c>
      <c r="GG75" s="119">
        <v>0</v>
      </c>
      <c r="GH75" s="119">
        <v>0</v>
      </c>
      <c r="GI75" s="119">
        <v>0</v>
      </c>
      <c r="GJ75" s="119">
        <v>0</v>
      </c>
      <c r="GK75" s="119">
        <v>0</v>
      </c>
      <c r="GL75" s="119">
        <v>0</v>
      </c>
      <c r="GM75" s="119">
        <v>0</v>
      </c>
      <c r="GN75" s="119">
        <v>0</v>
      </c>
      <c r="GO75" s="119">
        <v>0</v>
      </c>
      <c r="GP75" s="119">
        <v>0</v>
      </c>
      <c r="GQ75" s="119">
        <v>20</v>
      </c>
      <c r="GR75" s="119">
        <v>0</v>
      </c>
      <c r="HJ75"/>
      <c r="HK75" s="115"/>
      <c r="HR75" s="116"/>
      <c r="HT75" s="117"/>
      <c r="HY75"/>
      <c r="HZ75"/>
      <c r="IA75"/>
    </row>
    <row r="76" spans="1:235" x14ac:dyDescent="0.25">
      <c r="A76">
        <v>76</v>
      </c>
      <c r="B76" s="115">
        <v>43297</v>
      </c>
      <c r="C76" t="s">
        <v>369</v>
      </c>
      <c r="D76" t="s">
        <v>481</v>
      </c>
      <c r="E76" t="s">
        <v>430</v>
      </c>
      <c r="F76" t="s">
        <v>482</v>
      </c>
      <c r="G76" t="s">
        <v>396</v>
      </c>
      <c r="H76" t="s">
        <v>483</v>
      </c>
      <c r="I76" s="116">
        <v>21220</v>
      </c>
      <c r="J76" t="s">
        <v>484</v>
      </c>
      <c r="K76" s="117">
        <v>380586547</v>
      </c>
      <c r="N76" t="s">
        <v>423</v>
      </c>
      <c r="O76">
        <v>1800252</v>
      </c>
      <c r="P76">
        <v>1217.1400000000001</v>
      </c>
      <c r="Q76">
        <v>1014.29</v>
      </c>
      <c r="R76">
        <v>202.86</v>
      </c>
      <c r="S76" t="s">
        <v>378</v>
      </c>
      <c r="T76" s="118">
        <v>500</v>
      </c>
      <c r="U76" s="118">
        <v>214.29</v>
      </c>
      <c r="V76" s="118">
        <v>714.29</v>
      </c>
      <c r="W76" s="119">
        <v>30</v>
      </c>
      <c r="X76" s="119">
        <v>5</v>
      </c>
      <c r="Y76" s="119">
        <v>60</v>
      </c>
      <c r="Z76" s="119">
        <v>300</v>
      </c>
      <c r="AA76" s="119">
        <v>514.29</v>
      </c>
      <c r="AB76" s="119">
        <v>102.86</v>
      </c>
      <c r="AC76" s="119">
        <v>1014.29</v>
      </c>
      <c r="AD76" s="119">
        <v>20</v>
      </c>
      <c r="AE76" s="119">
        <v>202.86</v>
      </c>
      <c r="AF76" t="s">
        <v>379</v>
      </c>
      <c r="AG76" s="119">
        <v>0</v>
      </c>
      <c r="AH76" s="119">
        <v>0</v>
      </c>
      <c r="AI76" s="119">
        <v>0</v>
      </c>
      <c r="AJ76" s="119">
        <v>0</v>
      </c>
      <c r="AK76" s="119">
        <v>0</v>
      </c>
      <c r="AL76" s="119">
        <v>0</v>
      </c>
      <c r="AM76" s="119">
        <v>0</v>
      </c>
      <c r="AN76" s="119">
        <v>0</v>
      </c>
      <c r="AO76" s="119">
        <v>0</v>
      </c>
      <c r="AP76" s="119">
        <v>0</v>
      </c>
      <c r="AQ76" s="119">
        <v>20</v>
      </c>
      <c r="AR76" s="119">
        <v>0</v>
      </c>
      <c r="AS76" t="s">
        <v>380</v>
      </c>
      <c r="AT76" s="119">
        <v>0</v>
      </c>
      <c r="AU76" s="119">
        <v>0</v>
      </c>
      <c r="AV76" s="119">
        <v>0</v>
      </c>
      <c r="AW76" s="119">
        <v>0</v>
      </c>
      <c r="AX76" s="119">
        <v>0</v>
      </c>
      <c r="AY76" s="119">
        <v>0</v>
      </c>
      <c r="AZ76" s="119">
        <v>0</v>
      </c>
      <c r="BA76" s="119">
        <v>0</v>
      </c>
      <c r="BB76" s="119">
        <v>0</v>
      </c>
      <c r="BC76" s="119">
        <v>0</v>
      </c>
      <c r="BD76" s="119">
        <v>20</v>
      </c>
      <c r="BE76" s="119">
        <v>0</v>
      </c>
      <c r="BF76" t="s">
        <v>381</v>
      </c>
      <c r="BG76" s="119">
        <v>0</v>
      </c>
      <c r="BH76" s="119">
        <v>0</v>
      </c>
      <c r="BI76" s="119">
        <v>0</v>
      </c>
      <c r="BJ76" s="119">
        <v>0</v>
      </c>
      <c r="BK76" s="119">
        <v>0</v>
      </c>
      <c r="BL76" s="119">
        <v>0</v>
      </c>
      <c r="BM76" s="119">
        <v>0</v>
      </c>
      <c r="BN76" s="119">
        <v>0</v>
      </c>
      <c r="BO76" s="119">
        <v>0</v>
      </c>
      <c r="BP76" s="119">
        <v>0</v>
      </c>
      <c r="BQ76" s="119">
        <v>20</v>
      </c>
      <c r="BR76" s="119">
        <v>0</v>
      </c>
      <c r="BS76" t="s">
        <v>382</v>
      </c>
      <c r="BT76" s="119">
        <v>0</v>
      </c>
      <c r="BU76" s="119">
        <v>0</v>
      </c>
      <c r="BV76" s="119">
        <v>0</v>
      </c>
      <c r="BW76" s="119">
        <v>0</v>
      </c>
      <c r="BX76" s="119">
        <v>0</v>
      </c>
      <c r="BY76" s="119">
        <v>0</v>
      </c>
      <c r="BZ76" s="119">
        <v>0</v>
      </c>
      <c r="CA76" s="119">
        <v>0</v>
      </c>
      <c r="CB76" s="119">
        <v>0</v>
      </c>
      <c r="CC76" s="119">
        <v>0</v>
      </c>
      <c r="CD76" s="119">
        <v>20</v>
      </c>
      <c r="CE76" s="119">
        <v>0</v>
      </c>
      <c r="CF76" t="s">
        <v>383</v>
      </c>
      <c r="CG76" s="119">
        <v>0</v>
      </c>
      <c r="CH76" s="119">
        <v>0</v>
      </c>
      <c r="CI76" s="119">
        <v>0</v>
      </c>
      <c r="CJ76" s="119">
        <v>0</v>
      </c>
      <c r="CK76" s="119">
        <v>0</v>
      </c>
      <c r="CL76" s="119">
        <v>0</v>
      </c>
      <c r="CM76" s="119">
        <v>0</v>
      </c>
      <c r="CN76" s="119">
        <v>0</v>
      </c>
      <c r="CO76" s="119">
        <v>0</v>
      </c>
      <c r="CP76" s="119">
        <v>0</v>
      </c>
      <c r="CQ76" s="119">
        <v>20</v>
      </c>
      <c r="CR76" s="119">
        <v>0</v>
      </c>
      <c r="CS76" t="s">
        <v>384</v>
      </c>
      <c r="CT76" s="119">
        <v>0</v>
      </c>
      <c r="CU76" s="119">
        <v>0</v>
      </c>
      <c r="CV76" s="119">
        <v>0</v>
      </c>
      <c r="CW76" s="119">
        <v>0</v>
      </c>
      <c r="CX76" s="119">
        <v>0</v>
      </c>
      <c r="CY76" s="119">
        <v>0</v>
      </c>
      <c r="CZ76" s="119">
        <v>0</v>
      </c>
      <c r="DA76" s="119">
        <v>0</v>
      </c>
      <c r="DB76" s="119">
        <v>0</v>
      </c>
      <c r="DC76" s="119">
        <v>0</v>
      </c>
      <c r="DD76" s="119">
        <v>20</v>
      </c>
      <c r="DE76" s="119">
        <v>0</v>
      </c>
      <c r="DF76" t="s">
        <v>385</v>
      </c>
      <c r="DG76" s="119">
        <v>0</v>
      </c>
      <c r="DH76" s="119">
        <v>0</v>
      </c>
      <c r="DI76" s="119">
        <v>0</v>
      </c>
      <c r="DJ76" s="119">
        <v>0</v>
      </c>
      <c r="DK76" s="119">
        <v>0</v>
      </c>
      <c r="DL76" s="119">
        <v>0</v>
      </c>
      <c r="DM76" s="119">
        <v>0</v>
      </c>
      <c r="DN76" s="119">
        <v>0</v>
      </c>
      <c r="DO76" s="119">
        <v>0</v>
      </c>
      <c r="DP76" s="119">
        <v>0</v>
      </c>
      <c r="DQ76" s="119">
        <v>20</v>
      </c>
      <c r="DR76" s="119">
        <v>0</v>
      </c>
      <c r="DS76" t="s">
        <v>386</v>
      </c>
      <c r="DT76" s="119">
        <v>0</v>
      </c>
      <c r="DU76" s="119">
        <v>0</v>
      </c>
      <c r="DV76" s="119">
        <v>0</v>
      </c>
      <c r="DW76" s="119">
        <v>0</v>
      </c>
      <c r="DX76" s="119">
        <v>0</v>
      </c>
      <c r="DY76" s="119">
        <v>0</v>
      </c>
      <c r="DZ76" s="119">
        <v>0</v>
      </c>
      <c r="EA76" s="119">
        <v>0</v>
      </c>
      <c r="EB76" s="119">
        <v>0</v>
      </c>
      <c r="EC76" s="119">
        <v>0</v>
      </c>
      <c r="ED76" s="119">
        <v>20</v>
      </c>
      <c r="EE76" s="119">
        <v>0</v>
      </c>
      <c r="EF76" t="s">
        <v>387</v>
      </c>
      <c r="EG76" s="119">
        <v>0</v>
      </c>
      <c r="EH76" s="119">
        <v>0</v>
      </c>
      <c r="EI76" s="119">
        <v>0</v>
      </c>
      <c r="EJ76" s="119">
        <v>0</v>
      </c>
      <c r="EK76" s="119">
        <v>0</v>
      </c>
      <c r="EL76" s="119">
        <v>0</v>
      </c>
      <c r="EM76" s="119">
        <v>0</v>
      </c>
      <c r="EN76" s="119">
        <v>0</v>
      </c>
      <c r="EO76" s="119">
        <v>0</v>
      </c>
      <c r="EP76" s="119">
        <v>0</v>
      </c>
      <c r="EQ76" s="119">
        <v>20</v>
      </c>
      <c r="ER76" s="119">
        <v>0</v>
      </c>
      <c r="ES76" t="s">
        <v>388</v>
      </c>
      <c r="ET76" s="119">
        <v>0</v>
      </c>
      <c r="EU76" s="119">
        <v>0</v>
      </c>
      <c r="EV76" s="119">
        <v>0</v>
      </c>
      <c r="EW76" s="119">
        <v>0</v>
      </c>
      <c r="EX76" s="119">
        <v>0</v>
      </c>
      <c r="EY76" s="119">
        <v>0</v>
      </c>
      <c r="EZ76" s="119">
        <v>0</v>
      </c>
      <c r="FA76" s="119">
        <v>0</v>
      </c>
      <c r="FB76" s="119">
        <v>0</v>
      </c>
      <c r="FC76" s="119">
        <v>0</v>
      </c>
      <c r="FD76" s="119">
        <v>20</v>
      </c>
      <c r="FE76" s="119">
        <v>0</v>
      </c>
      <c r="FF76" t="s">
        <v>389</v>
      </c>
      <c r="FG76" s="119">
        <v>0</v>
      </c>
      <c r="FH76" s="119">
        <v>0</v>
      </c>
      <c r="FI76" s="119">
        <v>0</v>
      </c>
      <c r="FJ76" s="119">
        <v>0</v>
      </c>
      <c r="FK76" s="119">
        <v>0</v>
      </c>
      <c r="FL76" s="119">
        <v>0</v>
      </c>
      <c r="FM76" s="119">
        <v>0</v>
      </c>
      <c r="FN76" s="119">
        <v>0</v>
      </c>
      <c r="FO76" s="119">
        <v>0</v>
      </c>
      <c r="FP76" s="119">
        <v>0</v>
      </c>
      <c r="FQ76" s="119">
        <v>20</v>
      </c>
      <c r="FR76" s="119">
        <v>0</v>
      </c>
      <c r="FS76" t="s">
        <v>390</v>
      </c>
      <c r="FT76" s="119">
        <v>0</v>
      </c>
      <c r="FU76" s="119">
        <v>0</v>
      </c>
      <c r="FV76" s="119">
        <v>0</v>
      </c>
      <c r="FW76" s="119">
        <v>0</v>
      </c>
      <c r="FX76" s="119">
        <v>0</v>
      </c>
      <c r="FY76" s="119">
        <v>0</v>
      </c>
      <c r="FZ76" s="119">
        <v>0</v>
      </c>
      <c r="GA76" s="119">
        <v>0</v>
      </c>
      <c r="GB76" s="119">
        <v>0</v>
      </c>
      <c r="GC76" s="119">
        <v>0</v>
      </c>
      <c r="GD76" s="119">
        <v>20</v>
      </c>
      <c r="GE76" s="119">
        <v>0</v>
      </c>
      <c r="GF76" t="s">
        <v>391</v>
      </c>
      <c r="GG76" s="119">
        <v>0</v>
      </c>
      <c r="GH76" s="119">
        <v>0</v>
      </c>
      <c r="GI76" s="119">
        <v>0</v>
      </c>
      <c r="GJ76" s="119">
        <v>0</v>
      </c>
      <c r="GK76" s="119">
        <v>0</v>
      </c>
      <c r="GL76" s="119">
        <v>0</v>
      </c>
      <c r="GM76" s="119">
        <v>0</v>
      </c>
      <c r="GN76" s="119">
        <v>0</v>
      </c>
      <c r="GO76" s="119">
        <v>0</v>
      </c>
      <c r="GP76" s="119">
        <v>0</v>
      </c>
      <c r="GQ76" s="119">
        <v>20</v>
      </c>
      <c r="GR76" s="119">
        <v>0</v>
      </c>
      <c r="HJ76"/>
      <c r="HK76" s="115"/>
      <c r="HR76" s="116"/>
      <c r="HT76" s="117"/>
      <c r="HY76"/>
      <c r="HZ76"/>
      <c r="IA76"/>
    </row>
    <row r="77" spans="1:235" x14ac:dyDescent="0.25">
      <c r="A77">
        <v>77</v>
      </c>
      <c r="B77" s="115">
        <v>43297</v>
      </c>
      <c r="C77" t="s">
        <v>369</v>
      </c>
      <c r="D77" t="s">
        <v>485</v>
      </c>
      <c r="E77" t="s">
        <v>486</v>
      </c>
      <c r="F77" t="s">
        <v>487</v>
      </c>
      <c r="G77" t="s">
        <v>372</v>
      </c>
      <c r="H77" t="s">
        <v>488</v>
      </c>
      <c r="I77" s="116">
        <v>39100</v>
      </c>
      <c r="J77" t="s">
        <v>374</v>
      </c>
      <c r="K77" s="117" t="s">
        <v>489</v>
      </c>
      <c r="N77" t="s">
        <v>423</v>
      </c>
      <c r="O77">
        <v>18056</v>
      </c>
      <c r="P77">
        <v>7868.57</v>
      </c>
      <c r="Q77">
        <v>6557.14</v>
      </c>
      <c r="R77">
        <v>1311.43</v>
      </c>
      <c r="S77" t="s">
        <v>378</v>
      </c>
      <c r="T77" s="118">
        <v>0</v>
      </c>
      <c r="U77" s="118">
        <v>0</v>
      </c>
      <c r="V77" s="118">
        <v>0</v>
      </c>
      <c r="W77" s="119">
        <v>0</v>
      </c>
      <c r="X77" s="119">
        <v>0</v>
      </c>
      <c r="Y77" s="119">
        <v>0</v>
      </c>
      <c r="Z77" s="119">
        <v>0</v>
      </c>
      <c r="AA77" s="119">
        <v>0</v>
      </c>
      <c r="AB77" s="119">
        <v>0</v>
      </c>
      <c r="AC77" s="119">
        <v>0</v>
      </c>
      <c r="AD77" s="119">
        <v>20</v>
      </c>
      <c r="AE77" s="119">
        <v>0</v>
      </c>
      <c r="AF77" t="s">
        <v>379</v>
      </c>
      <c r="AG77" s="119">
        <v>3890</v>
      </c>
      <c r="AH77" s="119">
        <v>1667.14</v>
      </c>
      <c r="AI77" s="119">
        <v>5557.14</v>
      </c>
      <c r="AJ77" s="119">
        <v>30</v>
      </c>
      <c r="AK77" s="119">
        <v>20</v>
      </c>
      <c r="AL77" s="119">
        <v>50</v>
      </c>
      <c r="AM77" s="119">
        <v>1000</v>
      </c>
      <c r="AN77" s="119">
        <v>2667.14</v>
      </c>
      <c r="AO77" s="119">
        <v>133.36000000000001</v>
      </c>
      <c r="AP77" s="119">
        <v>6557.14</v>
      </c>
      <c r="AQ77" s="119">
        <v>20</v>
      </c>
      <c r="AR77" s="119">
        <v>1311.43</v>
      </c>
      <c r="AS77" t="s">
        <v>380</v>
      </c>
      <c r="AT77" s="119">
        <v>0</v>
      </c>
      <c r="AU77" s="119">
        <v>0</v>
      </c>
      <c r="AV77" s="119">
        <v>0</v>
      </c>
      <c r="AW77" s="119">
        <v>0</v>
      </c>
      <c r="AX77" s="119">
        <v>0</v>
      </c>
      <c r="AY77" s="119">
        <v>0</v>
      </c>
      <c r="AZ77" s="119">
        <v>0</v>
      </c>
      <c r="BA77" s="119">
        <v>0</v>
      </c>
      <c r="BB77" s="119">
        <v>0</v>
      </c>
      <c r="BC77" s="119">
        <v>0</v>
      </c>
      <c r="BD77" s="119">
        <v>20</v>
      </c>
      <c r="BE77" s="119">
        <v>0</v>
      </c>
      <c r="BF77" t="s">
        <v>381</v>
      </c>
      <c r="BG77" s="119">
        <v>0</v>
      </c>
      <c r="BH77" s="119">
        <v>0</v>
      </c>
      <c r="BI77" s="119">
        <v>0</v>
      </c>
      <c r="BJ77" s="119">
        <v>0</v>
      </c>
      <c r="BK77" s="119">
        <v>0</v>
      </c>
      <c r="BL77" s="119">
        <v>0</v>
      </c>
      <c r="BM77" s="119">
        <v>0</v>
      </c>
      <c r="BN77" s="119">
        <v>0</v>
      </c>
      <c r="BO77" s="119">
        <v>0</v>
      </c>
      <c r="BP77" s="119">
        <v>0</v>
      </c>
      <c r="BQ77" s="119">
        <v>20</v>
      </c>
      <c r="BR77" s="119">
        <v>0</v>
      </c>
      <c r="BS77" t="s">
        <v>382</v>
      </c>
      <c r="BT77" s="119">
        <v>0</v>
      </c>
      <c r="BU77" s="119">
        <v>0</v>
      </c>
      <c r="BV77" s="119">
        <v>0</v>
      </c>
      <c r="BW77" s="119">
        <v>0</v>
      </c>
      <c r="BX77" s="119">
        <v>0</v>
      </c>
      <c r="BY77" s="119">
        <v>0</v>
      </c>
      <c r="BZ77" s="119">
        <v>0</v>
      </c>
      <c r="CA77" s="119">
        <v>0</v>
      </c>
      <c r="CB77" s="119">
        <v>0</v>
      </c>
      <c r="CC77" s="119">
        <v>0</v>
      </c>
      <c r="CD77" s="119">
        <v>20</v>
      </c>
      <c r="CE77" s="119">
        <v>0</v>
      </c>
      <c r="CF77" t="s">
        <v>383</v>
      </c>
      <c r="CG77" s="119">
        <v>0</v>
      </c>
      <c r="CH77" s="119">
        <v>0</v>
      </c>
      <c r="CI77" s="119">
        <v>0</v>
      </c>
      <c r="CJ77" s="119">
        <v>0</v>
      </c>
      <c r="CK77" s="119">
        <v>0</v>
      </c>
      <c r="CL77" s="119">
        <v>0</v>
      </c>
      <c r="CM77" s="119">
        <v>0</v>
      </c>
      <c r="CN77" s="119">
        <v>0</v>
      </c>
      <c r="CO77" s="119">
        <v>0</v>
      </c>
      <c r="CP77" s="119">
        <v>0</v>
      </c>
      <c r="CQ77" s="119">
        <v>20</v>
      </c>
      <c r="CR77" s="119">
        <v>0</v>
      </c>
      <c r="CS77" t="s">
        <v>384</v>
      </c>
      <c r="CT77" s="119">
        <v>0</v>
      </c>
      <c r="CU77" s="119">
        <v>0</v>
      </c>
      <c r="CV77" s="119">
        <v>0</v>
      </c>
      <c r="CW77" s="119">
        <v>0</v>
      </c>
      <c r="CX77" s="119">
        <v>0</v>
      </c>
      <c r="CY77" s="119">
        <v>0</v>
      </c>
      <c r="CZ77" s="119">
        <v>0</v>
      </c>
      <c r="DA77" s="119">
        <v>0</v>
      </c>
      <c r="DB77" s="119">
        <v>0</v>
      </c>
      <c r="DC77" s="119">
        <v>0</v>
      </c>
      <c r="DD77" s="119">
        <v>20</v>
      </c>
      <c r="DE77" s="119">
        <v>0</v>
      </c>
      <c r="DF77" t="s">
        <v>385</v>
      </c>
      <c r="DG77" s="119">
        <v>0</v>
      </c>
      <c r="DH77" s="119">
        <v>0</v>
      </c>
      <c r="DI77" s="119">
        <v>0</v>
      </c>
      <c r="DJ77" s="119">
        <v>0</v>
      </c>
      <c r="DK77" s="119">
        <v>0</v>
      </c>
      <c r="DL77" s="119">
        <v>0</v>
      </c>
      <c r="DM77" s="119">
        <v>0</v>
      </c>
      <c r="DN77" s="119">
        <v>0</v>
      </c>
      <c r="DO77" s="119">
        <v>0</v>
      </c>
      <c r="DP77" s="119">
        <v>0</v>
      </c>
      <c r="DQ77" s="119">
        <v>20</v>
      </c>
      <c r="DR77" s="119">
        <v>0</v>
      </c>
      <c r="DS77" t="s">
        <v>386</v>
      </c>
      <c r="DT77" s="119">
        <v>0</v>
      </c>
      <c r="DU77" s="119">
        <v>0</v>
      </c>
      <c r="DV77" s="119">
        <v>0</v>
      </c>
      <c r="DW77" s="119">
        <v>0</v>
      </c>
      <c r="DX77" s="119">
        <v>0</v>
      </c>
      <c r="DY77" s="119">
        <v>0</v>
      </c>
      <c r="DZ77" s="119">
        <v>0</v>
      </c>
      <c r="EA77" s="119">
        <v>0</v>
      </c>
      <c r="EB77" s="119">
        <v>0</v>
      </c>
      <c r="EC77" s="119">
        <v>0</v>
      </c>
      <c r="ED77" s="119">
        <v>20</v>
      </c>
      <c r="EE77" s="119">
        <v>0</v>
      </c>
      <c r="EF77" t="s">
        <v>387</v>
      </c>
      <c r="EG77" s="119">
        <v>0</v>
      </c>
      <c r="EH77" s="119">
        <v>0</v>
      </c>
      <c r="EI77" s="119">
        <v>0</v>
      </c>
      <c r="EJ77" s="119">
        <v>0</v>
      </c>
      <c r="EK77" s="119">
        <v>0</v>
      </c>
      <c r="EL77" s="119">
        <v>0</v>
      </c>
      <c r="EM77" s="119">
        <v>0</v>
      </c>
      <c r="EN77" s="119">
        <v>0</v>
      </c>
      <c r="EO77" s="119">
        <v>0</v>
      </c>
      <c r="EP77" s="119">
        <v>0</v>
      </c>
      <c r="EQ77" s="119">
        <v>20</v>
      </c>
      <c r="ER77" s="119">
        <v>0</v>
      </c>
      <c r="ES77" t="s">
        <v>388</v>
      </c>
      <c r="ET77" s="119">
        <v>0</v>
      </c>
      <c r="EU77" s="119">
        <v>0</v>
      </c>
      <c r="EV77" s="119">
        <v>0</v>
      </c>
      <c r="EW77" s="119">
        <v>0</v>
      </c>
      <c r="EX77" s="119">
        <v>0</v>
      </c>
      <c r="EY77" s="119">
        <v>0</v>
      </c>
      <c r="EZ77" s="119">
        <v>0</v>
      </c>
      <c r="FA77" s="119">
        <v>0</v>
      </c>
      <c r="FB77" s="119">
        <v>0</v>
      </c>
      <c r="FC77" s="119">
        <v>0</v>
      </c>
      <c r="FD77" s="119">
        <v>20</v>
      </c>
      <c r="FE77" s="119">
        <v>0</v>
      </c>
      <c r="FF77" t="s">
        <v>389</v>
      </c>
      <c r="FG77" s="119">
        <v>0</v>
      </c>
      <c r="FH77" s="119">
        <v>0</v>
      </c>
      <c r="FI77" s="119">
        <v>0</v>
      </c>
      <c r="FJ77" s="119">
        <v>0</v>
      </c>
      <c r="FK77" s="119">
        <v>0</v>
      </c>
      <c r="FL77" s="119">
        <v>0</v>
      </c>
      <c r="FM77" s="119">
        <v>0</v>
      </c>
      <c r="FN77" s="119">
        <v>0</v>
      </c>
      <c r="FO77" s="119">
        <v>0</v>
      </c>
      <c r="FP77" s="119">
        <v>0</v>
      </c>
      <c r="FQ77" s="119">
        <v>20</v>
      </c>
      <c r="FR77" s="119">
        <v>0</v>
      </c>
      <c r="FS77" t="s">
        <v>390</v>
      </c>
      <c r="FT77" s="119">
        <v>0</v>
      </c>
      <c r="FU77" s="119">
        <v>0</v>
      </c>
      <c r="FV77" s="119">
        <v>0</v>
      </c>
      <c r="FW77" s="119">
        <v>0</v>
      </c>
      <c r="FX77" s="119">
        <v>0</v>
      </c>
      <c r="FY77" s="119">
        <v>0</v>
      </c>
      <c r="FZ77" s="119">
        <v>0</v>
      </c>
      <c r="GA77" s="119">
        <v>0</v>
      </c>
      <c r="GB77" s="119">
        <v>0</v>
      </c>
      <c r="GC77" s="119">
        <v>0</v>
      </c>
      <c r="GD77" s="119">
        <v>20</v>
      </c>
      <c r="GE77" s="119">
        <v>0</v>
      </c>
      <c r="GF77" t="s">
        <v>391</v>
      </c>
      <c r="GG77" s="119">
        <v>0</v>
      </c>
      <c r="GH77" s="119">
        <v>0</v>
      </c>
      <c r="GI77" s="119">
        <v>0</v>
      </c>
      <c r="GJ77" s="119">
        <v>0</v>
      </c>
      <c r="GK77" s="119">
        <v>0</v>
      </c>
      <c r="GL77" s="119">
        <v>0</v>
      </c>
      <c r="GM77" s="119">
        <v>0</v>
      </c>
      <c r="GN77" s="119">
        <v>0</v>
      </c>
      <c r="GO77" s="119">
        <v>0</v>
      </c>
      <c r="GP77" s="119">
        <v>0</v>
      </c>
      <c r="GQ77" s="119">
        <v>20</v>
      </c>
      <c r="GR77" s="119">
        <v>0</v>
      </c>
      <c r="HJ77"/>
      <c r="HK77" s="115"/>
      <c r="HR77" s="116"/>
      <c r="HT77" s="117"/>
      <c r="HY77"/>
      <c r="HZ77"/>
      <c r="IA77"/>
    </row>
    <row r="78" spans="1:235" x14ac:dyDescent="0.25">
      <c r="A78">
        <v>78</v>
      </c>
      <c r="B78" s="115">
        <v>43297</v>
      </c>
      <c r="C78" t="s">
        <v>424</v>
      </c>
      <c r="D78" t="s">
        <v>471</v>
      </c>
      <c r="F78" t="s">
        <v>472</v>
      </c>
      <c r="G78" t="s">
        <v>473</v>
      </c>
      <c r="H78" t="s">
        <v>474</v>
      </c>
      <c r="I78" s="116">
        <v>25000</v>
      </c>
      <c r="J78" t="s">
        <v>398</v>
      </c>
      <c r="K78" s="117" t="s">
        <v>475</v>
      </c>
      <c r="N78" t="s">
        <v>423</v>
      </c>
      <c r="O78">
        <v>18052</v>
      </c>
      <c r="P78">
        <v>2862.86</v>
      </c>
      <c r="Q78">
        <v>2385.71</v>
      </c>
      <c r="R78">
        <v>477.14</v>
      </c>
      <c r="S78" t="s">
        <v>378</v>
      </c>
      <c r="T78" s="118">
        <v>0</v>
      </c>
      <c r="U78" s="118">
        <v>0</v>
      </c>
      <c r="V78" s="118">
        <v>0</v>
      </c>
      <c r="W78" s="119">
        <v>0</v>
      </c>
      <c r="X78" s="119">
        <v>0</v>
      </c>
      <c r="Y78" s="119">
        <v>0</v>
      </c>
      <c r="Z78" s="119">
        <v>0</v>
      </c>
      <c r="AA78" s="119">
        <v>0</v>
      </c>
      <c r="AB78" s="119">
        <v>0</v>
      </c>
      <c r="AC78" s="119">
        <v>0</v>
      </c>
      <c r="AD78" s="119">
        <v>20</v>
      </c>
      <c r="AE78" s="119">
        <v>0</v>
      </c>
      <c r="AF78" t="s">
        <v>379</v>
      </c>
      <c r="AG78" s="119">
        <v>0</v>
      </c>
      <c r="AH78" s="119">
        <v>0</v>
      </c>
      <c r="AI78" s="119">
        <v>0</v>
      </c>
      <c r="AJ78" s="119">
        <v>0</v>
      </c>
      <c r="AK78" s="119">
        <v>0</v>
      </c>
      <c r="AL78" s="119">
        <v>0</v>
      </c>
      <c r="AM78" s="119">
        <v>0</v>
      </c>
      <c r="AN78" s="119">
        <v>0</v>
      </c>
      <c r="AO78" s="119">
        <v>0</v>
      </c>
      <c r="AP78" s="119">
        <v>0</v>
      </c>
      <c r="AQ78" s="119">
        <v>20</v>
      </c>
      <c r="AR78" s="119">
        <v>0</v>
      </c>
      <c r="AS78" t="s">
        <v>380</v>
      </c>
      <c r="AT78" s="119">
        <v>1250</v>
      </c>
      <c r="AU78" s="119">
        <v>535.71</v>
      </c>
      <c r="AV78" s="119">
        <v>1785.71</v>
      </c>
      <c r="AW78" s="119">
        <v>30</v>
      </c>
      <c r="AX78" s="119">
        <v>10</v>
      </c>
      <c r="AY78" s="119">
        <v>60</v>
      </c>
      <c r="AZ78" s="119">
        <v>600</v>
      </c>
      <c r="BA78" s="119">
        <v>1135.71</v>
      </c>
      <c r="BB78" s="119">
        <v>113.57</v>
      </c>
      <c r="BC78" s="119">
        <v>2385.71</v>
      </c>
      <c r="BD78" s="119">
        <v>20</v>
      </c>
      <c r="BE78" s="119">
        <v>477.14</v>
      </c>
      <c r="BF78" t="s">
        <v>381</v>
      </c>
      <c r="BG78" s="119">
        <v>0</v>
      </c>
      <c r="BH78" s="119">
        <v>0</v>
      </c>
      <c r="BI78" s="119">
        <v>0</v>
      </c>
      <c r="BJ78" s="119">
        <v>0</v>
      </c>
      <c r="BK78" s="119">
        <v>0</v>
      </c>
      <c r="BL78" s="119">
        <v>0</v>
      </c>
      <c r="BM78" s="119">
        <v>0</v>
      </c>
      <c r="BN78" s="119">
        <v>0</v>
      </c>
      <c r="BO78" s="119">
        <v>0</v>
      </c>
      <c r="BP78" s="119">
        <v>0</v>
      </c>
      <c r="BQ78" s="119">
        <v>20</v>
      </c>
      <c r="BR78" s="119">
        <v>0</v>
      </c>
      <c r="BS78" t="s">
        <v>382</v>
      </c>
      <c r="BT78" s="119">
        <v>0</v>
      </c>
      <c r="BU78" s="119">
        <v>0</v>
      </c>
      <c r="BV78" s="119">
        <v>0</v>
      </c>
      <c r="BW78" s="119">
        <v>0</v>
      </c>
      <c r="BX78" s="119">
        <v>0</v>
      </c>
      <c r="BY78" s="119">
        <v>0</v>
      </c>
      <c r="BZ78" s="119">
        <v>0</v>
      </c>
      <c r="CA78" s="119">
        <v>0</v>
      </c>
      <c r="CB78" s="119">
        <v>0</v>
      </c>
      <c r="CC78" s="119">
        <v>0</v>
      </c>
      <c r="CD78" s="119">
        <v>20</v>
      </c>
      <c r="CE78" s="119">
        <v>0</v>
      </c>
      <c r="CF78" t="s">
        <v>383</v>
      </c>
      <c r="CG78" s="119">
        <v>0</v>
      </c>
      <c r="CH78" s="119">
        <v>0</v>
      </c>
      <c r="CI78" s="119">
        <v>0</v>
      </c>
      <c r="CJ78" s="119">
        <v>0</v>
      </c>
      <c r="CK78" s="119">
        <v>0</v>
      </c>
      <c r="CL78" s="119">
        <v>0</v>
      </c>
      <c r="CM78" s="119">
        <v>0</v>
      </c>
      <c r="CN78" s="119">
        <v>0</v>
      </c>
      <c r="CO78" s="119">
        <v>0</v>
      </c>
      <c r="CP78" s="119">
        <v>0</v>
      </c>
      <c r="CQ78" s="119">
        <v>20</v>
      </c>
      <c r="CR78" s="119">
        <v>0</v>
      </c>
      <c r="CS78" t="s">
        <v>384</v>
      </c>
      <c r="CT78" s="119">
        <v>0</v>
      </c>
      <c r="CU78" s="119">
        <v>0</v>
      </c>
      <c r="CV78" s="119">
        <v>0</v>
      </c>
      <c r="CW78" s="119">
        <v>0</v>
      </c>
      <c r="CX78" s="119">
        <v>0</v>
      </c>
      <c r="CY78" s="119">
        <v>0</v>
      </c>
      <c r="CZ78" s="119">
        <v>0</v>
      </c>
      <c r="DA78" s="119">
        <v>0</v>
      </c>
      <c r="DB78" s="119">
        <v>0</v>
      </c>
      <c r="DC78" s="119">
        <v>0</v>
      </c>
      <c r="DD78" s="119">
        <v>20</v>
      </c>
      <c r="DE78" s="119">
        <v>0</v>
      </c>
      <c r="DF78" t="s">
        <v>385</v>
      </c>
      <c r="DG78" s="119">
        <v>0</v>
      </c>
      <c r="DH78" s="119">
        <v>0</v>
      </c>
      <c r="DI78" s="119">
        <v>0</v>
      </c>
      <c r="DJ78" s="119">
        <v>0</v>
      </c>
      <c r="DK78" s="119">
        <v>0</v>
      </c>
      <c r="DL78" s="119">
        <v>0</v>
      </c>
      <c r="DM78" s="119">
        <v>0</v>
      </c>
      <c r="DN78" s="119">
        <v>0</v>
      </c>
      <c r="DO78" s="119">
        <v>0</v>
      </c>
      <c r="DP78" s="119">
        <v>0</v>
      </c>
      <c r="DQ78" s="119">
        <v>20</v>
      </c>
      <c r="DR78" s="119">
        <v>0</v>
      </c>
      <c r="DS78" t="s">
        <v>386</v>
      </c>
      <c r="DT78" s="119">
        <v>0</v>
      </c>
      <c r="DU78" s="119">
        <v>0</v>
      </c>
      <c r="DV78" s="119">
        <v>0</v>
      </c>
      <c r="DW78" s="119">
        <v>0</v>
      </c>
      <c r="DX78" s="119">
        <v>0</v>
      </c>
      <c r="DY78" s="119">
        <v>0</v>
      </c>
      <c r="DZ78" s="119">
        <v>0</v>
      </c>
      <c r="EA78" s="119">
        <v>0</v>
      </c>
      <c r="EB78" s="119">
        <v>0</v>
      </c>
      <c r="EC78" s="119">
        <v>0</v>
      </c>
      <c r="ED78" s="119">
        <v>20</v>
      </c>
      <c r="EE78" s="119">
        <v>0</v>
      </c>
      <c r="EF78" t="s">
        <v>387</v>
      </c>
      <c r="EG78" s="119">
        <v>0</v>
      </c>
      <c r="EH78" s="119">
        <v>0</v>
      </c>
      <c r="EI78" s="119">
        <v>0</v>
      </c>
      <c r="EJ78" s="119">
        <v>0</v>
      </c>
      <c r="EK78" s="119">
        <v>0</v>
      </c>
      <c r="EL78" s="119">
        <v>0</v>
      </c>
      <c r="EM78" s="119">
        <v>0</v>
      </c>
      <c r="EN78" s="119">
        <v>0</v>
      </c>
      <c r="EO78" s="119">
        <v>0</v>
      </c>
      <c r="EP78" s="119">
        <v>0</v>
      </c>
      <c r="EQ78" s="119">
        <v>20</v>
      </c>
      <c r="ER78" s="119">
        <v>0</v>
      </c>
      <c r="ES78" t="s">
        <v>388</v>
      </c>
      <c r="ET78" s="119">
        <v>0</v>
      </c>
      <c r="EU78" s="119">
        <v>0</v>
      </c>
      <c r="EV78" s="119">
        <v>0</v>
      </c>
      <c r="EW78" s="119">
        <v>0</v>
      </c>
      <c r="EX78" s="119">
        <v>0</v>
      </c>
      <c r="EY78" s="119">
        <v>0</v>
      </c>
      <c r="EZ78" s="119">
        <v>0</v>
      </c>
      <c r="FA78" s="119">
        <v>0</v>
      </c>
      <c r="FB78" s="119">
        <v>0</v>
      </c>
      <c r="FC78" s="119">
        <v>0</v>
      </c>
      <c r="FD78" s="119">
        <v>20</v>
      </c>
      <c r="FE78" s="119">
        <v>0</v>
      </c>
      <c r="FF78" t="s">
        <v>389</v>
      </c>
      <c r="FG78" s="119">
        <v>0</v>
      </c>
      <c r="FH78" s="119">
        <v>0</v>
      </c>
      <c r="FI78" s="119">
        <v>0</v>
      </c>
      <c r="FJ78" s="119">
        <v>0</v>
      </c>
      <c r="FK78" s="119">
        <v>0</v>
      </c>
      <c r="FL78" s="119">
        <v>0</v>
      </c>
      <c r="FM78" s="119">
        <v>0</v>
      </c>
      <c r="FN78" s="119">
        <v>0</v>
      </c>
      <c r="FO78" s="119">
        <v>0</v>
      </c>
      <c r="FP78" s="119">
        <v>0</v>
      </c>
      <c r="FQ78" s="119">
        <v>20</v>
      </c>
      <c r="FR78" s="119">
        <v>0</v>
      </c>
      <c r="FS78" t="s">
        <v>390</v>
      </c>
      <c r="FT78" s="119">
        <v>0</v>
      </c>
      <c r="FU78" s="119">
        <v>0</v>
      </c>
      <c r="FV78" s="119">
        <v>0</v>
      </c>
      <c r="FW78" s="119">
        <v>0</v>
      </c>
      <c r="FX78" s="119">
        <v>0</v>
      </c>
      <c r="FY78" s="119">
        <v>0</v>
      </c>
      <c r="FZ78" s="119">
        <v>0</v>
      </c>
      <c r="GA78" s="119">
        <v>0</v>
      </c>
      <c r="GB78" s="119">
        <v>0</v>
      </c>
      <c r="GC78" s="119">
        <v>0</v>
      </c>
      <c r="GD78" s="119">
        <v>20</v>
      </c>
      <c r="GE78" s="119">
        <v>0</v>
      </c>
      <c r="GF78" t="s">
        <v>391</v>
      </c>
      <c r="GG78" s="119">
        <v>0</v>
      </c>
      <c r="GH78" s="119">
        <v>0</v>
      </c>
      <c r="GI78" s="119">
        <v>0</v>
      </c>
      <c r="GJ78" s="119">
        <v>0</v>
      </c>
      <c r="GK78" s="119">
        <v>0</v>
      </c>
      <c r="GL78" s="119">
        <v>0</v>
      </c>
      <c r="GM78" s="119">
        <v>0</v>
      </c>
      <c r="GN78" s="119">
        <v>0</v>
      </c>
      <c r="GO78" s="119">
        <v>0</v>
      </c>
      <c r="GP78" s="119">
        <v>0</v>
      </c>
      <c r="GQ78" s="119">
        <v>20</v>
      </c>
      <c r="GR78" s="119">
        <v>0</v>
      </c>
      <c r="HJ78"/>
      <c r="HK78" s="115"/>
      <c r="HR78" s="116"/>
      <c r="HT78" s="117"/>
      <c r="HY78"/>
      <c r="HZ78"/>
      <c r="IA78"/>
    </row>
    <row r="79" spans="1:235" x14ac:dyDescent="0.25">
      <c r="A79">
        <v>79</v>
      </c>
      <c r="B79" s="115">
        <v>43297</v>
      </c>
      <c r="C79" t="s">
        <v>424</v>
      </c>
      <c r="D79" t="s">
        <v>471</v>
      </c>
      <c r="F79" t="s">
        <v>472</v>
      </c>
      <c r="G79" t="s">
        <v>473</v>
      </c>
      <c r="H79" t="s">
        <v>474</v>
      </c>
      <c r="I79" s="116">
        <v>25000</v>
      </c>
      <c r="J79" t="s">
        <v>398</v>
      </c>
      <c r="K79" s="117" t="s">
        <v>475</v>
      </c>
      <c r="N79" t="s">
        <v>423</v>
      </c>
      <c r="O79">
        <v>35645</v>
      </c>
      <c r="P79">
        <v>1577.14</v>
      </c>
      <c r="Q79">
        <v>1314.29</v>
      </c>
      <c r="R79">
        <v>262.86</v>
      </c>
      <c r="S79" t="s">
        <v>378</v>
      </c>
      <c r="T79" s="118">
        <v>500</v>
      </c>
      <c r="U79" s="118">
        <v>214.29</v>
      </c>
      <c r="V79" s="118">
        <v>714.29</v>
      </c>
      <c r="W79" s="119">
        <v>30</v>
      </c>
      <c r="X79" s="119">
        <v>10</v>
      </c>
      <c r="Y79" s="119">
        <v>60</v>
      </c>
      <c r="Z79" s="119">
        <v>600</v>
      </c>
      <c r="AA79" s="119">
        <v>814.29</v>
      </c>
      <c r="AB79" s="119">
        <v>81.430000000000007</v>
      </c>
      <c r="AC79" s="119">
        <v>1314.29</v>
      </c>
      <c r="AD79" s="119">
        <v>20</v>
      </c>
      <c r="AE79" s="119">
        <v>262.86</v>
      </c>
      <c r="AF79" t="s">
        <v>379</v>
      </c>
      <c r="AG79" s="119">
        <v>0</v>
      </c>
      <c r="AH79" s="119">
        <v>0</v>
      </c>
      <c r="AI79" s="119">
        <v>0</v>
      </c>
      <c r="AJ79" s="119">
        <v>0</v>
      </c>
      <c r="AK79" s="119">
        <v>0</v>
      </c>
      <c r="AL79" s="119">
        <v>0</v>
      </c>
      <c r="AM79" s="119">
        <v>0</v>
      </c>
      <c r="AN79" s="119">
        <v>0</v>
      </c>
      <c r="AO79" s="119">
        <v>0</v>
      </c>
      <c r="AP79" s="119">
        <v>0</v>
      </c>
      <c r="AQ79" s="119">
        <v>20</v>
      </c>
      <c r="AR79" s="119">
        <v>0</v>
      </c>
      <c r="AS79" t="s">
        <v>380</v>
      </c>
      <c r="AT79" s="119">
        <v>0</v>
      </c>
      <c r="AU79" s="119">
        <v>0</v>
      </c>
      <c r="AV79" s="119">
        <v>0</v>
      </c>
      <c r="AW79" s="119">
        <v>0</v>
      </c>
      <c r="AX79" s="119">
        <v>0</v>
      </c>
      <c r="AY79" s="119">
        <v>0</v>
      </c>
      <c r="AZ79" s="119">
        <v>0</v>
      </c>
      <c r="BA79" s="119">
        <v>0</v>
      </c>
      <c r="BB79" s="119">
        <v>0</v>
      </c>
      <c r="BC79" s="119">
        <v>0</v>
      </c>
      <c r="BD79" s="119">
        <v>20</v>
      </c>
      <c r="BE79" s="119">
        <v>0</v>
      </c>
      <c r="BF79" t="s">
        <v>381</v>
      </c>
      <c r="BG79" s="119">
        <v>0</v>
      </c>
      <c r="BH79" s="119">
        <v>0</v>
      </c>
      <c r="BI79" s="119">
        <v>0</v>
      </c>
      <c r="BJ79" s="119">
        <v>0</v>
      </c>
      <c r="BK79" s="119">
        <v>0</v>
      </c>
      <c r="BL79" s="119">
        <v>0</v>
      </c>
      <c r="BM79" s="119">
        <v>0</v>
      </c>
      <c r="BN79" s="119">
        <v>0</v>
      </c>
      <c r="BO79" s="119">
        <v>0</v>
      </c>
      <c r="BP79" s="119">
        <v>0</v>
      </c>
      <c r="BQ79" s="119">
        <v>20</v>
      </c>
      <c r="BR79" s="119">
        <v>0</v>
      </c>
      <c r="BS79" t="s">
        <v>382</v>
      </c>
      <c r="BT79" s="119">
        <v>0</v>
      </c>
      <c r="BU79" s="119">
        <v>0</v>
      </c>
      <c r="BV79" s="119">
        <v>0</v>
      </c>
      <c r="BW79" s="119">
        <v>0</v>
      </c>
      <c r="BX79" s="119">
        <v>0</v>
      </c>
      <c r="BY79" s="119">
        <v>0</v>
      </c>
      <c r="BZ79" s="119">
        <v>0</v>
      </c>
      <c r="CA79" s="119">
        <v>0</v>
      </c>
      <c r="CB79" s="119">
        <v>0</v>
      </c>
      <c r="CC79" s="119">
        <v>0</v>
      </c>
      <c r="CD79" s="119">
        <v>20</v>
      </c>
      <c r="CE79" s="119">
        <v>0</v>
      </c>
      <c r="CF79" t="s">
        <v>383</v>
      </c>
      <c r="CG79" s="119">
        <v>0</v>
      </c>
      <c r="CH79" s="119">
        <v>0</v>
      </c>
      <c r="CI79" s="119">
        <v>0</v>
      </c>
      <c r="CJ79" s="119">
        <v>0</v>
      </c>
      <c r="CK79" s="119">
        <v>0</v>
      </c>
      <c r="CL79" s="119">
        <v>0</v>
      </c>
      <c r="CM79" s="119">
        <v>0</v>
      </c>
      <c r="CN79" s="119">
        <v>0</v>
      </c>
      <c r="CO79" s="119">
        <v>0</v>
      </c>
      <c r="CP79" s="119">
        <v>0</v>
      </c>
      <c r="CQ79" s="119">
        <v>20</v>
      </c>
      <c r="CR79" s="119">
        <v>0</v>
      </c>
      <c r="CS79" t="s">
        <v>384</v>
      </c>
      <c r="CT79" s="119">
        <v>0</v>
      </c>
      <c r="CU79" s="119">
        <v>0</v>
      </c>
      <c r="CV79" s="119">
        <v>0</v>
      </c>
      <c r="CW79" s="119">
        <v>0</v>
      </c>
      <c r="CX79" s="119">
        <v>0</v>
      </c>
      <c r="CY79" s="119">
        <v>0</v>
      </c>
      <c r="CZ79" s="119">
        <v>0</v>
      </c>
      <c r="DA79" s="119">
        <v>0</v>
      </c>
      <c r="DB79" s="119">
        <v>0</v>
      </c>
      <c r="DC79" s="119">
        <v>0</v>
      </c>
      <c r="DD79" s="119">
        <v>20</v>
      </c>
      <c r="DE79" s="119">
        <v>0</v>
      </c>
      <c r="DF79" t="s">
        <v>385</v>
      </c>
      <c r="DG79" s="119">
        <v>0</v>
      </c>
      <c r="DH79" s="119">
        <v>0</v>
      </c>
      <c r="DI79" s="119">
        <v>0</v>
      </c>
      <c r="DJ79" s="119">
        <v>0</v>
      </c>
      <c r="DK79" s="119">
        <v>0</v>
      </c>
      <c r="DL79" s="119">
        <v>0</v>
      </c>
      <c r="DM79" s="119">
        <v>0</v>
      </c>
      <c r="DN79" s="119">
        <v>0</v>
      </c>
      <c r="DO79" s="119">
        <v>0</v>
      </c>
      <c r="DP79" s="119">
        <v>0</v>
      </c>
      <c r="DQ79" s="119">
        <v>20</v>
      </c>
      <c r="DR79" s="119">
        <v>0</v>
      </c>
      <c r="DS79" t="s">
        <v>386</v>
      </c>
      <c r="DT79" s="119">
        <v>0</v>
      </c>
      <c r="DU79" s="119">
        <v>0</v>
      </c>
      <c r="DV79" s="119">
        <v>0</v>
      </c>
      <c r="DW79" s="119">
        <v>0</v>
      </c>
      <c r="DX79" s="119">
        <v>0</v>
      </c>
      <c r="DY79" s="119">
        <v>0</v>
      </c>
      <c r="DZ79" s="119">
        <v>0</v>
      </c>
      <c r="EA79" s="119">
        <v>0</v>
      </c>
      <c r="EB79" s="119">
        <v>0</v>
      </c>
      <c r="EC79" s="119">
        <v>0</v>
      </c>
      <c r="ED79" s="119">
        <v>20</v>
      </c>
      <c r="EE79" s="119">
        <v>0</v>
      </c>
      <c r="EF79" t="s">
        <v>387</v>
      </c>
      <c r="EG79" s="119">
        <v>0</v>
      </c>
      <c r="EH79" s="119">
        <v>0</v>
      </c>
      <c r="EI79" s="119">
        <v>0</v>
      </c>
      <c r="EJ79" s="119">
        <v>0</v>
      </c>
      <c r="EK79" s="119">
        <v>0</v>
      </c>
      <c r="EL79" s="119">
        <v>0</v>
      </c>
      <c r="EM79" s="119">
        <v>0</v>
      </c>
      <c r="EN79" s="119">
        <v>0</v>
      </c>
      <c r="EO79" s="119">
        <v>0</v>
      </c>
      <c r="EP79" s="119">
        <v>0</v>
      </c>
      <c r="EQ79" s="119">
        <v>20</v>
      </c>
      <c r="ER79" s="119">
        <v>0</v>
      </c>
      <c r="ES79" t="s">
        <v>388</v>
      </c>
      <c r="ET79" s="119">
        <v>0</v>
      </c>
      <c r="EU79" s="119">
        <v>0</v>
      </c>
      <c r="EV79" s="119">
        <v>0</v>
      </c>
      <c r="EW79" s="119">
        <v>0</v>
      </c>
      <c r="EX79" s="119">
        <v>0</v>
      </c>
      <c r="EY79" s="119">
        <v>0</v>
      </c>
      <c r="EZ79" s="119">
        <v>0</v>
      </c>
      <c r="FA79" s="119">
        <v>0</v>
      </c>
      <c r="FB79" s="119">
        <v>0</v>
      </c>
      <c r="FC79" s="119">
        <v>0</v>
      </c>
      <c r="FD79" s="119">
        <v>20</v>
      </c>
      <c r="FE79" s="119">
        <v>0</v>
      </c>
      <c r="FF79" t="s">
        <v>389</v>
      </c>
      <c r="FG79" s="119">
        <v>0</v>
      </c>
      <c r="FH79" s="119">
        <v>0</v>
      </c>
      <c r="FI79" s="119">
        <v>0</v>
      </c>
      <c r="FJ79" s="119">
        <v>0</v>
      </c>
      <c r="FK79" s="119">
        <v>0</v>
      </c>
      <c r="FL79" s="119">
        <v>0</v>
      </c>
      <c r="FM79" s="119">
        <v>0</v>
      </c>
      <c r="FN79" s="119">
        <v>0</v>
      </c>
      <c r="FO79" s="119">
        <v>0</v>
      </c>
      <c r="FP79" s="119">
        <v>0</v>
      </c>
      <c r="FQ79" s="119">
        <v>20</v>
      </c>
      <c r="FR79" s="119">
        <v>0</v>
      </c>
      <c r="FS79" t="s">
        <v>390</v>
      </c>
      <c r="FT79" s="119">
        <v>0</v>
      </c>
      <c r="FU79" s="119">
        <v>0</v>
      </c>
      <c r="FV79" s="119">
        <v>0</v>
      </c>
      <c r="FW79" s="119">
        <v>0</v>
      </c>
      <c r="FX79" s="119">
        <v>0</v>
      </c>
      <c r="FY79" s="119">
        <v>0</v>
      </c>
      <c r="FZ79" s="119">
        <v>0</v>
      </c>
      <c r="GA79" s="119">
        <v>0</v>
      </c>
      <c r="GB79" s="119">
        <v>0</v>
      </c>
      <c r="GC79" s="119">
        <v>0</v>
      </c>
      <c r="GD79" s="119">
        <v>20</v>
      </c>
      <c r="GE79" s="119">
        <v>0</v>
      </c>
      <c r="GF79" t="s">
        <v>391</v>
      </c>
      <c r="GG79" s="119">
        <v>0</v>
      </c>
      <c r="GH79" s="119">
        <v>0</v>
      </c>
      <c r="GI79" s="119">
        <v>0</v>
      </c>
      <c r="GJ79" s="119">
        <v>0</v>
      </c>
      <c r="GK79" s="119">
        <v>0</v>
      </c>
      <c r="GL79" s="119">
        <v>0</v>
      </c>
      <c r="GM79" s="119">
        <v>0</v>
      </c>
      <c r="GN79" s="119">
        <v>0</v>
      </c>
      <c r="GO79" s="119">
        <v>0</v>
      </c>
      <c r="GP79" s="119">
        <v>0</v>
      </c>
      <c r="GQ79" s="119">
        <v>20</v>
      </c>
      <c r="GR79" s="119">
        <v>0</v>
      </c>
      <c r="HJ79"/>
      <c r="HK79" s="115"/>
      <c r="HR79" s="116"/>
      <c r="HT79" s="117"/>
      <c r="HY79"/>
      <c r="HZ79"/>
      <c r="IA79"/>
    </row>
    <row r="80" spans="1:235" x14ac:dyDescent="0.25">
      <c r="A80">
        <v>80</v>
      </c>
      <c r="B80" s="115">
        <v>43297</v>
      </c>
      <c r="C80" t="s">
        <v>400</v>
      </c>
      <c r="D80" t="s">
        <v>457</v>
      </c>
      <c r="E80" t="s">
        <v>458</v>
      </c>
      <c r="F80" t="s">
        <v>490</v>
      </c>
      <c r="G80" t="s">
        <v>491</v>
      </c>
      <c r="H80" t="s">
        <v>459</v>
      </c>
      <c r="I80" s="116">
        <v>21000</v>
      </c>
      <c r="J80" t="s">
        <v>404</v>
      </c>
      <c r="K80" s="117" t="s">
        <v>422</v>
      </c>
      <c r="N80" t="s">
        <v>154</v>
      </c>
      <c r="O80">
        <v>3123131</v>
      </c>
      <c r="P80">
        <v>3805.71</v>
      </c>
      <c r="Q80">
        <v>3171.43</v>
      </c>
      <c r="R80">
        <v>634.29</v>
      </c>
      <c r="S80" t="s">
        <v>378</v>
      </c>
      <c r="T80" s="118">
        <v>1800</v>
      </c>
      <c r="U80" s="118">
        <v>771.43</v>
      </c>
      <c r="V80" s="118">
        <v>2571.4299999999998</v>
      </c>
      <c r="W80" s="119">
        <v>30</v>
      </c>
      <c r="X80" s="119">
        <v>10</v>
      </c>
      <c r="Y80" s="119">
        <v>60</v>
      </c>
      <c r="Z80" s="119">
        <v>600</v>
      </c>
      <c r="AA80" s="119">
        <v>1371.43</v>
      </c>
      <c r="AB80" s="119">
        <v>137.13999999999999</v>
      </c>
      <c r="AC80" s="119">
        <v>3171.43</v>
      </c>
      <c r="AD80" s="119">
        <v>20</v>
      </c>
      <c r="AE80" s="119">
        <v>634.29</v>
      </c>
      <c r="AF80" t="s">
        <v>379</v>
      </c>
      <c r="AG80" s="119">
        <v>0</v>
      </c>
      <c r="AH80" s="119">
        <v>0</v>
      </c>
      <c r="AI80" s="119">
        <v>0</v>
      </c>
      <c r="AJ80" s="119">
        <v>0</v>
      </c>
      <c r="AK80" s="119">
        <v>0</v>
      </c>
      <c r="AL80" s="119">
        <v>0</v>
      </c>
      <c r="AM80" s="119">
        <v>0</v>
      </c>
      <c r="AN80" s="119">
        <v>0</v>
      </c>
      <c r="AO80" s="119">
        <v>0</v>
      </c>
      <c r="AP80" s="119">
        <v>0</v>
      </c>
      <c r="AQ80" s="119">
        <v>20</v>
      </c>
      <c r="AR80" s="119">
        <v>0</v>
      </c>
      <c r="AS80" t="s">
        <v>380</v>
      </c>
      <c r="AT80" s="119">
        <v>0</v>
      </c>
      <c r="AU80" s="119">
        <v>0</v>
      </c>
      <c r="AV80" s="119">
        <v>0</v>
      </c>
      <c r="AW80" s="119">
        <v>0</v>
      </c>
      <c r="AX80" s="119">
        <v>0</v>
      </c>
      <c r="AY80" s="119">
        <v>0</v>
      </c>
      <c r="AZ80" s="119">
        <v>0</v>
      </c>
      <c r="BA80" s="119">
        <v>0</v>
      </c>
      <c r="BB80" s="119">
        <v>0</v>
      </c>
      <c r="BC80" s="119">
        <v>0</v>
      </c>
      <c r="BD80" s="119">
        <v>20</v>
      </c>
      <c r="BE80" s="119">
        <v>0</v>
      </c>
      <c r="BF80" t="s">
        <v>381</v>
      </c>
      <c r="BG80" s="119">
        <v>0</v>
      </c>
      <c r="BH80" s="119">
        <v>0</v>
      </c>
      <c r="BI80" s="119">
        <v>0</v>
      </c>
      <c r="BJ80" s="119">
        <v>0</v>
      </c>
      <c r="BK80" s="119">
        <v>0</v>
      </c>
      <c r="BL80" s="119">
        <v>0</v>
      </c>
      <c r="BM80" s="119">
        <v>0</v>
      </c>
      <c r="BN80" s="119">
        <v>0</v>
      </c>
      <c r="BO80" s="119">
        <v>0</v>
      </c>
      <c r="BP80" s="119">
        <v>0</v>
      </c>
      <c r="BQ80" s="119">
        <v>20</v>
      </c>
      <c r="BR80" s="119">
        <v>0</v>
      </c>
      <c r="BS80" t="s">
        <v>382</v>
      </c>
      <c r="BT80" s="119">
        <v>0</v>
      </c>
      <c r="BU80" s="119">
        <v>0</v>
      </c>
      <c r="BV80" s="119">
        <v>0</v>
      </c>
      <c r="BW80" s="119">
        <v>0</v>
      </c>
      <c r="BX80" s="119">
        <v>0</v>
      </c>
      <c r="BY80" s="119">
        <v>0</v>
      </c>
      <c r="BZ80" s="119">
        <v>0</v>
      </c>
      <c r="CA80" s="119">
        <v>0</v>
      </c>
      <c r="CB80" s="119">
        <v>0</v>
      </c>
      <c r="CC80" s="119">
        <v>0</v>
      </c>
      <c r="CD80" s="119">
        <v>20</v>
      </c>
      <c r="CE80" s="119">
        <v>0</v>
      </c>
      <c r="CF80" t="s">
        <v>383</v>
      </c>
      <c r="CG80" s="119">
        <v>0</v>
      </c>
      <c r="CH80" s="119">
        <v>0</v>
      </c>
      <c r="CI80" s="119">
        <v>0</v>
      </c>
      <c r="CJ80" s="119">
        <v>0</v>
      </c>
      <c r="CK80" s="119">
        <v>0</v>
      </c>
      <c r="CL80" s="119">
        <v>0</v>
      </c>
      <c r="CM80" s="119">
        <v>0</v>
      </c>
      <c r="CN80" s="119">
        <v>0</v>
      </c>
      <c r="CO80" s="119">
        <v>0</v>
      </c>
      <c r="CP80" s="119">
        <v>0</v>
      </c>
      <c r="CQ80" s="119">
        <v>20</v>
      </c>
      <c r="CR80" s="119">
        <v>0</v>
      </c>
      <c r="CS80" t="s">
        <v>384</v>
      </c>
      <c r="CT80" s="119">
        <v>0</v>
      </c>
      <c r="CU80" s="119">
        <v>0</v>
      </c>
      <c r="CV80" s="119">
        <v>0</v>
      </c>
      <c r="CW80" s="119">
        <v>0</v>
      </c>
      <c r="CX80" s="119">
        <v>0</v>
      </c>
      <c r="CY80" s="119">
        <v>0</v>
      </c>
      <c r="CZ80" s="119">
        <v>0</v>
      </c>
      <c r="DA80" s="119">
        <v>0</v>
      </c>
      <c r="DB80" s="119">
        <v>0</v>
      </c>
      <c r="DC80" s="119">
        <v>0</v>
      </c>
      <c r="DD80" s="119">
        <v>20</v>
      </c>
      <c r="DE80" s="119">
        <v>0</v>
      </c>
      <c r="DF80" t="s">
        <v>385</v>
      </c>
      <c r="DG80" s="119">
        <v>0</v>
      </c>
      <c r="DH80" s="119">
        <v>0</v>
      </c>
      <c r="DI80" s="119">
        <v>0</v>
      </c>
      <c r="DJ80" s="119">
        <v>0</v>
      </c>
      <c r="DK80" s="119">
        <v>0</v>
      </c>
      <c r="DL80" s="119">
        <v>0</v>
      </c>
      <c r="DM80" s="119">
        <v>0</v>
      </c>
      <c r="DN80" s="119">
        <v>0</v>
      </c>
      <c r="DO80" s="119">
        <v>0</v>
      </c>
      <c r="DP80" s="119">
        <v>0</v>
      </c>
      <c r="DQ80" s="119">
        <v>20</v>
      </c>
      <c r="DR80" s="119">
        <v>0</v>
      </c>
      <c r="DS80" t="s">
        <v>386</v>
      </c>
      <c r="DT80" s="119">
        <v>0</v>
      </c>
      <c r="DU80" s="119">
        <v>0</v>
      </c>
      <c r="DV80" s="119">
        <v>0</v>
      </c>
      <c r="DW80" s="119">
        <v>0</v>
      </c>
      <c r="DX80" s="119">
        <v>0</v>
      </c>
      <c r="DY80" s="119">
        <v>0</v>
      </c>
      <c r="DZ80" s="119">
        <v>0</v>
      </c>
      <c r="EA80" s="119">
        <v>0</v>
      </c>
      <c r="EB80" s="119">
        <v>0</v>
      </c>
      <c r="EC80" s="119">
        <v>0</v>
      </c>
      <c r="ED80" s="119">
        <v>20</v>
      </c>
      <c r="EE80" s="119">
        <v>0</v>
      </c>
      <c r="EF80" t="s">
        <v>387</v>
      </c>
      <c r="EG80" s="119">
        <v>0</v>
      </c>
      <c r="EH80" s="119">
        <v>0</v>
      </c>
      <c r="EI80" s="119">
        <v>0</v>
      </c>
      <c r="EJ80" s="119">
        <v>0</v>
      </c>
      <c r="EK80" s="119">
        <v>0</v>
      </c>
      <c r="EL80" s="119">
        <v>0</v>
      </c>
      <c r="EM80" s="119">
        <v>0</v>
      </c>
      <c r="EN80" s="119">
        <v>0</v>
      </c>
      <c r="EO80" s="119">
        <v>0</v>
      </c>
      <c r="EP80" s="119">
        <v>0</v>
      </c>
      <c r="EQ80" s="119">
        <v>20</v>
      </c>
      <c r="ER80" s="119">
        <v>0</v>
      </c>
      <c r="ES80" t="s">
        <v>388</v>
      </c>
      <c r="ET80" s="119">
        <v>0</v>
      </c>
      <c r="EU80" s="119">
        <v>0</v>
      </c>
      <c r="EV80" s="119">
        <v>0</v>
      </c>
      <c r="EW80" s="119">
        <v>0</v>
      </c>
      <c r="EX80" s="119">
        <v>0</v>
      </c>
      <c r="EY80" s="119">
        <v>0</v>
      </c>
      <c r="EZ80" s="119">
        <v>0</v>
      </c>
      <c r="FA80" s="119">
        <v>0</v>
      </c>
      <c r="FB80" s="119">
        <v>0</v>
      </c>
      <c r="FC80" s="119">
        <v>0</v>
      </c>
      <c r="FD80" s="119">
        <v>20</v>
      </c>
      <c r="FE80" s="119">
        <v>0</v>
      </c>
      <c r="FF80" t="s">
        <v>389</v>
      </c>
      <c r="FG80" s="119">
        <v>0</v>
      </c>
      <c r="FH80" s="119">
        <v>0</v>
      </c>
      <c r="FI80" s="119">
        <v>0</v>
      </c>
      <c r="FJ80" s="119">
        <v>0</v>
      </c>
      <c r="FK80" s="119">
        <v>0</v>
      </c>
      <c r="FL80" s="119">
        <v>0</v>
      </c>
      <c r="FM80" s="119">
        <v>0</v>
      </c>
      <c r="FN80" s="119">
        <v>0</v>
      </c>
      <c r="FO80" s="119">
        <v>0</v>
      </c>
      <c r="FP80" s="119">
        <v>0</v>
      </c>
      <c r="FQ80" s="119">
        <v>20</v>
      </c>
      <c r="FR80" s="119">
        <v>0</v>
      </c>
      <c r="FS80" t="s">
        <v>390</v>
      </c>
      <c r="FT80" s="119">
        <v>0</v>
      </c>
      <c r="FU80" s="119">
        <v>0</v>
      </c>
      <c r="FV80" s="119">
        <v>0</v>
      </c>
      <c r="FW80" s="119">
        <v>0</v>
      </c>
      <c r="FX80" s="119">
        <v>0</v>
      </c>
      <c r="FY80" s="119">
        <v>0</v>
      </c>
      <c r="FZ80" s="119">
        <v>0</v>
      </c>
      <c r="GA80" s="119">
        <v>0</v>
      </c>
      <c r="GB80" s="119">
        <v>0</v>
      </c>
      <c r="GC80" s="119">
        <v>0</v>
      </c>
      <c r="GD80" s="119">
        <v>20</v>
      </c>
      <c r="GE80" s="119">
        <v>0</v>
      </c>
      <c r="GF80" t="s">
        <v>391</v>
      </c>
      <c r="GG80" s="119">
        <v>0</v>
      </c>
      <c r="GH80" s="119">
        <v>0</v>
      </c>
      <c r="GI80" s="119">
        <v>0</v>
      </c>
      <c r="GJ80" s="119">
        <v>0</v>
      </c>
      <c r="GK80" s="119">
        <v>0</v>
      </c>
      <c r="GL80" s="119">
        <v>0</v>
      </c>
      <c r="GM80" s="119">
        <v>0</v>
      </c>
      <c r="GN80" s="119">
        <v>0</v>
      </c>
      <c r="GO80" s="119">
        <v>0</v>
      </c>
      <c r="GP80" s="119">
        <v>0</v>
      </c>
      <c r="GQ80" s="119">
        <v>20</v>
      </c>
      <c r="GR80" s="119">
        <v>0</v>
      </c>
      <c r="HJ80"/>
      <c r="HK80" s="115"/>
      <c r="HR80" s="116"/>
      <c r="HT80" s="117"/>
      <c r="HY80"/>
      <c r="HZ80"/>
      <c r="IA80"/>
    </row>
    <row r="81" spans="1:235" x14ac:dyDescent="0.25">
      <c r="A81">
        <v>81</v>
      </c>
      <c r="B81" s="115">
        <v>43297</v>
      </c>
      <c r="C81" t="s">
        <v>400</v>
      </c>
      <c r="D81" t="s">
        <v>419</v>
      </c>
      <c r="E81" t="s">
        <v>420</v>
      </c>
      <c r="H81" t="s">
        <v>421</v>
      </c>
      <c r="I81" s="116">
        <v>21000</v>
      </c>
      <c r="J81" t="s">
        <v>404</v>
      </c>
      <c r="K81" s="117" t="s">
        <v>422</v>
      </c>
      <c r="N81" t="s">
        <v>423</v>
      </c>
      <c r="O81">
        <v>1246</v>
      </c>
      <c r="P81">
        <v>9990.86</v>
      </c>
      <c r="Q81">
        <v>8325.7099999999991</v>
      </c>
      <c r="R81">
        <v>1665.14</v>
      </c>
      <c r="S81" t="s">
        <v>378</v>
      </c>
      <c r="T81" s="118">
        <v>0</v>
      </c>
      <c r="U81" s="118">
        <v>0</v>
      </c>
      <c r="V81" s="118">
        <v>0</v>
      </c>
      <c r="W81" s="119">
        <v>0</v>
      </c>
      <c r="X81" s="119">
        <v>0</v>
      </c>
      <c r="Y81" s="119">
        <v>0</v>
      </c>
      <c r="Z81" s="119">
        <v>0</v>
      </c>
      <c r="AA81" s="119">
        <v>0</v>
      </c>
      <c r="AB81" s="119">
        <v>0</v>
      </c>
      <c r="AC81" s="119">
        <v>0</v>
      </c>
      <c r="AD81" s="119">
        <v>20</v>
      </c>
      <c r="AE81" s="119">
        <v>0</v>
      </c>
      <c r="AF81" t="s">
        <v>379</v>
      </c>
      <c r="AG81" s="119">
        <v>2200</v>
      </c>
      <c r="AH81" s="119">
        <v>942.86</v>
      </c>
      <c r="AI81" s="119">
        <v>3142.86</v>
      </c>
      <c r="AJ81" s="119">
        <v>30</v>
      </c>
      <c r="AK81" s="119">
        <v>32</v>
      </c>
      <c r="AL81" s="119">
        <v>70</v>
      </c>
      <c r="AM81" s="119">
        <v>2240</v>
      </c>
      <c r="AN81" s="119">
        <v>3182.86</v>
      </c>
      <c r="AO81" s="119">
        <v>99.46</v>
      </c>
      <c r="AP81" s="119">
        <v>5382.86</v>
      </c>
      <c r="AQ81" s="119">
        <v>20</v>
      </c>
      <c r="AR81" s="119">
        <v>1076.57</v>
      </c>
      <c r="AS81" t="s">
        <v>380</v>
      </c>
      <c r="AT81" s="119">
        <v>1500</v>
      </c>
      <c r="AU81" s="119">
        <v>642.86</v>
      </c>
      <c r="AV81" s="119">
        <v>2142.86</v>
      </c>
      <c r="AW81" s="119">
        <v>30</v>
      </c>
      <c r="AX81" s="119">
        <v>10</v>
      </c>
      <c r="AY81" s="119">
        <v>80</v>
      </c>
      <c r="AZ81" s="119">
        <v>800</v>
      </c>
      <c r="BA81" s="119">
        <v>1442.86</v>
      </c>
      <c r="BB81" s="119">
        <v>144.29</v>
      </c>
      <c r="BC81" s="119">
        <v>2942.86</v>
      </c>
      <c r="BD81" s="119">
        <v>20</v>
      </c>
      <c r="BE81" s="119">
        <v>588.57000000000005</v>
      </c>
      <c r="BF81" t="s">
        <v>381</v>
      </c>
      <c r="BG81" s="119">
        <v>0</v>
      </c>
      <c r="BH81" s="119">
        <v>0</v>
      </c>
      <c r="BI81" s="119">
        <v>0</v>
      </c>
      <c r="BJ81" s="119">
        <v>0</v>
      </c>
      <c r="BK81" s="119">
        <v>0</v>
      </c>
      <c r="BL81" s="119">
        <v>0</v>
      </c>
      <c r="BM81" s="119">
        <v>0</v>
      </c>
      <c r="BN81" s="119">
        <v>0</v>
      </c>
      <c r="BO81" s="119">
        <v>0</v>
      </c>
      <c r="BP81" s="119">
        <v>0</v>
      </c>
      <c r="BQ81" s="119">
        <v>20</v>
      </c>
      <c r="BR81" s="119">
        <v>0</v>
      </c>
      <c r="BS81" t="s">
        <v>382</v>
      </c>
      <c r="BT81" s="119">
        <v>0</v>
      </c>
      <c r="BU81" s="119">
        <v>0</v>
      </c>
      <c r="BV81" s="119">
        <v>0</v>
      </c>
      <c r="BW81" s="119">
        <v>0</v>
      </c>
      <c r="BX81" s="119">
        <v>0</v>
      </c>
      <c r="BY81" s="119">
        <v>0</v>
      </c>
      <c r="BZ81" s="119">
        <v>0</v>
      </c>
      <c r="CA81" s="119">
        <v>0</v>
      </c>
      <c r="CB81" s="119">
        <v>0</v>
      </c>
      <c r="CC81" s="119">
        <v>0</v>
      </c>
      <c r="CD81" s="119">
        <v>20</v>
      </c>
      <c r="CE81" s="119">
        <v>0</v>
      </c>
      <c r="CF81" t="s">
        <v>383</v>
      </c>
      <c r="CG81" s="119">
        <v>0</v>
      </c>
      <c r="CH81" s="119">
        <v>0</v>
      </c>
      <c r="CI81" s="119">
        <v>0</v>
      </c>
      <c r="CJ81" s="119">
        <v>0</v>
      </c>
      <c r="CK81" s="119">
        <v>0</v>
      </c>
      <c r="CL81" s="119">
        <v>0</v>
      </c>
      <c r="CM81" s="119">
        <v>0</v>
      </c>
      <c r="CN81" s="119">
        <v>0</v>
      </c>
      <c r="CO81" s="119">
        <v>0</v>
      </c>
      <c r="CP81" s="119">
        <v>0</v>
      </c>
      <c r="CQ81" s="119">
        <v>20</v>
      </c>
      <c r="CR81" s="119">
        <v>0</v>
      </c>
      <c r="CS81" t="s">
        <v>384</v>
      </c>
      <c r="CT81" s="119">
        <v>0</v>
      </c>
      <c r="CU81" s="119">
        <v>0</v>
      </c>
      <c r="CV81" s="119">
        <v>0</v>
      </c>
      <c r="CW81" s="119">
        <v>0</v>
      </c>
      <c r="CX81" s="119">
        <v>0</v>
      </c>
      <c r="CY81" s="119">
        <v>0</v>
      </c>
      <c r="CZ81" s="119">
        <v>0</v>
      </c>
      <c r="DA81" s="119">
        <v>0</v>
      </c>
      <c r="DB81" s="119">
        <v>0</v>
      </c>
      <c r="DC81" s="119">
        <v>0</v>
      </c>
      <c r="DD81" s="119">
        <v>20</v>
      </c>
      <c r="DE81" s="119">
        <v>0</v>
      </c>
      <c r="DF81" t="s">
        <v>385</v>
      </c>
      <c r="DG81" s="119">
        <v>0</v>
      </c>
      <c r="DH81" s="119">
        <v>0</v>
      </c>
      <c r="DI81" s="119">
        <v>0</v>
      </c>
      <c r="DJ81" s="119">
        <v>0</v>
      </c>
      <c r="DK81" s="119">
        <v>0</v>
      </c>
      <c r="DL81" s="119">
        <v>0</v>
      </c>
      <c r="DM81" s="119">
        <v>0</v>
      </c>
      <c r="DN81" s="119">
        <v>0</v>
      </c>
      <c r="DO81" s="119">
        <v>0</v>
      </c>
      <c r="DP81" s="119">
        <v>0</v>
      </c>
      <c r="DQ81" s="119">
        <v>20</v>
      </c>
      <c r="DR81" s="119">
        <v>0</v>
      </c>
      <c r="DS81" t="s">
        <v>386</v>
      </c>
      <c r="DT81" s="119">
        <v>0</v>
      </c>
      <c r="DU81" s="119">
        <v>0</v>
      </c>
      <c r="DV81" s="119">
        <v>0</v>
      </c>
      <c r="DW81" s="119">
        <v>0</v>
      </c>
      <c r="DX81" s="119">
        <v>0</v>
      </c>
      <c r="DY81" s="119">
        <v>0</v>
      </c>
      <c r="DZ81" s="119">
        <v>0</v>
      </c>
      <c r="EA81" s="119">
        <v>0</v>
      </c>
      <c r="EB81" s="119">
        <v>0</v>
      </c>
      <c r="EC81" s="119">
        <v>0</v>
      </c>
      <c r="ED81" s="119">
        <v>20</v>
      </c>
      <c r="EE81" s="119">
        <v>0</v>
      </c>
      <c r="EF81" t="s">
        <v>387</v>
      </c>
      <c r="EG81" s="119">
        <v>0</v>
      </c>
      <c r="EH81" s="119">
        <v>0</v>
      </c>
      <c r="EI81" s="119">
        <v>0</v>
      </c>
      <c r="EJ81" s="119">
        <v>0</v>
      </c>
      <c r="EK81" s="119">
        <v>0</v>
      </c>
      <c r="EL81" s="119">
        <v>0</v>
      </c>
      <c r="EM81" s="119">
        <v>0</v>
      </c>
      <c r="EN81" s="119">
        <v>0</v>
      </c>
      <c r="EO81" s="119">
        <v>0</v>
      </c>
      <c r="EP81" s="119">
        <v>0</v>
      </c>
      <c r="EQ81" s="119">
        <v>20</v>
      </c>
      <c r="ER81" s="119">
        <v>0</v>
      </c>
      <c r="ES81" t="s">
        <v>388</v>
      </c>
      <c r="ET81" s="119">
        <v>0</v>
      </c>
      <c r="EU81" s="119">
        <v>0</v>
      </c>
      <c r="EV81" s="119">
        <v>0</v>
      </c>
      <c r="EW81" s="119">
        <v>0</v>
      </c>
      <c r="EX81" s="119">
        <v>0</v>
      </c>
      <c r="EY81" s="119">
        <v>0</v>
      </c>
      <c r="EZ81" s="119">
        <v>0</v>
      </c>
      <c r="FA81" s="119">
        <v>0</v>
      </c>
      <c r="FB81" s="119">
        <v>0</v>
      </c>
      <c r="FC81" s="119">
        <v>0</v>
      </c>
      <c r="FD81" s="119">
        <v>20</v>
      </c>
      <c r="FE81" s="119">
        <v>0</v>
      </c>
      <c r="FF81" t="s">
        <v>389</v>
      </c>
      <c r="FG81" s="119">
        <v>0</v>
      </c>
      <c r="FH81" s="119">
        <v>0</v>
      </c>
      <c r="FI81" s="119">
        <v>0</v>
      </c>
      <c r="FJ81" s="119">
        <v>0</v>
      </c>
      <c r="FK81" s="119">
        <v>0</v>
      </c>
      <c r="FL81" s="119">
        <v>0</v>
      </c>
      <c r="FM81" s="119">
        <v>0</v>
      </c>
      <c r="FN81" s="119">
        <v>0</v>
      </c>
      <c r="FO81" s="119">
        <v>0</v>
      </c>
      <c r="FP81" s="119">
        <v>0</v>
      </c>
      <c r="FQ81" s="119">
        <v>20</v>
      </c>
      <c r="FR81" s="119">
        <v>0</v>
      </c>
      <c r="FS81" t="s">
        <v>390</v>
      </c>
      <c r="FT81" s="119">
        <v>0</v>
      </c>
      <c r="FU81" s="119">
        <v>0</v>
      </c>
      <c r="FV81" s="119">
        <v>0</v>
      </c>
      <c r="FW81" s="119">
        <v>0</v>
      </c>
      <c r="FX81" s="119">
        <v>0</v>
      </c>
      <c r="FY81" s="119">
        <v>0</v>
      </c>
      <c r="FZ81" s="119">
        <v>0</v>
      </c>
      <c r="GA81" s="119">
        <v>0</v>
      </c>
      <c r="GB81" s="119">
        <v>0</v>
      </c>
      <c r="GC81" s="119">
        <v>0</v>
      </c>
      <c r="GD81" s="119">
        <v>20</v>
      </c>
      <c r="GE81" s="119">
        <v>0</v>
      </c>
      <c r="GF81" t="s">
        <v>391</v>
      </c>
      <c r="GG81" s="119">
        <v>0</v>
      </c>
      <c r="GH81" s="119">
        <v>0</v>
      </c>
      <c r="GI81" s="119">
        <v>0</v>
      </c>
      <c r="GJ81" s="119">
        <v>0</v>
      </c>
      <c r="GK81" s="119">
        <v>0</v>
      </c>
      <c r="GL81" s="119">
        <v>0</v>
      </c>
      <c r="GM81" s="119">
        <v>0</v>
      </c>
      <c r="GN81" s="119">
        <v>0</v>
      </c>
      <c r="GO81" s="119">
        <v>0</v>
      </c>
      <c r="GP81" s="119">
        <v>0</v>
      </c>
      <c r="GQ81" s="119">
        <v>20</v>
      </c>
      <c r="GR81" s="119">
        <v>0</v>
      </c>
      <c r="HJ81"/>
      <c r="HK81" s="115"/>
      <c r="HR81" s="116"/>
      <c r="HT81" s="117"/>
      <c r="HY81"/>
      <c r="HZ81"/>
      <c r="IA81"/>
    </row>
    <row r="82" spans="1:235" x14ac:dyDescent="0.25">
      <c r="A82">
        <v>82</v>
      </c>
      <c r="B82" s="115">
        <v>43297</v>
      </c>
      <c r="C82" t="s">
        <v>392</v>
      </c>
      <c r="D82" t="s">
        <v>393</v>
      </c>
      <c r="E82" t="s">
        <v>492</v>
      </c>
      <c r="F82" t="s">
        <v>493</v>
      </c>
      <c r="G82" t="s">
        <v>494</v>
      </c>
      <c r="H82" t="s">
        <v>397</v>
      </c>
      <c r="I82" s="116">
        <v>25000</v>
      </c>
      <c r="J82" t="s">
        <v>398</v>
      </c>
      <c r="K82" s="117" t="s">
        <v>399</v>
      </c>
      <c r="L82">
        <v>1254</v>
      </c>
      <c r="M82" t="s">
        <v>495</v>
      </c>
      <c r="N82" t="s">
        <v>154</v>
      </c>
      <c r="O82">
        <v>18082</v>
      </c>
      <c r="P82">
        <v>9954.86</v>
      </c>
      <c r="Q82">
        <v>8295.7099999999991</v>
      </c>
      <c r="R82">
        <v>1659.14</v>
      </c>
      <c r="S82" t="s">
        <v>378</v>
      </c>
      <c r="T82" s="118">
        <v>2125</v>
      </c>
      <c r="U82" s="118">
        <v>910.71</v>
      </c>
      <c r="V82" s="118">
        <v>3035.71</v>
      </c>
      <c r="W82" s="119">
        <v>30</v>
      </c>
      <c r="X82" s="119">
        <v>40</v>
      </c>
      <c r="Y82" s="119">
        <v>54</v>
      </c>
      <c r="Z82" s="119">
        <v>2160</v>
      </c>
      <c r="AA82" s="119">
        <v>3070.71</v>
      </c>
      <c r="AB82" s="119">
        <v>76.77</v>
      </c>
      <c r="AC82" s="119">
        <v>5195.71</v>
      </c>
      <c r="AD82" s="119">
        <v>20</v>
      </c>
      <c r="AE82" s="119">
        <v>1039.1400000000001</v>
      </c>
      <c r="AF82" t="s">
        <v>379</v>
      </c>
      <c r="AG82" s="119">
        <v>0</v>
      </c>
      <c r="AH82" s="119">
        <v>0</v>
      </c>
      <c r="AI82" s="119">
        <v>0</v>
      </c>
      <c r="AJ82" s="119">
        <v>0</v>
      </c>
      <c r="AK82" s="119">
        <v>0</v>
      </c>
      <c r="AL82" s="119">
        <v>0</v>
      </c>
      <c r="AM82" s="119">
        <v>0</v>
      </c>
      <c r="AN82" s="119">
        <v>0</v>
      </c>
      <c r="AO82" s="119">
        <v>0</v>
      </c>
      <c r="AP82" s="119">
        <v>0</v>
      </c>
      <c r="AQ82" s="119">
        <v>20</v>
      </c>
      <c r="AR82" s="119">
        <v>0</v>
      </c>
      <c r="AS82" t="s">
        <v>380</v>
      </c>
      <c r="AT82" s="119">
        <v>1540</v>
      </c>
      <c r="AU82" s="119">
        <v>660</v>
      </c>
      <c r="AV82" s="119">
        <v>2200</v>
      </c>
      <c r="AW82" s="119">
        <v>30</v>
      </c>
      <c r="AX82" s="119">
        <v>15</v>
      </c>
      <c r="AY82" s="119">
        <v>60</v>
      </c>
      <c r="AZ82" s="119">
        <v>900</v>
      </c>
      <c r="BA82" s="119">
        <v>1560</v>
      </c>
      <c r="BB82" s="119">
        <v>104</v>
      </c>
      <c r="BC82" s="119">
        <v>3100</v>
      </c>
      <c r="BD82" s="119">
        <v>20</v>
      </c>
      <c r="BE82" s="119">
        <v>620</v>
      </c>
      <c r="BF82" t="s">
        <v>381</v>
      </c>
      <c r="BG82" s="119">
        <v>0</v>
      </c>
      <c r="BH82" s="119">
        <v>0</v>
      </c>
      <c r="BI82" s="119">
        <v>0</v>
      </c>
      <c r="BJ82" s="119">
        <v>0</v>
      </c>
      <c r="BK82" s="119">
        <v>0</v>
      </c>
      <c r="BL82" s="119">
        <v>0</v>
      </c>
      <c r="BM82" s="119">
        <v>0</v>
      </c>
      <c r="BN82" s="119">
        <v>0</v>
      </c>
      <c r="BO82" s="119">
        <v>0</v>
      </c>
      <c r="BP82" s="119">
        <v>0</v>
      </c>
      <c r="BQ82" s="119">
        <v>20</v>
      </c>
      <c r="BR82" s="119">
        <v>0</v>
      </c>
      <c r="BS82" t="s">
        <v>382</v>
      </c>
      <c r="BT82" s="119">
        <v>0</v>
      </c>
      <c r="BU82" s="119">
        <v>0</v>
      </c>
      <c r="BV82" s="119">
        <v>0</v>
      </c>
      <c r="BW82" s="119">
        <v>0</v>
      </c>
      <c r="BX82" s="119">
        <v>0</v>
      </c>
      <c r="BY82" s="119">
        <v>0</v>
      </c>
      <c r="BZ82" s="119">
        <v>0</v>
      </c>
      <c r="CA82" s="119">
        <v>0</v>
      </c>
      <c r="CB82" s="119">
        <v>0</v>
      </c>
      <c r="CC82" s="119">
        <v>0</v>
      </c>
      <c r="CD82" s="119">
        <v>20</v>
      </c>
      <c r="CE82" s="119">
        <v>0</v>
      </c>
      <c r="CF82" t="s">
        <v>496</v>
      </c>
      <c r="CG82" s="119">
        <v>0</v>
      </c>
      <c r="CH82" s="119">
        <v>0</v>
      </c>
      <c r="CI82" s="119">
        <v>0</v>
      </c>
      <c r="CJ82" s="119">
        <v>0</v>
      </c>
      <c r="CK82" s="119">
        <v>0</v>
      </c>
      <c r="CL82" s="119">
        <v>0</v>
      </c>
      <c r="CM82" s="119">
        <v>0</v>
      </c>
      <c r="CN82" s="119">
        <v>0</v>
      </c>
      <c r="CO82" s="119">
        <v>0</v>
      </c>
      <c r="CP82" s="119">
        <v>0</v>
      </c>
      <c r="CQ82" s="119">
        <v>20</v>
      </c>
      <c r="CR82" s="119">
        <v>0</v>
      </c>
      <c r="CS82" t="s">
        <v>497</v>
      </c>
      <c r="CT82" s="119">
        <v>0</v>
      </c>
      <c r="CU82" s="119">
        <v>0</v>
      </c>
      <c r="CV82" s="119">
        <v>0</v>
      </c>
      <c r="CW82" s="119">
        <v>0</v>
      </c>
      <c r="CX82" s="119">
        <v>0</v>
      </c>
      <c r="CY82" s="119">
        <v>0</v>
      </c>
      <c r="CZ82" s="119">
        <v>0</v>
      </c>
      <c r="DA82" s="119">
        <v>0</v>
      </c>
      <c r="DB82" s="119">
        <v>0</v>
      </c>
      <c r="DC82" s="119">
        <v>0</v>
      </c>
      <c r="DD82" s="119">
        <v>20</v>
      </c>
      <c r="DE82" s="119">
        <v>0</v>
      </c>
      <c r="DF82" t="s">
        <v>498</v>
      </c>
      <c r="DG82" s="119">
        <v>0</v>
      </c>
      <c r="DH82" s="119">
        <v>0</v>
      </c>
      <c r="DI82" s="119">
        <v>0</v>
      </c>
      <c r="DJ82" s="119">
        <v>0</v>
      </c>
      <c r="DK82" s="119">
        <v>0</v>
      </c>
      <c r="DL82" s="119">
        <v>0</v>
      </c>
      <c r="DM82" s="119">
        <v>0</v>
      </c>
      <c r="DN82" s="119">
        <v>0</v>
      </c>
      <c r="DO82" s="119">
        <v>0</v>
      </c>
      <c r="DP82" s="119">
        <v>0</v>
      </c>
      <c r="DQ82" s="119">
        <v>20</v>
      </c>
      <c r="DR82" s="119">
        <v>0</v>
      </c>
      <c r="DS82" t="s">
        <v>386</v>
      </c>
      <c r="DT82" s="119">
        <v>0</v>
      </c>
      <c r="DU82" s="119">
        <v>0</v>
      </c>
      <c r="DV82" s="119">
        <v>0</v>
      </c>
      <c r="DW82" s="119">
        <v>0</v>
      </c>
      <c r="DX82" s="119">
        <v>0</v>
      </c>
      <c r="DY82" s="119">
        <v>0</v>
      </c>
      <c r="DZ82" s="119">
        <v>0</v>
      </c>
      <c r="EA82" s="119">
        <v>0</v>
      </c>
      <c r="EB82" s="119">
        <v>0</v>
      </c>
      <c r="EC82" s="119">
        <v>0</v>
      </c>
      <c r="ED82" s="119">
        <v>20</v>
      </c>
      <c r="EE82" s="119">
        <v>0</v>
      </c>
      <c r="EF82" t="s">
        <v>499</v>
      </c>
      <c r="EG82" s="119">
        <v>0</v>
      </c>
      <c r="EH82" s="119">
        <v>0</v>
      </c>
      <c r="EI82" s="119">
        <v>0</v>
      </c>
      <c r="EJ82" s="119">
        <v>0</v>
      </c>
      <c r="EK82" s="119">
        <v>0</v>
      </c>
      <c r="EL82" s="119">
        <v>0</v>
      </c>
      <c r="EM82" s="119">
        <v>0</v>
      </c>
      <c r="EN82" s="119">
        <v>0</v>
      </c>
      <c r="EO82" s="119">
        <v>0</v>
      </c>
      <c r="EP82" s="119">
        <v>0</v>
      </c>
      <c r="EQ82" s="119">
        <v>20</v>
      </c>
      <c r="ER82" s="119">
        <v>0</v>
      </c>
      <c r="ES82" t="s">
        <v>388</v>
      </c>
      <c r="ET82" s="119">
        <v>0</v>
      </c>
      <c r="EU82" s="119">
        <v>0</v>
      </c>
      <c r="EV82" s="119">
        <v>0</v>
      </c>
      <c r="EW82" s="119">
        <v>0</v>
      </c>
      <c r="EX82" s="119">
        <v>0</v>
      </c>
      <c r="EY82" s="119">
        <v>0</v>
      </c>
      <c r="EZ82" s="119">
        <v>0</v>
      </c>
      <c r="FA82" s="119">
        <v>0</v>
      </c>
      <c r="FB82" s="119">
        <v>0</v>
      </c>
      <c r="FC82" s="119">
        <v>0</v>
      </c>
      <c r="FD82" s="119">
        <v>20</v>
      </c>
      <c r="FE82" s="119">
        <v>0</v>
      </c>
      <c r="FF82" t="s">
        <v>500</v>
      </c>
      <c r="FG82" s="119">
        <v>0</v>
      </c>
      <c r="FH82" s="119">
        <v>0</v>
      </c>
      <c r="FI82" s="119">
        <v>0</v>
      </c>
      <c r="FJ82" s="119">
        <v>0</v>
      </c>
      <c r="FK82" s="119">
        <v>0</v>
      </c>
      <c r="FL82" s="119">
        <v>0</v>
      </c>
      <c r="FM82" s="119">
        <v>0</v>
      </c>
      <c r="FN82" s="119">
        <v>0</v>
      </c>
      <c r="FO82" s="119">
        <v>0</v>
      </c>
      <c r="FP82" s="119">
        <v>0</v>
      </c>
      <c r="FQ82" s="119">
        <v>20</v>
      </c>
      <c r="FR82" s="119">
        <v>0</v>
      </c>
      <c r="FS82" t="s">
        <v>390</v>
      </c>
      <c r="FT82" s="119">
        <v>0</v>
      </c>
      <c r="FU82" s="119">
        <v>0</v>
      </c>
      <c r="FV82" s="119">
        <v>0</v>
      </c>
      <c r="FW82" s="119">
        <v>0</v>
      </c>
      <c r="FX82" s="119">
        <v>0</v>
      </c>
      <c r="FY82" s="119">
        <v>0</v>
      </c>
      <c r="FZ82" s="119">
        <v>0</v>
      </c>
      <c r="GA82" s="119">
        <v>0</v>
      </c>
      <c r="GB82" s="119">
        <v>0</v>
      </c>
      <c r="GC82" s="119">
        <v>0</v>
      </c>
      <c r="GD82" s="119">
        <v>20</v>
      </c>
      <c r="GE82" s="119">
        <v>0</v>
      </c>
      <c r="GF82" t="s">
        <v>391</v>
      </c>
      <c r="GG82" s="119">
        <v>0</v>
      </c>
      <c r="GH82" s="119">
        <v>0</v>
      </c>
      <c r="GI82" s="119">
        <v>0</v>
      </c>
      <c r="GJ82" s="119">
        <v>0</v>
      </c>
      <c r="GK82" s="119">
        <v>0</v>
      </c>
      <c r="GL82" s="119">
        <v>0</v>
      </c>
      <c r="GM82" s="119">
        <v>0</v>
      </c>
      <c r="GN82" s="119">
        <v>0</v>
      </c>
      <c r="GO82" s="119">
        <v>0</v>
      </c>
      <c r="GP82" s="119">
        <v>0</v>
      </c>
      <c r="GQ82" s="119">
        <v>20</v>
      </c>
      <c r="GR82" s="119">
        <v>0</v>
      </c>
      <c r="HJ82"/>
      <c r="HK82" s="115"/>
      <c r="HR82" s="116"/>
      <c r="HT82" s="117"/>
      <c r="HY82"/>
      <c r="HZ82"/>
      <c r="IA82"/>
    </row>
    <row r="83" spans="1:235" x14ac:dyDescent="0.25">
      <c r="A83">
        <v>83</v>
      </c>
      <c r="B83" s="115">
        <v>43297</v>
      </c>
      <c r="C83" t="s">
        <v>369</v>
      </c>
      <c r="D83" t="s">
        <v>481</v>
      </c>
      <c r="E83" t="s">
        <v>430</v>
      </c>
      <c r="F83" t="s">
        <v>482</v>
      </c>
      <c r="G83" t="s">
        <v>396</v>
      </c>
      <c r="H83" t="s">
        <v>483</v>
      </c>
      <c r="I83" s="116">
        <v>21220</v>
      </c>
      <c r="J83" t="s">
        <v>484</v>
      </c>
      <c r="K83" s="117">
        <v>380586547</v>
      </c>
      <c r="L83">
        <v>18456</v>
      </c>
      <c r="M83">
        <v>2546</v>
      </c>
      <c r="N83" t="s">
        <v>154</v>
      </c>
      <c r="O83">
        <v>18546</v>
      </c>
      <c r="P83">
        <v>1337.14</v>
      </c>
      <c r="Q83">
        <v>1114.29</v>
      </c>
      <c r="R83">
        <v>222.86</v>
      </c>
      <c r="S83" t="s">
        <v>378</v>
      </c>
      <c r="T83" s="118">
        <v>500</v>
      </c>
      <c r="U83" s="118">
        <v>214.29</v>
      </c>
      <c r="V83" s="118">
        <v>714.29</v>
      </c>
      <c r="W83" s="119">
        <v>30</v>
      </c>
      <c r="X83" s="119">
        <v>10</v>
      </c>
      <c r="Y83" s="119">
        <v>40</v>
      </c>
      <c r="Z83" s="119">
        <v>400</v>
      </c>
      <c r="AA83" s="119">
        <v>614.29</v>
      </c>
      <c r="AB83" s="119">
        <v>61.43</v>
      </c>
      <c r="AC83" s="119">
        <v>1114.29</v>
      </c>
      <c r="AD83" s="119">
        <v>20</v>
      </c>
      <c r="AE83" s="119">
        <v>222.86</v>
      </c>
      <c r="AF83" t="s">
        <v>379</v>
      </c>
      <c r="AG83" s="119">
        <v>0</v>
      </c>
      <c r="AH83" s="119">
        <v>0</v>
      </c>
      <c r="AI83" s="119">
        <v>0</v>
      </c>
      <c r="AJ83" s="119">
        <v>0</v>
      </c>
      <c r="AK83" s="119">
        <v>0</v>
      </c>
      <c r="AL83" s="119">
        <v>0</v>
      </c>
      <c r="AM83" s="119">
        <v>0</v>
      </c>
      <c r="AN83" s="119">
        <v>0</v>
      </c>
      <c r="AO83" s="119">
        <v>0</v>
      </c>
      <c r="AP83" s="119">
        <v>0</v>
      </c>
      <c r="AQ83" s="119">
        <v>20</v>
      </c>
      <c r="AR83" s="119">
        <v>0</v>
      </c>
      <c r="AS83" t="s">
        <v>380</v>
      </c>
      <c r="AT83" s="119">
        <v>0</v>
      </c>
      <c r="AU83" s="119">
        <v>0</v>
      </c>
      <c r="AV83" s="119">
        <v>0</v>
      </c>
      <c r="AW83" s="119">
        <v>0</v>
      </c>
      <c r="AX83" s="119">
        <v>0</v>
      </c>
      <c r="AY83" s="119">
        <v>0</v>
      </c>
      <c r="AZ83" s="119">
        <v>0</v>
      </c>
      <c r="BA83" s="119">
        <v>0</v>
      </c>
      <c r="BB83" s="119">
        <v>0</v>
      </c>
      <c r="BC83" s="119">
        <v>0</v>
      </c>
      <c r="BD83" s="119">
        <v>20</v>
      </c>
      <c r="BE83" s="119">
        <v>0</v>
      </c>
      <c r="BF83" t="s">
        <v>381</v>
      </c>
      <c r="BG83" s="119">
        <v>0</v>
      </c>
      <c r="BH83" s="119">
        <v>0</v>
      </c>
      <c r="BI83" s="119">
        <v>0</v>
      </c>
      <c r="BJ83" s="119">
        <v>0</v>
      </c>
      <c r="BK83" s="119">
        <v>0</v>
      </c>
      <c r="BL83" s="119">
        <v>0</v>
      </c>
      <c r="BM83" s="119">
        <v>0</v>
      </c>
      <c r="BN83" s="119">
        <v>0</v>
      </c>
      <c r="BO83" s="119">
        <v>0</v>
      </c>
      <c r="BP83" s="119">
        <v>0</v>
      </c>
      <c r="BQ83" s="119">
        <v>20</v>
      </c>
      <c r="BR83" s="119">
        <v>0</v>
      </c>
      <c r="BS83" t="s">
        <v>382</v>
      </c>
      <c r="BT83" s="119">
        <v>0</v>
      </c>
      <c r="BU83" s="119">
        <v>0</v>
      </c>
      <c r="BV83" s="119">
        <v>0</v>
      </c>
      <c r="BW83" s="119">
        <v>0</v>
      </c>
      <c r="BX83" s="119">
        <v>0</v>
      </c>
      <c r="BY83" s="119">
        <v>0</v>
      </c>
      <c r="BZ83" s="119">
        <v>0</v>
      </c>
      <c r="CA83" s="119">
        <v>0</v>
      </c>
      <c r="CB83" s="119">
        <v>0</v>
      </c>
      <c r="CC83" s="119">
        <v>0</v>
      </c>
      <c r="CD83" s="119">
        <v>20</v>
      </c>
      <c r="CE83" s="119">
        <v>0</v>
      </c>
      <c r="CF83" t="s">
        <v>496</v>
      </c>
      <c r="CG83" s="119">
        <v>0</v>
      </c>
      <c r="CH83" s="119">
        <v>0</v>
      </c>
      <c r="CI83" s="119">
        <v>0</v>
      </c>
      <c r="CJ83" s="119">
        <v>0</v>
      </c>
      <c r="CK83" s="119">
        <v>0</v>
      </c>
      <c r="CL83" s="119">
        <v>0</v>
      </c>
      <c r="CM83" s="119">
        <v>0</v>
      </c>
      <c r="CN83" s="119">
        <v>0</v>
      </c>
      <c r="CO83" s="119">
        <v>0</v>
      </c>
      <c r="CP83" s="119">
        <v>0</v>
      </c>
      <c r="CQ83" s="119">
        <v>20</v>
      </c>
      <c r="CR83" s="119">
        <v>0</v>
      </c>
      <c r="CS83" t="s">
        <v>497</v>
      </c>
      <c r="CT83" s="119">
        <v>0</v>
      </c>
      <c r="CU83" s="119">
        <v>0</v>
      </c>
      <c r="CV83" s="119">
        <v>0</v>
      </c>
      <c r="CW83" s="119">
        <v>0</v>
      </c>
      <c r="CX83" s="119">
        <v>0</v>
      </c>
      <c r="CY83" s="119">
        <v>0</v>
      </c>
      <c r="CZ83" s="119">
        <v>0</v>
      </c>
      <c r="DA83" s="119">
        <v>0</v>
      </c>
      <c r="DB83" s="119">
        <v>0</v>
      </c>
      <c r="DC83" s="119">
        <v>0</v>
      </c>
      <c r="DD83" s="119">
        <v>20</v>
      </c>
      <c r="DE83" s="119">
        <v>0</v>
      </c>
      <c r="DF83" t="s">
        <v>498</v>
      </c>
      <c r="DG83" s="119">
        <v>0</v>
      </c>
      <c r="DH83" s="119">
        <v>0</v>
      </c>
      <c r="DI83" s="119">
        <v>0</v>
      </c>
      <c r="DJ83" s="119">
        <v>0</v>
      </c>
      <c r="DK83" s="119">
        <v>0</v>
      </c>
      <c r="DL83" s="119">
        <v>0</v>
      </c>
      <c r="DM83" s="119">
        <v>0</v>
      </c>
      <c r="DN83" s="119">
        <v>0</v>
      </c>
      <c r="DO83" s="119">
        <v>0</v>
      </c>
      <c r="DP83" s="119">
        <v>0</v>
      </c>
      <c r="DQ83" s="119">
        <v>20</v>
      </c>
      <c r="DR83" s="119">
        <v>0</v>
      </c>
      <c r="DS83" t="s">
        <v>386</v>
      </c>
      <c r="DT83" s="119">
        <v>0</v>
      </c>
      <c r="DU83" s="119">
        <v>0</v>
      </c>
      <c r="DV83" s="119">
        <v>0</v>
      </c>
      <c r="DW83" s="119">
        <v>0</v>
      </c>
      <c r="DX83" s="119">
        <v>0</v>
      </c>
      <c r="DY83" s="119">
        <v>0</v>
      </c>
      <c r="DZ83" s="119">
        <v>0</v>
      </c>
      <c r="EA83" s="119">
        <v>0</v>
      </c>
      <c r="EB83" s="119">
        <v>0</v>
      </c>
      <c r="EC83" s="119">
        <v>0</v>
      </c>
      <c r="ED83" s="119">
        <v>20</v>
      </c>
      <c r="EE83" s="119">
        <v>0</v>
      </c>
      <c r="EF83" t="s">
        <v>499</v>
      </c>
      <c r="EG83" s="119">
        <v>0</v>
      </c>
      <c r="EH83" s="119">
        <v>0</v>
      </c>
      <c r="EI83" s="119">
        <v>0</v>
      </c>
      <c r="EJ83" s="119">
        <v>0</v>
      </c>
      <c r="EK83" s="119">
        <v>0</v>
      </c>
      <c r="EL83" s="119">
        <v>0</v>
      </c>
      <c r="EM83" s="119">
        <v>0</v>
      </c>
      <c r="EN83" s="119">
        <v>0</v>
      </c>
      <c r="EO83" s="119">
        <v>0</v>
      </c>
      <c r="EP83" s="119">
        <v>0</v>
      </c>
      <c r="EQ83" s="119">
        <v>20</v>
      </c>
      <c r="ER83" s="119">
        <v>0</v>
      </c>
      <c r="ES83" t="s">
        <v>388</v>
      </c>
      <c r="ET83" s="119">
        <v>0</v>
      </c>
      <c r="EU83" s="119">
        <v>0</v>
      </c>
      <c r="EV83" s="119">
        <v>0</v>
      </c>
      <c r="EW83" s="119">
        <v>0</v>
      </c>
      <c r="EX83" s="119">
        <v>0</v>
      </c>
      <c r="EY83" s="119">
        <v>0</v>
      </c>
      <c r="EZ83" s="119">
        <v>0</v>
      </c>
      <c r="FA83" s="119">
        <v>0</v>
      </c>
      <c r="FB83" s="119">
        <v>0</v>
      </c>
      <c r="FC83" s="119">
        <v>0</v>
      </c>
      <c r="FD83" s="119">
        <v>20</v>
      </c>
      <c r="FE83" s="119">
        <v>0</v>
      </c>
      <c r="FF83" t="s">
        <v>500</v>
      </c>
      <c r="FG83" s="119">
        <v>0</v>
      </c>
      <c r="FH83" s="119">
        <v>0</v>
      </c>
      <c r="FI83" s="119">
        <v>0</v>
      </c>
      <c r="FJ83" s="119">
        <v>0</v>
      </c>
      <c r="FK83" s="119">
        <v>0</v>
      </c>
      <c r="FL83" s="119">
        <v>0</v>
      </c>
      <c r="FM83" s="119">
        <v>0</v>
      </c>
      <c r="FN83" s="119">
        <v>0</v>
      </c>
      <c r="FO83" s="119">
        <v>0</v>
      </c>
      <c r="FP83" s="119">
        <v>0</v>
      </c>
      <c r="FQ83" s="119">
        <v>20</v>
      </c>
      <c r="FR83" s="119">
        <v>0</v>
      </c>
      <c r="FS83" t="s">
        <v>390</v>
      </c>
      <c r="FT83" s="119">
        <v>0</v>
      </c>
      <c r="FU83" s="119">
        <v>0</v>
      </c>
      <c r="FV83" s="119">
        <v>0</v>
      </c>
      <c r="FW83" s="119">
        <v>0</v>
      </c>
      <c r="FX83" s="119">
        <v>0</v>
      </c>
      <c r="FY83" s="119">
        <v>0</v>
      </c>
      <c r="FZ83" s="119">
        <v>0</v>
      </c>
      <c r="GA83" s="119">
        <v>0</v>
      </c>
      <c r="GB83" s="119">
        <v>0</v>
      </c>
      <c r="GC83" s="119">
        <v>0</v>
      </c>
      <c r="GD83" s="119">
        <v>20</v>
      </c>
      <c r="GE83" s="119">
        <v>0</v>
      </c>
      <c r="GF83" t="s">
        <v>391</v>
      </c>
      <c r="GG83" s="119">
        <v>0</v>
      </c>
      <c r="GH83" s="119">
        <v>0</v>
      </c>
      <c r="GI83" s="119">
        <v>0</v>
      </c>
      <c r="GJ83" s="119">
        <v>0</v>
      </c>
      <c r="GK83" s="119">
        <v>0</v>
      </c>
      <c r="GL83" s="119">
        <v>0</v>
      </c>
      <c r="GM83" s="119">
        <v>0</v>
      </c>
      <c r="GN83" s="119">
        <v>0</v>
      </c>
      <c r="GO83" s="119">
        <v>0</v>
      </c>
      <c r="GP83" s="119">
        <v>0</v>
      </c>
      <c r="GQ83" s="119">
        <v>20</v>
      </c>
      <c r="GR83" s="119">
        <v>0</v>
      </c>
      <c r="HJ83"/>
      <c r="HK83" s="115"/>
      <c r="HR83" s="116"/>
      <c r="HT83" s="117"/>
      <c r="HY83"/>
      <c r="HZ83"/>
      <c r="IA83"/>
    </row>
    <row r="84" spans="1:235" x14ac:dyDescent="0.25">
      <c r="A84">
        <v>84</v>
      </c>
      <c r="B84" s="115">
        <v>43297</v>
      </c>
      <c r="C84" t="s">
        <v>392</v>
      </c>
      <c r="D84" t="s">
        <v>393</v>
      </c>
      <c r="E84" t="s">
        <v>492</v>
      </c>
      <c r="F84" t="s">
        <v>493</v>
      </c>
      <c r="G84" t="s">
        <v>494</v>
      </c>
      <c r="H84" t="s">
        <v>397</v>
      </c>
      <c r="I84" s="116">
        <v>25000</v>
      </c>
      <c r="J84" t="s">
        <v>398</v>
      </c>
      <c r="K84" s="117" t="s">
        <v>399</v>
      </c>
      <c r="L84">
        <v>18432</v>
      </c>
      <c r="M84" t="s">
        <v>501</v>
      </c>
      <c r="N84" t="s">
        <v>423</v>
      </c>
      <c r="O84">
        <v>18154</v>
      </c>
      <c r="P84">
        <v>1577.14</v>
      </c>
      <c r="Q84">
        <v>1314.29</v>
      </c>
      <c r="R84">
        <v>262.86</v>
      </c>
      <c r="S84" t="s">
        <v>378</v>
      </c>
      <c r="T84" s="118">
        <v>500</v>
      </c>
      <c r="U84" s="118">
        <v>214.29</v>
      </c>
      <c r="V84" s="118">
        <v>714.29</v>
      </c>
      <c r="W84" s="119">
        <v>30</v>
      </c>
      <c r="X84" s="119">
        <v>10</v>
      </c>
      <c r="Y84" s="119">
        <v>60</v>
      </c>
      <c r="Z84" s="119">
        <v>600</v>
      </c>
      <c r="AA84" s="119">
        <v>814.29</v>
      </c>
      <c r="AB84" s="119">
        <v>81.430000000000007</v>
      </c>
      <c r="AC84" s="119">
        <v>1314.29</v>
      </c>
      <c r="AD84" s="119">
        <v>20</v>
      </c>
      <c r="AE84" s="119">
        <v>262.86</v>
      </c>
      <c r="AF84" t="s">
        <v>379</v>
      </c>
      <c r="AG84" s="119">
        <v>0</v>
      </c>
      <c r="AH84" s="119">
        <v>0</v>
      </c>
      <c r="AI84" s="119">
        <v>0</v>
      </c>
      <c r="AJ84" s="119">
        <v>0</v>
      </c>
      <c r="AK84" s="119">
        <v>0</v>
      </c>
      <c r="AL84" s="119">
        <v>0</v>
      </c>
      <c r="AM84" s="119">
        <v>0</v>
      </c>
      <c r="AN84" s="119">
        <v>0</v>
      </c>
      <c r="AO84" s="119">
        <v>0</v>
      </c>
      <c r="AP84" s="119">
        <v>0</v>
      </c>
      <c r="AQ84" s="119">
        <v>20</v>
      </c>
      <c r="AR84" s="119">
        <v>0</v>
      </c>
      <c r="AS84" t="s">
        <v>380</v>
      </c>
      <c r="AT84" s="119">
        <v>0</v>
      </c>
      <c r="AU84" s="119">
        <v>0</v>
      </c>
      <c r="AV84" s="119">
        <v>0</v>
      </c>
      <c r="AW84" s="119">
        <v>0</v>
      </c>
      <c r="AX84" s="119">
        <v>0</v>
      </c>
      <c r="AY84" s="119">
        <v>0</v>
      </c>
      <c r="AZ84" s="119">
        <v>0</v>
      </c>
      <c r="BA84" s="119">
        <v>0</v>
      </c>
      <c r="BB84" s="119">
        <v>0</v>
      </c>
      <c r="BC84" s="119">
        <v>0</v>
      </c>
      <c r="BD84" s="119">
        <v>20</v>
      </c>
      <c r="BE84" s="119">
        <v>0</v>
      </c>
      <c r="BF84" t="s">
        <v>381</v>
      </c>
      <c r="BG84" s="119">
        <v>0</v>
      </c>
      <c r="BH84" s="119">
        <v>0</v>
      </c>
      <c r="BI84" s="119">
        <v>0</v>
      </c>
      <c r="BJ84" s="119">
        <v>0</v>
      </c>
      <c r="BK84" s="119">
        <v>0</v>
      </c>
      <c r="BL84" s="119">
        <v>0</v>
      </c>
      <c r="BM84" s="119">
        <v>0</v>
      </c>
      <c r="BN84" s="119">
        <v>0</v>
      </c>
      <c r="BO84" s="119">
        <v>0</v>
      </c>
      <c r="BP84" s="119">
        <v>0</v>
      </c>
      <c r="BQ84" s="119">
        <v>20</v>
      </c>
      <c r="BR84" s="119">
        <v>0</v>
      </c>
      <c r="BS84" t="s">
        <v>382</v>
      </c>
      <c r="BT84" s="119">
        <v>0</v>
      </c>
      <c r="BU84" s="119">
        <v>0</v>
      </c>
      <c r="BV84" s="119">
        <v>0</v>
      </c>
      <c r="BW84" s="119">
        <v>0</v>
      </c>
      <c r="BX84" s="119">
        <v>0</v>
      </c>
      <c r="BY84" s="119">
        <v>0</v>
      </c>
      <c r="BZ84" s="119">
        <v>0</v>
      </c>
      <c r="CA84" s="119">
        <v>0</v>
      </c>
      <c r="CB84" s="119">
        <v>0</v>
      </c>
      <c r="CC84" s="119">
        <v>0</v>
      </c>
      <c r="CD84" s="119">
        <v>20</v>
      </c>
      <c r="CE84" s="119">
        <v>0</v>
      </c>
      <c r="CF84" t="s">
        <v>496</v>
      </c>
      <c r="CG84" s="119">
        <v>0</v>
      </c>
      <c r="CH84" s="119">
        <v>0</v>
      </c>
      <c r="CI84" s="119">
        <v>0</v>
      </c>
      <c r="CJ84" s="119">
        <v>0</v>
      </c>
      <c r="CK84" s="119">
        <v>0</v>
      </c>
      <c r="CL84" s="119">
        <v>0</v>
      </c>
      <c r="CM84" s="119">
        <v>0</v>
      </c>
      <c r="CN84" s="119">
        <v>0</v>
      </c>
      <c r="CO84" s="119">
        <v>0</v>
      </c>
      <c r="CP84" s="119">
        <v>0</v>
      </c>
      <c r="CQ84" s="119">
        <v>20</v>
      </c>
      <c r="CR84" s="119">
        <v>0</v>
      </c>
      <c r="CS84" t="s">
        <v>497</v>
      </c>
      <c r="CT84" s="119">
        <v>0</v>
      </c>
      <c r="CU84" s="119">
        <v>0</v>
      </c>
      <c r="CV84" s="119">
        <v>0</v>
      </c>
      <c r="CW84" s="119">
        <v>0</v>
      </c>
      <c r="CX84" s="119">
        <v>0</v>
      </c>
      <c r="CY84" s="119">
        <v>0</v>
      </c>
      <c r="CZ84" s="119">
        <v>0</v>
      </c>
      <c r="DA84" s="119">
        <v>0</v>
      </c>
      <c r="DB84" s="119">
        <v>0</v>
      </c>
      <c r="DC84" s="119">
        <v>0</v>
      </c>
      <c r="DD84" s="119">
        <v>20</v>
      </c>
      <c r="DE84" s="119">
        <v>0</v>
      </c>
      <c r="DF84" t="s">
        <v>498</v>
      </c>
      <c r="DG84" s="119">
        <v>0</v>
      </c>
      <c r="DH84" s="119">
        <v>0</v>
      </c>
      <c r="DI84" s="119">
        <v>0</v>
      </c>
      <c r="DJ84" s="119">
        <v>0</v>
      </c>
      <c r="DK84" s="119">
        <v>0</v>
      </c>
      <c r="DL84" s="119">
        <v>0</v>
      </c>
      <c r="DM84" s="119">
        <v>0</v>
      </c>
      <c r="DN84" s="119">
        <v>0</v>
      </c>
      <c r="DO84" s="119">
        <v>0</v>
      </c>
      <c r="DP84" s="119">
        <v>0</v>
      </c>
      <c r="DQ84" s="119">
        <v>20</v>
      </c>
      <c r="DR84" s="119">
        <v>0</v>
      </c>
      <c r="DS84" t="s">
        <v>386</v>
      </c>
      <c r="DT84" s="119">
        <v>0</v>
      </c>
      <c r="DU84" s="119">
        <v>0</v>
      </c>
      <c r="DV84" s="119">
        <v>0</v>
      </c>
      <c r="DW84" s="119">
        <v>0</v>
      </c>
      <c r="DX84" s="119">
        <v>0</v>
      </c>
      <c r="DY84" s="119">
        <v>0</v>
      </c>
      <c r="DZ84" s="119">
        <v>0</v>
      </c>
      <c r="EA84" s="119">
        <v>0</v>
      </c>
      <c r="EB84" s="119">
        <v>0</v>
      </c>
      <c r="EC84" s="119">
        <v>0</v>
      </c>
      <c r="ED84" s="119">
        <v>20</v>
      </c>
      <c r="EE84" s="119">
        <v>0</v>
      </c>
      <c r="EF84" t="s">
        <v>499</v>
      </c>
      <c r="EG84" s="119">
        <v>0</v>
      </c>
      <c r="EH84" s="119">
        <v>0</v>
      </c>
      <c r="EI84" s="119">
        <v>0</v>
      </c>
      <c r="EJ84" s="119">
        <v>0</v>
      </c>
      <c r="EK84" s="119">
        <v>0</v>
      </c>
      <c r="EL84" s="119">
        <v>0</v>
      </c>
      <c r="EM84" s="119">
        <v>0</v>
      </c>
      <c r="EN84" s="119">
        <v>0</v>
      </c>
      <c r="EO84" s="119">
        <v>0</v>
      </c>
      <c r="EP84" s="119">
        <v>0</v>
      </c>
      <c r="EQ84" s="119">
        <v>20</v>
      </c>
      <c r="ER84" s="119">
        <v>0</v>
      </c>
      <c r="ES84" t="s">
        <v>388</v>
      </c>
      <c r="ET84" s="119">
        <v>0</v>
      </c>
      <c r="EU84" s="119">
        <v>0</v>
      </c>
      <c r="EV84" s="119">
        <v>0</v>
      </c>
      <c r="EW84" s="119">
        <v>0</v>
      </c>
      <c r="EX84" s="119">
        <v>0</v>
      </c>
      <c r="EY84" s="119">
        <v>0</v>
      </c>
      <c r="EZ84" s="119">
        <v>0</v>
      </c>
      <c r="FA84" s="119">
        <v>0</v>
      </c>
      <c r="FB84" s="119">
        <v>0</v>
      </c>
      <c r="FC84" s="119">
        <v>0</v>
      </c>
      <c r="FD84" s="119">
        <v>20</v>
      </c>
      <c r="FE84" s="119">
        <v>0</v>
      </c>
      <c r="FF84" t="s">
        <v>500</v>
      </c>
      <c r="FG84" s="119">
        <v>0</v>
      </c>
      <c r="FH84" s="119">
        <v>0</v>
      </c>
      <c r="FI84" s="119">
        <v>0</v>
      </c>
      <c r="FJ84" s="119">
        <v>0</v>
      </c>
      <c r="FK84" s="119">
        <v>0</v>
      </c>
      <c r="FL84" s="119">
        <v>0</v>
      </c>
      <c r="FM84" s="119">
        <v>0</v>
      </c>
      <c r="FN84" s="119">
        <v>0</v>
      </c>
      <c r="FO84" s="119">
        <v>0</v>
      </c>
      <c r="FP84" s="119">
        <v>0</v>
      </c>
      <c r="FQ84" s="119">
        <v>20</v>
      </c>
      <c r="FR84" s="119">
        <v>0</v>
      </c>
      <c r="FS84" t="s">
        <v>390</v>
      </c>
      <c r="FT84" s="119">
        <v>0</v>
      </c>
      <c r="FU84" s="119">
        <v>0</v>
      </c>
      <c r="FV84" s="119">
        <v>0</v>
      </c>
      <c r="FW84" s="119">
        <v>0</v>
      </c>
      <c r="FX84" s="119">
        <v>0</v>
      </c>
      <c r="FY84" s="119">
        <v>0</v>
      </c>
      <c r="FZ84" s="119">
        <v>0</v>
      </c>
      <c r="GA84" s="119">
        <v>0</v>
      </c>
      <c r="GB84" s="119">
        <v>0</v>
      </c>
      <c r="GC84" s="119">
        <v>0</v>
      </c>
      <c r="GD84" s="119">
        <v>20</v>
      </c>
      <c r="GE84" s="119">
        <v>0</v>
      </c>
      <c r="GF84" t="s">
        <v>391</v>
      </c>
      <c r="GG84" s="119">
        <v>0</v>
      </c>
      <c r="GH84" s="119">
        <v>0</v>
      </c>
      <c r="GI84" s="119">
        <v>0</v>
      </c>
      <c r="GJ84" s="119">
        <v>0</v>
      </c>
      <c r="GK84" s="119">
        <v>0</v>
      </c>
      <c r="GL84" s="119">
        <v>0</v>
      </c>
      <c r="GM84" s="119">
        <v>0</v>
      </c>
      <c r="GN84" s="119">
        <v>0</v>
      </c>
      <c r="GO84" s="119">
        <v>0</v>
      </c>
      <c r="GP84" s="119">
        <v>0</v>
      </c>
      <c r="GQ84" s="119">
        <v>20</v>
      </c>
      <c r="GR84" s="119">
        <v>0</v>
      </c>
      <c r="HJ84"/>
      <c r="HK84" s="115"/>
      <c r="HR84" s="116"/>
      <c r="HT84" s="117"/>
      <c r="HY84"/>
      <c r="HZ84"/>
      <c r="IA84"/>
    </row>
    <row r="85" spans="1:235" x14ac:dyDescent="0.25">
      <c r="A85">
        <v>85</v>
      </c>
      <c r="B85" s="115">
        <v>43297</v>
      </c>
      <c r="C85" t="s">
        <v>369</v>
      </c>
      <c r="D85" t="s">
        <v>481</v>
      </c>
      <c r="E85" t="s">
        <v>430</v>
      </c>
      <c r="F85" t="s">
        <v>482</v>
      </c>
      <c r="G85" t="s">
        <v>396</v>
      </c>
      <c r="H85" t="s">
        <v>483</v>
      </c>
      <c r="I85" s="116">
        <v>21220</v>
      </c>
      <c r="J85" t="s">
        <v>484</v>
      </c>
      <c r="K85" s="117">
        <v>380586547</v>
      </c>
      <c r="L85">
        <v>18654</v>
      </c>
      <c r="M85">
        <v>1233132131</v>
      </c>
      <c r="N85" t="s">
        <v>423</v>
      </c>
      <c r="O85">
        <v>18546</v>
      </c>
      <c r="P85">
        <v>13611.43</v>
      </c>
      <c r="Q85">
        <v>11342.86</v>
      </c>
      <c r="R85">
        <v>2268.5700000000002</v>
      </c>
      <c r="S85" t="s">
        <v>378</v>
      </c>
      <c r="T85" s="118">
        <v>5000</v>
      </c>
      <c r="U85" s="118">
        <v>2142.86</v>
      </c>
      <c r="V85" s="118">
        <v>7142.86</v>
      </c>
      <c r="W85" s="119">
        <v>30</v>
      </c>
      <c r="X85" s="119">
        <v>60</v>
      </c>
      <c r="Y85" s="119">
        <v>70</v>
      </c>
      <c r="Z85" s="119">
        <v>4200</v>
      </c>
      <c r="AA85" s="119">
        <v>6342.86</v>
      </c>
      <c r="AB85" s="119">
        <v>105.71</v>
      </c>
      <c r="AC85" s="119">
        <v>11342.86</v>
      </c>
      <c r="AD85" s="119">
        <v>20</v>
      </c>
      <c r="AE85" s="119">
        <v>2268.5700000000002</v>
      </c>
      <c r="AF85" t="s">
        <v>379</v>
      </c>
      <c r="AG85" s="119">
        <v>0</v>
      </c>
      <c r="AH85" s="119">
        <v>0</v>
      </c>
      <c r="AI85" s="119">
        <v>0</v>
      </c>
      <c r="AJ85" s="119">
        <v>0</v>
      </c>
      <c r="AK85" s="119">
        <v>0</v>
      </c>
      <c r="AL85" s="119">
        <v>0</v>
      </c>
      <c r="AM85" s="119">
        <v>0</v>
      </c>
      <c r="AN85" s="119">
        <v>0</v>
      </c>
      <c r="AO85" s="119">
        <v>0</v>
      </c>
      <c r="AP85" s="119">
        <v>0</v>
      </c>
      <c r="AQ85" s="119">
        <v>20</v>
      </c>
      <c r="AR85" s="119">
        <v>0</v>
      </c>
      <c r="AS85" t="s">
        <v>380</v>
      </c>
      <c r="AT85" s="119">
        <v>0</v>
      </c>
      <c r="AU85" s="119">
        <v>0</v>
      </c>
      <c r="AV85" s="119">
        <v>0</v>
      </c>
      <c r="AW85" s="119">
        <v>0</v>
      </c>
      <c r="AX85" s="119">
        <v>0</v>
      </c>
      <c r="AY85" s="119">
        <v>0</v>
      </c>
      <c r="AZ85" s="119">
        <v>0</v>
      </c>
      <c r="BA85" s="119">
        <v>0</v>
      </c>
      <c r="BB85" s="119">
        <v>0</v>
      </c>
      <c r="BC85" s="119">
        <v>0</v>
      </c>
      <c r="BD85" s="119">
        <v>20</v>
      </c>
      <c r="BE85" s="119">
        <v>0</v>
      </c>
      <c r="BF85" t="s">
        <v>381</v>
      </c>
      <c r="BG85" s="119">
        <v>0</v>
      </c>
      <c r="BH85" s="119">
        <v>0</v>
      </c>
      <c r="BI85" s="119">
        <v>0</v>
      </c>
      <c r="BJ85" s="119">
        <v>0</v>
      </c>
      <c r="BK85" s="119">
        <v>0</v>
      </c>
      <c r="BL85" s="119">
        <v>0</v>
      </c>
      <c r="BM85" s="119">
        <v>0</v>
      </c>
      <c r="BN85" s="119">
        <v>0</v>
      </c>
      <c r="BO85" s="119">
        <v>0</v>
      </c>
      <c r="BP85" s="119">
        <v>0</v>
      </c>
      <c r="BQ85" s="119">
        <v>20</v>
      </c>
      <c r="BR85" s="119">
        <v>0</v>
      </c>
      <c r="BS85" t="s">
        <v>382</v>
      </c>
      <c r="BT85" s="119">
        <v>0</v>
      </c>
      <c r="BU85" s="119">
        <v>0</v>
      </c>
      <c r="BV85" s="119">
        <v>0</v>
      </c>
      <c r="BW85" s="119">
        <v>0</v>
      </c>
      <c r="BX85" s="119">
        <v>0</v>
      </c>
      <c r="BY85" s="119">
        <v>0</v>
      </c>
      <c r="BZ85" s="119">
        <v>0</v>
      </c>
      <c r="CA85" s="119">
        <v>0</v>
      </c>
      <c r="CB85" s="119">
        <v>0</v>
      </c>
      <c r="CC85" s="119">
        <v>0</v>
      </c>
      <c r="CD85" s="119">
        <v>20</v>
      </c>
      <c r="CE85" s="119">
        <v>0</v>
      </c>
      <c r="CF85" t="s">
        <v>496</v>
      </c>
      <c r="CG85" s="119">
        <v>0</v>
      </c>
      <c r="CH85" s="119">
        <v>0</v>
      </c>
      <c r="CI85" s="119">
        <v>0</v>
      </c>
      <c r="CJ85" s="119">
        <v>0</v>
      </c>
      <c r="CK85" s="119">
        <v>0</v>
      </c>
      <c r="CL85" s="119">
        <v>0</v>
      </c>
      <c r="CM85" s="119">
        <v>0</v>
      </c>
      <c r="CN85" s="119">
        <v>0</v>
      </c>
      <c r="CO85" s="119">
        <v>0</v>
      </c>
      <c r="CP85" s="119">
        <v>0</v>
      </c>
      <c r="CQ85" s="119">
        <v>20</v>
      </c>
      <c r="CR85" s="119">
        <v>0</v>
      </c>
      <c r="CS85" t="s">
        <v>497</v>
      </c>
      <c r="CT85" s="119">
        <v>0</v>
      </c>
      <c r="CU85" s="119">
        <v>0</v>
      </c>
      <c r="CV85" s="119">
        <v>0</v>
      </c>
      <c r="CW85" s="119">
        <v>0</v>
      </c>
      <c r="CX85" s="119">
        <v>0</v>
      </c>
      <c r="CY85" s="119">
        <v>0</v>
      </c>
      <c r="CZ85" s="119">
        <v>0</v>
      </c>
      <c r="DA85" s="119">
        <v>0</v>
      </c>
      <c r="DB85" s="119">
        <v>0</v>
      </c>
      <c r="DC85" s="119">
        <v>0</v>
      </c>
      <c r="DD85" s="119">
        <v>20</v>
      </c>
      <c r="DE85" s="119">
        <v>0</v>
      </c>
      <c r="DF85" t="s">
        <v>498</v>
      </c>
      <c r="DG85" s="119">
        <v>0</v>
      </c>
      <c r="DH85" s="119">
        <v>0</v>
      </c>
      <c r="DI85" s="119">
        <v>0</v>
      </c>
      <c r="DJ85" s="119">
        <v>0</v>
      </c>
      <c r="DK85" s="119">
        <v>0</v>
      </c>
      <c r="DL85" s="119">
        <v>0</v>
      </c>
      <c r="DM85" s="119">
        <v>0</v>
      </c>
      <c r="DN85" s="119">
        <v>0</v>
      </c>
      <c r="DO85" s="119">
        <v>0</v>
      </c>
      <c r="DP85" s="119">
        <v>0</v>
      </c>
      <c r="DQ85" s="119">
        <v>20</v>
      </c>
      <c r="DR85" s="119">
        <v>0</v>
      </c>
      <c r="DS85" t="s">
        <v>386</v>
      </c>
      <c r="DT85" s="119">
        <v>0</v>
      </c>
      <c r="DU85" s="119">
        <v>0</v>
      </c>
      <c r="DV85" s="119">
        <v>0</v>
      </c>
      <c r="DW85" s="119">
        <v>0</v>
      </c>
      <c r="DX85" s="119">
        <v>0</v>
      </c>
      <c r="DY85" s="119">
        <v>0</v>
      </c>
      <c r="DZ85" s="119">
        <v>0</v>
      </c>
      <c r="EA85" s="119">
        <v>0</v>
      </c>
      <c r="EB85" s="119">
        <v>0</v>
      </c>
      <c r="EC85" s="119">
        <v>0</v>
      </c>
      <c r="ED85" s="119">
        <v>20</v>
      </c>
      <c r="EE85" s="119">
        <v>0</v>
      </c>
      <c r="EF85" t="s">
        <v>499</v>
      </c>
      <c r="EG85" s="119">
        <v>0</v>
      </c>
      <c r="EH85" s="119">
        <v>0</v>
      </c>
      <c r="EI85" s="119">
        <v>0</v>
      </c>
      <c r="EJ85" s="119">
        <v>0</v>
      </c>
      <c r="EK85" s="119">
        <v>0</v>
      </c>
      <c r="EL85" s="119">
        <v>0</v>
      </c>
      <c r="EM85" s="119">
        <v>0</v>
      </c>
      <c r="EN85" s="119">
        <v>0</v>
      </c>
      <c r="EO85" s="119">
        <v>0</v>
      </c>
      <c r="EP85" s="119">
        <v>0</v>
      </c>
      <c r="EQ85" s="119">
        <v>20</v>
      </c>
      <c r="ER85" s="119">
        <v>0</v>
      </c>
      <c r="ES85" t="s">
        <v>388</v>
      </c>
      <c r="ET85" s="119">
        <v>0</v>
      </c>
      <c r="EU85" s="119">
        <v>0</v>
      </c>
      <c r="EV85" s="119">
        <v>0</v>
      </c>
      <c r="EW85" s="119">
        <v>0</v>
      </c>
      <c r="EX85" s="119">
        <v>0</v>
      </c>
      <c r="EY85" s="119">
        <v>0</v>
      </c>
      <c r="EZ85" s="119">
        <v>0</v>
      </c>
      <c r="FA85" s="119">
        <v>0</v>
      </c>
      <c r="FB85" s="119">
        <v>0</v>
      </c>
      <c r="FC85" s="119">
        <v>0</v>
      </c>
      <c r="FD85" s="119">
        <v>20</v>
      </c>
      <c r="FE85" s="119">
        <v>0</v>
      </c>
      <c r="FF85" t="s">
        <v>500</v>
      </c>
      <c r="FG85" s="119">
        <v>0</v>
      </c>
      <c r="FH85" s="119">
        <v>0</v>
      </c>
      <c r="FI85" s="119">
        <v>0</v>
      </c>
      <c r="FJ85" s="119">
        <v>0</v>
      </c>
      <c r="FK85" s="119">
        <v>0</v>
      </c>
      <c r="FL85" s="119">
        <v>0</v>
      </c>
      <c r="FM85" s="119">
        <v>0</v>
      </c>
      <c r="FN85" s="119">
        <v>0</v>
      </c>
      <c r="FO85" s="119">
        <v>0</v>
      </c>
      <c r="FP85" s="119">
        <v>0</v>
      </c>
      <c r="FQ85" s="119">
        <v>20</v>
      </c>
      <c r="FR85" s="119">
        <v>0</v>
      </c>
      <c r="FS85" t="s">
        <v>390</v>
      </c>
      <c r="FT85" s="119">
        <v>0</v>
      </c>
      <c r="FU85" s="119">
        <v>0</v>
      </c>
      <c r="FV85" s="119">
        <v>0</v>
      </c>
      <c r="FW85" s="119">
        <v>0</v>
      </c>
      <c r="FX85" s="119">
        <v>0</v>
      </c>
      <c r="FY85" s="119">
        <v>0</v>
      </c>
      <c r="FZ85" s="119">
        <v>0</v>
      </c>
      <c r="GA85" s="119">
        <v>0</v>
      </c>
      <c r="GB85" s="119">
        <v>0</v>
      </c>
      <c r="GC85" s="119">
        <v>0</v>
      </c>
      <c r="GD85" s="119">
        <v>20</v>
      </c>
      <c r="GE85" s="119">
        <v>0</v>
      </c>
      <c r="GF85" t="s">
        <v>391</v>
      </c>
      <c r="GG85" s="119">
        <v>0</v>
      </c>
      <c r="GH85" s="119">
        <v>0</v>
      </c>
      <c r="GI85" s="119">
        <v>0</v>
      </c>
      <c r="GJ85" s="119">
        <v>0</v>
      </c>
      <c r="GK85" s="119">
        <v>0</v>
      </c>
      <c r="GL85" s="119">
        <v>0</v>
      </c>
      <c r="GM85" s="119">
        <v>0</v>
      </c>
      <c r="GN85" s="119">
        <v>0</v>
      </c>
      <c r="GO85" s="119">
        <v>0</v>
      </c>
      <c r="GP85" s="119">
        <v>0</v>
      </c>
      <c r="GQ85" s="119">
        <v>20</v>
      </c>
      <c r="GR85" s="119">
        <v>0</v>
      </c>
      <c r="HJ85"/>
      <c r="HK85" s="115"/>
      <c r="HR85" s="116"/>
      <c r="HT85" s="117"/>
      <c r="HY85"/>
      <c r="HZ85"/>
      <c r="IA85"/>
    </row>
    <row r="86" spans="1:235" x14ac:dyDescent="0.25">
      <c r="A86">
        <v>86</v>
      </c>
      <c r="B86" s="115">
        <v>43298</v>
      </c>
      <c r="C86" t="s">
        <v>369</v>
      </c>
      <c r="D86" t="s">
        <v>481</v>
      </c>
      <c r="E86" t="s">
        <v>430</v>
      </c>
      <c r="F86" t="s">
        <v>482</v>
      </c>
      <c r="G86" t="s">
        <v>396</v>
      </c>
      <c r="H86" t="s">
        <v>483</v>
      </c>
      <c r="I86" s="116">
        <v>21220</v>
      </c>
      <c r="J86" t="s">
        <v>484</v>
      </c>
      <c r="K86" s="117">
        <v>380586547</v>
      </c>
      <c r="L86">
        <v>18021</v>
      </c>
      <c r="M86">
        <v>7865</v>
      </c>
      <c r="N86" t="s">
        <v>154</v>
      </c>
      <c r="O86">
        <v>1846</v>
      </c>
      <c r="P86">
        <v>1817.14</v>
      </c>
      <c r="Q86">
        <v>1514.29</v>
      </c>
      <c r="R86">
        <v>302.86</v>
      </c>
      <c r="S86" t="s">
        <v>378</v>
      </c>
      <c r="T86" s="118">
        <v>500</v>
      </c>
      <c r="U86" s="118">
        <v>214.29</v>
      </c>
      <c r="V86" s="118">
        <v>714.29</v>
      </c>
      <c r="W86" s="119">
        <v>30</v>
      </c>
      <c r="X86" s="119">
        <v>10</v>
      </c>
      <c r="Y86" s="119">
        <v>80</v>
      </c>
      <c r="Z86" s="119">
        <v>800</v>
      </c>
      <c r="AA86" s="119">
        <v>1014.29</v>
      </c>
      <c r="AB86" s="119">
        <v>101.43</v>
      </c>
      <c r="AC86" s="119">
        <v>1514.29</v>
      </c>
      <c r="AD86" s="119">
        <v>20</v>
      </c>
      <c r="AE86" s="119">
        <v>302.86</v>
      </c>
      <c r="AF86" t="s">
        <v>379</v>
      </c>
      <c r="AG86" s="119">
        <v>0</v>
      </c>
      <c r="AH86" s="119">
        <v>0</v>
      </c>
      <c r="AI86" s="119">
        <v>0</v>
      </c>
      <c r="AJ86" s="119">
        <v>0</v>
      </c>
      <c r="AK86" s="119">
        <v>0</v>
      </c>
      <c r="AL86" s="119">
        <v>0</v>
      </c>
      <c r="AM86" s="119">
        <v>0</v>
      </c>
      <c r="AN86" s="119">
        <v>0</v>
      </c>
      <c r="AO86" s="119">
        <v>0</v>
      </c>
      <c r="AP86" s="119">
        <v>0</v>
      </c>
      <c r="AQ86" s="119">
        <v>20</v>
      </c>
      <c r="AR86" s="119">
        <v>0</v>
      </c>
      <c r="AS86" t="s">
        <v>380</v>
      </c>
      <c r="AT86" s="119">
        <v>0</v>
      </c>
      <c r="AU86" s="119">
        <v>0</v>
      </c>
      <c r="AV86" s="119">
        <v>0</v>
      </c>
      <c r="AW86" s="119">
        <v>0</v>
      </c>
      <c r="AX86" s="119">
        <v>0</v>
      </c>
      <c r="AY86" s="119">
        <v>0</v>
      </c>
      <c r="AZ86" s="119">
        <v>0</v>
      </c>
      <c r="BA86" s="119">
        <v>0</v>
      </c>
      <c r="BB86" s="119">
        <v>0</v>
      </c>
      <c r="BC86" s="119">
        <v>0</v>
      </c>
      <c r="BD86" s="119">
        <v>20</v>
      </c>
      <c r="BE86" s="119">
        <v>0</v>
      </c>
      <c r="BF86" t="s">
        <v>381</v>
      </c>
      <c r="BG86" s="119">
        <v>0</v>
      </c>
      <c r="BH86" s="119">
        <v>0</v>
      </c>
      <c r="BI86" s="119">
        <v>0</v>
      </c>
      <c r="BJ86" s="119">
        <v>0</v>
      </c>
      <c r="BK86" s="119">
        <v>0</v>
      </c>
      <c r="BL86" s="119">
        <v>0</v>
      </c>
      <c r="BM86" s="119">
        <v>0</v>
      </c>
      <c r="BN86" s="119">
        <v>0</v>
      </c>
      <c r="BO86" s="119">
        <v>0</v>
      </c>
      <c r="BP86" s="119">
        <v>0</v>
      </c>
      <c r="BQ86" s="119">
        <v>20</v>
      </c>
      <c r="BR86" s="119">
        <v>0</v>
      </c>
      <c r="BS86" t="s">
        <v>382</v>
      </c>
      <c r="BT86" s="119">
        <v>0</v>
      </c>
      <c r="BU86" s="119">
        <v>0</v>
      </c>
      <c r="BV86" s="119">
        <v>0</v>
      </c>
      <c r="BW86" s="119">
        <v>0</v>
      </c>
      <c r="BX86" s="119">
        <v>0</v>
      </c>
      <c r="BY86" s="119">
        <v>0</v>
      </c>
      <c r="BZ86" s="119">
        <v>0</v>
      </c>
      <c r="CA86" s="119">
        <v>0</v>
      </c>
      <c r="CB86" s="119">
        <v>0</v>
      </c>
      <c r="CC86" s="119">
        <v>0</v>
      </c>
      <c r="CD86" s="119">
        <v>20</v>
      </c>
      <c r="CE86" s="119">
        <v>0</v>
      </c>
      <c r="CF86" t="s">
        <v>496</v>
      </c>
      <c r="CG86" s="119">
        <v>0</v>
      </c>
      <c r="CH86" s="119">
        <v>0</v>
      </c>
      <c r="CI86" s="119">
        <v>0</v>
      </c>
      <c r="CJ86" s="119">
        <v>0</v>
      </c>
      <c r="CK86" s="119">
        <v>0</v>
      </c>
      <c r="CL86" s="119">
        <v>0</v>
      </c>
      <c r="CM86" s="119">
        <v>0</v>
      </c>
      <c r="CN86" s="119">
        <v>0</v>
      </c>
      <c r="CO86" s="119">
        <v>0</v>
      </c>
      <c r="CP86" s="119">
        <v>0</v>
      </c>
      <c r="CQ86" s="119">
        <v>20</v>
      </c>
      <c r="CR86" s="119">
        <v>0</v>
      </c>
      <c r="CS86" t="s">
        <v>497</v>
      </c>
      <c r="CT86" s="119">
        <v>0</v>
      </c>
      <c r="CU86" s="119">
        <v>0</v>
      </c>
      <c r="CV86" s="119">
        <v>0</v>
      </c>
      <c r="CW86" s="119">
        <v>0</v>
      </c>
      <c r="CX86" s="119">
        <v>0</v>
      </c>
      <c r="CY86" s="119">
        <v>0</v>
      </c>
      <c r="CZ86" s="119">
        <v>0</v>
      </c>
      <c r="DA86" s="119">
        <v>0</v>
      </c>
      <c r="DB86" s="119">
        <v>0</v>
      </c>
      <c r="DC86" s="119">
        <v>0</v>
      </c>
      <c r="DD86" s="119">
        <v>20</v>
      </c>
      <c r="DE86" s="119">
        <v>0</v>
      </c>
      <c r="DF86" t="s">
        <v>498</v>
      </c>
      <c r="DG86" s="119">
        <v>0</v>
      </c>
      <c r="DH86" s="119">
        <v>0</v>
      </c>
      <c r="DI86" s="119">
        <v>0</v>
      </c>
      <c r="DJ86" s="119">
        <v>0</v>
      </c>
      <c r="DK86" s="119">
        <v>0</v>
      </c>
      <c r="DL86" s="119">
        <v>0</v>
      </c>
      <c r="DM86" s="119">
        <v>0</v>
      </c>
      <c r="DN86" s="119">
        <v>0</v>
      </c>
      <c r="DO86" s="119">
        <v>0</v>
      </c>
      <c r="DP86" s="119">
        <v>0</v>
      </c>
      <c r="DQ86" s="119">
        <v>20</v>
      </c>
      <c r="DR86" s="119">
        <v>0</v>
      </c>
      <c r="DS86" t="s">
        <v>386</v>
      </c>
      <c r="DT86" s="119">
        <v>0</v>
      </c>
      <c r="DU86" s="119">
        <v>0</v>
      </c>
      <c r="DV86" s="119">
        <v>0</v>
      </c>
      <c r="DW86" s="119">
        <v>0</v>
      </c>
      <c r="DX86" s="119">
        <v>0</v>
      </c>
      <c r="DY86" s="119">
        <v>0</v>
      </c>
      <c r="DZ86" s="119">
        <v>0</v>
      </c>
      <c r="EA86" s="119">
        <v>0</v>
      </c>
      <c r="EB86" s="119">
        <v>0</v>
      </c>
      <c r="EC86" s="119">
        <v>0</v>
      </c>
      <c r="ED86" s="119">
        <v>20</v>
      </c>
      <c r="EE86" s="119">
        <v>0</v>
      </c>
      <c r="EF86" t="s">
        <v>499</v>
      </c>
      <c r="EG86" s="119">
        <v>0</v>
      </c>
      <c r="EH86" s="119">
        <v>0</v>
      </c>
      <c r="EI86" s="119">
        <v>0</v>
      </c>
      <c r="EJ86" s="119">
        <v>0</v>
      </c>
      <c r="EK86" s="119">
        <v>0</v>
      </c>
      <c r="EL86" s="119">
        <v>0</v>
      </c>
      <c r="EM86" s="119">
        <v>0</v>
      </c>
      <c r="EN86" s="119">
        <v>0</v>
      </c>
      <c r="EO86" s="119">
        <v>0</v>
      </c>
      <c r="EP86" s="119">
        <v>0</v>
      </c>
      <c r="EQ86" s="119">
        <v>20</v>
      </c>
      <c r="ER86" s="119">
        <v>0</v>
      </c>
      <c r="ES86" t="s">
        <v>388</v>
      </c>
      <c r="ET86" s="119">
        <v>0</v>
      </c>
      <c r="EU86" s="119">
        <v>0</v>
      </c>
      <c r="EV86" s="119">
        <v>0</v>
      </c>
      <c r="EW86" s="119">
        <v>0</v>
      </c>
      <c r="EX86" s="119">
        <v>0</v>
      </c>
      <c r="EY86" s="119">
        <v>0</v>
      </c>
      <c r="EZ86" s="119">
        <v>0</v>
      </c>
      <c r="FA86" s="119">
        <v>0</v>
      </c>
      <c r="FB86" s="119">
        <v>0</v>
      </c>
      <c r="FC86" s="119">
        <v>0</v>
      </c>
      <c r="FD86" s="119">
        <v>20</v>
      </c>
      <c r="FE86" s="119">
        <v>0</v>
      </c>
      <c r="FF86" t="s">
        <v>500</v>
      </c>
      <c r="FG86" s="119">
        <v>0</v>
      </c>
      <c r="FH86" s="119">
        <v>0</v>
      </c>
      <c r="FI86" s="119">
        <v>0</v>
      </c>
      <c r="FJ86" s="119">
        <v>0</v>
      </c>
      <c r="FK86" s="119">
        <v>0</v>
      </c>
      <c r="FL86" s="119">
        <v>0</v>
      </c>
      <c r="FM86" s="119">
        <v>0</v>
      </c>
      <c r="FN86" s="119">
        <v>0</v>
      </c>
      <c r="FO86" s="119">
        <v>0</v>
      </c>
      <c r="FP86" s="119">
        <v>0</v>
      </c>
      <c r="FQ86" s="119">
        <v>20</v>
      </c>
      <c r="FR86" s="119">
        <v>0</v>
      </c>
      <c r="FS86" t="s">
        <v>390</v>
      </c>
      <c r="FT86" s="119">
        <v>0</v>
      </c>
      <c r="FU86" s="119">
        <v>0</v>
      </c>
      <c r="FV86" s="119">
        <v>0</v>
      </c>
      <c r="FW86" s="119">
        <v>0</v>
      </c>
      <c r="FX86" s="119">
        <v>0</v>
      </c>
      <c r="FY86" s="119">
        <v>0</v>
      </c>
      <c r="FZ86" s="119">
        <v>0</v>
      </c>
      <c r="GA86" s="119">
        <v>0</v>
      </c>
      <c r="GB86" s="119">
        <v>0</v>
      </c>
      <c r="GC86" s="119">
        <v>0</v>
      </c>
      <c r="GD86" s="119">
        <v>20</v>
      </c>
      <c r="GE86" s="119">
        <v>0</v>
      </c>
      <c r="GF86" t="s">
        <v>391</v>
      </c>
      <c r="GG86" s="119">
        <v>0</v>
      </c>
      <c r="GH86" s="119">
        <v>0</v>
      </c>
      <c r="GI86" s="119">
        <v>0</v>
      </c>
      <c r="GJ86" s="119">
        <v>0</v>
      </c>
      <c r="GK86" s="119">
        <v>0</v>
      </c>
      <c r="GL86" s="119">
        <v>0</v>
      </c>
      <c r="GM86" s="119">
        <v>0</v>
      </c>
      <c r="GN86" s="119">
        <v>0</v>
      </c>
      <c r="GO86" s="119">
        <v>0</v>
      </c>
      <c r="GP86" s="119">
        <v>0</v>
      </c>
      <c r="GQ86" s="119">
        <v>20</v>
      </c>
      <c r="GR86" s="119">
        <v>0</v>
      </c>
      <c r="HJ86"/>
      <c r="HK86" s="115"/>
      <c r="HR86" s="116"/>
      <c r="HT86" s="117"/>
      <c r="HY86"/>
      <c r="HZ86"/>
      <c r="IA86"/>
    </row>
    <row r="87" spans="1:235" x14ac:dyDescent="0.25">
      <c r="A87">
        <v>87</v>
      </c>
      <c r="B87" s="115">
        <v>43318</v>
      </c>
      <c r="C87" t="s">
        <v>502</v>
      </c>
      <c r="D87" t="s">
        <v>503</v>
      </c>
      <c r="E87" t="s">
        <v>396</v>
      </c>
      <c r="H87" t="s">
        <v>504</v>
      </c>
      <c r="I87" s="116">
        <v>21300</v>
      </c>
      <c r="J87" t="s">
        <v>437</v>
      </c>
      <c r="K87" s="117">
        <v>385456896</v>
      </c>
      <c r="L87">
        <v>8232</v>
      </c>
      <c r="M87">
        <v>45632</v>
      </c>
      <c r="N87" t="s">
        <v>154</v>
      </c>
      <c r="O87">
        <v>181856</v>
      </c>
      <c r="P87">
        <v>1817.14</v>
      </c>
      <c r="Q87">
        <v>1514.29</v>
      </c>
      <c r="R87">
        <v>302.86</v>
      </c>
      <c r="S87" t="s">
        <v>378</v>
      </c>
      <c r="T87" s="118">
        <v>500</v>
      </c>
      <c r="U87" s="118">
        <v>214.29</v>
      </c>
      <c r="V87" s="118">
        <v>714.29</v>
      </c>
      <c r="W87" s="119">
        <v>30</v>
      </c>
      <c r="X87" s="119">
        <v>10</v>
      </c>
      <c r="Y87" s="119">
        <v>80</v>
      </c>
      <c r="Z87" s="119">
        <v>800</v>
      </c>
      <c r="AA87" s="119">
        <v>1014.29</v>
      </c>
      <c r="AB87" s="119">
        <v>101.43</v>
      </c>
      <c r="AC87" s="119">
        <v>1514.29</v>
      </c>
      <c r="AD87" s="119">
        <v>20</v>
      </c>
      <c r="AE87" s="119">
        <v>302.86</v>
      </c>
      <c r="AF87" t="s">
        <v>379</v>
      </c>
      <c r="AG87" s="119">
        <v>0</v>
      </c>
      <c r="AH87" s="119">
        <v>0</v>
      </c>
      <c r="AI87" s="119">
        <v>0</v>
      </c>
      <c r="AJ87" s="119">
        <v>0</v>
      </c>
      <c r="AK87" s="119">
        <v>0</v>
      </c>
      <c r="AL87" s="119">
        <v>0</v>
      </c>
      <c r="AM87" s="119">
        <v>0</v>
      </c>
      <c r="AN87" s="119">
        <v>0</v>
      </c>
      <c r="AO87" s="119">
        <v>0</v>
      </c>
      <c r="AP87" s="119">
        <v>0</v>
      </c>
      <c r="AQ87" s="119">
        <v>20</v>
      </c>
      <c r="AR87" s="119">
        <v>0</v>
      </c>
      <c r="AS87" t="s">
        <v>380</v>
      </c>
      <c r="AT87" s="119">
        <v>0</v>
      </c>
      <c r="AU87" s="119">
        <v>0</v>
      </c>
      <c r="AV87" s="119">
        <v>0</v>
      </c>
      <c r="AW87" s="119">
        <v>0</v>
      </c>
      <c r="AX87" s="119">
        <v>0</v>
      </c>
      <c r="AY87" s="119">
        <v>0</v>
      </c>
      <c r="AZ87" s="119">
        <v>0</v>
      </c>
      <c r="BA87" s="119">
        <v>0</v>
      </c>
      <c r="BB87" s="119">
        <v>0</v>
      </c>
      <c r="BC87" s="119">
        <v>0</v>
      </c>
      <c r="BD87" s="119">
        <v>20</v>
      </c>
      <c r="BE87" s="119">
        <v>0</v>
      </c>
      <c r="BF87" t="s">
        <v>381</v>
      </c>
      <c r="BG87" s="119">
        <v>0</v>
      </c>
      <c r="BH87" s="119">
        <v>0</v>
      </c>
      <c r="BI87" s="119">
        <v>0</v>
      </c>
      <c r="BJ87" s="119">
        <v>0</v>
      </c>
      <c r="BK87" s="119">
        <v>0</v>
      </c>
      <c r="BL87" s="119">
        <v>0</v>
      </c>
      <c r="BM87" s="119">
        <v>0</v>
      </c>
      <c r="BN87" s="119">
        <v>0</v>
      </c>
      <c r="BO87" s="119">
        <v>0</v>
      </c>
      <c r="BP87" s="119">
        <v>0</v>
      </c>
      <c r="BQ87" s="119">
        <v>20</v>
      </c>
      <c r="BR87" s="119">
        <v>0</v>
      </c>
      <c r="BS87" t="s">
        <v>382</v>
      </c>
      <c r="BT87" s="119">
        <v>0</v>
      </c>
      <c r="BU87" s="119">
        <v>0</v>
      </c>
      <c r="BV87" s="119">
        <v>0</v>
      </c>
      <c r="BW87" s="119">
        <v>0</v>
      </c>
      <c r="BX87" s="119">
        <v>0</v>
      </c>
      <c r="BY87" s="119">
        <v>0</v>
      </c>
      <c r="BZ87" s="119">
        <v>0</v>
      </c>
      <c r="CA87" s="119">
        <v>0</v>
      </c>
      <c r="CB87" s="119">
        <v>0</v>
      </c>
      <c r="CC87" s="119">
        <v>0</v>
      </c>
      <c r="CD87" s="119">
        <v>20</v>
      </c>
      <c r="CE87" s="119">
        <v>0</v>
      </c>
      <c r="CF87" t="s">
        <v>496</v>
      </c>
      <c r="CG87" s="119">
        <v>0</v>
      </c>
      <c r="CH87" s="119">
        <v>0</v>
      </c>
      <c r="CI87" s="119">
        <v>0</v>
      </c>
      <c r="CJ87" s="119">
        <v>0</v>
      </c>
      <c r="CK87" s="119">
        <v>0</v>
      </c>
      <c r="CL87" s="119">
        <v>0</v>
      </c>
      <c r="CM87" s="119">
        <v>0</v>
      </c>
      <c r="CN87" s="119">
        <v>0</v>
      </c>
      <c r="CO87" s="119">
        <v>0</v>
      </c>
      <c r="CP87" s="119">
        <v>0</v>
      </c>
      <c r="CQ87" s="119">
        <v>20</v>
      </c>
      <c r="CR87" s="119">
        <v>0</v>
      </c>
      <c r="CS87" t="s">
        <v>497</v>
      </c>
      <c r="CT87" s="119">
        <v>0</v>
      </c>
      <c r="CU87" s="119">
        <v>0</v>
      </c>
      <c r="CV87" s="119">
        <v>0</v>
      </c>
      <c r="CW87" s="119">
        <v>0</v>
      </c>
      <c r="CX87" s="119">
        <v>0</v>
      </c>
      <c r="CY87" s="119">
        <v>0</v>
      </c>
      <c r="CZ87" s="119">
        <v>0</v>
      </c>
      <c r="DA87" s="119">
        <v>0</v>
      </c>
      <c r="DB87" s="119">
        <v>0</v>
      </c>
      <c r="DC87" s="119">
        <v>0</v>
      </c>
      <c r="DD87" s="119">
        <v>20</v>
      </c>
      <c r="DE87" s="119">
        <v>0</v>
      </c>
      <c r="DF87" t="s">
        <v>498</v>
      </c>
      <c r="DG87" s="119">
        <v>0</v>
      </c>
      <c r="DH87" s="119">
        <v>0</v>
      </c>
      <c r="DI87" s="119">
        <v>0</v>
      </c>
      <c r="DJ87" s="119">
        <v>0</v>
      </c>
      <c r="DK87" s="119">
        <v>0</v>
      </c>
      <c r="DL87" s="119">
        <v>0</v>
      </c>
      <c r="DM87" s="119">
        <v>0</v>
      </c>
      <c r="DN87" s="119">
        <v>0</v>
      </c>
      <c r="DO87" s="119">
        <v>0</v>
      </c>
      <c r="DP87" s="119">
        <v>0</v>
      </c>
      <c r="DQ87" s="119">
        <v>20</v>
      </c>
      <c r="DR87" s="119">
        <v>0</v>
      </c>
      <c r="DS87" t="s">
        <v>386</v>
      </c>
      <c r="DT87" s="119">
        <v>0</v>
      </c>
      <c r="DU87" s="119">
        <v>0</v>
      </c>
      <c r="DV87" s="119">
        <v>0</v>
      </c>
      <c r="DW87" s="119">
        <v>0</v>
      </c>
      <c r="DX87" s="119">
        <v>0</v>
      </c>
      <c r="DY87" s="119">
        <v>0</v>
      </c>
      <c r="DZ87" s="119">
        <v>0</v>
      </c>
      <c r="EA87" s="119">
        <v>0</v>
      </c>
      <c r="EB87" s="119">
        <v>0</v>
      </c>
      <c r="EC87" s="119">
        <v>0</v>
      </c>
      <c r="ED87" s="119">
        <v>20</v>
      </c>
      <c r="EE87" s="119">
        <v>0</v>
      </c>
      <c r="EF87" t="s">
        <v>499</v>
      </c>
      <c r="EG87" s="119">
        <v>0</v>
      </c>
      <c r="EH87" s="119">
        <v>0</v>
      </c>
      <c r="EI87" s="119">
        <v>0</v>
      </c>
      <c r="EJ87" s="119">
        <v>0</v>
      </c>
      <c r="EK87" s="119">
        <v>0</v>
      </c>
      <c r="EL87" s="119">
        <v>0</v>
      </c>
      <c r="EM87" s="119">
        <v>0</v>
      </c>
      <c r="EN87" s="119">
        <v>0</v>
      </c>
      <c r="EO87" s="119">
        <v>0</v>
      </c>
      <c r="EP87" s="119">
        <v>0</v>
      </c>
      <c r="EQ87" s="119">
        <v>20</v>
      </c>
      <c r="ER87" s="119">
        <v>0</v>
      </c>
      <c r="ES87" t="s">
        <v>388</v>
      </c>
      <c r="ET87" s="119">
        <v>0</v>
      </c>
      <c r="EU87" s="119">
        <v>0</v>
      </c>
      <c r="EV87" s="119">
        <v>0</v>
      </c>
      <c r="EW87" s="119">
        <v>0</v>
      </c>
      <c r="EX87" s="119">
        <v>0</v>
      </c>
      <c r="EY87" s="119">
        <v>0</v>
      </c>
      <c r="EZ87" s="119">
        <v>0</v>
      </c>
      <c r="FA87" s="119">
        <v>0</v>
      </c>
      <c r="FB87" s="119">
        <v>0</v>
      </c>
      <c r="FC87" s="119">
        <v>0</v>
      </c>
      <c r="FD87" s="119">
        <v>20</v>
      </c>
      <c r="FE87" s="119">
        <v>0</v>
      </c>
      <c r="FF87" t="s">
        <v>500</v>
      </c>
      <c r="FG87" s="119">
        <v>0</v>
      </c>
      <c r="FH87" s="119">
        <v>0</v>
      </c>
      <c r="FI87" s="119">
        <v>0</v>
      </c>
      <c r="FJ87" s="119">
        <v>0</v>
      </c>
      <c r="FK87" s="119">
        <v>0</v>
      </c>
      <c r="FL87" s="119">
        <v>0</v>
      </c>
      <c r="FM87" s="119">
        <v>0</v>
      </c>
      <c r="FN87" s="119">
        <v>0</v>
      </c>
      <c r="FO87" s="119">
        <v>0</v>
      </c>
      <c r="FP87" s="119">
        <v>0</v>
      </c>
      <c r="FQ87" s="119">
        <v>20</v>
      </c>
      <c r="FR87" s="119">
        <v>0</v>
      </c>
      <c r="FS87" t="s">
        <v>390</v>
      </c>
      <c r="FT87" s="119">
        <v>0</v>
      </c>
      <c r="FU87" s="119">
        <v>0</v>
      </c>
      <c r="FV87" s="119">
        <v>0</v>
      </c>
      <c r="FW87" s="119">
        <v>0</v>
      </c>
      <c r="FX87" s="119">
        <v>0</v>
      </c>
      <c r="FY87" s="119">
        <v>0</v>
      </c>
      <c r="FZ87" s="119">
        <v>0</v>
      </c>
      <c r="GA87" s="119">
        <v>0</v>
      </c>
      <c r="GB87" s="119">
        <v>0</v>
      </c>
      <c r="GC87" s="119">
        <v>0</v>
      </c>
      <c r="GD87" s="119">
        <v>20</v>
      </c>
      <c r="GE87" s="119">
        <v>0</v>
      </c>
      <c r="GF87" t="s">
        <v>391</v>
      </c>
      <c r="GG87" s="119">
        <v>0</v>
      </c>
      <c r="GH87" s="119">
        <v>0</v>
      </c>
      <c r="GI87" s="119">
        <v>0</v>
      </c>
      <c r="GJ87" s="119">
        <v>0</v>
      </c>
      <c r="GK87" s="119">
        <v>0</v>
      </c>
      <c r="GL87" s="119">
        <v>0</v>
      </c>
      <c r="GM87" s="119">
        <v>0</v>
      </c>
      <c r="GN87" s="119">
        <v>0</v>
      </c>
      <c r="GO87" s="119">
        <v>0</v>
      </c>
      <c r="GP87" s="119">
        <v>0</v>
      </c>
      <c r="GQ87" s="119">
        <v>20</v>
      </c>
      <c r="GR87" s="119">
        <v>0</v>
      </c>
      <c r="HJ87"/>
      <c r="HK87" s="115"/>
      <c r="HR87" s="116"/>
      <c r="HT87" s="117"/>
      <c r="HY87"/>
      <c r="HZ87"/>
      <c r="IA87"/>
    </row>
    <row r="88" spans="1:235" x14ac:dyDescent="0.25">
      <c r="A88">
        <v>88</v>
      </c>
      <c r="B88" s="115">
        <v>43318</v>
      </c>
      <c r="C88" t="s">
        <v>502</v>
      </c>
      <c r="D88" t="s">
        <v>503</v>
      </c>
      <c r="E88" t="s">
        <v>396</v>
      </c>
      <c r="H88" t="s">
        <v>504</v>
      </c>
      <c r="I88" s="116">
        <v>21300</v>
      </c>
      <c r="J88" t="s">
        <v>437</v>
      </c>
      <c r="K88" s="117">
        <v>385456896</v>
      </c>
      <c r="L88">
        <v>185265</v>
      </c>
      <c r="M88">
        <v>46464646</v>
      </c>
      <c r="N88" t="s">
        <v>423</v>
      </c>
      <c r="O88">
        <v>1346467</v>
      </c>
      <c r="P88">
        <v>2331.4299999999998</v>
      </c>
      <c r="Q88">
        <v>1942.86</v>
      </c>
      <c r="R88">
        <v>388.57</v>
      </c>
      <c r="S88" t="s">
        <v>378</v>
      </c>
      <c r="T88" s="118">
        <v>800</v>
      </c>
      <c r="U88" s="118">
        <v>342.86</v>
      </c>
      <c r="V88" s="118">
        <v>1142.8599999999999</v>
      </c>
      <c r="W88" s="119">
        <v>30</v>
      </c>
      <c r="X88" s="119">
        <v>10</v>
      </c>
      <c r="Y88" s="119">
        <v>80</v>
      </c>
      <c r="Z88" s="119">
        <v>800</v>
      </c>
      <c r="AA88" s="119">
        <v>1142.8599999999999</v>
      </c>
      <c r="AB88" s="119">
        <v>114.29</v>
      </c>
      <c r="AC88" s="119">
        <v>1942.86</v>
      </c>
      <c r="AD88" s="119">
        <v>20</v>
      </c>
      <c r="AE88" s="119">
        <v>388.57</v>
      </c>
      <c r="AF88" t="s">
        <v>379</v>
      </c>
      <c r="AG88" s="119">
        <v>0</v>
      </c>
      <c r="AH88" s="119">
        <v>0</v>
      </c>
      <c r="AI88" s="119">
        <v>0</v>
      </c>
      <c r="AJ88" s="119">
        <v>0</v>
      </c>
      <c r="AK88" s="119">
        <v>0</v>
      </c>
      <c r="AL88" s="119">
        <v>0</v>
      </c>
      <c r="AM88" s="119">
        <v>0</v>
      </c>
      <c r="AN88" s="119">
        <v>0</v>
      </c>
      <c r="AO88" s="119">
        <v>0</v>
      </c>
      <c r="AP88" s="119">
        <v>0</v>
      </c>
      <c r="AQ88" s="119">
        <v>20</v>
      </c>
      <c r="AR88" s="119">
        <v>0</v>
      </c>
      <c r="AS88" t="s">
        <v>380</v>
      </c>
      <c r="AT88" s="119">
        <v>0</v>
      </c>
      <c r="AU88" s="119">
        <v>0</v>
      </c>
      <c r="AV88" s="119">
        <v>0</v>
      </c>
      <c r="AW88" s="119">
        <v>0</v>
      </c>
      <c r="AX88" s="119">
        <v>0</v>
      </c>
      <c r="AY88" s="119">
        <v>0</v>
      </c>
      <c r="AZ88" s="119">
        <v>0</v>
      </c>
      <c r="BA88" s="119">
        <v>0</v>
      </c>
      <c r="BB88" s="119">
        <v>0</v>
      </c>
      <c r="BC88" s="119">
        <v>0</v>
      </c>
      <c r="BD88" s="119">
        <v>20</v>
      </c>
      <c r="BE88" s="119">
        <v>0</v>
      </c>
      <c r="BF88" t="s">
        <v>381</v>
      </c>
      <c r="BG88" s="119">
        <v>0</v>
      </c>
      <c r="BH88" s="119">
        <v>0</v>
      </c>
      <c r="BI88" s="119">
        <v>0</v>
      </c>
      <c r="BJ88" s="119">
        <v>0</v>
      </c>
      <c r="BK88" s="119">
        <v>0</v>
      </c>
      <c r="BL88" s="119">
        <v>0</v>
      </c>
      <c r="BM88" s="119">
        <v>0</v>
      </c>
      <c r="BN88" s="119">
        <v>0</v>
      </c>
      <c r="BO88" s="119">
        <v>0</v>
      </c>
      <c r="BP88" s="119">
        <v>0</v>
      </c>
      <c r="BQ88" s="119">
        <v>20</v>
      </c>
      <c r="BR88" s="119">
        <v>0</v>
      </c>
      <c r="BS88" t="s">
        <v>382</v>
      </c>
      <c r="BT88" s="119">
        <v>0</v>
      </c>
      <c r="BU88" s="119">
        <v>0</v>
      </c>
      <c r="BV88" s="119">
        <v>0</v>
      </c>
      <c r="BW88" s="119">
        <v>0</v>
      </c>
      <c r="BX88" s="119">
        <v>0</v>
      </c>
      <c r="BY88" s="119">
        <v>0</v>
      </c>
      <c r="BZ88" s="119">
        <v>0</v>
      </c>
      <c r="CA88" s="119">
        <v>0</v>
      </c>
      <c r="CB88" s="119">
        <v>0</v>
      </c>
      <c r="CC88" s="119">
        <v>0</v>
      </c>
      <c r="CD88" s="119">
        <v>20</v>
      </c>
      <c r="CE88" s="119">
        <v>0</v>
      </c>
      <c r="CF88" t="s">
        <v>496</v>
      </c>
      <c r="CG88" s="119">
        <v>0</v>
      </c>
      <c r="CH88" s="119">
        <v>0</v>
      </c>
      <c r="CI88" s="119">
        <v>0</v>
      </c>
      <c r="CJ88" s="119">
        <v>0</v>
      </c>
      <c r="CK88" s="119">
        <v>0</v>
      </c>
      <c r="CL88" s="119">
        <v>0</v>
      </c>
      <c r="CM88" s="119">
        <v>0</v>
      </c>
      <c r="CN88" s="119">
        <v>0</v>
      </c>
      <c r="CO88" s="119">
        <v>0</v>
      </c>
      <c r="CP88" s="119">
        <v>0</v>
      </c>
      <c r="CQ88" s="119">
        <v>20</v>
      </c>
      <c r="CR88" s="119">
        <v>0</v>
      </c>
      <c r="CS88" t="s">
        <v>497</v>
      </c>
      <c r="CT88" s="119">
        <v>0</v>
      </c>
      <c r="CU88" s="119">
        <v>0</v>
      </c>
      <c r="CV88" s="119">
        <v>0</v>
      </c>
      <c r="CW88" s="119">
        <v>0</v>
      </c>
      <c r="CX88" s="119">
        <v>0</v>
      </c>
      <c r="CY88" s="119">
        <v>0</v>
      </c>
      <c r="CZ88" s="119">
        <v>0</v>
      </c>
      <c r="DA88" s="119">
        <v>0</v>
      </c>
      <c r="DB88" s="119">
        <v>0</v>
      </c>
      <c r="DC88" s="119">
        <v>0</v>
      </c>
      <c r="DD88" s="119">
        <v>20</v>
      </c>
      <c r="DE88" s="119">
        <v>0</v>
      </c>
      <c r="DF88" t="s">
        <v>498</v>
      </c>
      <c r="DG88" s="119">
        <v>0</v>
      </c>
      <c r="DH88" s="119">
        <v>0</v>
      </c>
      <c r="DI88" s="119">
        <v>0</v>
      </c>
      <c r="DJ88" s="119">
        <v>0</v>
      </c>
      <c r="DK88" s="119">
        <v>0</v>
      </c>
      <c r="DL88" s="119">
        <v>0</v>
      </c>
      <c r="DM88" s="119">
        <v>0</v>
      </c>
      <c r="DN88" s="119">
        <v>0</v>
      </c>
      <c r="DO88" s="119">
        <v>0</v>
      </c>
      <c r="DP88" s="119">
        <v>0</v>
      </c>
      <c r="DQ88" s="119">
        <v>20</v>
      </c>
      <c r="DR88" s="119">
        <v>0</v>
      </c>
      <c r="DS88" t="s">
        <v>386</v>
      </c>
      <c r="DT88" s="119">
        <v>0</v>
      </c>
      <c r="DU88" s="119">
        <v>0</v>
      </c>
      <c r="DV88" s="119">
        <v>0</v>
      </c>
      <c r="DW88" s="119">
        <v>0</v>
      </c>
      <c r="DX88" s="119">
        <v>0</v>
      </c>
      <c r="DY88" s="119">
        <v>0</v>
      </c>
      <c r="DZ88" s="119">
        <v>0</v>
      </c>
      <c r="EA88" s="119">
        <v>0</v>
      </c>
      <c r="EB88" s="119">
        <v>0</v>
      </c>
      <c r="EC88" s="119">
        <v>0</v>
      </c>
      <c r="ED88" s="119">
        <v>20</v>
      </c>
      <c r="EE88" s="119">
        <v>0</v>
      </c>
      <c r="EF88" t="s">
        <v>499</v>
      </c>
      <c r="EG88" s="119">
        <v>0</v>
      </c>
      <c r="EH88" s="119">
        <v>0</v>
      </c>
      <c r="EI88" s="119">
        <v>0</v>
      </c>
      <c r="EJ88" s="119">
        <v>0</v>
      </c>
      <c r="EK88" s="119">
        <v>0</v>
      </c>
      <c r="EL88" s="119">
        <v>0</v>
      </c>
      <c r="EM88" s="119">
        <v>0</v>
      </c>
      <c r="EN88" s="119">
        <v>0</v>
      </c>
      <c r="EO88" s="119">
        <v>0</v>
      </c>
      <c r="EP88" s="119">
        <v>0</v>
      </c>
      <c r="EQ88" s="119">
        <v>20</v>
      </c>
      <c r="ER88" s="119">
        <v>0</v>
      </c>
      <c r="ES88" t="s">
        <v>388</v>
      </c>
      <c r="ET88" s="119">
        <v>0</v>
      </c>
      <c r="EU88" s="119">
        <v>0</v>
      </c>
      <c r="EV88" s="119">
        <v>0</v>
      </c>
      <c r="EW88" s="119">
        <v>0</v>
      </c>
      <c r="EX88" s="119">
        <v>0</v>
      </c>
      <c r="EY88" s="119">
        <v>0</v>
      </c>
      <c r="EZ88" s="119">
        <v>0</v>
      </c>
      <c r="FA88" s="119">
        <v>0</v>
      </c>
      <c r="FB88" s="119">
        <v>0</v>
      </c>
      <c r="FC88" s="119">
        <v>0</v>
      </c>
      <c r="FD88" s="119">
        <v>20</v>
      </c>
      <c r="FE88" s="119">
        <v>0</v>
      </c>
      <c r="FF88" t="s">
        <v>500</v>
      </c>
      <c r="FG88" s="119">
        <v>0</v>
      </c>
      <c r="FH88" s="119">
        <v>0</v>
      </c>
      <c r="FI88" s="119">
        <v>0</v>
      </c>
      <c r="FJ88" s="119">
        <v>0</v>
      </c>
      <c r="FK88" s="119">
        <v>0</v>
      </c>
      <c r="FL88" s="119">
        <v>0</v>
      </c>
      <c r="FM88" s="119">
        <v>0</v>
      </c>
      <c r="FN88" s="119">
        <v>0</v>
      </c>
      <c r="FO88" s="119">
        <v>0</v>
      </c>
      <c r="FP88" s="119">
        <v>0</v>
      </c>
      <c r="FQ88" s="119">
        <v>20</v>
      </c>
      <c r="FR88" s="119">
        <v>0</v>
      </c>
      <c r="FS88" t="s">
        <v>390</v>
      </c>
      <c r="FT88" s="119">
        <v>0</v>
      </c>
      <c r="FU88" s="119">
        <v>0</v>
      </c>
      <c r="FV88" s="119">
        <v>0</v>
      </c>
      <c r="FW88" s="119">
        <v>0</v>
      </c>
      <c r="FX88" s="119">
        <v>0</v>
      </c>
      <c r="FY88" s="119">
        <v>0</v>
      </c>
      <c r="FZ88" s="119">
        <v>0</v>
      </c>
      <c r="GA88" s="119">
        <v>0</v>
      </c>
      <c r="GB88" s="119">
        <v>0</v>
      </c>
      <c r="GC88" s="119">
        <v>0</v>
      </c>
      <c r="GD88" s="119">
        <v>20</v>
      </c>
      <c r="GE88" s="119">
        <v>0</v>
      </c>
      <c r="GF88" t="s">
        <v>391</v>
      </c>
      <c r="GG88" s="119">
        <v>0</v>
      </c>
      <c r="GH88" s="119">
        <v>0</v>
      </c>
      <c r="GI88" s="119">
        <v>0</v>
      </c>
      <c r="GJ88" s="119">
        <v>0</v>
      </c>
      <c r="GK88" s="119">
        <v>0</v>
      </c>
      <c r="GL88" s="119">
        <v>0</v>
      </c>
      <c r="GM88" s="119">
        <v>0</v>
      </c>
      <c r="GN88" s="119">
        <v>0</v>
      </c>
      <c r="GO88" s="119">
        <v>0</v>
      </c>
      <c r="GP88" s="119">
        <v>0</v>
      </c>
      <c r="GQ88" s="119">
        <v>20</v>
      </c>
      <c r="GR88" s="119">
        <v>0</v>
      </c>
      <c r="HJ88"/>
      <c r="HK88" s="115"/>
      <c r="HR88" s="116"/>
      <c r="HT88" s="117"/>
      <c r="HY88"/>
      <c r="HZ88"/>
      <c r="IA88"/>
    </row>
    <row r="89" spans="1:235" x14ac:dyDescent="0.25">
      <c r="A89">
        <v>89</v>
      </c>
      <c r="B89" s="115">
        <v>43259</v>
      </c>
      <c r="C89" t="s">
        <v>502</v>
      </c>
      <c r="D89" t="s">
        <v>503</v>
      </c>
      <c r="E89" t="s">
        <v>396</v>
      </c>
      <c r="H89" t="s">
        <v>504</v>
      </c>
      <c r="I89" s="116">
        <v>21300</v>
      </c>
      <c r="J89" t="s">
        <v>437</v>
      </c>
      <c r="K89" s="117">
        <v>385456896</v>
      </c>
      <c r="L89">
        <v>18546</v>
      </c>
      <c r="M89">
        <v>456464</v>
      </c>
      <c r="N89" t="s">
        <v>423</v>
      </c>
      <c r="O89">
        <v>33464</v>
      </c>
      <c r="P89">
        <v>1877.14</v>
      </c>
      <c r="Q89">
        <v>1564.29</v>
      </c>
      <c r="R89">
        <v>312.86</v>
      </c>
      <c r="S89" t="s">
        <v>378</v>
      </c>
      <c r="T89" s="118">
        <v>500</v>
      </c>
      <c r="U89" s="118">
        <v>214.29</v>
      </c>
      <c r="V89" s="118">
        <v>714.29</v>
      </c>
      <c r="W89" s="119">
        <v>30</v>
      </c>
      <c r="X89" s="119">
        <v>10</v>
      </c>
      <c r="Y89" s="119">
        <v>85</v>
      </c>
      <c r="Z89" s="119">
        <v>850</v>
      </c>
      <c r="AA89" s="119">
        <v>1064.29</v>
      </c>
      <c r="AB89" s="119">
        <v>106.43</v>
      </c>
      <c r="AC89" s="119">
        <v>1564.29</v>
      </c>
      <c r="AD89" s="119">
        <v>20</v>
      </c>
      <c r="AE89" s="119">
        <v>312.86</v>
      </c>
      <c r="AF89" t="s">
        <v>379</v>
      </c>
      <c r="AG89" s="119">
        <v>0</v>
      </c>
      <c r="AH89" s="119">
        <v>0</v>
      </c>
      <c r="AI89" s="119">
        <v>0</v>
      </c>
      <c r="AJ89" s="119">
        <v>0</v>
      </c>
      <c r="AK89" s="119">
        <v>0</v>
      </c>
      <c r="AL89" s="119">
        <v>0</v>
      </c>
      <c r="AM89" s="119">
        <v>0</v>
      </c>
      <c r="AN89" s="119">
        <v>0</v>
      </c>
      <c r="AO89" s="119">
        <v>0</v>
      </c>
      <c r="AP89" s="119">
        <v>0</v>
      </c>
      <c r="AQ89" s="119">
        <v>20</v>
      </c>
      <c r="AR89" s="119">
        <v>0</v>
      </c>
      <c r="AS89" t="s">
        <v>380</v>
      </c>
      <c r="AT89" s="119">
        <v>0</v>
      </c>
      <c r="AU89" s="119">
        <v>0</v>
      </c>
      <c r="AV89" s="119">
        <v>0</v>
      </c>
      <c r="AW89" s="119">
        <v>0</v>
      </c>
      <c r="AX89" s="119">
        <v>0</v>
      </c>
      <c r="AY89" s="119">
        <v>0</v>
      </c>
      <c r="AZ89" s="119">
        <v>0</v>
      </c>
      <c r="BA89" s="119">
        <v>0</v>
      </c>
      <c r="BB89" s="119">
        <v>0</v>
      </c>
      <c r="BC89" s="119">
        <v>0</v>
      </c>
      <c r="BD89" s="119">
        <v>20</v>
      </c>
      <c r="BE89" s="119">
        <v>0</v>
      </c>
      <c r="BF89" t="s">
        <v>381</v>
      </c>
      <c r="BG89" s="119">
        <v>0</v>
      </c>
      <c r="BH89" s="119">
        <v>0</v>
      </c>
      <c r="BI89" s="119">
        <v>0</v>
      </c>
      <c r="BJ89" s="119">
        <v>0</v>
      </c>
      <c r="BK89" s="119">
        <v>0</v>
      </c>
      <c r="BL89" s="119">
        <v>0</v>
      </c>
      <c r="BM89" s="119">
        <v>0</v>
      </c>
      <c r="BN89" s="119">
        <v>0</v>
      </c>
      <c r="BO89" s="119">
        <v>0</v>
      </c>
      <c r="BP89" s="119">
        <v>0</v>
      </c>
      <c r="BQ89" s="119">
        <v>20</v>
      </c>
      <c r="BR89" s="119">
        <v>0</v>
      </c>
      <c r="BS89" t="s">
        <v>382</v>
      </c>
      <c r="BT89" s="119">
        <v>0</v>
      </c>
      <c r="BU89" s="119">
        <v>0</v>
      </c>
      <c r="BV89" s="119">
        <v>0</v>
      </c>
      <c r="BW89" s="119">
        <v>0</v>
      </c>
      <c r="BX89" s="119">
        <v>0</v>
      </c>
      <c r="BY89" s="119">
        <v>0</v>
      </c>
      <c r="BZ89" s="119">
        <v>0</v>
      </c>
      <c r="CA89" s="119">
        <v>0</v>
      </c>
      <c r="CB89" s="119">
        <v>0</v>
      </c>
      <c r="CC89" s="119">
        <v>0</v>
      </c>
      <c r="CD89" s="119">
        <v>20</v>
      </c>
      <c r="CE89" s="119">
        <v>0</v>
      </c>
      <c r="CF89" t="s">
        <v>496</v>
      </c>
      <c r="CG89" s="119">
        <v>0</v>
      </c>
      <c r="CH89" s="119">
        <v>0</v>
      </c>
      <c r="CI89" s="119">
        <v>0</v>
      </c>
      <c r="CJ89" s="119">
        <v>0</v>
      </c>
      <c r="CK89" s="119">
        <v>0</v>
      </c>
      <c r="CL89" s="119">
        <v>0</v>
      </c>
      <c r="CM89" s="119">
        <v>0</v>
      </c>
      <c r="CN89" s="119">
        <v>0</v>
      </c>
      <c r="CO89" s="119">
        <v>0</v>
      </c>
      <c r="CP89" s="119">
        <v>0</v>
      </c>
      <c r="CQ89" s="119">
        <v>20</v>
      </c>
      <c r="CR89" s="119">
        <v>0</v>
      </c>
      <c r="CS89" t="s">
        <v>497</v>
      </c>
      <c r="CT89" s="119">
        <v>0</v>
      </c>
      <c r="CU89" s="119">
        <v>0</v>
      </c>
      <c r="CV89" s="119">
        <v>0</v>
      </c>
      <c r="CW89" s="119">
        <v>0</v>
      </c>
      <c r="CX89" s="119">
        <v>0</v>
      </c>
      <c r="CY89" s="119">
        <v>0</v>
      </c>
      <c r="CZ89" s="119">
        <v>0</v>
      </c>
      <c r="DA89" s="119">
        <v>0</v>
      </c>
      <c r="DB89" s="119">
        <v>0</v>
      </c>
      <c r="DC89" s="119">
        <v>0</v>
      </c>
      <c r="DD89" s="119">
        <v>20</v>
      </c>
      <c r="DE89" s="119">
        <v>0</v>
      </c>
      <c r="DF89" t="s">
        <v>498</v>
      </c>
      <c r="DG89" s="119">
        <v>0</v>
      </c>
      <c r="DH89" s="119">
        <v>0</v>
      </c>
      <c r="DI89" s="119">
        <v>0</v>
      </c>
      <c r="DJ89" s="119">
        <v>0</v>
      </c>
      <c r="DK89" s="119">
        <v>0</v>
      </c>
      <c r="DL89" s="119">
        <v>0</v>
      </c>
      <c r="DM89" s="119">
        <v>0</v>
      </c>
      <c r="DN89" s="119">
        <v>0</v>
      </c>
      <c r="DO89" s="119">
        <v>0</v>
      </c>
      <c r="DP89" s="119">
        <v>0</v>
      </c>
      <c r="DQ89" s="119">
        <v>20</v>
      </c>
      <c r="DR89" s="119">
        <v>0</v>
      </c>
      <c r="DS89" t="s">
        <v>386</v>
      </c>
      <c r="DT89" s="119">
        <v>0</v>
      </c>
      <c r="DU89" s="119">
        <v>0</v>
      </c>
      <c r="DV89" s="119">
        <v>0</v>
      </c>
      <c r="DW89" s="119">
        <v>0</v>
      </c>
      <c r="DX89" s="119">
        <v>0</v>
      </c>
      <c r="DY89" s="119">
        <v>0</v>
      </c>
      <c r="DZ89" s="119">
        <v>0</v>
      </c>
      <c r="EA89" s="119">
        <v>0</v>
      </c>
      <c r="EB89" s="119">
        <v>0</v>
      </c>
      <c r="EC89" s="119">
        <v>0</v>
      </c>
      <c r="ED89" s="119">
        <v>20</v>
      </c>
      <c r="EE89" s="119">
        <v>0</v>
      </c>
      <c r="EF89" t="s">
        <v>499</v>
      </c>
      <c r="EG89" s="119">
        <v>0</v>
      </c>
      <c r="EH89" s="119">
        <v>0</v>
      </c>
      <c r="EI89" s="119">
        <v>0</v>
      </c>
      <c r="EJ89" s="119">
        <v>0</v>
      </c>
      <c r="EK89" s="119">
        <v>0</v>
      </c>
      <c r="EL89" s="119">
        <v>0</v>
      </c>
      <c r="EM89" s="119">
        <v>0</v>
      </c>
      <c r="EN89" s="119">
        <v>0</v>
      </c>
      <c r="EO89" s="119">
        <v>0</v>
      </c>
      <c r="EP89" s="119">
        <v>0</v>
      </c>
      <c r="EQ89" s="119">
        <v>20</v>
      </c>
      <c r="ER89" s="119">
        <v>0</v>
      </c>
      <c r="ES89" t="s">
        <v>388</v>
      </c>
      <c r="ET89" s="119">
        <v>0</v>
      </c>
      <c r="EU89" s="119">
        <v>0</v>
      </c>
      <c r="EV89" s="119">
        <v>0</v>
      </c>
      <c r="EW89" s="119">
        <v>0</v>
      </c>
      <c r="EX89" s="119">
        <v>0</v>
      </c>
      <c r="EY89" s="119">
        <v>0</v>
      </c>
      <c r="EZ89" s="119">
        <v>0</v>
      </c>
      <c r="FA89" s="119">
        <v>0</v>
      </c>
      <c r="FB89" s="119">
        <v>0</v>
      </c>
      <c r="FC89" s="119">
        <v>0</v>
      </c>
      <c r="FD89" s="119">
        <v>20</v>
      </c>
      <c r="FE89" s="119">
        <v>0</v>
      </c>
      <c r="FF89" t="s">
        <v>500</v>
      </c>
      <c r="FG89" s="119">
        <v>0</v>
      </c>
      <c r="FH89" s="119">
        <v>0</v>
      </c>
      <c r="FI89" s="119">
        <v>0</v>
      </c>
      <c r="FJ89" s="119">
        <v>0</v>
      </c>
      <c r="FK89" s="119">
        <v>0</v>
      </c>
      <c r="FL89" s="119">
        <v>0</v>
      </c>
      <c r="FM89" s="119">
        <v>0</v>
      </c>
      <c r="FN89" s="119">
        <v>0</v>
      </c>
      <c r="FO89" s="119">
        <v>0</v>
      </c>
      <c r="FP89" s="119">
        <v>0</v>
      </c>
      <c r="FQ89" s="119">
        <v>20</v>
      </c>
      <c r="FR89" s="119">
        <v>0</v>
      </c>
      <c r="FS89" t="s">
        <v>390</v>
      </c>
      <c r="FT89" s="119">
        <v>0</v>
      </c>
      <c r="FU89" s="119">
        <v>0</v>
      </c>
      <c r="FV89" s="119">
        <v>0</v>
      </c>
      <c r="FW89" s="119">
        <v>0</v>
      </c>
      <c r="FX89" s="119">
        <v>0</v>
      </c>
      <c r="FY89" s="119">
        <v>0</v>
      </c>
      <c r="FZ89" s="119">
        <v>0</v>
      </c>
      <c r="GA89" s="119">
        <v>0</v>
      </c>
      <c r="GB89" s="119">
        <v>0</v>
      </c>
      <c r="GC89" s="119">
        <v>0</v>
      </c>
      <c r="GD89" s="119">
        <v>20</v>
      </c>
      <c r="GE89" s="119">
        <v>0</v>
      </c>
      <c r="GF89" t="s">
        <v>391</v>
      </c>
      <c r="GG89" s="119">
        <v>0</v>
      </c>
      <c r="GH89" s="119">
        <v>0</v>
      </c>
      <c r="GI89" s="119">
        <v>0</v>
      </c>
      <c r="GJ89" s="119">
        <v>0</v>
      </c>
      <c r="GK89" s="119">
        <v>0</v>
      </c>
      <c r="GL89" s="119">
        <v>0</v>
      </c>
      <c r="GM89" s="119">
        <v>0</v>
      </c>
      <c r="GN89" s="119">
        <v>0</v>
      </c>
      <c r="GO89" s="119">
        <v>0</v>
      </c>
      <c r="GP89" s="119">
        <v>0</v>
      </c>
      <c r="GQ89" s="119">
        <v>20</v>
      </c>
      <c r="GR89" s="119">
        <v>0</v>
      </c>
      <c r="HJ89"/>
      <c r="HK89" s="115"/>
      <c r="HR89" s="116"/>
      <c r="HT89" s="117"/>
      <c r="HY89"/>
      <c r="HZ89"/>
      <c r="IA89"/>
    </row>
    <row r="90" spans="1:235" x14ac:dyDescent="0.25">
      <c r="A90">
        <v>90</v>
      </c>
      <c r="B90" s="115">
        <v>43139</v>
      </c>
      <c r="C90" t="s">
        <v>502</v>
      </c>
      <c r="D90" t="s">
        <v>503</v>
      </c>
      <c r="E90" t="s">
        <v>396</v>
      </c>
      <c r="H90" t="s">
        <v>504</v>
      </c>
      <c r="I90" s="116">
        <v>21300</v>
      </c>
      <c r="J90" t="s">
        <v>437</v>
      </c>
      <c r="K90" s="117">
        <v>385456896</v>
      </c>
      <c r="L90">
        <v>1818654</v>
      </c>
      <c r="M90">
        <v>245678</v>
      </c>
      <c r="N90" t="s">
        <v>154</v>
      </c>
      <c r="O90">
        <v>181564</v>
      </c>
      <c r="P90">
        <v>6000</v>
      </c>
      <c r="Q90">
        <v>5000</v>
      </c>
      <c r="R90">
        <v>1000</v>
      </c>
      <c r="S90" t="s">
        <v>378</v>
      </c>
      <c r="T90" s="118">
        <v>2450</v>
      </c>
      <c r="U90" s="118">
        <v>1050</v>
      </c>
      <c r="V90" s="118">
        <v>3500</v>
      </c>
      <c r="W90" s="119">
        <v>30</v>
      </c>
      <c r="X90" s="119">
        <v>20</v>
      </c>
      <c r="Y90" s="119">
        <v>75</v>
      </c>
      <c r="Z90" s="119">
        <v>1500</v>
      </c>
      <c r="AA90" s="119">
        <v>2550</v>
      </c>
      <c r="AB90" s="119">
        <v>127.5</v>
      </c>
      <c r="AC90" s="119">
        <v>5000</v>
      </c>
      <c r="AD90" s="119">
        <v>20</v>
      </c>
      <c r="AE90" s="119">
        <v>1000</v>
      </c>
      <c r="AF90" t="s">
        <v>379</v>
      </c>
      <c r="AG90" s="119">
        <v>0</v>
      </c>
      <c r="AH90" s="119">
        <v>0</v>
      </c>
      <c r="AI90" s="119">
        <v>0</v>
      </c>
      <c r="AJ90" s="119">
        <v>0</v>
      </c>
      <c r="AK90" s="119">
        <v>0</v>
      </c>
      <c r="AL90" s="119">
        <v>0</v>
      </c>
      <c r="AM90" s="119">
        <v>0</v>
      </c>
      <c r="AN90" s="119">
        <v>0</v>
      </c>
      <c r="AO90" s="119">
        <v>0</v>
      </c>
      <c r="AP90" s="119">
        <v>0</v>
      </c>
      <c r="AQ90" s="119">
        <v>20</v>
      </c>
      <c r="AR90" s="119">
        <v>0</v>
      </c>
      <c r="AS90" t="s">
        <v>380</v>
      </c>
      <c r="AT90" s="119">
        <v>0</v>
      </c>
      <c r="AU90" s="119">
        <v>0</v>
      </c>
      <c r="AV90" s="119">
        <v>0</v>
      </c>
      <c r="AW90" s="119">
        <v>0</v>
      </c>
      <c r="AX90" s="119">
        <v>0</v>
      </c>
      <c r="AY90" s="119">
        <v>0</v>
      </c>
      <c r="AZ90" s="119">
        <v>0</v>
      </c>
      <c r="BA90" s="119">
        <v>0</v>
      </c>
      <c r="BB90" s="119">
        <v>0</v>
      </c>
      <c r="BC90" s="119">
        <v>0</v>
      </c>
      <c r="BD90" s="119">
        <v>20</v>
      </c>
      <c r="BE90" s="119">
        <v>0</v>
      </c>
      <c r="BF90" t="s">
        <v>381</v>
      </c>
      <c r="BG90" s="119">
        <v>0</v>
      </c>
      <c r="BH90" s="119">
        <v>0</v>
      </c>
      <c r="BI90" s="119">
        <v>0</v>
      </c>
      <c r="BJ90" s="119">
        <v>0</v>
      </c>
      <c r="BK90" s="119">
        <v>0</v>
      </c>
      <c r="BL90" s="119">
        <v>0</v>
      </c>
      <c r="BM90" s="119">
        <v>0</v>
      </c>
      <c r="BN90" s="119">
        <v>0</v>
      </c>
      <c r="BO90" s="119">
        <v>0</v>
      </c>
      <c r="BP90" s="119">
        <v>0</v>
      </c>
      <c r="BQ90" s="119">
        <v>20</v>
      </c>
      <c r="BR90" s="119">
        <v>0</v>
      </c>
      <c r="BS90" t="s">
        <v>382</v>
      </c>
      <c r="BT90" s="119">
        <v>0</v>
      </c>
      <c r="BU90" s="119">
        <v>0</v>
      </c>
      <c r="BV90" s="119">
        <v>0</v>
      </c>
      <c r="BW90" s="119">
        <v>0</v>
      </c>
      <c r="BX90" s="119">
        <v>0</v>
      </c>
      <c r="BY90" s="119">
        <v>0</v>
      </c>
      <c r="BZ90" s="119">
        <v>0</v>
      </c>
      <c r="CA90" s="119">
        <v>0</v>
      </c>
      <c r="CB90" s="119">
        <v>0</v>
      </c>
      <c r="CC90" s="119">
        <v>0</v>
      </c>
      <c r="CD90" s="119">
        <v>20</v>
      </c>
      <c r="CE90" s="119">
        <v>0</v>
      </c>
      <c r="CF90" t="s">
        <v>496</v>
      </c>
      <c r="CG90" s="119">
        <v>0</v>
      </c>
      <c r="CH90" s="119">
        <v>0</v>
      </c>
      <c r="CI90" s="119">
        <v>0</v>
      </c>
      <c r="CJ90" s="119">
        <v>0</v>
      </c>
      <c r="CK90" s="119">
        <v>0</v>
      </c>
      <c r="CL90" s="119">
        <v>0</v>
      </c>
      <c r="CM90" s="119">
        <v>0</v>
      </c>
      <c r="CN90" s="119">
        <v>0</v>
      </c>
      <c r="CO90" s="119">
        <v>0</v>
      </c>
      <c r="CP90" s="119">
        <v>0</v>
      </c>
      <c r="CQ90" s="119">
        <v>20</v>
      </c>
      <c r="CR90" s="119">
        <v>0</v>
      </c>
      <c r="CS90" t="s">
        <v>497</v>
      </c>
      <c r="CT90" s="119">
        <v>0</v>
      </c>
      <c r="CU90" s="119">
        <v>0</v>
      </c>
      <c r="CV90" s="119">
        <v>0</v>
      </c>
      <c r="CW90" s="119">
        <v>0</v>
      </c>
      <c r="CX90" s="119">
        <v>0</v>
      </c>
      <c r="CY90" s="119">
        <v>0</v>
      </c>
      <c r="CZ90" s="119">
        <v>0</v>
      </c>
      <c r="DA90" s="119">
        <v>0</v>
      </c>
      <c r="DB90" s="119">
        <v>0</v>
      </c>
      <c r="DC90" s="119">
        <v>0</v>
      </c>
      <c r="DD90" s="119">
        <v>20</v>
      </c>
      <c r="DE90" s="119">
        <v>0</v>
      </c>
      <c r="DF90" t="s">
        <v>498</v>
      </c>
      <c r="DG90" s="119">
        <v>0</v>
      </c>
      <c r="DH90" s="119">
        <v>0</v>
      </c>
      <c r="DI90" s="119">
        <v>0</v>
      </c>
      <c r="DJ90" s="119">
        <v>0</v>
      </c>
      <c r="DK90" s="119">
        <v>0</v>
      </c>
      <c r="DL90" s="119">
        <v>0</v>
      </c>
      <c r="DM90" s="119">
        <v>0</v>
      </c>
      <c r="DN90" s="119">
        <v>0</v>
      </c>
      <c r="DO90" s="119">
        <v>0</v>
      </c>
      <c r="DP90" s="119">
        <v>0</v>
      </c>
      <c r="DQ90" s="119">
        <v>20</v>
      </c>
      <c r="DR90" s="119">
        <v>0</v>
      </c>
      <c r="DS90" t="s">
        <v>386</v>
      </c>
      <c r="DT90" s="119">
        <v>0</v>
      </c>
      <c r="DU90" s="119">
        <v>0</v>
      </c>
      <c r="DV90" s="119">
        <v>0</v>
      </c>
      <c r="DW90" s="119">
        <v>0</v>
      </c>
      <c r="DX90" s="119">
        <v>0</v>
      </c>
      <c r="DY90" s="119">
        <v>0</v>
      </c>
      <c r="DZ90" s="119">
        <v>0</v>
      </c>
      <c r="EA90" s="119">
        <v>0</v>
      </c>
      <c r="EB90" s="119">
        <v>0</v>
      </c>
      <c r="EC90" s="119">
        <v>0</v>
      </c>
      <c r="ED90" s="119">
        <v>20</v>
      </c>
      <c r="EE90" s="119">
        <v>0</v>
      </c>
      <c r="EF90" t="s">
        <v>499</v>
      </c>
      <c r="EG90" s="119">
        <v>0</v>
      </c>
      <c r="EH90" s="119">
        <v>0</v>
      </c>
      <c r="EI90" s="119">
        <v>0</v>
      </c>
      <c r="EJ90" s="119">
        <v>0</v>
      </c>
      <c r="EK90" s="119">
        <v>0</v>
      </c>
      <c r="EL90" s="119">
        <v>0</v>
      </c>
      <c r="EM90" s="119">
        <v>0</v>
      </c>
      <c r="EN90" s="119">
        <v>0</v>
      </c>
      <c r="EO90" s="119">
        <v>0</v>
      </c>
      <c r="EP90" s="119">
        <v>0</v>
      </c>
      <c r="EQ90" s="119">
        <v>20</v>
      </c>
      <c r="ER90" s="119">
        <v>0</v>
      </c>
      <c r="ES90" t="s">
        <v>388</v>
      </c>
      <c r="ET90" s="119">
        <v>0</v>
      </c>
      <c r="EU90" s="119">
        <v>0</v>
      </c>
      <c r="EV90" s="119">
        <v>0</v>
      </c>
      <c r="EW90" s="119">
        <v>0</v>
      </c>
      <c r="EX90" s="119">
        <v>0</v>
      </c>
      <c r="EY90" s="119">
        <v>0</v>
      </c>
      <c r="EZ90" s="119">
        <v>0</v>
      </c>
      <c r="FA90" s="119">
        <v>0</v>
      </c>
      <c r="FB90" s="119">
        <v>0</v>
      </c>
      <c r="FC90" s="119">
        <v>0</v>
      </c>
      <c r="FD90" s="119">
        <v>20</v>
      </c>
      <c r="FE90" s="119">
        <v>0</v>
      </c>
      <c r="FF90" t="s">
        <v>500</v>
      </c>
      <c r="FG90" s="119">
        <v>0</v>
      </c>
      <c r="FH90" s="119">
        <v>0</v>
      </c>
      <c r="FI90" s="119">
        <v>0</v>
      </c>
      <c r="FJ90" s="119">
        <v>0</v>
      </c>
      <c r="FK90" s="119">
        <v>0</v>
      </c>
      <c r="FL90" s="119">
        <v>0</v>
      </c>
      <c r="FM90" s="119">
        <v>0</v>
      </c>
      <c r="FN90" s="119">
        <v>0</v>
      </c>
      <c r="FO90" s="119">
        <v>0</v>
      </c>
      <c r="FP90" s="119">
        <v>0</v>
      </c>
      <c r="FQ90" s="119">
        <v>20</v>
      </c>
      <c r="FR90" s="119">
        <v>0</v>
      </c>
      <c r="FS90" t="s">
        <v>390</v>
      </c>
      <c r="FT90" s="119">
        <v>0</v>
      </c>
      <c r="FU90" s="119">
        <v>0</v>
      </c>
      <c r="FV90" s="119">
        <v>0</v>
      </c>
      <c r="FW90" s="119">
        <v>0</v>
      </c>
      <c r="FX90" s="119">
        <v>0</v>
      </c>
      <c r="FY90" s="119">
        <v>0</v>
      </c>
      <c r="FZ90" s="119">
        <v>0</v>
      </c>
      <c r="GA90" s="119">
        <v>0</v>
      </c>
      <c r="GB90" s="119">
        <v>0</v>
      </c>
      <c r="GC90" s="119">
        <v>0</v>
      </c>
      <c r="GD90" s="119">
        <v>20</v>
      </c>
      <c r="GE90" s="119">
        <v>0</v>
      </c>
      <c r="GF90" t="s">
        <v>391</v>
      </c>
      <c r="GG90" s="119">
        <v>0</v>
      </c>
      <c r="GH90" s="119">
        <v>0</v>
      </c>
      <c r="GI90" s="119">
        <v>0</v>
      </c>
      <c r="GJ90" s="119">
        <v>0</v>
      </c>
      <c r="GK90" s="119">
        <v>0</v>
      </c>
      <c r="GL90" s="119">
        <v>0</v>
      </c>
      <c r="GM90" s="119">
        <v>0</v>
      </c>
      <c r="GN90" s="119">
        <v>0</v>
      </c>
      <c r="GO90" s="119">
        <v>0</v>
      </c>
      <c r="GP90" s="119">
        <v>0</v>
      </c>
      <c r="GQ90" s="119">
        <v>20</v>
      </c>
      <c r="GR90" s="119">
        <v>0</v>
      </c>
      <c r="HJ90"/>
      <c r="HK90" s="115"/>
      <c r="HR90" s="116"/>
      <c r="HT90" s="117"/>
      <c r="HY90"/>
      <c r="HZ90"/>
      <c r="IA90"/>
    </row>
    <row r="91" spans="1:235" x14ac:dyDescent="0.25">
      <c r="A91">
        <v>91</v>
      </c>
      <c r="B91" s="115">
        <v>43321</v>
      </c>
      <c r="C91" t="s">
        <v>502</v>
      </c>
      <c r="D91" t="s">
        <v>503</v>
      </c>
      <c r="E91" t="s">
        <v>396</v>
      </c>
      <c r="H91" t="s">
        <v>504</v>
      </c>
      <c r="I91" s="116">
        <v>21300</v>
      </c>
      <c r="J91" t="s">
        <v>437</v>
      </c>
      <c r="K91" s="117">
        <v>385456896</v>
      </c>
      <c r="L91">
        <v>121532</v>
      </c>
      <c r="M91">
        <v>56464</v>
      </c>
      <c r="N91" t="s">
        <v>154</v>
      </c>
      <c r="O91">
        <v>18113</v>
      </c>
      <c r="P91">
        <v>1988.57</v>
      </c>
      <c r="Q91">
        <v>1657.14</v>
      </c>
      <c r="R91">
        <v>331.43</v>
      </c>
      <c r="S91" t="s">
        <v>378</v>
      </c>
      <c r="T91" s="118">
        <v>600</v>
      </c>
      <c r="U91" s="118">
        <v>257.14</v>
      </c>
      <c r="V91" s="118">
        <v>857.14</v>
      </c>
      <c r="W91" s="119">
        <v>30</v>
      </c>
      <c r="X91" s="119">
        <v>10</v>
      </c>
      <c r="Y91" s="119">
        <v>80</v>
      </c>
      <c r="Z91" s="119">
        <v>800</v>
      </c>
      <c r="AA91" s="119">
        <v>1057.1400000000001</v>
      </c>
      <c r="AB91" s="119">
        <v>105.71</v>
      </c>
      <c r="AC91" s="119">
        <v>1657.14</v>
      </c>
      <c r="AD91" s="119">
        <v>20</v>
      </c>
      <c r="AE91" s="119">
        <v>331.43</v>
      </c>
      <c r="AF91" t="s">
        <v>379</v>
      </c>
      <c r="AG91" s="119">
        <v>0</v>
      </c>
      <c r="AH91" s="119">
        <v>0</v>
      </c>
      <c r="AI91" s="119">
        <v>0</v>
      </c>
      <c r="AJ91" s="119">
        <v>0</v>
      </c>
      <c r="AK91" s="119">
        <v>0</v>
      </c>
      <c r="AL91" s="119">
        <v>0</v>
      </c>
      <c r="AM91" s="119">
        <v>0</v>
      </c>
      <c r="AN91" s="119">
        <v>0</v>
      </c>
      <c r="AO91" s="119">
        <v>0</v>
      </c>
      <c r="AP91" s="119">
        <v>0</v>
      </c>
      <c r="AQ91" s="119">
        <v>20</v>
      </c>
      <c r="AR91" s="119">
        <v>0</v>
      </c>
      <c r="AS91" t="s">
        <v>380</v>
      </c>
      <c r="AT91" s="119">
        <v>0</v>
      </c>
      <c r="AU91" s="119">
        <v>0</v>
      </c>
      <c r="AV91" s="119">
        <v>0</v>
      </c>
      <c r="AW91" s="119">
        <v>0</v>
      </c>
      <c r="AX91" s="119">
        <v>0</v>
      </c>
      <c r="AY91" s="119">
        <v>0</v>
      </c>
      <c r="AZ91" s="119">
        <v>0</v>
      </c>
      <c r="BA91" s="119">
        <v>0</v>
      </c>
      <c r="BB91" s="119">
        <v>0</v>
      </c>
      <c r="BC91" s="119">
        <v>0</v>
      </c>
      <c r="BD91" s="119">
        <v>20</v>
      </c>
      <c r="BE91" s="119">
        <v>0</v>
      </c>
      <c r="BF91" t="s">
        <v>381</v>
      </c>
      <c r="BG91" s="119">
        <v>0</v>
      </c>
      <c r="BH91" s="119">
        <v>0</v>
      </c>
      <c r="BI91" s="119">
        <v>0</v>
      </c>
      <c r="BJ91" s="119">
        <v>0</v>
      </c>
      <c r="BK91" s="119">
        <v>0</v>
      </c>
      <c r="BL91" s="119">
        <v>0</v>
      </c>
      <c r="BM91" s="119">
        <v>0</v>
      </c>
      <c r="BN91" s="119">
        <v>0</v>
      </c>
      <c r="BO91" s="119">
        <v>0</v>
      </c>
      <c r="BP91" s="119">
        <v>0</v>
      </c>
      <c r="BQ91" s="119">
        <v>20</v>
      </c>
      <c r="BR91" s="119">
        <v>0</v>
      </c>
      <c r="BS91" t="s">
        <v>382</v>
      </c>
      <c r="BT91" s="119">
        <v>0</v>
      </c>
      <c r="BU91" s="119">
        <v>0</v>
      </c>
      <c r="BV91" s="119">
        <v>0</v>
      </c>
      <c r="BW91" s="119">
        <v>0</v>
      </c>
      <c r="BX91" s="119">
        <v>0</v>
      </c>
      <c r="BY91" s="119">
        <v>0</v>
      </c>
      <c r="BZ91" s="119">
        <v>0</v>
      </c>
      <c r="CA91" s="119">
        <v>0</v>
      </c>
      <c r="CB91" s="119">
        <v>0</v>
      </c>
      <c r="CC91" s="119">
        <v>0</v>
      </c>
      <c r="CD91" s="119">
        <v>20</v>
      </c>
      <c r="CE91" s="119">
        <v>0</v>
      </c>
      <c r="CF91" t="s">
        <v>496</v>
      </c>
      <c r="CG91" s="119">
        <v>0</v>
      </c>
      <c r="CH91" s="119">
        <v>0</v>
      </c>
      <c r="CI91" s="119">
        <v>0</v>
      </c>
      <c r="CJ91" s="119">
        <v>0</v>
      </c>
      <c r="CK91" s="119">
        <v>0</v>
      </c>
      <c r="CL91" s="119">
        <v>0</v>
      </c>
      <c r="CM91" s="119">
        <v>0</v>
      </c>
      <c r="CN91" s="119">
        <v>0</v>
      </c>
      <c r="CO91" s="119">
        <v>0</v>
      </c>
      <c r="CP91" s="119">
        <v>0</v>
      </c>
      <c r="CQ91" s="119">
        <v>20</v>
      </c>
      <c r="CR91" s="119">
        <v>0</v>
      </c>
      <c r="CS91" t="s">
        <v>497</v>
      </c>
      <c r="CT91" s="119">
        <v>0</v>
      </c>
      <c r="CU91" s="119">
        <v>0</v>
      </c>
      <c r="CV91" s="119">
        <v>0</v>
      </c>
      <c r="CW91" s="119">
        <v>0</v>
      </c>
      <c r="CX91" s="119">
        <v>0</v>
      </c>
      <c r="CY91" s="119">
        <v>0</v>
      </c>
      <c r="CZ91" s="119">
        <v>0</v>
      </c>
      <c r="DA91" s="119">
        <v>0</v>
      </c>
      <c r="DB91" s="119">
        <v>0</v>
      </c>
      <c r="DC91" s="119">
        <v>0</v>
      </c>
      <c r="DD91" s="119">
        <v>20</v>
      </c>
      <c r="DE91" s="119">
        <v>0</v>
      </c>
      <c r="DF91" t="s">
        <v>498</v>
      </c>
      <c r="DG91" s="119">
        <v>0</v>
      </c>
      <c r="DH91" s="119">
        <v>0</v>
      </c>
      <c r="DI91" s="119">
        <v>0</v>
      </c>
      <c r="DJ91" s="119">
        <v>0</v>
      </c>
      <c r="DK91" s="119">
        <v>0</v>
      </c>
      <c r="DL91" s="119">
        <v>0</v>
      </c>
      <c r="DM91" s="119">
        <v>0</v>
      </c>
      <c r="DN91" s="119">
        <v>0</v>
      </c>
      <c r="DO91" s="119">
        <v>0</v>
      </c>
      <c r="DP91" s="119">
        <v>0</v>
      </c>
      <c r="DQ91" s="119">
        <v>20</v>
      </c>
      <c r="DR91" s="119">
        <v>0</v>
      </c>
      <c r="DS91" t="s">
        <v>386</v>
      </c>
      <c r="DT91" s="119">
        <v>0</v>
      </c>
      <c r="DU91" s="119">
        <v>0</v>
      </c>
      <c r="DV91" s="119">
        <v>0</v>
      </c>
      <c r="DW91" s="119">
        <v>0</v>
      </c>
      <c r="DX91" s="119">
        <v>0</v>
      </c>
      <c r="DY91" s="119">
        <v>0</v>
      </c>
      <c r="DZ91" s="119">
        <v>0</v>
      </c>
      <c r="EA91" s="119">
        <v>0</v>
      </c>
      <c r="EB91" s="119">
        <v>0</v>
      </c>
      <c r="EC91" s="119">
        <v>0</v>
      </c>
      <c r="ED91" s="119">
        <v>20</v>
      </c>
      <c r="EE91" s="119">
        <v>0</v>
      </c>
      <c r="EF91" t="s">
        <v>499</v>
      </c>
      <c r="EG91" s="119">
        <v>0</v>
      </c>
      <c r="EH91" s="119">
        <v>0</v>
      </c>
      <c r="EI91" s="119">
        <v>0</v>
      </c>
      <c r="EJ91" s="119">
        <v>0</v>
      </c>
      <c r="EK91" s="119">
        <v>0</v>
      </c>
      <c r="EL91" s="119">
        <v>0</v>
      </c>
      <c r="EM91" s="119">
        <v>0</v>
      </c>
      <c r="EN91" s="119">
        <v>0</v>
      </c>
      <c r="EO91" s="119">
        <v>0</v>
      </c>
      <c r="EP91" s="119">
        <v>0</v>
      </c>
      <c r="EQ91" s="119">
        <v>20</v>
      </c>
      <c r="ER91" s="119">
        <v>0</v>
      </c>
      <c r="ES91" t="s">
        <v>388</v>
      </c>
      <c r="ET91" s="119">
        <v>0</v>
      </c>
      <c r="EU91" s="119">
        <v>0</v>
      </c>
      <c r="EV91" s="119">
        <v>0</v>
      </c>
      <c r="EW91" s="119">
        <v>0</v>
      </c>
      <c r="EX91" s="119">
        <v>0</v>
      </c>
      <c r="EY91" s="119">
        <v>0</v>
      </c>
      <c r="EZ91" s="119">
        <v>0</v>
      </c>
      <c r="FA91" s="119">
        <v>0</v>
      </c>
      <c r="FB91" s="119">
        <v>0</v>
      </c>
      <c r="FC91" s="119">
        <v>0</v>
      </c>
      <c r="FD91" s="119">
        <v>20</v>
      </c>
      <c r="FE91" s="119">
        <v>0</v>
      </c>
      <c r="FF91" t="s">
        <v>500</v>
      </c>
      <c r="FG91" s="119">
        <v>0</v>
      </c>
      <c r="FH91" s="119">
        <v>0</v>
      </c>
      <c r="FI91" s="119">
        <v>0</v>
      </c>
      <c r="FJ91" s="119">
        <v>0</v>
      </c>
      <c r="FK91" s="119">
        <v>0</v>
      </c>
      <c r="FL91" s="119">
        <v>0</v>
      </c>
      <c r="FM91" s="119">
        <v>0</v>
      </c>
      <c r="FN91" s="119">
        <v>0</v>
      </c>
      <c r="FO91" s="119">
        <v>0</v>
      </c>
      <c r="FP91" s="119">
        <v>0</v>
      </c>
      <c r="FQ91" s="119">
        <v>20</v>
      </c>
      <c r="FR91" s="119">
        <v>0</v>
      </c>
      <c r="FS91" t="s">
        <v>390</v>
      </c>
      <c r="FT91" s="119">
        <v>0</v>
      </c>
      <c r="FU91" s="119">
        <v>0</v>
      </c>
      <c r="FV91" s="119">
        <v>0</v>
      </c>
      <c r="FW91" s="119">
        <v>0</v>
      </c>
      <c r="FX91" s="119">
        <v>0</v>
      </c>
      <c r="FY91" s="119">
        <v>0</v>
      </c>
      <c r="FZ91" s="119">
        <v>0</v>
      </c>
      <c r="GA91" s="119">
        <v>0</v>
      </c>
      <c r="GB91" s="119">
        <v>0</v>
      </c>
      <c r="GC91" s="119">
        <v>0</v>
      </c>
      <c r="GD91" s="119">
        <v>20</v>
      </c>
      <c r="GE91" s="119">
        <v>0</v>
      </c>
      <c r="GF91" t="s">
        <v>391</v>
      </c>
      <c r="GG91" s="119">
        <v>0</v>
      </c>
      <c r="GH91" s="119">
        <v>0</v>
      </c>
      <c r="GI91" s="119">
        <v>0</v>
      </c>
      <c r="GJ91" s="119">
        <v>0</v>
      </c>
      <c r="GK91" s="119">
        <v>0</v>
      </c>
      <c r="GL91" s="119">
        <v>0</v>
      </c>
      <c r="GM91" s="119">
        <v>0</v>
      </c>
      <c r="GN91" s="119">
        <v>0</v>
      </c>
      <c r="GO91" s="119">
        <v>0</v>
      </c>
      <c r="GP91" s="119">
        <v>0</v>
      </c>
      <c r="GQ91" s="119">
        <v>20</v>
      </c>
      <c r="GR91" s="119">
        <v>0</v>
      </c>
      <c r="HJ91"/>
      <c r="HK91" s="115"/>
      <c r="HR91" s="116"/>
      <c r="HT91" s="117"/>
      <c r="HY91"/>
      <c r="HZ91"/>
      <c r="IA91"/>
    </row>
    <row r="92" spans="1:235" x14ac:dyDescent="0.25">
      <c r="A92">
        <v>92</v>
      </c>
      <c r="B92" s="115">
        <v>43321</v>
      </c>
      <c r="C92" t="s">
        <v>400</v>
      </c>
      <c r="D92" t="s">
        <v>433</v>
      </c>
      <c r="E92" t="s">
        <v>372</v>
      </c>
      <c r="F92" t="s">
        <v>434</v>
      </c>
      <c r="G92" t="s">
        <v>435</v>
      </c>
      <c r="H92" t="s">
        <v>436</v>
      </c>
      <c r="I92" s="116">
        <v>21300</v>
      </c>
      <c r="J92" t="s">
        <v>437</v>
      </c>
      <c r="K92" s="117">
        <v>380456545</v>
      </c>
      <c r="L92">
        <v>1234</v>
      </c>
      <c r="M92">
        <v>363464</v>
      </c>
      <c r="N92" t="s">
        <v>154</v>
      </c>
      <c r="O92">
        <v>8325</v>
      </c>
      <c r="P92">
        <v>1817.14</v>
      </c>
      <c r="Q92">
        <v>1514.29</v>
      </c>
      <c r="R92">
        <v>302.86</v>
      </c>
      <c r="S92" t="s">
        <v>378</v>
      </c>
      <c r="T92" s="118">
        <v>500</v>
      </c>
      <c r="U92" s="118">
        <v>214.29</v>
      </c>
      <c r="V92" s="118">
        <v>714.29</v>
      </c>
      <c r="W92" s="119">
        <v>30</v>
      </c>
      <c r="X92" s="119">
        <v>10</v>
      </c>
      <c r="Y92" s="119">
        <v>80</v>
      </c>
      <c r="Z92" s="119">
        <v>800</v>
      </c>
      <c r="AA92" s="119">
        <v>1014.29</v>
      </c>
      <c r="AB92" s="119">
        <v>101.43</v>
      </c>
      <c r="AC92" s="119">
        <v>1514.29</v>
      </c>
      <c r="AD92" s="119">
        <v>20</v>
      </c>
      <c r="AE92" s="119">
        <v>302.86</v>
      </c>
      <c r="AF92" t="s">
        <v>379</v>
      </c>
      <c r="AG92" s="119">
        <v>0</v>
      </c>
      <c r="AH92" s="119">
        <v>0</v>
      </c>
      <c r="AI92" s="119">
        <v>0</v>
      </c>
      <c r="AJ92" s="119">
        <v>0</v>
      </c>
      <c r="AK92" s="119">
        <v>0</v>
      </c>
      <c r="AL92" s="119">
        <v>0</v>
      </c>
      <c r="AM92" s="119">
        <v>0</v>
      </c>
      <c r="AN92" s="119">
        <v>0</v>
      </c>
      <c r="AO92" s="119">
        <v>0</v>
      </c>
      <c r="AP92" s="119">
        <v>0</v>
      </c>
      <c r="AQ92" s="119">
        <v>20</v>
      </c>
      <c r="AR92" s="119">
        <v>0</v>
      </c>
      <c r="AS92" t="s">
        <v>380</v>
      </c>
      <c r="AT92" s="119">
        <v>0</v>
      </c>
      <c r="AU92" s="119">
        <v>0</v>
      </c>
      <c r="AV92" s="119">
        <v>0</v>
      </c>
      <c r="AW92" s="119">
        <v>0</v>
      </c>
      <c r="AX92" s="119">
        <v>0</v>
      </c>
      <c r="AY92" s="119">
        <v>0</v>
      </c>
      <c r="AZ92" s="119">
        <v>0</v>
      </c>
      <c r="BA92" s="119">
        <v>0</v>
      </c>
      <c r="BB92" s="119">
        <v>0</v>
      </c>
      <c r="BC92" s="119">
        <v>0</v>
      </c>
      <c r="BD92" s="119">
        <v>20</v>
      </c>
      <c r="BE92" s="119">
        <v>0</v>
      </c>
      <c r="BF92" t="s">
        <v>381</v>
      </c>
      <c r="BG92" s="119">
        <v>0</v>
      </c>
      <c r="BH92" s="119">
        <v>0</v>
      </c>
      <c r="BI92" s="119">
        <v>0</v>
      </c>
      <c r="BJ92" s="119">
        <v>0</v>
      </c>
      <c r="BK92" s="119">
        <v>0</v>
      </c>
      <c r="BL92" s="119">
        <v>0</v>
      </c>
      <c r="BM92" s="119">
        <v>0</v>
      </c>
      <c r="BN92" s="119">
        <v>0</v>
      </c>
      <c r="BO92" s="119">
        <v>0</v>
      </c>
      <c r="BP92" s="119">
        <v>0</v>
      </c>
      <c r="BQ92" s="119">
        <v>20</v>
      </c>
      <c r="BR92" s="119">
        <v>0</v>
      </c>
      <c r="BS92" t="s">
        <v>382</v>
      </c>
      <c r="BT92" s="119">
        <v>0</v>
      </c>
      <c r="BU92" s="119">
        <v>0</v>
      </c>
      <c r="BV92" s="119">
        <v>0</v>
      </c>
      <c r="BW92" s="119">
        <v>0</v>
      </c>
      <c r="BX92" s="119">
        <v>0</v>
      </c>
      <c r="BY92" s="119">
        <v>0</v>
      </c>
      <c r="BZ92" s="119">
        <v>0</v>
      </c>
      <c r="CA92" s="119">
        <v>0</v>
      </c>
      <c r="CB92" s="119">
        <v>0</v>
      </c>
      <c r="CC92" s="119">
        <v>0</v>
      </c>
      <c r="CD92" s="119">
        <v>20</v>
      </c>
      <c r="CE92" s="119">
        <v>0</v>
      </c>
      <c r="CF92" t="s">
        <v>496</v>
      </c>
      <c r="CG92" s="119">
        <v>0</v>
      </c>
      <c r="CH92" s="119">
        <v>0</v>
      </c>
      <c r="CI92" s="119">
        <v>0</v>
      </c>
      <c r="CJ92" s="119">
        <v>0</v>
      </c>
      <c r="CK92" s="119">
        <v>0</v>
      </c>
      <c r="CL92" s="119">
        <v>0</v>
      </c>
      <c r="CM92" s="119">
        <v>0</v>
      </c>
      <c r="CN92" s="119">
        <v>0</v>
      </c>
      <c r="CO92" s="119">
        <v>0</v>
      </c>
      <c r="CP92" s="119">
        <v>0</v>
      </c>
      <c r="CQ92" s="119">
        <v>20</v>
      </c>
      <c r="CR92" s="119">
        <v>0</v>
      </c>
      <c r="CS92" t="s">
        <v>497</v>
      </c>
      <c r="CT92" s="119">
        <v>0</v>
      </c>
      <c r="CU92" s="119">
        <v>0</v>
      </c>
      <c r="CV92" s="119">
        <v>0</v>
      </c>
      <c r="CW92" s="119">
        <v>0</v>
      </c>
      <c r="CX92" s="119">
        <v>0</v>
      </c>
      <c r="CY92" s="119">
        <v>0</v>
      </c>
      <c r="CZ92" s="119">
        <v>0</v>
      </c>
      <c r="DA92" s="119">
        <v>0</v>
      </c>
      <c r="DB92" s="119">
        <v>0</v>
      </c>
      <c r="DC92" s="119">
        <v>0</v>
      </c>
      <c r="DD92" s="119">
        <v>20</v>
      </c>
      <c r="DE92" s="119">
        <v>0</v>
      </c>
      <c r="DF92" t="s">
        <v>498</v>
      </c>
      <c r="DG92" s="119">
        <v>0</v>
      </c>
      <c r="DH92" s="119">
        <v>0</v>
      </c>
      <c r="DI92" s="119">
        <v>0</v>
      </c>
      <c r="DJ92" s="119">
        <v>0</v>
      </c>
      <c r="DK92" s="119">
        <v>0</v>
      </c>
      <c r="DL92" s="119">
        <v>0</v>
      </c>
      <c r="DM92" s="119">
        <v>0</v>
      </c>
      <c r="DN92" s="119">
        <v>0</v>
      </c>
      <c r="DO92" s="119">
        <v>0</v>
      </c>
      <c r="DP92" s="119">
        <v>0</v>
      </c>
      <c r="DQ92" s="119">
        <v>20</v>
      </c>
      <c r="DR92" s="119">
        <v>0</v>
      </c>
      <c r="DS92" t="s">
        <v>386</v>
      </c>
      <c r="DT92" s="119">
        <v>0</v>
      </c>
      <c r="DU92" s="119">
        <v>0</v>
      </c>
      <c r="DV92" s="119">
        <v>0</v>
      </c>
      <c r="DW92" s="119">
        <v>0</v>
      </c>
      <c r="DX92" s="119">
        <v>0</v>
      </c>
      <c r="DY92" s="119">
        <v>0</v>
      </c>
      <c r="DZ92" s="119">
        <v>0</v>
      </c>
      <c r="EA92" s="119">
        <v>0</v>
      </c>
      <c r="EB92" s="119">
        <v>0</v>
      </c>
      <c r="EC92" s="119">
        <v>0</v>
      </c>
      <c r="ED92" s="119">
        <v>20</v>
      </c>
      <c r="EE92" s="119">
        <v>0</v>
      </c>
      <c r="EF92" t="s">
        <v>499</v>
      </c>
      <c r="EG92" s="119">
        <v>0</v>
      </c>
      <c r="EH92" s="119">
        <v>0</v>
      </c>
      <c r="EI92" s="119">
        <v>0</v>
      </c>
      <c r="EJ92" s="119">
        <v>0</v>
      </c>
      <c r="EK92" s="119">
        <v>0</v>
      </c>
      <c r="EL92" s="119">
        <v>0</v>
      </c>
      <c r="EM92" s="119">
        <v>0</v>
      </c>
      <c r="EN92" s="119">
        <v>0</v>
      </c>
      <c r="EO92" s="119">
        <v>0</v>
      </c>
      <c r="EP92" s="119">
        <v>0</v>
      </c>
      <c r="EQ92" s="119">
        <v>20</v>
      </c>
      <c r="ER92" s="119">
        <v>0</v>
      </c>
      <c r="ES92" t="s">
        <v>388</v>
      </c>
      <c r="ET92" s="119">
        <v>0</v>
      </c>
      <c r="EU92" s="119">
        <v>0</v>
      </c>
      <c r="EV92" s="119">
        <v>0</v>
      </c>
      <c r="EW92" s="119">
        <v>0</v>
      </c>
      <c r="EX92" s="119">
        <v>0</v>
      </c>
      <c r="EY92" s="119">
        <v>0</v>
      </c>
      <c r="EZ92" s="119">
        <v>0</v>
      </c>
      <c r="FA92" s="119">
        <v>0</v>
      </c>
      <c r="FB92" s="119">
        <v>0</v>
      </c>
      <c r="FC92" s="119">
        <v>0</v>
      </c>
      <c r="FD92" s="119">
        <v>20</v>
      </c>
      <c r="FE92" s="119">
        <v>0</v>
      </c>
      <c r="FF92" t="s">
        <v>500</v>
      </c>
      <c r="FG92" s="119">
        <v>0</v>
      </c>
      <c r="FH92" s="119">
        <v>0</v>
      </c>
      <c r="FI92" s="119">
        <v>0</v>
      </c>
      <c r="FJ92" s="119">
        <v>0</v>
      </c>
      <c r="FK92" s="119">
        <v>0</v>
      </c>
      <c r="FL92" s="119">
        <v>0</v>
      </c>
      <c r="FM92" s="119">
        <v>0</v>
      </c>
      <c r="FN92" s="119">
        <v>0</v>
      </c>
      <c r="FO92" s="119">
        <v>0</v>
      </c>
      <c r="FP92" s="119">
        <v>0</v>
      </c>
      <c r="FQ92" s="119">
        <v>20</v>
      </c>
      <c r="FR92" s="119">
        <v>0</v>
      </c>
      <c r="FS92" t="s">
        <v>390</v>
      </c>
      <c r="FT92" s="119">
        <v>0</v>
      </c>
      <c r="FU92" s="119">
        <v>0</v>
      </c>
      <c r="FV92" s="119">
        <v>0</v>
      </c>
      <c r="FW92" s="119">
        <v>0</v>
      </c>
      <c r="FX92" s="119">
        <v>0</v>
      </c>
      <c r="FY92" s="119">
        <v>0</v>
      </c>
      <c r="FZ92" s="119">
        <v>0</v>
      </c>
      <c r="GA92" s="119">
        <v>0</v>
      </c>
      <c r="GB92" s="119">
        <v>0</v>
      </c>
      <c r="GC92" s="119">
        <v>0</v>
      </c>
      <c r="GD92" s="119">
        <v>20</v>
      </c>
      <c r="GE92" s="119">
        <v>0</v>
      </c>
      <c r="GF92" t="s">
        <v>391</v>
      </c>
      <c r="GG92" s="119">
        <v>0</v>
      </c>
      <c r="GH92" s="119">
        <v>0</v>
      </c>
      <c r="GI92" s="119">
        <v>0</v>
      </c>
      <c r="GJ92" s="119">
        <v>0</v>
      </c>
      <c r="GK92" s="119">
        <v>0</v>
      </c>
      <c r="GL92" s="119">
        <v>0</v>
      </c>
      <c r="GM92" s="119">
        <v>0</v>
      </c>
      <c r="GN92" s="119">
        <v>0</v>
      </c>
      <c r="GO92" s="119">
        <v>0</v>
      </c>
      <c r="GP92" s="119">
        <v>0</v>
      </c>
      <c r="GQ92" s="119">
        <v>20</v>
      </c>
      <c r="GR92" s="119">
        <v>0</v>
      </c>
      <c r="HJ92"/>
      <c r="HK92" s="115"/>
      <c r="HR92" s="116"/>
      <c r="HT92" s="117"/>
      <c r="HY92"/>
      <c r="HZ92"/>
      <c r="IA92"/>
    </row>
    <row r="93" spans="1:235" x14ac:dyDescent="0.25">
      <c r="A93">
        <v>93</v>
      </c>
      <c r="B93" s="115">
        <v>43321</v>
      </c>
      <c r="C93" t="s">
        <v>400</v>
      </c>
      <c r="D93" t="s">
        <v>433</v>
      </c>
      <c r="E93" t="s">
        <v>372</v>
      </c>
      <c r="F93" t="s">
        <v>434</v>
      </c>
      <c r="G93" t="s">
        <v>435</v>
      </c>
      <c r="H93" t="s">
        <v>436</v>
      </c>
      <c r="I93" s="116">
        <v>21300</v>
      </c>
      <c r="J93" t="s">
        <v>437</v>
      </c>
      <c r="K93" s="117">
        <v>380456545</v>
      </c>
      <c r="L93">
        <v>64654</v>
      </c>
      <c r="M93">
        <v>656546</v>
      </c>
      <c r="N93" t="s">
        <v>154</v>
      </c>
      <c r="O93">
        <v>645645</v>
      </c>
      <c r="P93">
        <v>1877.14</v>
      </c>
      <c r="Q93">
        <v>1564.29</v>
      </c>
      <c r="R93">
        <v>312.86</v>
      </c>
      <c r="S93" t="s">
        <v>378</v>
      </c>
      <c r="T93" s="118">
        <v>500</v>
      </c>
      <c r="U93" s="118">
        <v>214.29</v>
      </c>
      <c r="V93" s="118">
        <v>714.29</v>
      </c>
      <c r="W93" s="119">
        <v>30</v>
      </c>
      <c r="X93" s="119">
        <v>10</v>
      </c>
      <c r="Y93" s="119">
        <v>85</v>
      </c>
      <c r="Z93" s="119">
        <v>850</v>
      </c>
      <c r="AA93" s="119">
        <v>1064.29</v>
      </c>
      <c r="AB93" s="119">
        <v>106.43</v>
      </c>
      <c r="AC93" s="119">
        <v>1564.29</v>
      </c>
      <c r="AD93" s="119">
        <v>20</v>
      </c>
      <c r="AE93" s="119">
        <v>312.86</v>
      </c>
      <c r="AF93" t="s">
        <v>379</v>
      </c>
      <c r="AG93" s="119">
        <v>0</v>
      </c>
      <c r="AH93" s="119">
        <v>0</v>
      </c>
      <c r="AI93" s="119">
        <v>0</v>
      </c>
      <c r="AJ93" s="119">
        <v>0</v>
      </c>
      <c r="AK93" s="119">
        <v>0</v>
      </c>
      <c r="AL93" s="119">
        <v>0</v>
      </c>
      <c r="AM93" s="119">
        <v>0</v>
      </c>
      <c r="AN93" s="119">
        <v>0</v>
      </c>
      <c r="AO93" s="119">
        <v>0</v>
      </c>
      <c r="AP93" s="119">
        <v>0</v>
      </c>
      <c r="AQ93" s="119">
        <v>20</v>
      </c>
      <c r="AR93" s="119">
        <v>0</v>
      </c>
      <c r="AS93" t="s">
        <v>380</v>
      </c>
      <c r="AT93" s="119">
        <v>0</v>
      </c>
      <c r="AU93" s="119">
        <v>0</v>
      </c>
      <c r="AV93" s="119">
        <v>0</v>
      </c>
      <c r="AW93" s="119">
        <v>0</v>
      </c>
      <c r="AX93" s="119">
        <v>0</v>
      </c>
      <c r="AY93" s="119">
        <v>0</v>
      </c>
      <c r="AZ93" s="119">
        <v>0</v>
      </c>
      <c r="BA93" s="119">
        <v>0</v>
      </c>
      <c r="BB93" s="119">
        <v>0</v>
      </c>
      <c r="BC93" s="119">
        <v>0</v>
      </c>
      <c r="BD93" s="119">
        <v>20</v>
      </c>
      <c r="BE93" s="119">
        <v>0</v>
      </c>
      <c r="BF93" t="s">
        <v>381</v>
      </c>
      <c r="BG93" s="119">
        <v>0</v>
      </c>
      <c r="BH93" s="119">
        <v>0</v>
      </c>
      <c r="BI93" s="119">
        <v>0</v>
      </c>
      <c r="BJ93" s="119">
        <v>0</v>
      </c>
      <c r="BK93" s="119">
        <v>0</v>
      </c>
      <c r="BL93" s="119">
        <v>0</v>
      </c>
      <c r="BM93" s="119">
        <v>0</v>
      </c>
      <c r="BN93" s="119">
        <v>0</v>
      </c>
      <c r="BO93" s="119">
        <v>0</v>
      </c>
      <c r="BP93" s="119">
        <v>0</v>
      </c>
      <c r="BQ93" s="119">
        <v>20</v>
      </c>
      <c r="BR93" s="119">
        <v>0</v>
      </c>
      <c r="BS93" t="s">
        <v>382</v>
      </c>
      <c r="BT93" s="119">
        <v>0</v>
      </c>
      <c r="BU93" s="119">
        <v>0</v>
      </c>
      <c r="BV93" s="119">
        <v>0</v>
      </c>
      <c r="BW93" s="119">
        <v>0</v>
      </c>
      <c r="BX93" s="119">
        <v>0</v>
      </c>
      <c r="BY93" s="119">
        <v>0</v>
      </c>
      <c r="BZ93" s="119">
        <v>0</v>
      </c>
      <c r="CA93" s="119">
        <v>0</v>
      </c>
      <c r="CB93" s="119">
        <v>0</v>
      </c>
      <c r="CC93" s="119">
        <v>0</v>
      </c>
      <c r="CD93" s="119">
        <v>20</v>
      </c>
      <c r="CE93" s="119">
        <v>0</v>
      </c>
      <c r="CF93" t="s">
        <v>496</v>
      </c>
      <c r="CG93" s="119">
        <v>0</v>
      </c>
      <c r="CH93" s="119">
        <v>0</v>
      </c>
      <c r="CI93" s="119">
        <v>0</v>
      </c>
      <c r="CJ93" s="119">
        <v>0</v>
      </c>
      <c r="CK93" s="119">
        <v>0</v>
      </c>
      <c r="CL93" s="119">
        <v>0</v>
      </c>
      <c r="CM93" s="119">
        <v>0</v>
      </c>
      <c r="CN93" s="119">
        <v>0</v>
      </c>
      <c r="CO93" s="119">
        <v>0</v>
      </c>
      <c r="CP93" s="119">
        <v>0</v>
      </c>
      <c r="CQ93" s="119">
        <v>20</v>
      </c>
      <c r="CR93" s="119">
        <v>0</v>
      </c>
      <c r="CS93" t="s">
        <v>497</v>
      </c>
      <c r="CT93" s="119">
        <v>0</v>
      </c>
      <c r="CU93" s="119">
        <v>0</v>
      </c>
      <c r="CV93" s="119">
        <v>0</v>
      </c>
      <c r="CW93" s="119">
        <v>0</v>
      </c>
      <c r="CX93" s="119">
        <v>0</v>
      </c>
      <c r="CY93" s="119">
        <v>0</v>
      </c>
      <c r="CZ93" s="119">
        <v>0</v>
      </c>
      <c r="DA93" s="119">
        <v>0</v>
      </c>
      <c r="DB93" s="119">
        <v>0</v>
      </c>
      <c r="DC93" s="119">
        <v>0</v>
      </c>
      <c r="DD93" s="119">
        <v>20</v>
      </c>
      <c r="DE93" s="119">
        <v>0</v>
      </c>
      <c r="DF93" t="s">
        <v>498</v>
      </c>
      <c r="DG93" s="119">
        <v>0</v>
      </c>
      <c r="DH93" s="119">
        <v>0</v>
      </c>
      <c r="DI93" s="119">
        <v>0</v>
      </c>
      <c r="DJ93" s="119">
        <v>0</v>
      </c>
      <c r="DK93" s="119">
        <v>0</v>
      </c>
      <c r="DL93" s="119">
        <v>0</v>
      </c>
      <c r="DM93" s="119">
        <v>0</v>
      </c>
      <c r="DN93" s="119">
        <v>0</v>
      </c>
      <c r="DO93" s="119">
        <v>0</v>
      </c>
      <c r="DP93" s="119">
        <v>0</v>
      </c>
      <c r="DQ93" s="119">
        <v>20</v>
      </c>
      <c r="DR93" s="119">
        <v>0</v>
      </c>
      <c r="DS93" t="s">
        <v>386</v>
      </c>
      <c r="DT93" s="119">
        <v>0</v>
      </c>
      <c r="DU93" s="119">
        <v>0</v>
      </c>
      <c r="DV93" s="119">
        <v>0</v>
      </c>
      <c r="DW93" s="119">
        <v>0</v>
      </c>
      <c r="DX93" s="119">
        <v>0</v>
      </c>
      <c r="DY93" s="119">
        <v>0</v>
      </c>
      <c r="DZ93" s="119">
        <v>0</v>
      </c>
      <c r="EA93" s="119">
        <v>0</v>
      </c>
      <c r="EB93" s="119">
        <v>0</v>
      </c>
      <c r="EC93" s="119">
        <v>0</v>
      </c>
      <c r="ED93" s="119">
        <v>20</v>
      </c>
      <c r="EE93" s="119">
        <v>0</v>
      </c>
      <c r="EF93" t="s">
        <v>499</v>
      </c>
      <c r="EG93" s="119">
        <v>0</v>
      </c>
      <c r="EH93" s="119">
        <v>0</v>
      </c>
      <c r="EI93" s="119">
        <v>0</v>
      </c>
      <c r="EJ93" s="119">
        <v>0</v>
      </c>
      <c r="EK93" s="119">
        <v>0</v>
      </c>
      <c r="EL93" s="119">
        <v>0</v>
      </c>
      <c r="EM93" s="119">
        <v>0</v>
      </c>
      <c r="EN93" s="119">
        <v>0</v>
      </c>
      <c r="EO93" s="119">
        <v>0</v>
      </c>
      <c r="EP93" s="119">
        <v>0</v>
      </c>
      <c r="EQ93" s="119">
        <v>20</v>
      </c>
      <c r="ER93" s="119">
        <v>0</v>
      </c>
      <c r="ES93" t="s">
        <v>388</v>
      </c>
      <c r="ET93" s="119">
        <v>0</v>
      </c>
      <c r="EU93" s="119">
        <v>0</v>
      </c>
      <c r="EV93" s="119">
        <v>0</v>
      </c>
      <c r="EW93" s="119">
        <v>0</v>
      </c>
      <c r="EX93" s="119">
        <v>0</v>
      </c>
      <c r="EY93" s="119">
        <v>0</v>
      </c>
      <c r="EZ93" s="119">
        <v>0</v>
      </c>
      <c r="FA93" s="119">
        <v>0</v>
      </c>
      <c r="FB93" s="119">
        <v>0</v>
      </c>
      <c r="FC93" s="119">
        <v>0</v>
      </c>
      <c r="FD93" s="119">
        <v>20</v>
      </c>
      <c r="FE93" s="119">
        <v>0</v>
      </c>
      <c r="FF93" t="s">
        <v>500</v>
      </c>
      <c r="FG93" s="119">
        <v>0</v>
      </c>
      <c r="FH93" s="119">
        <v>0</v>
      </c>
      <c r="FI93" s="119">
        <v>0</v>
      </c>
      <c r="FJ93" s="119">
        <v>0</v>
      </c>
      <c r="FK93" s="119">
        <v>0</v>
      </c>
      <c r="FL93" s="119">
        <v>0</v>
      </c>
      <c r="FM93" s="119">
        <v>0</v>
      </c>
      <c r="FN93" s="119">
        <v>0</v>
      </c>
      <c r="FO93" s="119">
        <v>0</v>
      </c>
      <c r="FP93" s="119">
        <v>0</v>
      </c>
      <c r="FQ93" s="119">
        <v>20</v>
      </c>
      <c r="FR93" s="119">
        <v>0</v>
      </c>
      <c r="FS93" t="s">
        <v>390</v>
      </c>
      <c r="FT93" s="119">
        <v>0</v>
      </c>
      <c r="FU93" s="119">
        <v>0</v>
      </c>
      <c r="FV93" s="119">
        <v>0</v>
      </c>
      <c r="FW93" s="119">
        <v>0</v>
      </c>
      <c r="FX93" s="119">
        <v>0</v>
      </c>
      <c r="FY93" s="119">
        <v>0</v>
      </c>
      <c r="FZ93" s="119">
        <v>0</v>
      </c>
      <c r="GA93" s="119">
        <v>0</v>
      </c>
      <c r="GB93" s="119">
        <v>0</v>
      </c>
      <c r="GC93" s="119">
        <v>0</v>
      </c>
      <c r="GD93" s="119">
        <v>20</v>
      </c>
      <c r="GE93" s="119">
        <v>0</v>
      </c>
      <c r="GF93" t="s">
        <v>391</v>
      </c>
      <c r="GG93" s="119">
        <v>0</v>
      </c>
      <c r="GH93" s="119">
        <v>0</v>
      </c>
      <c r="GI93" s="119">
        <v>0</v>
      </c>
      <c r="GJ93" s="119">
        <v>0</v>
      </c>
      <c r="GK93" s="119">
        <v>0</v>
      </c>
      <c r="GL93" s="119">
        <v>0</v>
      </c>
      <c r="GM93" s="119">
        <v>0</v>
      </c>
      <c r="GN93" s="119">
        <v>0</v>
      </c>
      <c r="GO93" s="119">
        <v>0</v>
      </c>
      <c r="GP93" s="119">
        <v>0</v>
      </c>
      <c r="GQ93" s="119">
        <v>20</v>
      </c>
      <c r="GR93" s="119">
        <v>0</v>
      </c>
      <c r="HJ93"/>
      <c r="HK93" s="115"/>
      <c r="HR93" s="116"/>
      <c r="HT93" s="117"/>
      <c r="HY93"/>
      <c r="HZ93"/>
      <c r="IA93"/>
    </row>
    <row r="94" spans="1:235" x14ac:dyDescent="0.25">
      <c r="A94">
        <v>94</v>
      </c>
      <c r="B94" s="115">
        <v>43322</v>
      </c>
      <c r="C94" t="s">
        <v>400</v>
      </c>
      <c r="D94" t="s">
        <v>433</v>
      </c>
      <c r="E94" t="s">
        <v>372</v>
      </c>
      <c r="F94" t="s">
        <v>434</v>
      </c>
      <c r="G94" t="s">
        <v>435</v>
      </c>
      <c r="H94" t="s">
        <v>436</v>
      </c>
      <c r="I94" s="116">
        <v>21300</v>
      </c>
      <c r="J94" t="s">
        <v>437</v>
      </c>
      <c r="K94" s="117">
        <v>380456545</v>
      </c>
      <c r="L94">
        <v>331316</v>
      </c>
      <c r="M94">
        <v>646456</v>
      </c>
      <c r="N94" t="s">
        <v>154</v>
      </c>
      <c r="O94">
        <v>3131</v>
      </c>
      <c r="P94">
        <v>1817.14</v>
      </c>
      <c r="Q94">
        <v>1514.29</v>
      </c>
      <c r="R94">
        <v>302.86</v>
      </c>
      <c r="S94" t="s">
        <v>378</v>
      </c>
      <c r="T94" s="118">
        <v>500</v>
      </c>
      <c r="U94" s="118">
        <v>214.29</v>
      </c>
      <c r="V94" s="118">
        <v>714.29</v>
      </c>
      <c r="W94" s="119">
        <v>30</v>
      </c>
      <c r="X94" s="119">
        <v>10</v>
      </c>
      <c r="Y94" s="119">
        <v>80</v>
      </c>
      <c r="Z94" s="119">
        <v>800</v>
      </c>
      <c r="AA94" s="119">
        <v>1014.29</v>
      </c>
      <c r="AB94" s="119">
        <v>101.43</v>
      </c>
      <c r="AC94" s="119">
        <v>1514.29</v>
      </c>
      <c r="AD94" s="119">
        <v>20</v>
      </c>
      <c r="AE94" s="119">
        <v>302.86</v>
      </c>
      <c r="AF94" t="s">
        <v>379</v>
      </c>
      <c r="AG94" s="119">
        <v>0</v>
      </c>
      <c r="AH94" s="119">
        <v>0</v>
      </c>
      <c r="AI94" s="119">
        <v>0</v>
      </c>
      <c r="AJ94" s="119">
        <v>0</v>
      </c>
      <c r="AK94" s="119">
        <v>0</v>
      </c>
      <c r="AL94" s="119">
        <v>0</v>
      </c>
      <c r="AM94" s="119">
        <v>0</v>
      </c>
      <c r="AN94" s="119">
        <v>0</v>
      </c>
      <c r="AO94" s="119">
        <v>0</v>
      </c>
      <c r="AP94" s="119">
        <v>0</v>
      </c>
      <c r="AQ94" s="119">
        <v>20</v>
      </c>
      <c r="AR94" s="119">
        <v>0</v>
      </c>
      <c r="AS94" t="s">
        <v>380</v>
      </c>
      <c r="AT94" s="119">
        <v>0</v>
      </c>
      <c r="AU94" s="119">
        <v>0</v>
      </c>
      <c r="AV94" s="119">
        <v>0</v>
      </c>
      <c r="AW94" s="119">
        <v>0</v>
      </c>
      <c r="AX94" s="119">
        <v>0</v>
      </c>
      <c r="AY94" s="119">
        <v>0</v>
      </c>
      <c r="AZ94" s="119">
        <v>0</v>
      </c>
      <c r="BA94" s="119">
        <v>0</v>
      </c>
      <c r="BB94" s="119">
        <v>0</v>
      </c>
      <c r="BC94" s="119">
        <v>0</v>
      </c>
      <c r="BD94" s="119">
        <v>20</v>
      </c>
      <c r="BE94" s="119">
        <v>0</v>
      </c>
      <c r="BF94" t="s">
        <v>381</v>
      </c>
      <c r="BG94" s="119">
        <v>0</v>
      </c>
      <c r="BH94" s="119">
        <v>0</v>
      </c>
      <c r="BI94" s="119">
        <v>0</v>
      </c>
      <c r="BJ94" s="119">
        <v>0</v>
      </c>
      <c r="BK94" s="119">
        <v>0</v>
      </c>
      <c r="BL94" s="119">
        <v>0</v>
      </c>
      <c r="BM94" s="119">
        <v>0</v>
      </c>
      <c r="BN94" s="119">
        <v>0</v>
      </c>
      <c r="BO94" s="119">
        <v>0</v>
      </c>
      <c r="BP94" s="119">
        <v>0</v>
      </c>
      <c r="BQ94" s="119">
        <v>20</v>
      </c>
      <c r="BR94" s="119">
        <v>0</v>
      </c>
      <c r="BS94" t="s">
        <v>382</v>
      </c>
      <c r="BT94" s="119">
        <v>0</v>
      </c>
      <c r="BU94" s="119">
        <v>0</v>
      </c>
      <c r="BV94" s="119">
        <v>0</v>
      </c>
      <c r="BW94" s="119">
        <v>0</v>
      </c>
      <c r="BX94" s="119">
        <v>0</v>
      </c>
      <c r="BY94" s="119">
        <v>0</v>
      </c>
      <c r="BZ94" s="119">
        <v>0</v>
      </c>
      <c r="CA94" s="119">
        <v>0</v>
      </c>
      <c r="CB94" s="119">
        <v>0</v>
      </c>
      <c r="CC94" s="119">
        <v>0</v>
      </c>
      <c r="CD94" s="119">
        <v>20</v>
      </c>
      <c r="CE94" s="119">
        <v>0</v>
      </c>
      <c r="CF94" t="s">
        <v>496</v>
      </c>
      <c r="CG94" s="119">
        <v>0</v>
      </c>
      <c r="CH94" s="119">
        <v>0</v>
      </c>
      <c r="CI94" s="119">
        <v>0</v>
      </c>
      <c r="CJ94" s="119">
        <v>0</v>
      </c>
      <c r="CK94" s="119">
        <v>0</v>
      </c>
      <c r="CL94" s="119">
        <v>0</v>
      </c>
      <c r="CM94" s="119">
        <v>0</v>
      </c>
      <c r="CN94" s="119">
        <v>0</v>
      </c>
      <c r="CO94" s="119">
        <v>0</v>
      </c>
      <c r="CP94" s="119">
        <v>0</v>
      </c>
      <c r="CQ94" s="119">
        <v>20</v>
      </c>
      <c r="CR94" s="119">
        <v>0</v>
      </c>
      <c r="CS94" t="s">
        <v>497</v>
      </c>
      <c r="CT94" s="119">
        <v>0</v>
      </c>
      <c r="CU94" s="119">
        <v>0</v>
      </c>
      <c r="CV94" s="119">
        <v>0</v>
      </c>
      <c r="CW94" s="119">
        <v>0</v>
      </c>
      <c r="CX94" s="119">
        <v>0</v>
      </c>
      <c r="CY94" s="119">
        <v>0</v>
      </c>
      <c r="CZ94" s="119">
        <v>0</v>
      </c>
      <c r="DA94" s="119">
        <v>0</v>
      </c>
      <c r="DB94" s="119">
        <v>0</v>
      </c>
      <c r="DC94" s="119">
        <v>0</v>
      </c>
      <c r="DD94" s="119">
        <v>20</v>
      </c>
      <c r="DE94" s="119">
        <v>0</v>
      </c>
      <c r="DF94" t="s">
        <v>498</v>
      </c>
      <c r="DG94" s="119">
        <v>0</v>
      </c>
      <c r="DH94" s="119">
        <v>0</v>
      </c>
      <c r="DI94" s="119">
        <v>0</v>
      </c>
      <c r="DJ94" s="119">
        <v>0</v>
      </c>
      <c r="DK94" s="119">
        <v>0</v>
      </c>
      <c r="DL94" s="119">
        <v>0</v>
      </c>
      <c r="DM94" s="119">
        <v>0</v>
      </c>
      <c r="DN94" s="119">
        <v>0</v>
      </c>
      <c r="DO94" s="119">
        <v>0</v>
      </c>
      <c r="DP94" s="119">
        <v>0</v>
      </c>
      <c r="DQ94" s="119">
        <v>20</v>
      </c>
      <c r="DR94" s="119">
        <v>0</v>
      </c>
      <c r="DS94" t="s">
        <v>386</v>
      </c>
      <c r="DT94" s="119">
        <v>0</v>
      </c>
      <c r="DU94" s="119">
        <v>0</v>
      </c>
      <c r="DV94" s="119">
        <v>0</v>
      </c>
      <c r="DW94" s="119">
        <v>0</v>
      </c>
      <c r="DX94" s="119">
        <v>0</v>
      </c>
      <c r="DY94" s="119">
        <v>0</v>
      </c>
      <c r="DZ94" s="119">
        <v>0</v>
      </c>
      <c r="EA94" s="119">
        <v>0</v>
      </c>
      <c r="EB94" s="119">
        <v>0</v>
      </c>
      <c r="EC94" s="119">
        <v>0</v>
      </c>
      <c r="ED94" s="119">
        <v>20</v>
      </c>
      <c r="EE94" s="119">
        <v>0</v>
      </c>
      <c r="EF94" t="s">
        <v>499</v>
      </c>
      <c r="EG94" s="119">
        <v>0</v>
      </c>
      <c r="EH94" s="119">
        <v>0</v>
      </c>
      <c r="EI94" s="119">
        <v>0</v>
      </c>
      <c r="EJ94" s="119">
        <v>0</v>
      </c>
      <c r="EK94" s="119">
        <v>0</v>
      </c>
      <c r="EL94" s="119">
        <v>0</v>
      </c>
      <c r="EM94" s="119">
        <v>0</v>
      </c>
      <c r="EN94" s="119">
        <v>0</v>
      </c>
      <c r="EO94" s="119">
        <v>0</v>
      </c>
      <c r="EP94" s="119">
        <v>0</v>
      </c>
      <c r="EQ94" s="119">
        <v>20</v>
      </c>
      <c r="ER94" s="119">
        <v>0</v>
      </c>
      <c r="ES94" t="s">
        <v>388</v>
      </c>
      <c r="ET94" s="119">
        <v>0</v>
      </c>
      <c r="EU94" s="119">
        <v>0</v>
      </c>
      <c r="EV94" s="119">
        <v>0</v>
      </c>
      <c r="EW94" s="119">
        <v>0</v>
      </c>
      <c r="EX94" s="119">
        <v>0</v>
      </c>
      <c r="EY94" s="119">
        <v>0</v>
      </c>
      <c r="EZ94" s="119">
        <v>0</v>
      </c>
      <c r="FA94" s="119">
        <v>0</v>
      </c>
      <c r="FB94" s="119">
        <v>0</v>
      </c>
      <c r="FC94" s="119">
        <v>0</v>
      </c>
      <c r="FD94" s="119">
        <v>20</v>
      </c>
      <c r="FE94" s="119">
        <v>0</v>
      </c>
      <c r="FF94" t="s">
        <v>500</v>
      </c>
      <c r="FG94" s="119">
        <v>0</v>
      </c>
      <c r="FH94" s="119">
        <v>0</v>
      </c>
      <c r="FI94" s="119">
        <v>0</v>
      </c>
      <c r="FJ94" s="119">
        <v>0</v>
      </c>
      <c r="FK94" s="119">
        <v>0</v>
      </c>
      <c r="FL94" s="119">
        <v>0</v>
      </c>
      <c r="FM94" s="119">
        <v>0</v>
      </c>
      <c r="FN94" s="119">
        <v>0</v>
      </c>
      <c r="FO94" s="119">
        <v>0</v>
      </c>
      <c r="FP94" s="119">
        <v>0</v>
      </c>
      <c r="FQ94" s="119">
        <v>20</v>
      </c>
      <c r="FR94" s="119">
        <v>0</v>
      </c>
      <c r="FS94" t="s">
        <v>390</v>
      </c>
      <c r="FT94" s="119">
        <v>0</v>
      </c>
      <c r="FU94" s="119">
        <v>0</v>
      </c>
      <c r="FV94" s="119">
        <v>0</v>
      </c>
      <c r="FW94" s="119">
        <v>0</v>
      </c>
      <c r="FX94" s="119">
        <v>0</v>
      </c>
      <c r="FY94" s="119">
        <v>0</v>
      </c>
      <c r="FZ94" s="119">
        <v>0</v>
      </c>
      <c r="GA94" s="119">
        <v>0</v>
      </c>
      <c r="GB94" s="119">
        <v>0</v>
      </c>
      <c r="GC94" s="119">
        <v>0</v>
      </c>
      <c r="GD94" s="119">
        <v>20</v>
      </c>
      <c r="GE94" s="119">
        <v>0</v>
      </c>
      <c r="GF94" t="s">
        <v>391</v>
      </c>
      <c r="GG94" s="119">
        <v>0</v>
      </c>
      <c r="GH94" s="119">
        <v>0</v>
      </c>
      <c r="GI94" s="119">
        <v>0</v>
      </c>
      <c r="GJ94" s="119">
        <v>0</v>
      </c>
      <c r="GK94" s="119">
        <v>0</v>
      </c>
      <c r="GL94" s="119">
        <v>0</v>
      </c>
      <c r="GM94" s="119">
        <v>0</v>
      </c>
      <c r="GN94" s="119">
        <v>0</v>
      </c>
      <c r="GO94" s="119">
        <v>0</v>
      </c>
      <c r="GP94" s="119">
        <v>0</v>
      </c>
      <c r="GQ94" s="119">
        <v>20</v>
      </c>
      <c r="GR94" s="119">
        <v>0</v>
      </c>
      <c r="HJ94"/>
      <c r="HK94" s="115"/>
      <c r="HR94" s="116"/>
      <c r="HT94" s="117"/>
      <c r="HY94"/>
      <c r="HZ94"/>
      <c r="IA94"/>
    </row>
    <row r="95" spans="1:235" x14ac:dyDescent="0.25">
      <c r="A95">
        <v>95</v>
      </c>
      <c r="B95" s="115">
        <v>43321</v>
      </c>
      <c r="C95" t="s">
        <v>392</v>
      </c>
      <c r="D95" t="s">
        <v>393</v>
      </c>
      <c r="E95" t="s">
        <v>492</v>
      </c>
      <c r="F95" t="s">
        <v>493</v>
      </c>
      <c r="G95" t="s">
        <v>494</v>
      </c>
      <c r="H95" t="s">
        <v>397</v>
      </c>
      <c r="I95" s="116">
        <v>25000</v>
      </c>
      <c r="J95" t="s">
        <v>398</v>
      </c>
      <c r="K95" s="117" t="s">
        <v>399</v>
      </c>
      <c r="L95">
        <v>646456</v>
      </c>
      <c r="M95">
        <v>654645</v>
      </c>
      <c r="N95" t="s">
        <v>154</v>
      </c>
      <c r="O95">
        <v>67656</v>
      </c>
      <c r="P95">
        <v>1877.14</v>
      </c>
      <c r="Q95">
        <v>1564.29</v>
      </c>
      <c r="R95">
        <v>312.86</v>
      </c>
      <c r="S95" t="s">
        <v>378</v>
      </c>
      <c r="T95" s="118">
        <v>500</v>
      </c>
      <c r="U95" s="118">
        <v>214.29</v>
      </c>
      <c r="V95" s="118">
        <v>714.29</v>
      </c>
      <c r="W95" s="119">
        <v>30</v>
      </c>
      <c r="X95" s="119">
        <v>10</v>
      </c>
      <c r="Y95" s="119">
        <v>85</v>
      </c>
      <c r="Z95" s="119">
        <v>850</v>
      </c>
      <c r="AA95" s="119">
        <v>1064.29</v>
      </c>
      <c r="AB95" s="119">
        <v>106.43</v>
      </c>
      <c r="AC95" s="119">
        <v>1564.29</v>
      </c>
      <c r="AD95" s="119">
        <v>20</v>
      </c>
      <c r="AE95" s="119">
        <v>312.86</v>
      </c>
      <c r="AF95" t="s">
        <v>379</v>
      </c>
      <c r="AG95" s="119">
        <v>0</v>
      </c>
      <c r="AH95" s="119">
        <v>0</v>
      </c>
      <c r="AI95" s="119">
        <v>0</v>
      </c>
      <c r="AJ95" s="119">
        <v>0</v>
      </c>
      <c r="AK95" s="119">
        <v>0</v>
      </c>
      <c r="AL95" s="119">
        <v>0</v>
      </c>
      <c r="AM95" s="119">
        <v>0</v>
      </c>
      <c r="AN95" s="119">
        <v>0</v>
      </c>
      <c r="AO95" s="119">
        <v>0</v>
      </c>
      <c r="AP95" s="119">
        <v>0</v>
      </c>
      <c r="AQ95" s="119">
        <v>20</v>
      </c>
      <c r="AR95" s="119">
        <v>0</v>
      </c>
      <c r="AS95" t="s">
        <v>380</v>
      </c>
      <c r="AT95" s="119">
        <v>0</v>
      </c>
      <c r="AU95" s="119">
        <v>0</v>
      </c>
      <c r="AV95" s="119">
        <v>0</v>
      </c>
      <c r="AW95" s="119">
        <v>0</v>
      </c>
      <c r="AX95" s="119">
        <v>0</v>
      </c>
      <c r="AY95" s="119">
        <v>0</v>
      </c>
      <c r="AZ95" s="119">
        <v>0</v>
      </c>
      <c r="BA95" s="119">
        <v>0</v>
      </c>
      <c r="BB95" s="119">
        <v>0</v>
      </c>
      <c r="BC95" s="119">
        <v>0</v>
      </c>
      <c r="BD95" s="119">
        <v>20</v>
      </c>
      <c r="BE95" s="119">
        <v>0</v>
      </c>
      <c r="BF95" t="s">
        <v>381</v>
      </c>
      <c r="BG95" s="119">
        <v>0</v>
      </c>
      <c r="BH95" s="119">
        <v>0</v>
      </c>
      <c r="BI95" s="119">
        <v>0</v>
      </c>
      <c r="BJ95" s="119">
        <v>0</v>
      </c>
      <c r="BK95" s="119">
        <v>0</v>
      </c>
      <c r="BL95" s="119">
        <v>0</v>
      </c>
      <c r="BM95" s="119">
        <v>0</v>
      </c>
      <c r="BN95" s="119">
        <v>0</v>
      </c>
      <c r="BO95" s="119">
        <v>0</v>
      </c>
      <c r="BP95" s="119">
        <v>0</v>
      </c>
      <c r="BQ95" s="119">
        <v>20</v>
      </c>
      <c r="BR95" s="119">
        <v>0</v>
      </c>
      <c r="BS95" t="s">
        <v>382</v>
      </c>
      <c r="BT95" s="119">
        <v>0</v>
      </c>
      <c r="BU95" s="119">
        <v>0</v>
      </c>
      <c r="BV95" s="119">
        <v>0</v>
      </c>
      <c r="BW95" s="119">
        <v>0</v>
      </c>
      <c r="BX95" s="119">
        <v>0</v>
      </c>
      <c r="BY95" s="119">
        <v>0</v>
      </c>
      <c r="BZ95" s="119">
        <v>0</v>
      </c>
      <c r="CA95" s="119">
        <v>0</v>
      </c>
      <c r="CB95" s="119">
        <v>0</v>
      </c>
      <c r="CC95" s="119">
        <v>0</v>
      </c>
      <c r="CD95" s="119">
        <v>20</v>
      </c>
      <c r="CE95" s="119">
        <v>0</v>
      </c>
      <c r="CF95" t="s">
        <v>496</v>
      </c>
      <c r="CG95" s="119">
        <v>0</v>
      </c>
      <c r="CH95" s="119">
        <v>0</v>
      </c>
      <c r="CI95" s="119">
        <v>0</v>
      </c>
      <c r="CJ95" s="119">
        <v>0</v>
      </c>
      <c r="CK95" s="119">
        <v>0</v>
      </c>
      <c r="CL95" s="119">
        <v>0</v>
      </c>
      <c r="CM95" s="119">
        <v>0</v>
      </c>
      <c r="CN95" s="119">
        <v>0</v>
      </c>
      <c r="CO95" s="119">
        <v>0</v>
      </c>
      <c r="CP95" s="119">
        <v>0</v>
      </c>
      <c r="CQ95" s="119">
        <v>20</v>
      </c>
      <c r="CR95" s="119">
        <v>0</v>
      </c>
      <c r="CS95" t="s">
        <v>497</v>
      </c>
      <c r="CT95" s="119">
        <v>0</v>
      </c>
      <c r="CU95" s="119">
        <v>0</v>
      </c>
      <c r="CV95" s="119">
        <v>0</v>
      </c>
      <c r="CW95" s="119">
        <v>0</v>
      </c>
      <c r="CX95" s="119">
        <v>0</v>
      </c>
      <c r="CY95" s="119">
        <v>0</v>
      </c>
      <c r="CZ95" s="119">
        <v>0</v>
      </c>
      <c r="DA95" s="119">
        <v>0</v>
      </c>
      <c r="DB95" s="119">
        <v>0</v>
      </c>
      <c r="DC95" s="119">
        <v>0</v>
      </c>
      <c r="DD95" s="119">
        <v>20</v>
      </c>
      <c r="DE95" s="119">
        <v>0</v>
      </c>
      <c r="DF95" t="s">
        <v>498</v>
      </c>
      <c r="DG95" s="119">
        <v>0</v>
      </c>
      <c r="DH95" s="119">
        <v>0</v>
      </c>
      <c r="DI95" s="119">
        <v>0</v>
      </c>
      <c r="DJ95" s="119">
        <v>0</v>
      </c>
      <c r="DK95" s="119">
        <v>0</v>
      </c>
      <c r="DL95" s="119">
        <v>0</v>
      </c>
      <c r="DM95" s="119">
        <v>0</v>
      </c>
      <c r="DN95" s="119">
        <v>0</v>
      </c>
      <c r="DO95" s="119">
        <v>0</v>
      </c>
      <c r="DP95" s="119">
        <v>0</v>
      </c>
      <c r="DQ95" s="119">
        <v>20</v>
      </c>
      <c r="DR95" s="119">
        <v>0</v>
      </c>
      <c r="DS95" t="s">
        <v>386</v>
      </c>
      <c r="DT95" s="119">
        <v>0</v>
      </c>
      <c r="DU95" s="119">
        <v>0</v>
      </c>
      <c r="DV95" s="119">
        <v>0</v>
      </c>
      <c r="DW95" s="119">
        <v>0</v>
      </c>
      <c r="DX95" s="119">
        <v>0</v>
      </c>
      <c r="DY95" s="119">
        <v>0</v>
      </c>
      <c r="DZ95" s="119">
        <v>0</v>
      </c>
      <c r="EA95" s="119">
        <v>0</v>
      </c>
      <c r="EB95" s="119">
        <v>0</v>
      </c>
      <c r="EC95" s="119">
        <v>0</v>
      </c>
      <c r="ED95" s="119">
        <v>20</v>
      </c>
      <c r="EE95" s="119">
        <v>0</v>
      </c>
      <c r="EF95" t="s">
        <v>499</v>
      </c>
      <c r="EG95" s="119">
        <v>0</v>
      </c>
      <c r="EH95" s="119">
        <v>0</v>
      </c>
      <c r="EI95" s="119">
        <v>0</v>
      </c>
      <c r="EJ95" s="119">
        <v>0</v>
      </c>
      <c r="EK95" s="119">
        <v>0</v>
      </c>
      <c r="EL95" s="119">
        <v>0</v>
      </c>
      <c r="EM95" s="119">
        <v>0</v>
      </c>
      <c r="EN95" s="119">
        <v>0</v>
      </c>
      <c r="EO95" s="119">
        <v>0</v>
      </c>
      <c r="EP95" s="119">
        <v>0</v>
      </c>
      <c r="EQ95" s="119">
        <v>20</v>
      </c>
      <c r="ER95" s="119">
        <v>0</v>
      </c>
      <c r="ES95" t="s">
        <v>388</v>
      </c>
      <c r="ET95" s="119">
        <v>0</v>
      </c>
      <c r="EU95" s="119">
        <v>0</v>
      </c>
      <c r="EV95" s="119">
        <v>0</v>
      </c>
      <c r="EW95" s="119">
        <v>0</v>
      </c>
      <c r="EX95" s="119">
        <v>0</v>
      </c>
      <c r="EY95" s="119">
        <v>0</v>
      </c>
      <c r="EZ95" s="119">
        <v>0</v>
      </c>
      <c r="FA95" s="119">
        <v>0</v>
      </c>
      <c r="FB95" s="119">
        <v>0</v>
      </c>
      <c r="FC95" s="119">
        <v>0</v>
      </c>
      <c r="FD95" s="119">
        <v>20</v>
      </c>
      <c r="FE95" s="119">
        <v>0</v>
      </c>
      <c r="FF95" t="s">
        <v>500</v>
      </c>
      <c r="FG95" s="119">
        <v>0</v>
      </c>
      <c r="FH95" s="119">
        <v>0</v>
      </c>
      <c r="FI95" s="119">
        <v>0</v>
      </c>
      <c r="FJ95" s="119">
        <v>0</v>
      </c>
      <c r="FK95" s="119">
        <v>0</v>
      </c>
      <c r="FL95" s="119">
        <v>0</v>
      </c>
      <c r="FM95" s="119">
        <v>0</v>
      </c>
      <c r="FN95" s="119">
        <v>0</v>
      </c>
      <c r="FO95" s="119">
        <v>0</v>
      </c>
      <c r="FP95" s="119">
        <v>0</v>
      </c>
      <c r="FQ95" s="119">
        <v>20</v>
      </c>
      <c r="FR95" s="119">
        <v>0</v>
      </c>
      <c r="FS95" t="s">
        <v>390</v>
      </c>
      <c r="FT95" s="119">
        <v>0</v>
      </c>
      <c r="FU95" s="119">
        <v>0</v>
      </c>
      <c r="FV95" s="119">
        <v>0</v>
      </c>
      <c r="FW95" s="119">
        <v>0</v>
      </c>
      <c r="FX95" s="119">
        <v>0</v>
      </c>
      <c r="FY95" s="119">
        <v>0</v>
      </c>
      <c r="FZ95" s="119">
        <v>0</v>
      </c>
      <c r="GA95" s="119">
        <v>0</v>
      </c>
      <c r="GB95" s="119">
        <v>0</v>
      </c>
      <c r="GC95" s="119">
        <v>0</v>
      </c>
      <c r="GD95" s="119">
        <v>20</v>
      </c>
      <c r="GE95" s="119">
        <v>0</v>
      </c>
      <c r="GF95" t="s">
        <v>391</v>
      </c>
      <c r="GG95" s="119">
        <v>0</v>
      </c>
      <c r="GH95" s="119">
        <v>0</v>
      </c>
      <c r="GI95" s="119">
        <v>0</v>
      </c>
      <c r="GJ95" s="119">
        <v>0</v>
      </c>
      <c r="GK95" s="119">
        <v>0</v>
      </c>
      <c r="GL95" s="119">
        <v>0</v>
      </c>
      <c r="GM95" s="119">
        <v>0</v>
      </c>
      <c r="GN95" s="119">
        <v>0</v>
      </c>
      <c r="GO95" s="119">
        <v>0</v>
      </c>
      <c r="GP95" s="119">
        <v>0</v>
      </c>
      <c r="GQ95" s="119">
        <v>20</v>
      </c>
      <c r="GR95" s="119">
        <v>0</v>
      </c>
      <c r="HJ95"/>
      <c r="HK95" s="115"/>
      <c r="HR95" s="116"/>
      <c r="HT95" s="117"/>
      <c r="HY95"/>
      <c r="HZ95"/>
      <c r="IA95"/>
    </row>
    <row r="96" spans="1:235" x14ac:dyDescent="0.25">
      <c r="A96">
        <v>96</v>
      </c>
      <c r="B96" s="115">
        <v>43321</v>
      </c>
      <c r="C96" t="s">
        <v>400</v>
      </c>
      <c r="D96" t="s">
        <v>433</v>
      </c>
      <c r="E96" t="s">
        <v>372</v>
      </c>
      <c r="F96" t="s">
        <v>434</v>
      </c>
      <c r="G96" t="s">
        <v>435</v>
      </c>
      <c r="H96" t="s">
        <v>436</v>
      </c>
      <c r="I96" s="116">
        <v>21300</v>
      </c>
      <c r="J96" t="s">
        <v>437</v>
      </c>
      <c r="K96" s="117">
        <v>380456545</v>
      </c>
      <c r="L96">
        <v>646456</v>
      </c>
      <c r="M96">
        <v>66546456</v>
      </c>
      <c r="N96" t="s">
        <v>154</v>
      </c>
      <c r="O96">
        <v>52.131300000000003</v>
      </c>
      <c r="P96">
        <v>2621.14</v>
      </c>
      <c r="Q96">
        <v>2184.29</v>
      </c>
      <c r="R96">
        <v>436.86</v>
      </c>
      <c r="S96" t="s">
        <v>378</v>
      </c>
      <c r="T96" s="118">
        <v>500</v>
      </c>
      <c r="U96" s="118">
        <v>214.29</v>
      </c>
      <c r="V96" s="118">
        <v>714.29</v>
      </c>
      <c r="W96" s="119">
        <v>30</v>
      </c>
      <c r="X96" s="119">
        <v>15</v>
      </c>
      <c r="Y96" s="119">
        <v>98</v>
      </c>
      <c r="Z96" s="119">
        <v>1470</v>
      </c>
      <c r="AA96" s="119">
        <v>1684.29</v>
      </c>
      <c r="AB96" s="119">
        <v>112.29</v>
      </c>
      <c r="AC96" s="119">
        <v>2184.29</v>
      </c>
      <c r="AD96" s="119">
        <v>20</v>
      </c>
      <c r="AE96" s="119">
        <v>436.86</v>
      </c>
      <c r="AF96" t="s">
        <v>379</v>
      </c>
      <c r="AG96" s="119">
        <v>0</v>
      </c>
      <c r="AH96" s="119">
        <v>0</v>
      </c>
      <c r="AI96" s="119">
        <v>0</v>
      </c>
      <c r="AJ96" s="119">
        <v>0</v>
      </c>
      <c r="AK96" s="119">
        <v>0</v>
      </c>
      <c r="AL96" s="119">
        <v>0</v>
      </c>
      <c r="AM96" s="119">
        <v>0</v>
      </c>
      <c r="AN96" s="119">
        <v>0</v>
      </c>
      <c r="AO96" s="119">
        <v>0</v>
      </c>
      <c r="AP96" s="119">
        <v>0</v>
      </c>
      <c r="AQ96" s="119">
        <v>20</v>
      </c>
      <c r="AR96" s="119">
        <v>0</v>
      </c>
      <c r="AS96" t="s">
        <v>380</v>
      </c>
      <c r="AT96" s="119">
        <v>0</v>
      </c>
      <c r="AU96" s="119">
        <v>0</v>
      </c>
      <c r="AV96" s="119">
        <v>0</v>
      </c>
      <c r="AW96" s="119">
        <v>0</v>
      </c>
      <c r="AX96" s="119">
        <v>0</v>
      </c>
      <c r="AY96" s="119">
        <v>0</v>
      </c>
      <c r="AZ96" s="119">
        <v>0</v>
      </c>
      <c r="BA96" s="119">
        <v>0</v>
      </c>
      <c r="BB96" s="119">
        <v>0</v>
      </c>
      <c r="BC96" s="119">
        <v>0</v>
      </c>
      <c r="BD96" s="119">
        <v>20</v>
      </c>
      <c r="BE96" s="119">
        <v>0</v>
      </c>
      <c r="BF96" t="s">
        <v>381</v>
      </c>
      <c r="BG96" s="119">
        <v>0</v>
      </c>
      <c r="BH96" s="119">
        <v>0</v>
      </c>
      <c r="BI96" s="119">
        <v>0</v>
      </c>
      <c r="BJ96" s="119">
        <v>0</v>
      </c>
      <c r="BK96" s="119">
        <v>0</v>
      </c>
      <c r="BL96" s="119">
        <v>0</v>
      </c>
      <c r="BM96" s="119">
        <v>0</v>
      </c>
      <c r="BN96" s="119">
        <v>0</v>
      </c>
      <c r="BO96" s="119">
        <v>0</v>
      </c>
      <c r="BP96" s="119">
        <v>0</v>
      </c>
      <c r="BQ96" s="119">
        <v>20</v>
      </c>
      <c r="BR96" s="119">
        <v>0</v>
      </c>
      <c r="BS96" t="s">
        <v>382</v>
      </c>
      <c r="BT96" s="119">
        <v>0</v>
      </c>
      <c r="BU96" s="119">
        <v>0</v>
      </c>
      <c r="BV96" s="119">
        <v>0</v>
      </c>
      <c r="BW96" s="119">
        <v>0</v>
      </c>
      <c r="BX96" s="119">
        <v>0</v>
      </c>
      <c r="BY96" s="119">
        <v>0</v>
      </c>
      <c r="BZ96" s="119">
        <v>0</v>
      </c>
      <c r="CA96" s="119">
        <v>0</v>
      </c>
      <c r="CB96" s="119">
        <v>0</v>
      </c>
      <c r="CC96" s="119">
        <v>0</v>
      </c>
      <c r="CD96" s="119">
        <v>20</v>
      </c>
      <c r="CE96" s="119">
        <v>0</v>
      </c>
      <c r="CF96" t="s">
        <v>496</v>
      </c>
      <c r="CG96" s="119">
        <v>0</v>
      </c>
      <c r="CH96" s="119">
        <v>0</v>
      </c>
      <c r="CI96" s="119">
        <v>0</v>
      </c>
      <c r="CJ96" s="119">
        <v>0</v>
      </c>
      <c r="CK96" s="119">
        <v>0</v>
      </c>
      <c r="CL96" s="119">
        <v>0</v>
      </c>
      <c r="CM96" s="119">
        <v>0</v>
      </c>
      <c r="CN96" s="119">
        <v>0</v>
      </c>
      <c r="CO96" s="119">
        <v>0</v>
      </c>
      <c r="CP96" s="119">
        <v>0</v>
      </c>
      <c r="CQ96" s="119">
        <v>20</v>
      </c>
      <c r="CR96" s="119">
        <v>0</v>
      </c>
      <c r="CS96" t="s">
        <v>497</v>
      </c>
      <c r="CT96" s="119">
        <v>0</v>
      </c>
      <c r="CU96" s="119">
        <v>0</v>
      </c>
      <c r="CV96" s="119">
        <v>0</v>
      </c>
      <c r="CW96" s="119">
        <v>0</v>
      </c>
      <c r="CX96" s="119">
        <v>0</v>
      </c>
      <c r="CY96" s="119">
        <v>0</v>
      </c>
      <c r="CZ96" s="119">
        <v>0</v>
      </c>
      <c r="DA96" s="119">
        <v>0</v>
      </c>
      <c r="DB96" s="119">
        <v>0</v>
      </c>
      <c r="DC96" s="119">
        <v>0</v>
      </c>
      <c r="DD96" s="119">
        <v>20</v>
      </c>
      <c r="DE96" s="119">
        <v>0</v>
      </c>
      <c r="DF96" t="s">
        <v>498</v>
      </c>
      <c r="DG96" s="119">
        <v>0</v>
      </c>
      <c r="DH96" s="119">
        <v>0</v>
      </c>
      <c r="DI96" s="119">
        <v>0</v>
      </c>
      <c r="DJ96" s="119">
        <v>0</v>
      </c>
      <c r="DK96" s="119">
        <v>0</v>
      </c>
      <c r="DL96" s="119">
        <v>0</v>
      </c>
      <c r="DM96" s="119">
        <v>0</v>
      </c>
      <c r="DN96" s="119">
        <v>0</v>
      </c>
      <c r="DO96" s="119">
        <v>0</v>
      </c>
      <c r="DP96" s="119">
        <v>0</v>
      </c>
      <c r="DQ96" s="119">
        <v>20</v>
      </c>
      <c r="DR96" s="119">
        <v>0</v>
      </c>
      <c r="DS96" t="s">
        <v>386</v>
      </c>
      <c r="DT96" s="119">
        <v>0</v>
      </c>
      <c r="DU96" s="119">
        <v>0</v>
      </c>
      <c r="DV96" s="119">
        <v>0</v>
      </c>
      <c r="DW96" s="119">
        <v>0</v>
      </c>
      <c r="DX96" s="119">
        <v>0</v>
      </c>
      <c r="DY96" s="119">
        <v>0</v>
      </c>
      <c r="DZ96" s="119">
        <v>0</v>
      </c>
      <c r="EA96" s="119">
        <v>0</v>
      </c>
      <c r="EB96" s="119">
        <v>0</v>
      </c>
      <c r="EC96" s="119">
        <v>0</v>
      </c>
      <c r="ED96" s="119">
        <v>20</v>
      </c>
      <c r="EE96" s="119">
        <v>0</v>
      </c>
      <c r="EF96" t="s">
        <v>499</v>
      </c>
      <c r="EG96" s="119">
        <v>0</v>
      </c>
      <c r="EH96" s="119">
        <v>0</v>
      </c>
      <c r="EI96" s="119">
        <v>0</v>
      </c>
      <c r="EJ96" s="119">
        <v>0</v>
      </c>
      <c r="EK96" s="119">
        <v>0</v>
      </c>
      <c r="EL96" s="119">
        <v>0</v>
      </c>
      <c r="EM96" s="119">
        <v>0</v>
      </c>
      <c r="EN96" s="119">
        <v>0</v>
      </c>
      <c r="EO96" s="119">
        <v>0</v>
      </c>
      <c r="EP96" s="119">
        <v>0</v>
      </c>
      <c r="EQ96" s="119">
        <v>20</v>
      </c>
      <c r="ER96" s="119">
        <v>0</v>
      </c>
      <c r="ES96" t="s">
        <v>388</v>
      </c>
      <c r="ET96" s="119">
        <v>0</v>
      </c>
      <c r="EU96" s="119">
        <v>0</v>
      </c>
      <c r="EV96" s="119">
        <v>0</v>
      </c>
      <c r="EW96" s="119">
        <v>0</v>
      </c>
      <c r="EX96" s="119">
        <v>0</v>
      </c>
      <c r="EY96" s="119">
        <v>0</v>
      </c>
      <c r="EZ96" s="119">
        <v>0</v>
      </c>
      <c r="FA96" s="119">
        <v>0</v>
      </c>
      <c r="FB96" s="119">
        <v>0</v>
      </c>
      <c r="FC96" s="119">
        <v>0</v>
      </c>
      <c r="FD96" s="119">
        <v>20</v>
      </c>
      <c r="FE96" s="119">
        <v>0</v>
      </c>
      <c r="FF96" t="s">
        <v>500</v>
      </c>
      <c r="FG96" s="119">
        <v>0</v>
      </c>
      <c r="FH96" s="119">
        <v>0</v>
      </c>
      <c r="FI96" s="119">
        <v>0</v>
      </c>
      <c r="FJ96" s="119">
        <v>0</v>
      </c>
      <c r="FK96" s="119">
        <v>0</v>
      </c>
      <c r="FL96" s="119">
        <v>0</v>
      </c>
      <c r="FM96" s="119">
        <v>0</v>
      </c>
      <c r="FN96" s="119">
        <v>0</v>
      </c>
      <c r="FO96" s="119">
        <v>0</v>
      </c>
      <c r="FP96" s="119">
        <v>0</v>
      </c>
      <c r="FQ96" s="119">
        <v>20</v>
      </c>
      <c r="FR96" s="119">
        <v>0</v>
      </c>
      <c r="FS96" t="s">
        <v>390</v>
      </c>
      <c r="FT96" s="119">
        <v>0</v>
      </c>
      <c r="FU96" s="119">
        <v>0</v>
      </c>
      <c r="FV96" s="119">
        <v>0</v>
      </c>
      <c r="FW96" s="119">
        <v>0</v>
      </c>
      <c r="FX96" s="119">
        <v>0</v>
      </c>
      <c r="FY96" s="119">
        <v>0</v>
      </c>
      <c r="FZ96" s="119">
        <v>0</v>
      </c>
      <c r="GA96" s="119">
        <v>0</v>
      </c>
      <c r="GB96" s="119">
        <v>0</v>
      </c>
      <c r="GC96" s="119">
        <v>0</v>
      </c>
      <c r="GD96" s="119">
        <v>20</v>
      </c>
      <c r="GE96" s="119">
        <v>0</v>
      </c>
      <c r="GF96" t="s">
        <v>391</v>
      </c>
      <c r="GG96" s="119">
        <v>0</v>
      </c>
      <c r="GH96" s="119">
        <v>0</v>
      </c>
      <c r="GI96" s="119">
        <v>0</v>
      </c>
      <c r="GJ96" s="119">
        <v>0</v>
      </c>
      <c r="GK96" s="119">
        <v>0</v>
      </c>
      <c r="GL96" s="119">
        <v>0</v>
      </c>
      <c r="GM96" s="119">
        <v>0</v>
      </c>
      <c r="GN96" s="119">
        <v>0</v>
      </c>
      <c r="GO96" s="119">
        <v>0</v>
      </c>
      <c r="GP96" s="119">
        <v>0</v>
      </c>
      <c r="GQ96" s="119">
        <v>20</v>
      </c>
      <c r="GR96" s="119">
        <v>0</v>
      </c>
      <c r="HJ96"/>
      <c r="HK96" s="115"/>
      <c r="HR96" s="116"/>
      <c r="HT96" s="117"/>
      <c r="HY96"/>
      <c r="HZ96"/>
      <c r="IA96"/>
    </row>
    <row r="97" spans="1:235" x14ac:dyDescent="0.25">
      <c r="A97">
        <v>97</v>
      </c>
      <c r="B97" s="115">
        <v>43323</v>
      </c>
      <c r="C97" t="s">
        <v>424</v>
      </c>
      <c r="D97" t="s">
        <v>471</v>
      </c>
      <c r="F97" t="s">
        <v>472</v>
      </c>
      <c r="G97" t="s">
        <v>473</v>
      </c>
      <c r="H97" t="s">
        <v>474</v>
      </c>
      <c r="I97" s="116">
        <v>25000</v>
      </c>
      <c r="J97" t="s">
        <v>398</v>
      </c>
      <c r="K97" s="117" t="s">
        <v>475</v>
      </c>
      <c r="L97">
        <v>1254</v>
      </c>
      <c r="M97">
        <v>654646</v>
      </c>
      <c r="N97" t="s">
        <v>154</v>
      </c>
      <c r="O97">
        <v>1564646</v>
      </c>
      <c r="P97">
        <v>3497.14</v>
      </c>
      <c r="Q97">
        <v>2914.29</v>
      </c>
      <c r="R97">
        <v>582.86</v>
      </c>
      <c r="S97" t="s">
        <v>378</v>
      </c>
      <c r="T97" s="118">
        <v>1200</v>
      </c>
      <c r="U97" s="118">
        <v>514.29</v>
      </c>
      <c r="V97" s="118">
        <v>1714.29</v>
      </c>
      <c r="W97" s="119">
        <v>30</v>
      </c>
      <c r="X97" s="119">
        <v>15</v>
      </c>
      <c r="Y97" s="119">
        <v>80</v>
      </c>
      <c r="Z97" s="119">
        <v>1200</v>
      </c>
      <c r="AA97" s="119">
        <v>1714.29</v>
      </c>
      <c r="AB97" s="119">
        <v>114.29</v>
      </c>
      <c r="AC97" s="119">
        <v>2914.29</v>
      </c>
      <c r="AD97" s="119">
        <v>20</v>
      </c>
      <c r="AE97" s="119">
        <v>582.86</v>
      </c>
      <c r="AF97" t="s">
        <v>379</v>
      </c>
      <c r="AG97" s="119">
        <v>0</v>
      </c>
      <c r="AH97" s="119">
        <v>0</v>
      </c>
      <c r="AI97" s="119">
        <v>0</v>
      </c>
      <c r="AJ97" s="119">
        <v>0</v>
      </c>
      <c r="AK97" s="119">
        <v>0</v>
      </c>
      <c r="AL97" s="119">
        <v>0</v>
      </c>
      <c r="AM97" s="119">
        <v>0</v>
      </c>
      <c r="AN97" s="119">
        <v>0</v>
      </c>
      <c r="AO97" s="119">
        <v>0</v>
      </c>
      <c r="AP97" s="119">
        <v>0</v>
      </c>
      <c r="AQ97" s="119">
        <v>20</v>
      </c>
      <c r="AR97" s="119">
        <v>0</v>
      </c>
      <c r="AS97" t="s">
        <v>380</v>
      </c>
      <c r="AT97" s="119">
        <v>0</v>
      </c>
      <c r="AU97" s="119">
        <v>0</v>
      </c>
      <c r="AV97" s="119">
        <v>0</v>
      </c>
      <c r="AW97" s="119">
        <v>0</v>
      </c>
      <c r="AX97" s="119">
        <v>0</v>
      </c>
      <c r="AY97" s="119">
        <v>0</v>
      </c>
      <c r="AZ97" s="119">
        <v>0</v>
      </c>
      <c r="BA97" s="119">
        <v>0</v>
      </c>
      <c r="BB97" s="119">
        <v>0</v>
      </c>
      <c r="BC97" s="119">
        <v>0</v>
      </c>
      <c r="BD97" s="119">
        <v>20</v>
      </c>
      <c r="BE97" s="119">
        <v>0</v>
      </c>
      <c r="BF97" t="s">
        <v>381</v>
      </c>
      <c r="BG97" s="119">
        <v>0</v>
      </c>
      <c r="BH97" s="119">
        <v>0</v>
      </c>
      <c r="BI97" s="119">
        <v>0</v>
      </c>
      <c r="BJ97" s="119">
        <v>0</v>
      </c>
      <c r="BK97" s="119">
        <v>0</v>
      </c>
      <c r="BL97" s="119">
        <v>0</v>
      </c>
      <c r="BM97" s="119">
        <v>0</v>
      </c>
      <c r="BN97" s="119">
        <v>0</v>
      </c>
      <c r="BO97" s="119">
        <v>0</v>
      </c>
      <c r="BP97" s="119">
        <v>0</v>
      </c>
      <c r="BQ97" s="119">
        <v>20</v>
      </c>
      <c r="BR97" s="119">
        <v>0</v>
      </c>
      <c r="BS97" t="s">
        <v>382</v>
      </c>
      <c r="BT97" s="119">
        <v>0</v>
      </c>
      <c r="BU97" s="119">
        <v>0</v>
      </c>
      <c r="BV97" s="119">
        <v>0</v>
      </c>
      <c r="BW97" s="119">
        <v>0</v>
      </c>
      <c r="BX97" s="119">
        <v>0</v>
      </c>
      <c r="BY97" s="119">
        <v>0</v>
      </c>
      <c r="BZ97" s="119">
        <v>0</v>
      </c>
      <c r="CA97" s="119">
        <v>0</v>
      </c>
      <c r="CB97" s="119">
        <v>0</v>
      </c>
      <c r="CC97" s="119">
        <v>0</v>
      </c>
      <c r="CD97" s="119">
        <v>20</v>
      </c>
      <c r="CE97" s="119">
        <v>0</v>
      </c>
      <c r="CF97" t="s">
        <v>496</v>
      </c>
      <c r="CG97" s="119">
        <v>0</v>
      </c>
      <c r="CH97" s="119">
        <v>0</v>
      </c>
      <c r="CI97" s="119">
        <v>0</v>
      </c>
      <c r="CJ97" s="119">
        <v>0</v>
      </c>
      <c r="CK97" s="119">
        <v>0</v>
      </c>
      <c r="CL97" s="119">
        <v>0</v>
      </c>
      <c r="CM97" s="119">
        <v>0</v>
      </c>
      <c r="CN97" s="119">
        <v>0</v>
      </c>
      <c r="CO97" s="119">
        <v>0</v>
      </c>
      <c r="CP97" s="119">
        <v>0</v>
      </c>
      <c r="CQ97" s="119">
        <v>20</v>
      </c>
      <c r="CR97" s="119">
        <v>0</v>
      </c>
      <c r="CS97" t="s">
        <v>497</v>
      </c>
      <c r="CT97" s="119">
        <v>0</v>
      </c>
      <c r="CU97" s="119">
        <v>0</v>
      </c>
      <c r="CV97" s="119">
        <v>0</v>
      </c>
      <c r="CW97" s="119">
        <v>0</v>
      </c>
      <c r="CX97" s="119">
        <v>0</v>
      </c>
      <c r="CY97" s="119">
        <v>0</v>
      </c>
      <c r="CZ97" s="119">
        <v>0</v>
      </c>
      <c r="DA97" s="119">
        <v>0</v>
      </c>
      <c r="DB97" s="119">
        <v>0</v>
      </c>
      <c r="DC97" s="119">
        <v>0</v>
      </c>
      <c r="DD97" s="119">
        <v>20</v>
      </c>
      <c r="DE97" s="119">
        <v>0</v>
      </c>
      <c r="DF97" t="s">
        <v>498</v>
      </c>
      <c r="DG97" s="119">
        <v>0</v>
      </c>
      <c r="DH97" s="119">
        <v>0</v>
      </c>
      <c r="DI97" s="119">
        <v>0</v>
      </c>
      <c r="DJ97" s="119">
        <v>0</v>
      </c>
      <c r="DK97" s="119">
        <v>0</v>
      </c>
      <c r="DL97" s="119">
        <v>0</v>
      </c>
      <c r="DM97" s="119">
        <v>0</v>
      </c>
      <c r="DN97" s="119">
        <v>0</v>
      </c>
      <c r="DO97" s="119">
        <v>0</v>
      </c>
      <c r="DP97" s="119">
        <v>0</v>
      </c>
      <c r="DQ97" s="119">
        <v>20</v>
      </c>
      <c r="DR97" s="119">
        <v>0</v>
      </c>
      <c r="DS97" t="s">
        <v>386</v>
      </c>
      <c r="DT97" s="119">
        <v>0</v>
      </c>
      <c r="DU97" s="119">
        <v>0</v>
      </c>
      <c r="DV97" s="119">
        <v>0</v>
      </c>
      <c r="DW97" s="119">
        <v>0</v>
      </c>
      <c r="DX97" s="119">
        <v>0</v>
      </c>
      <c r="DY97" s="119">
        <v>0</v>
      </c>
      <c r="DZ97" s="119">
        <v>0</v>
      </c>
      <c r="EA97" s="119">
        <v>0</v>
      </c>
      <c r="EB97" s="119">
        <v>0</v>
      </c>
      <c r="EC97" s="119">
        <v>0</v>
      </c>
      <c r="ED97" s="119">
        <v>20</v>
      </c>
      <c r="EE97" s="119">
        <v>0</v>
      </c>
      <c r="EF97" t="s">
        <v>499</v>
      </c>
      <c r="EG97" s="119">
        <v>0</v>
      </c>
      <c r="EH97" s="119">
        <v>0</v>
      </c>
      <c r="EI97" s="119">
        <v>0</v>
      </c>
      <c r="EJ97" s="119">
        <v>0</v>
      </c>
      <c r="EK97" s="119">
        <v>0</v>
      </c>
      <c r="EL97" s="119">
        <v>0</v>
      </c>
      <c r="EM97" s="119">
        <v>0</v>
      </c>
      <c r="EN97" s="119">
        <v>0</v>
      </c>
      <c r="EO97" s="119">
        <v>0</v>
      </c>
      <c r="EP97" s="119">
        <v>0</v>
      </c>
      <c r="EQ97" s="119">
        <v>20</v>
      </c>
      <c r="ER97" s="119">
        <v>0</v>
      </c>
      <c r="ES97" t="s">
        <v>388</v>
      </c>
      <c r="ET97" s="119">
        <v>0</v>
      </c>
      <c r="EU97" s="119">
        <v>0</v>
      </c>
      <c r="EV97" s="119">
        <v>0</v>
      </c>
      <c r="EW97" s="119">
        <v>0</v>
      </c>
      <c r="EX97" s="119">
        <v>0</v>
      </c>
      <c r="EY97" s="119">
        <v>0</v>
      </c>
      <c r="EZ97" s="119">
        <v>0</v>
      </c>
      <c r="FA97" s="119">
        <v>0</v>
      </c>
      <c r="FB97" s="119">
        <v>0</v>
      </c>
      <c r="FC97" s="119">
        <v>0</v>
      </c>
      <c r="FD97" s="119">
        <v>20</v>
      </c>
      <c r="FE97" s="119">
        <v>0</v>
      </c>
      <c r="FF97" t="s">
        <v>500</v>
      </c>
      <c r="FG97" s="119">
        <v>0</v>
      </c>
      <c r="FH97" s="119">
        <v>0</v>
      </c>
      <c r="FI97" s="119">
        <v>0</v>
      </c>
      <c r="FJ97" s="119">
        <v>0</v>
      </c>
      <c r="FK97" s="119">
        <v>0</v>
      </c>
      <c r="FL97" s="119">
        <v>0</v>
      </c>
      <c r="FM97" s="119">
        <v>0</v>
      </c>
      <c r="FN97" s="119">
        <v>0</v>
      </c>
      <c r="FO97" s="119">
        <v>0</v>
      </c>
      <c r="FP97" s="119">
        <v>0</v>
      </c>
      <c r="FQ97" s="119">
        <v>20</v>
      </c>
      <c r="FR97" s="119">
        <v>0</v>
      </c>
      <c r="FS97" t="s">
        <v>390</v>
      </c>
      <c r="FT97" s="119">
        <v>0</v>
      </c>
      <c r="FU97" s="119">
        <v>0</v>
      </c>
      <c r="FV97" s="119">
        <v>0</v>
      </c>
      <c r="FW97" s="119">
        <v>0</v>
      </c>
      <c r="FX97" s="119">
        <v>0</v>
      </c>
      <c r="FY97" s="119">
        <v>0</v>
      </c>
      <c r="FZ97" s="119">
        <v>0</v>
      </c>
      <c r="GA97" s="119">
        <v>0</v>
      </c>
      <c r="GB97" s="119">
        <v>0</v>
      </c>
      <c r="GC97" s="119">
        <v>0</v>
      </c>
      <c r="GD97" s="119">
        <v>20</v>
      </c>
      <c r="GE97" s="119">
        <v>0</v>
      </c>
      <c r="GF97" t="s">
        <v>391</v>
      </c>
      <c r="GG97" s="119">
        <v>0</v>
      </c>
      <c r="GH97" s="119">
        <v>0</v>
      </c>
      <c r="GI97" s="119">
        <v>0</v>
      </c>
      <c r="GJ97" s="119">
        <v>0</v>
      </c>
      <c r="GK97" s="119">
        <v>0</v>
      </c>
      <c r="GL97" s="119">
        <v>0</v>
      </c>
      <c r="GM97" s="119">
        <v>0</v>
      </c>
      <c r="GN97" s="119">
        <v>0</v>
      </c>
      <c r="GO97" s="119">
        <v>0</v>
      </c>
      <c r="GP97" s="119">
        <v>0</v>
      </c>
      <c r="GQ97" s="119">
        <v>20</v>
      </c>
      <c r="GR97" s="119">
        <v>0</v>
      </c>
      <c r="HJ97"/>
      <c r="HK97" s="115"/>
      <c r="HR97" s="116"/>
      <c r="HT97" s="117"/>
      <c r="HY97"/>
      <c r="HZ97"/>
      <c r="IA97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</vt:lpstr>
      <vt:lpstr>TC_FG</vt:lpstr>
      <vt:lpstr>TC_Data_Doc</vt:lpstr>
      <vt:lpstr>Data_Doc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2018-08-24T07:15:13Z</dcterms:created>
  <dcterms:modified xsi:type="dcterms:W3CDTF">2018-08-24T07:25:32Z</dcterms:modified>
</cp:coreProperties>
</file>