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14385" yWindow="-15" windowWidth="14430" windowHeight="13005" tabRatio="897" activeTab="7"/>
  </bookViews>
  <sheets>
    <sheet name="Saisie réservations" sheetId="5" r:id="rId1"/>
    <sheet name="Planning réservations" sheetId="1" r:id="rId2"/>
    <sheet name="Bilan annuel réservations" sheetId="6" r:id="rId3"/>
    <sheet name="Graphiques" sheetId="9" r:id="rId4"/>
    <sheet name="Datas Graphiques" sheetId="8" state="hidden" r:id="rId5"/>
    <sheet name="Datas" sheetId="4" r:id="rId6"/>
    <sheet name="Taxe de séjour Janv-Mai" sheetId="10" r:id="rId7"/>
    <sheet name="Taxe de séjour Juin-Août" sheetId="13" r:id="rId8"/>
    <sheet name="Taxe de séjour Sept-Déc" sheetId="14" r:id="rId9"/>
    <sheet name="Taxe de séjour Juin-Août old" sheetId="11" r:id="rId10"/>
    <sheet name="Taxe de séjour Sept-Déc old" sheetId="12" r:id="rId11"/>
  </sheets>
  <definedNames>
    <definedName name="_xlnm._FilterDatabase" localSheetId="5" hidden="1">Datas!$A$1:$G$1</definedName>
    <definedName name="_xlnm._FilterDatabase" localSheetId="1" hidden="1">'Planning réservations'!$A$1:$AG$31</definedName>
    <definedName name="_xlnm._FilterDatabase" localSheetId="0" hidden="1">'Saisie réservations'!$A$2:$L$48</definedName>
    <definedName name="An">'Planning réservations'!$A$1</definedName>
    <definedName name="Années">Datas!$N$2:$N$12</definedName>
    <definedName name="ColA">'Saisie réservations'!$A:$A</definedName>
    <definedName name="Debut">Saisie[Date d''arrivée]</definedName>
    <definedName name="Données">OFFSET(Datas!$A$2:$G$150,,,COUNTA(Datas!$A:$G)-1)</definedName>
    <definedName name="Ferie">OFFSET(Datas!$K$2,,,COUNTA(Datas!$K:$K)-1)</definedName>
    <definedName name="Fin">Saisie[Date de départ]</definedName>
    <definedName name="_xlnm.Print_Titles" localSheetId="6">'Taxe de séjour Janv-Mai'!$7:$9</definedName>
    <definedName name="_xlnm.Print_Titles" localSheetId="7">'Taxe de séjour Juin-Août'!$7:$9</definedName>
    <definedName name="_xlnm.Print_Titles" localSheetId="8">'Taxe de séjour Sept-Déc'!$7:$9</definedName>
    <definedName name="Liste_Cat">OFFSET(Datas!$R$2,,,COUNTA(Datas!$R:$R)-1)</definedName>
    <definedName name="Liste_Orgn">OFFSET(Datas!$T$2,,,COUNTA(Datas!$T:$T)-1)</definedName>
    <definedName name="Mois">Datas!$I$2:$I$13</definedName>
    <definedName name="Nom">OFFSET(Datas!$A$2,,,COUNTA(Datas!$A:$A)-1)</definedName>
    <definedName name="Noms">OFFSET('Saisie réservations'!$A$2,,,COUNTA('Saisie réservations'!$A:$A)-1)</definedName>
    <definedName name="Pax">OFFSET(Fin,,7)</definedName>
    <definedName name="Profil">Saisie[Statut]</definedName>
    <definedName name="Régime">Datas!$V$2:$V$13</definedName>
    <definedName name="Statut">Datas!$P$2:$P$6</definedName>
    <definedName name="Tarifs">Datas!$V$2:$X$13</definedName>
    <definedName name="Taxe">Datas!$W$16</definedName>
    <definedName name="_xlnm.Print_Area" localSheetId="2">'Bilan annuel réservations'!$A$1:$G$46</definedName>
    <definedName name="_xlnm.Print_Area" localSheetId="3">Graphiques!$H$1:$Q$84</definedName>
    <definedName name="_xlnm.Print_Area" localSheetId="1">'Planning réservations'!$A$1:$AG$35</definedName>
    <definedName name="_xlnm.Print_Area" localSheetId="0">'Saisie réservations'!$A$1:$AC$88</definedName>
  </definedNames>
  <calcPr calcId="145621"/>
  <pivotCaches>
    <pivotCache cacheId="0" r:id="rId12"/>
    <pivotCache cacheId="1" r:id="rId13"/>
  </pivotCaches>
</workbook>
</file>

<file path=xl/calcChain.xml><?xml version="1.0" encoding="utf-8"?>
<calcChain xmlns="http://schemas.openxmlformats.org/spreadsheetml/2006/main">
  <c r="A43" i="6" l="1"/>
  <c r="C12" i="6"/>
  <c r="F12" i="6"/>
  <c r="A12" i="6"/>
  <c r="D9" i="6"/>
  <c r="A5" i="6"/>
  <c r="F9" i="6"/>
  <c r="E9" i="6"/>
  <c r="B9" i="6"/>
  <c r="C9" i="6"/>
  <c r="C5" i="6"/>
  <c r="B5" i="6"/>
  <c r="F2" i="6"/>
  <c r="C2" i="6"/>
  <c r="A2" i="6"/>
  <c r="E15" i="6"/>
  <c r="B15" i="6"/>
  <c r="A46" i="6" l="1"/>
  <c r="F46" i="6"/>
  <c r="F43" i="6"/>
  <c r="F40" i="6"/>
  <c r="F37" i="6"/>
  <c r="C43" i="6"/>
  <c r="C37" i="6"/>
  <c r="C40" i="6"/>
  <c r="A40" i="6"/>
  <c r="A37" i="6"/>
  <c r="C31" i="1" l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B31" i="1"/>
  <c r="F55" i="14"/>
  <c r="F32" i="14"/>
  <c r="F31" i="14"/>
  <c r="F55" i="13"/>
  <c r="F32" i="13"/>
  <c r="F31" i="13"/>
  <c r="H57" i="10"/>
  <c r="H71" i="10"/>
  <c r="H16" i="10"/>
  <c r="H23" i="10"/>
  <c r="H24" i="10"/>
  <c r="E61" i="10"/>
  <c r="E65" i="10"/>
  <c r="C71" i="10"/>
  <c r="E72" i="10"/>
  <c r="D14" i="10"/>
  <c r="A56" i="10"/>
  <c r="B14" i="10"/>
  <c r="B26" i="10"/>
  <c r="B30" i="10"/>
  <c r="A11" i="10"/>
  <c r="C11" i="10" s="1"/>
  <c r="A12" i="10"/>
  <c r="H12" i="10" s="1"/>
  <c r="A13" i="10"/>
  <c r="A14" i="10"/>
  <c r="A15" i="10"/>
  <c r="H15" i="10" s="1"/>
  <c r="A16" i="10"/>
  <c r="B16" i="10" s="1"/>
  <c r="A17" i="10"/>
  <c r="A18" i="10"/>
  <c r="A19" i="10"/>
  <c r="B19" i="10" s="1"/>
  <c r="A20" i="10"/>
  <c r="A21" i="10"/>
  <c r="A22" i="10"/>
  <c r="B22" i="10" s="1"/>
  <c r="D22" i="10" s="1"/>
  <c r="A23" i="10"/>
  <c r="C23" i="10" s="1"/>
  <c r="A24" i="10"/>
  <c r="A25" i="10"/>
  <c r="H25" i="10" s="1"/>
  <c r="A26" i="10"/>
  <c r="A27" i="10"/>
  <c r="A28" i="10"/>
  <c r="A29" i="10"/>
  <c r="A30" i="10"/>
  <c r="H30" i="10" s="1"/>
  <c r="A10" i="10"/>
  <c r="C16" i="10"/>
  <c r="C17" i="10"/>
  <c r="F31" i="10"/>
  <c r="F32" i="10"/>
  <c r="F15" i="10"/>
  <c r="F19" i="10"/>
  <c r="F23" i="10"/>
  <c r="C22" i="10"/>
  <c r="C30" i="10"/>
  <c r="C10" i="10"/>
  <c r="A57" i="10"/>
  <c r="A58" i="10"/>
  <c r="A59" i="10"/>
  <c r="C59" i="10" s="1"/>
  <c r="A60" i="10"/>
  <c r="E60" i="10" s="1"/>
  <c r="A61" i="10"/>
  <c r="B61" i="10" s="1"/>
  <c r="A62" i="10"/>
  <c r="A63" i="10"/>
  <c r="H63" i="10" s="1"/>
  <c r="A64" i="10"/>
  <c r="A65" i="10"/>
  <c r="C65" i="10" s="1"/>
  <c r="A66" i="10"/>
  <c r="A67" i="10"/>
  <c r="H67" i="10" s="1"/>
  <c r="A68" i="10"/>
  <c r="E68" i="10" s="1"/>
  <c r="A69" i="10"/>
  <c r="C69" i="10" s="1"/>
  <c r="A70" i="10"/>
  <c r="C70" i="10" s="1"/>
  <c r="A71" i="10"/>
  <c r="E71" i="10" s="1"/>
  <c r="A72" i="10"/>
  <c r="A73" i="10"/>
  <c r="B73" i="10" s="1"/>
  <c r="A74" i="10"/>
  <c r="A75" i="10"/>
  <c r="A76" i="10"/>
  <c r="D76" i="10" s="1"/>
  <c r="F76" i="10"/>
  <c r="F75" i="10"/>
  <c r="F74" i="10"/>
  <c r="F73" i="10"/>
  <c r="F72" i="10"/>
  <c r="F71" i="10"/>
  <c r="F70" i="10"/>
  <c r="F69" i="10"/>
  <c r="F68" i="10"/>
  <c r="F67" i="10"/>
  <c r="F66" i="10"/>
  <c r="F65" i="10"/>
  <c r="F64" i="10"/>
  <c r="F63" i="10"/>
  <c r="F62" i="10"/>
  <c r="F61" i="10"/>
  <c r="F60" i="10"/>
  <c r="F59" i="10"/>
  <c r="F58" i="10"/>
  <c r="F57" i="10"/>
  <c r="F56" i="10"/>
  <c r="F55" i="10"/>
  <c r="M2" i="5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B21" i="10" l="1"/>
  <c r="D21" i="10" s="1"/>
  <c r="H21" i="10"/>
  <c r="F21" i="10"/>
  <c r="C21" i="10"/>
  <c r="E21" i="10" s="1"/>
  <c r="G21" i="10" s="1"/>
  <c r="C28" i="10"/>
  <c r="B28" i="10"/>
  <c r="D28" i="10" s="1"/>
  <c r="C72" i="10"/>
  <c r="H72" i="10"/>
  <c r="C64" i="10"/>
  <c r="D64" i="10"/>
  <c r="D72" i="10"/>
  <c r="B13" i="10"/>
  <c r="D13" i="10" s="1"/>
  <c r="H13" i="10"/>
  <c r="F13" i="10"/>
  <c r="C13" i="10"/>
  <c r="B29" i="10"/>
  <c r="H29" i="10"/>
  <c r="D29" i="10"/>
  <c r="F29" i="10"/>
  <c r="C29" i="10"/>
  <c r="E29" i="10" s="1"/>
  <c r="G29" i="10" s="1"/>
  <c r="B70" i="10"/>
  <c r="B62" i="10"/>
  <c r="C62" i="10"/>
  <c r="B64" i="10"/>
  <c r="C24" i="10"/>
  <c r="B24" i="10"/>
  <c r="D24" i="10" s="1"/>
  <c r="E24" i="10" s="1"/>
  <c r="D16" i="10"/>
  <c r="E16" i="10" s="1"/>
  <c r="B75" i="10"/>
  <c r="C75" i="10"/>
  <c r="E75" i="10"/>
  <c r="B15" i="10"/>
  <c r="D15" i="10" s="1"/>
  <c r="E15" i="10" s="1"/>
  <c r="C15" i="10"/>
  <c r="B23" i="10"/>
  <c r="D23" i="10" s="1"/>
  <c r="E23" i="10" s="1"/>
  <c r="B67" i="10"/>
  <c r="D67" i="10"/>
  <c r="E67" i="10"/>
  <c r="H10" i="10"/>
  <c r="F10" i="10"/>
  <c r="B10" i="10"/>
  <c r="D10" i="10"/>
  <c r="E10" i="10" s="1"/>
  <c r="D71" i="10"/>
  <c r="E63" i="10"/>
  <c r="G63" i="10" s="1"/>
  <c r="H60" i="10"/>
  <c r="B71" i="10"/>
  <c r="H74" i="10"/>
  <c r="E74" i="10"/>
  <c r="G74" i="10" s="1"/>
  <c r="C74" i="10"/>
  <c r="D74" i="10"/>
  <c r="B74" i="10"/>
  <c r="H66" i="10"/>
  <c r="E66" i="10"/>
  <c r="G66" i="10" s="1"/>
  <c r="C66" i="10"/>
  <c r="B66" i="10"/>
  <c r="D66" i="10"/>
  <c r="H58" i="10"/>
  <c r="E58" i="10"/>
  <c r="B58" i="10"/>
  <c r="C58" i="10"/>
  <c r="F27" i="10"/>
  <c r="B27" i="10"/>
  <c r="D27" i="10" s="1"/>
  <c r="C27" i="10"/>
  <c r="H27" i="10"/>
  <c r="C19" i="10"/>
  <c r="H19" i="10"/>
  <c r="D19" i="10"/>
  <c r="E19" i="10" s="1"/>
  <c r="F11" i="10"/>
  <c r="H11" i="10"/>
  <c r="D58" i="10"/>
  <c r="E22" i="10"/>
  <c r="B11" i="10"/>
  <c r="D11" i="10" s="1"/>
  <c r="E11" i="10" s="1"/>
  <c r="D69" i="10"/>
  <c r="E69" i="10"/>
  <c r="G69" i="10" s="1"/>
  <c r="B69" i="10"/>
  <c r="H69" i="10"/>
  <c r="D61" i="10"/>
  <c r="C61" i="10"/>
  <c r="B56" i="10"/>
  <c r="E56" i="10"/>
  <c r="H56" i="10"/>
  <c r="C76" i="10"/>
  <c r="B76" i="10"/>
  <c r="E76" i="10"/>
  <c r="G76" i="10" s="1"/>
  <c r="H76" i="10"/>
  <c r="C68" i="10"/>
  <c r="B68" i="10"/>
  <c r="D68" i="10"/>
  <c r="C60" i="10"/>
  <c r="B60" i="10"/>
  <c r="H28" i="10"/>
  <c r="E28" i="10"/>
  <c r="F28" i="10"/>
  <c r="C20" i="10"/>
  <c r="H20" i="10"/>
  <c r="F20" i="10"/>
  <c r="F12" i="10"/>
  <c r="B12" i="10"/>
  <c r="D12" i="10" s="1"/>
  <c r="C12" i="10"/>
  <c r="B20" i="10"/>
  <c r="D20" i="10" s="1"/>
  <c r="D60" i="10"/>
  <c r="H68" i="10"/>
  <c r="D73" i="10"/>
  <c r="H73" i="10"/>
  <c r="C73" i="10"/>
  <c r="E73" i="10"/>
  <c r="D65" i="10"/>
  <c r="H65" i="10"/>
  <c r="D57" i="10"/>
  <c r="B57" i="10"/>
  <c r="E57" i="10"/>
  <c r="G57" i="10" s="1"/>
  <c r="C25" i="10"/>
  <c r="B25" i="10"/>
  <c r="D25" i="10" s="1"/>
  <c r="H17" i="10"/>
  <c r="B17" i="10"/>
  <c r="D17" i="10"/>
  <c r="E17" i="10" s="1"/>
  <c r="B65" i="10"/>
  <c r="C57" i="10"/>
  <c r="H61" i="10"/>
  <c r="F30" i="10"/>
  <c r="C26" i="10"/>
  <c r="H26" i="10"/>
  <c r="C18" i="10"/>
  <c r="E18" i="10" s="1"/>
  <c r="H18" i="10"/>
  <c r="B72" i="10"/>
  <c r="B63" i="10"/>
  <c r="D30" i="10"/>
  <c r="E30" i="10" s="1"/>
  <c r="D75" i="10"/>
  <c r="E64" i="10"/>
  <c r="H59" i="10"/>
  <c r="B18" i="10"/>
  <c r="D18" i="10" s="1"/>
  <c r="B59" i="10"/>
  <c r="D26" i="10"/>
  <c r="D70" i="10"/>
  <c r="C67" i="10"/>
  <c r="D63" i="10"/>
  <c r="E59" i="10"/>
  <c r="G59" i="10" s="1"/>
  <c r="F22" i="10"/>
  <c r="H22" i="10"/>
  <c r="C14" i="10"/>
  <c r="E14" i="10" s="1"/>
  <c r="H14" i="10"/>
  <c r="C63" i="10"/>
  <c r="D59" i="10"/>
  <c r="H75" i="10"/>
  <c r="H64" i="10"/>
  <c r="E70" i="10"/>
  <c r="G70" i="10" s="1"/>
  <c r="H70" i="10"/>
  <c r="E62" i="10"/>
  <c r="H62" i="10"/>
  <c r="D62" i="10"/>
  <c r="D56" i="10"/>
  <c r="C56" i="10"/>
  <c r="B31" i="10"/>
  <c r="F24" i="10"/>
  <c r="F16" i="10"/>
  <c r="F26" i="10"/>
  <c r="F18" i="10"/>
  <c r="F25" i="10"/>
  <c r="F17" i="10"/>
  <c r="F14" i="10"/>
  <c r="G62" i="10"/>
  <c r="G58" i="10"/>
  <c r="G67" i="10"/>
  <c r="G75" i="10"/>
  <c r="G64" i="10"/>
  <c r="G72" i="10"/>
  <c r="G61" i="10"/>
  <c r="G71" i="10"/>
  <c r="G60" i="10"/>
  <c r="G68" i="10"/>
  <c r="G65" i="10"/>
  <c r="G73" i="10"/>
  <c r="G56" i="10"/>
  <c r="AD113" i="5"/>
  <c r="AD114" i="5"/>
  <c r="AD115" i="5"/>
  <c r="AD116" i="5"/>
  <c r="AD117" i="5"/>
  <c r="AD118" i="5"/>
  <c r="AD119" i="5"/>
  <c r="AD120" i="5"/>
  <c r="AD121" i="5"/>
  <c r="AD122" i="5"/>
  <c r="AD123" i="5"/>
  <c r="AD124" i="5"/>
  <c r="AD125" i="5"/>
  <c r="AD126" i="5"/>
  <c r="AD127" i="5"/>
  <c r="AD128" i="5"/>
  <c r="AD129" i="5"/>
  <c r="AD130" i="5"/>
  <c r="AD131" i="5"/>
  <c r="AD132" i="5"/>
  <c r="AD133" i="5"/>
  <c r="AD134" i="5"/>
  <c r="AD135" i="5"/>
  <c r="AD136" i="5"/>
  <c r="AD137" i="5"/>
  <c r="AD138" i="5"/>
  <c r="AD139" i="5"/>
  <c r="AD140" i="5"/>
  <c r="AD141" i="5"/>
  <c r="AD142" i="5"/>
  <c r="AD143" i="5"/>
  <c r="AD144" i="5"/>
  <c r="AD145" i="5"/>
  <c r="AD146" i="5"/>
  <c r="AD147" i="5"/>
  <c r="AD148" i="5"/>
  <c r="AD149" i="5"/>
  <c r="AD150" i="5"/>
  <c r="AD19" i="5"/>
  <c r="AD29" i="5"/>
  <c r="AK2" i="5"/>
  <c r="AD2" i="5" s="1"/>
  <c r="AK3" i="5"/>
  <c r="AK8" i="5"/>
  <c r="AD8" i="5" s="1"/>
  <c r="AK9" i="5"/>
  <c r="AD9" i="5" s="1"/>
  <c r="AK10" i="5"/>
  <c r="AD10" i="5" s="1"/>
  <c r="AK11" i="5"/>
  <c r="AK14" i="5"/>
  <c r="AD14" i="5" s="1"/>
  <c r="AK16" i="5"/>
  <c r="AD16" i="5" s="1"/>
  <c r="AK17" i="5"/>
  <c r="AD17" i="5" s="1"/>
  <c r="AK19" i="5"/>
  <c r="AK24" i="5"/>
  <c r="AD24" i="5" s="1"/>
  <c r="AK25" i="5"/>
  <c r="AK26" i="5"/>
  <c r="AK27" i="5"/>
  <c r="AK33" i="5"/>
  <c r="AK35" i="5"/>
  <c r="AK38" i="5"/>
  <c r="AD38" i="5" s="1"/>
  <c r="AK40" i="5"/>
  <c r="AD40" i="5" s="1"/>
  <c r="AK41" i="5"/>
  <c r="AD41" i="5" s="1"/>
  <c r="AK42" i="5"/>
  <c r="AK43" i="5"/>
  <c r="AK46" i="5"/>
  <c r="AD46" i="5" s="1"/>
  <c r="AK49" i="5"/>
  <c r="AK50" i="5"/>
  <c r="AD50" i="5" s="1"/>
  <c r="AK51" i="5"/>
  <c r="AD51" i="5" s="1"/>
  <c r="AK56" i="5"/>
  <c r="AD56" i="5" s="1"/>
  <c r="AK57" i="5"/>
  <c r="AD57" i="5" s="1"/>
  <c r="AK58" i="5"/>
  <c r="AD58" i="5" s="1"/>
  <c r="AK59" i="5"/>
  <c r="AD59" i="5" s="1"/>
  <c r="AK62" i="5"/>
  <c r="AD62" i="5" s="1"/>
  <c r="AK64" i="5"/>
  <c r="AD64" i="5" s="1"/>
  <c r="AK65" i="5"/>
  <c r="AD65" i="5" s="1"/>
  <c r="AK66" i="5"/>
  <c r="AD66" i="5" s="1"/>
  <c r="AK67" i="5"/>
  <c r="AD67" i="5" s="1"/>
  <c r="AK72" i="5"/>
  <c r="AD72" i="5" s="1"/>
  <c r="AK73" i="5"/>
  <c r="AD73" i="5" s="1"/>
  <c r="AK74" i="5"/>
  <c r="AD74" i="5" s="1"/>
  <c r="AK75" i="5"/>
  <c r="AD75" i="5" s="1"/>
  <c r="AK78" i="5"/>
  <c r="AD78" i="5" s="1"/>
  <c r="AK80" i="5"/>
  <c r="AD80" i="5" s="1"/>
  <c r="AK81" i="5"/>
  <c r="AD81" i="5" s="1"/>
  <c r="AK83" i="5"/>
  <c r="AK88" i="5"/>
  <c r="AK89" i="5"/>
  <c r="AD89" i="5" s="1"/>
  <c r="AK90" i="5"/>
  <c r="AD90" i="5" s="1"/>
  <c r="AK91" i="5"/>
  <c r="AK97" i="5"/>
  <c r="AD97" i="5" s="1"/>
  <c r="AK99" i="5"/>
  <c r="AD99" i="5" s="1"/>
  <c r="AK102" i="5"/>
  <c r="AD102" i="5" s="1"/>
  <c r="AK104" i="5"/>
  <c r="AD104" i="5" s="1"/>
  <c r="AK105" i="5"/>
  <c r="AD105" i="5" s="1"/>
  <c r="AK106" i="5"/>
  <c r="AD106" i="5" s="1"/>
  <c r="AK107" i="5"/>
  <c r="AD107" i="5" s="1"/>
  <c r="AK110" i="5"/>
  <c r="AD110" i="5" s="1"/>
  <c r="AK115" i="5"/>
  <c r="AK116" i="5"/>
  <c r="AK118" i="5"/>
  <c r="AK120" i="5"/>
  <c r="AK124" i="5"/>
  <c r="AK126" i="5"/>
  <c r="AK128" i="5"/>
  <c r="AK130" i="5"/>
  <c r="AK131" i="5"/>
  <c r="AK132" i="5"/>
  <c r="AK134" i="5"/>
  <c r="AK136" i="5"/>
  <c r="AK140" i="5"/>
  <c r="AK142" i="5"/>
  <c r="AK144" i="5"/>
  <c r="AK148" i="5"/>
  <c r="AK150" i="5"/>
  <c r="AJ112" i="5"/>
  <c r="AK112" i="5"/>
  <c r="AD112" i="5" s="1"/>
  <c r="AJ113" i="5"/>
  <c r="AK113" i="5" s="1"/>
  <c r="AJ114" i="5"/>
  <c r="AK114" i="5" s="1"/>
  <c r="AJ115" i="5"/>
  <c r="AJ116" i="5"/>
  <c r="AJ117" i="5"/>
  <c r="AK117" i="5" s="1"/>
  <c r="AJ118" i="5"/>
  <c r="AJ119" i="5"/>
  <c r="AK119" i="5" s="1"/>
  <c r="AJ120" i="5"/>
  <c r="AJ121" i="5"/>
  <c r="AK121" i="5" s="1"/>
  <c r="AJ122" i="5"/>
  <c r="AK122" i="5" s="1"/>
  <c r="AJ123" i="5"/>
  <c r="AK123" i="5" s="1"/>
  <c r="AJ124" i="5"/>
  <c r="AJ125" i="5"/>
  <c r="AK125" i="5" s="1"/>
  <c r="AJ126" i="5"/>
  <c r="AJ127" i="5"/>
  <c r="AK127" i="5" s="1"/>
  <c r="AJ128" i="5"/>
  <c r="AJ129" i="5"/>
  <c r="AK129" i="5" s="1"/>
  <c r="AJ130" i="5"/>
  <c r="AJ131" i="5"/>
  <c r="AJ132" i="5"/>
  <c r="AJ133" i="5"/>
  <c r="AK133" i="5" s="1"/>
  <c r="AJ134" i="5"/>
  <c r="AJ135" i="5"/>
  <c r="AK135" i="5" s="1"/>
  <c r="AJ136" i="5"/>
  <c r="AJ137" i="5"/>
  <c r="AK137" i="5" s="1"/>
  <c r="AJ138" i="5"/>
  <c r="AK138" i="5" s="1"/>
  <c r="AJ139" i="5"/>
  <c r="AK139" i="5" s="1"/>
  <c r="AJ140" i="5"/>
  <c r="AJ141" i="5"/>
  <c r="AK141" i="5" s="1"/>
  <c r="AJ142" i="5"/>
  <c r="AJ143" i="5"/>
  <c r="AK143" i="5" s="1"/>
  <c r="AJ144" i="5"/>
  <c r="AJ145" i="5"/>
  <c r="AK145" i="5" s="1"/>
  <c r="AJ146" i="5"/>
  <c r="AK146" i="5" s="1"/>
  <c r="AJ147" i="5"/>
  <c r="AK147" i="5" s="1"/>
  <c r="AJ148" i="5"/>
  <c r="AJ149" i="5"/>
  <c r="AK149" i="5" s="1"/>
  <c r="AJ150" i="5"/>
  <c r="AJ2" i="5"/>
  <c r="AJ3" i="5"/>
  <c r="AJ4" i="5"/>
  <c r="AK4" i="5" s="1"/>
  <c r="AD4" i="5" s="1"/>
  <c r="AJ5" i="5"/>
  <c r="AK5" i="5" s="1"/>
  <c r="AD5" i="5" s="1"/>
  <c r="AJ6" i="5"/>
  <c r="AK6" i="5" s="1"/>
  <c r="AD6" i="5" s="1"/>
  <c r="AJ7" i="5"/>
  <c r="AK7" i="5" s="1"/>
  <c r="AJ8" i="5"/>
  <c r="AJ9" i="5"/>
  <c r="AJ10" i="5"/>
  <c r="AJ11" i="5"/>
  <c r="AJ12" i="5"/>
  <c r="AK12" i="5" s="1"/>
  <c r="AD12" i="5" s="1"/>
  <c r="AJ13" i="5"/>
  <c r="AK13" i="5" s="1"/>
  <c r="AD13" i="5" s="1"/>
  <c r="AJ14" i="5"/>
  <c r="AJ15" i="5"/>
  <c r="AK15" i="5" s="1"/>
  <c r="AD15" i="5" s="1"/>
  <c r="AJ16" i="5"/>
  <c r="AJ17" i="5"/>
  <c r="AJ18" i="5"/>
  <c r="AK18" i="5" s="1"/>
  <c r="AJ19" i="5"/>
  <c r="AJ20" i="5"/>
  <c r="AK20" i="5" s="1"/>
  <c r="AJ21" i="5"/>
  <c r="AK21" i="5" s="1"/>
  <c r="AJ22" i="5"/>
  <c r="AK22" i="5" s="1"/>
  <c r="AD22" i="5" s="1"/>
  <c r="AJ23" i="5"/>
  <c r="AK23" i="5" s="1"/>
  <c r="AJ24" i="5"/>
  <c r="AJ25" i="5"/>
  <c r="AJ26" i="5"/>
  <c r="AJ27" i="5"/>
  <c r="AJ28" i="5"/>
  <c r="AK28" i="5" s="1"/>
  <c r="AJ29" i="5"/>
  <c r="AK29" i="5" s="1"/>
  <c r="AJ30" i="5"/>
  <c r="AK30" i="5" s="1"/>
  <c r="AJ31" i="5"/>
  <c r="AK31" i="5" s="1"/>
  <c r="AD31" i="5" s="1"/>
  <c r="AJ32" i="5"/>
  <c r="AK32" i="5" s="1"/>
  <c r="AD32" i="5" s="1"/>
  <c r="AJ33" i="5"/>
  <c r="AJ34" i="5"/>
  <c r="AK34" i="5" s="1"/>
  <c r="AD34" i="5" s="1"/>
  <c r="AJ35" i="5"/>
  <c r="AJ36" i="5"/>
  <c r="AK36" i="5" s="1"/>
  <c r="AD36" i="5" s="1"/>
  <c r="AJ37" i="5"/>
  <c r="AK37" i="5" s="1"/>
  <c r="AD37" i="5" s="1"/>
  <c r="AJ38" i="5"/>
  <c r="AJ39" i="5"/>
  <c r="AK39" i="5" s="1"/>
  <c r="AD39" i="5" s="1"/>
  <c r="AJ40" i="5"/>
  <c r="AJ41" i="5"/>
  <c r="AJ42" i="5"/>
  <c r="AJ43" i="5"/>
  <c r="AJ44" i="5"/>
  <c r="AK44" i="5" s="1"/>
  <c r="AD44" i="5" s="1"/>
  <c r="AJ45" i="5"/>
  <c r="AK45" i="5" s="1"/>
  <c r="AD45" i="5" s="1"/>
  <c r="AJ46" i="5"/>
  <c r="AJ47" i="5"/>
  <c r="AK47" i="5" s="1"/>
  <c r="AJ48" i="5"/>
  <c r="AK48" i="5" s="1"/>
  <c r="AJ49" i="5"/>
  <c r="AJ50" i="5"/>
  <c r="AJ51" i="5"/>
  <c r="AJ52" i="5"/>
  <c r="AK52" i="5" s="1"/>
  <c r="AD52" i="5" s="1"/>
  <c r="AJ53" i="5"/>
  <c r="AK53" i="5" s="1"/>
  <c r="AJ54" i="5"/>
  <c r="AK54" i="5" s="1"/>
  <c r="AD54" i="5" s="1"/>
  <c r="AJ55" i="5"/>
  <c r="AK55" i="5" s="1"/>
  <c r="AD55" i="5" s="1"/>
  <c r="AJ56" i="5"/>
  <c r="AJ57" i="5"/>
  <c r="AJ58" i="5"/>
  <c r="AJ59" i="5"/>
  <c r="AJ60" i="5"/>
  <c r="AK60" i="5" s="1"/>
  <c r="AJ61" i="5"/>
  <c r="AK61" i="5" s="1"/>
  <c r="AJ62" i="5"/>
  <c r="AJ63" i="5"/>
  <c r="AK63" i="5" s="1"/>
  <c r="AD63" i="5" s="1"/>
  <c r="AJ64" i="5"/>
  <c r="AJ65" i="5"/>
  <c r="AJ66" i="5"/>
  <c r="AJ67" i="5"/>
  <c r="AJ68" i="5"/>
  <c r="AK68" i="5" s="1"/>
  <c r="AD68" i="5" s="1"/>
  <c r="AJ69" i="5"/>
  <c r="AK69" i="5" s="1"/>
  <c r="AD69" i="5" s="1"/>
  <c r="AJ70" i="5"/>
  <c r="AK70" i="5" s="1"/>
  <c r="AD70" i="5" s="1"/>
  <c r="AJ71" i="5"/>
  <c r="AK71" i="5" s="1"/>
  <c r="AD71" i="5" s="1"/>
  <c r="AJ72" i="5"/>
  <c r="AJ73" i="5"/>
  <c r="AJ74" i="5"/>
  <c r="AJ75" i="5"/>
  <c r="AJ76" i="5"/>
  <c r="AK76" i="5" s="1"/>
  <c r="AD76" i="5" s="1"/>
  <c r="AJ77" i="5"/>
  <c r="AK77" i="5" s="1"/>
  <c r="AD77" i="5" s="1"/>
  <c r="AJ78" i="5"/>
  <c r="AJ79" i="5"/>
  <c r="AK79" i="5" s="1"/>
  <c r="AD79" i="5" s="1"/>
  <c r="AJ80" i="5"/>
  <c r="AJ81" i="5"/>
  <c r="AJ82" i="5"/>
  <c r="AK82" i="5" s="1"/>
  <c r="AD82" i="5" s="1"/>
  <c r="AJ83" i="5"/>
  <c r="AJ84" i="5"/>
  <c r="AK84" i="5" s="1"/>
  <c r="AD84" i="5" s="1"/>
  <c r="AJ85" i="5"/>
  <c r="AK85" i="5" s="1"/>
  <c r="AD85" i="5" s="1"/>
  <c r="AJ86" i="5"/>
  <c r="AK86" i="5" s="1"/>
  <c r="AJ87" i="5"/>
  <c r="AK87" i="5" s="1"/>
  <c r="AD87" i="5" s="1"/>
  <c r="AJ88" i="5"/>
  <c r="AJ89" i="5"/>
  <c r="AJ90" i="5"/>
  <c r="AJ91" i="5"/>
  <c r="AJ92" i="5"/>
  <c r="AK92" i="5" s="1"/>
  <c r="AD92" i="5" s="1"/>
  <c r="AJ93" i="5"/>
  <c r="AK93" i="5" s="1"/>
  <c r="AD93" i="5" s="1"/>
  <c r="AJ94" i="5"/>
  <c r="AK94" i="5" s="1"/>
  <c r="AD94" i="5" s="1"/>
  <c r="AJ95" i="5"/>
  <c r="AK95" i="5" s="1"/>
  <c r="AD95" i="5" s="1"/>
  <c r="AJ96" i="5"/>
  <c r="AK96" i="5" s="1"/>
  <c r="AD96" i="5" s="1"/>
  <c r="AJ97" i="5"/>
  <c r="AJ98" i="5"/>
  <c r="AK98" i="5" s="1"/>
  <c r="AD98" i="5" s="1"/>
  <c r="AJ99" i="5"/>
  <c r="AJ100" i="5"/>
  <c r="AK100" i="5" s="1"/>
  <c r="AD100" i="5" s="1"/>
  <c r="AJ101" i="5"/>
  <c r="AK101" i="5" s="1"/>
  <c r="AD101" i="5" s="1"/>
  <c r="AJ102" i="5"/>
  <c r="AJ103" i="5"/>
  <c r="AK103" i="5" s="1"/>
  <c r="AD103" i="5" s="1"/>
  <c r="AJ104" i="5"/>
  <c r="AJ105" i="5"/>
  <c r="AJ106" i="5"/>
  <c r="AJ107" i="5"/>
  <c r="AJ108" i="5"/>
  <c r="AK108" i="5" s="1"/>
  <c r="AD108" i="5" s="1"/>
  <c r="AJ109" i="5"/>
  <c r="AK109" i="5" s="1"/>
  <c r="AD109" i="5" s="1"/>
  <c r="AJ110" i="5"/>
  <c r="Y11" i="5"/>
  <c r="Y35" i="5"/>
  <c r="Y37" i="5"/>
  <c r="Y63" i="5"/>
  <c r="Y87" i="5"/>
  <c r="Z87" i="5" s="1"/>
  <c r="Y90" i="5"/>
  <c r="Y101" i="5"/>
  <c r="Z101" i="5" s="1"/>
  <c r="Y107" i="5"/>
  <c r="Z107" i="5" s="1"/>
  <c r="Y110" i="5"/>
  <c r="Y111" i="5"/>
  <c r="Y113" i="5"/>
  <c r="Y114" i="5"/>
  <c r="Y115" i="5"/>
  <c r="Y116" i="5"/>
  <c r="Z116" i="5" s="1"/>
  <c r="Y117" i="5"/>
  <c r="Y118" i="5"/>
  <c r="Y119" i="5"/>
  <c r="Z119" i="5" s="1"/>
  <c r="Y120" i="5"/>
  <c r="Y121" i="5"/>
  <c r="Y122" i="5"/>
  <c r="Y123" i="5"/>
  <c r="Y124" i="5"/>
  <c r="Y125" i="5"/>
  <c r="Y126" i="5"/>
  <c r="Y127" i="5"/>
  <c r="Z127" i="5" s="1"/>
  <c r="Y128" i="5"/>
  <c r="Z128" i="5" s="1"/>
  <c r="Y129" i="5"/>
  <c r="Y130" i="5"/>
  <c r="Y131" i="5"/>
  <c r="Y132" i="5"/>
  <c r="Y133" i="5"/>
  <c r="Y134" i="5"/>
  <c r="Z134" i="5" s="1"/>
  <c r="Y135" i="5"/>
  <c r="Z135" i="5" s="1"/>
  <c r="Y136" i="5"/>
  <c r="Z136" i="5" s="1"/>
  <c r="Y137" i="5"/>
  <c r="Y138" i="5"/>
  <c r="Z138" i="5" s="1"/>
  <c r="Y139" i="5"/>
  <c r="Z139" i="5" s="1"/>
  <c r="Y140" i="5"/>
  <c r="Z140" i="5" s="1"/>
  <c r="Y141" i="5"/>
  <c r="Y142" i="5"/>
  <c r="Y143" i="5"/>
  <c r="Z143" i="5" s="1"/>
  <c r="Y144" i="5"/>
  <c r="Z144" i="5" s="1"/>
  <c r="Y145" i="5"/>
  <c r="Z145" i="5" s="1"/>
  <c r="Y146" i="5"/>
  <c r="Y147" i="5"/>
  <c r="Y148" i="5"/>
  <c r="Y149" i="5"/>
  <c r="Y150" i="5"/>
  <c r="Z147" i="5"/>
  <c r="Z131" i="5"/>
  <c r="Z123" i="5"/>
  <c r="Z113" i="5"/>
  <c r="Z117" i="5"/>
  <c r="Z125" i="5"/>
  <c r="Z129" i="5"/>
  <c r="Z137" i="5"/>
  <c r="Z141" i="5"/>
  <c r="Z149" i="5"/>
  <c r="Z132" i="5"/>
  <c r="Z121" i="5"/>
  <c r="Z108" i="5"/>
  <c r="Z124" i="5"/>
  <c r="Z133" i="5"/>
  <c r="Z148" i="5"/>
  <c r="Z120" i="5"/>
  <c r="Z110" i="5"/>
  <c r="P115" i="5"/>
  <c r="AC45" i="5"/>
  <c r="AC50" i="5"/>
  <c r="AC84" i="5"/>
  <c r="AC85" i="5"/>
  <c r="AC87" i="5"/>
  <c r="AC89" i="5"/>
  <c r="AC90" i="5"/>
  <c r="AC92" i="5"/>
  <c r="AC93" i="5"/>
  <c r="AC94" i="5"/>
  <c r="AC95" i="5"/>
  <c r="AC97" i="5"/>
  <c r="AC98" i="5"/>
  <c r="AC99" i="5"/>
  <c r="AC100" i="5"/>
  <c r="AC101" i="5"/>
  <c r="AC102" i="5"/>
  <c r="AC103" i="5"/>
  <c r="AC104" i="5"/>
  <c r="AC105" i="5"/>
  <c r="AC106" i="5"/>
  <c r="AC107" i="5"/>
  <c r="AC108" i="5"/>
  <c r="AC109" i="5"/>
  <c r="AC110" i="5"/>
  <c r="AC111" i="5"/>
  <c r="AC112" i="5"/>
  <c r="AC113" i="5"/>
  <c r="AI113" i="5" s="1"/>
  <c r="AC114" i="5"/>
  <c r="AI114" i="5" s="1"/>
  <c r="AC115" i="5"/>
  <c r="AI115" i="5" s="1"/>
  <c r="AC116" i="5"/>
  <c r="AI116" i="5" s="1"/>
  <c r="AC117" i="5"/>
  <c r="AI117" i="5" s="1"/>
  <c r="AC118" i="5"/>
  <c r="AC119" i="5"/>
  <c r="AI119" i="5" s="1"/>
  <c r="AH119" i="5"/>
  <c r="AC120" i="5"/>
  <c r="AI120" i="5" s="1"/>
  <c r="AC121" i="5"/>
  <c r="AC122" i="5"/>
  <c r="AI122" i="5" s="1"/>
  <c r="AC123" i="5"/>
  <c r="AH123" i="5" s="1"/>
  <c r="AC124" i="5"/>
  <c r="AH124" i="5" s="1"/>
  <c r="AC125" i="5"/>
  <c r="AH125" i="5" s="1"/>
  <c r="AC126" i="5"/>
  <c r="AI126" i="5" s="1"/>
  <c r="AC127" i="5"/>
  <c r="AI127" i="5" s="1"/>
  <c r="AC128" i="5"/>
  <c r="AH128" i="5" s="1"/>
  <c r="AC129" i="5"/>
  <c r="AC130" i="5"/>
  <c r="AC131" i="5"/>
  <c r="AH131" i="5" s="1"/>
  <c r="AC132" i="5"/>
  <c r="AH132" i="5" s="1"/>
  <c r="AC133" i="5"/>
  <c r="AH133" i="5" s="1"/>
  <c r="AC134" i="5"/>
  <c r="AI134" i="5" s="1"/>
  <c r="AC135" i="5"/>
  <c r="AH135" i="5" s="1"/>
  <c r="AC136" i="5"/>
  <c r="AC137" i="5"/>
  <c r="AH137" i="5" s="1"/>
  <c r="AC138" i="5"/>
  <c r="AH138" i="5" s="1"/>
  <c r="AC139" i="5"/>
  <c r="AI139" i="5"/>
  <c r="AC140" i="5"/>
  <c r="AH140" i="5" s="1"/>
  <c r="AC141" i="5"/>
  <c r="AC142" i="5"/>
  <c r="AH142" i="5" s="1"/>
  <c r="AC143" i="5"/>
  <c r="AI143" i="5" s="1"/>
  <c r="AC144" i="5"/>
  <c r="AI144" i="5" s="1"/>
  <c r="AC145" i="5"/>
  <c r="AH145" i="5" s="1"/>
  <c r="AC146" i="5"/>
  <c r="AH146" i="5" s="1"/>
  <c r="AI146" i="5"/>
  <c r="AC147" i="5"/>
  <c r="AI147" i="5" s="1"/>
  <c r="AC148" i="5"/>
  <c r="AC149" i="5"/>
  <c r="AI149" i="5" s="1"/>
  <c r="AC150" i="5"/>
  <c r="AI150" i="5" s="1"/>
  <c r="S111" i="5"/>
  <c r="T111" i="5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33" i="10"/>
  <c r="A37" i="11"/>
  <c r="B37" i="11"/>
  <c r="A38" i="11"/>
  <c r="B38" i="11" s="1"/>
  <c r="A39" i="11"/>
  <c r="B39" i="11" s="1"/>
  <c r="A40" i="11"/>
  <c r="B40" i="11" s="1"/>
  <c r="A41" i="11"/>
  <c r="A42" i="11"/>
  <c r="B42" i="11" s="1"/>
  <c r="A43" i="11"/>
  <c r="A44" i="11"/>
  <c r="B44" i="11" s="1"/>
  <c r="D44" i="11" s="1"/>
  <c r="E44" i="11" s="1"/>
  <c r="A45" i="11"/>
  <c r="B45" i="11" s="1"/>
  <c r="D45" i="11" s="1"/>
  <c r="E45" i="11" s="1"/>
  <c r="G45" i="11" s="1"/>
  <c r="A46" i="11"/>
  <c r="B46" i="11" s="1"/>
  <c r="A47" i="11"/>
  <c r="A48" i="11"/>
  <c r="A49" i="11"/>
  <c r="B49" i="11" s="1"/>
  <c r="A50" i="11"/>
  <c r="A51" i="11"/>
  <c r="B51" i="11" s="1"/>
  <c r="D51" i="11" s="1"/>
  <c r="A52" i="11"/>
  <c r="B52" i="11" s="1"/>
  <c r="D52" i="11"/>
  <c r="A53" i="11"/>
  <c r="B53" i="11" s="1"/>
  <c r="A54" i="11"/>
  <c r="A55" i="11"/>
  <c r="B55" i="11" s="1"/>
  <c r="A56" i="11"/>
  <c r="A36" i="11"/>
  <c r="A11" i="11"/>
  <c r="B11" i="11" s="1"/>
  <c r="A12" i="11"/>
  <c r="B12" i="11" s="1"/>
  <c r="D12" i="11" s="1"/>
  <c r="E12" i="11" s="1"/>
  <c r="A13" i="11"/>
  <c r="B13" i="11" s="1"/>
  <c r="A14" i="11"/>
  <c r="A15" i="11"/>
  <c r="A16" i="11"/>
  <c r="A17" i="11"/>
  <c r="B17" i="11" s="1"/>
  <c r="D17" i="11" s="1"/>
  <c r="E17" i="11" s="1"/>
  <c r="A18" i="11"/>
  <c r="A19" i="11"/>
  <c r="B19" i="11"/>
  <c r="A20" i="11"/>
  <c r="B20" i="11" s="1"/>
  <c r="D20" i="11" s="1"/>
  <c r="E20" i="11" s="1"/>
  <c r="G20" i="11" s="1"/>
  <c r="A21" i="11"/>
  <c r="A22" i="11"/>
  <c r="B22" i="11" s="1"/>
  <c r="D22" i="11" s="1"/>
  <c r="E22" i="11" s="1"/>
  <c r="G22" i="11" s="1"/>
  <c r="A23" i="11"/>
  <c r="B23" i="11" s="1"/>
  <c r="D23" i="11" s="1"/>
  <c r="E23" i="11" s="1"/>
  <c r="A24" i="11"/>
  <c r="A25" i="11"/>
  <c r="B25" i="11" s="1"/>
  <c r="A26" i="11"/>
  <c r="A27" i="11"/>
  <c r="B27" i="11" s="1"/>
  <c r="A28" i="11"/>
  <c r="B28" i="11" s="1"/>
  <c r="D28" i="11" s="1"/>
  <c r="E28" i="11" s="1"/>
  <c r="A29" i="11"/>
  <c r="A30" i="11"/>
  <c r="A10" i="11"/>
  <c r="B10" i="11" s="1"/>
  <c r="A37" i="12"/>
  <c r="A38" i="12"/>
  <c r="B38" i="12" s="1"/>
  <c r="D38" i="12" s="1"/>
  <c r="E38" i="12" s="1"/>
  <c r="A39" i="12"/>
  <c r="B39" i="12" s="1"/>
  <c r="A40" i="12"/>
  <c r="B40" i="12" s="1"/>
  <c r="A41" i="12"/>
  <c r="A42" i="12"/>
  <c r="B42" i="12" s="1"/>
  <c r="A43" i="12"/>
  <c r="B43" i="12" s="1"/>
  <c r="A44" i="12"/>
  <c r="B44" i="12" s="1"/>
  <c r="A45" i="12"/>
  <c r="B45" i="12" s="1"/>
  <c r="D45" i="12" s="1"/>
  <c r="E45" i="12" s="1"/>
  <c r="A46" i="12"/>
  <c r="B46" i="12" s="1"/>
  <c r="A47" i="12"/>
  <c r="B47" i="12"/>
  <c r="D47" i="12" s="1"/>
  <c r="E47" i="12" s="1"/>
  <c r="A48" i="12"/>
  <c r="A49" i="12"/>
  <c r="B49" i="12" s="1"/>
  <c r="A50" i="12"/>
  <c r="B50" i="12" s="1"/>
  <c r="A51" i="12"/>
  <c r="B51" i="12" s="1"/>
  <c r="A52" i="12"/>
  <c r="B52" i="12" s="1"/>
  <c r="A53" i="12"/>
  <c r="B53" i="12" s="1"/>
  <c r="A54" i="12"/>
  <c r="B54" i="12" s="1"/>
  <c r="A55" i="12"/>
  <c r="B55" i="12" s="1"/>
  <c r="A56" i="12"/>
  <c r="B56" i="12" s="1"/>
  <c r="A36" i="12"/>
  <c r="A11" i="12"/>
  <c r="D11" i="12" s="1"/>
  <c r="E11" i="12" s="1"/>
  <c r="G11" i="12" s="1"/>
  <c r="A12" i="12"/>
  <c r="B12" i="12" s="1"/>
  <c r="A13" i="12"/>
  <c r="A14" i="12"/>
  <c r="D14" i="12" s="1"/>
  <c r="E14" i="12" s="1"/>
  <c r="G14" i="12" s="1"/>
  <c r="B14" i="12"/>
  <c r="A15" i="12"/>
  <c r="D15" i="12" s="1"/>
  <c r="E15" i="12" s="1"/>
  <c r="G15" i="12" s="1"/>
  <c r="A16" i="12"/>
  <c r="B16" i="12" s="1"/>
  <c r="A17" i="12"/>
  <c r="D17" i="12" s="1"/>
  <c r="A18" i="12"/>
  <c r="B18" i="12" s="1"/>
  <c r="D18" i="12" s="1"/>
  <c r="E18" i="12" s="1"/>
  <c r="G18" i="12" s="1"/>
  <c r="A19" i="12"/>
  <c r="B19" i="12" s="1"/>
  <c r="D19" i="12" s="1"/>
  <c r="E19" i="12" s="1"/>
  <c r="A20" i="12"/>
  <c r="B20" i="12" s="1"/>
  <c r="A21" i="12"/>
  <c r="B21" i="12"/>
  <c r="A22" i="12"/>
  <c r="B22" i="12" s="1"/>
  <c r="D22" i="12" s="1"/>
  <c r="E22" i="12" s="1"/>
  <c r="G22" i="12" s="1"/>
  <c r="A23" i="12"/>
  <c r="A24" i="12"/>
  <c r="A25" i="12"/>
  <c r="A26" i="12"/>
  <c r="A27" i="12"/>
  <c r="A28" i="12"/>
  <c r="B28" i="12" s="1"/>
  <c r="D28" i="12" s="1"/>
  <c r="E28" i="12" s="1"/>
  <c r="A29" i="12"/>
  <c r="B29" i="12"/>
  <c r="D29" i="12" s="1"/>
  <c r="E29" i="12" s="1"/>
  <c r="G29" i="12" s="1"/>
  <c r="A30" i="12"/>
  <c r="A10" i="12"/>
  <c r="D10" i="12" s="1"/>
  <c r="E10" i="12" s="1"/>
  <c r="G10" i="12" s="1"/>
  <c r="C37" i="12"/>
  <c r="F37" i="12"/>
  <c r="C38" i="12"/>
  <c r="F38" i="12"/>
  <c r="C39" i="12"/>
  <c r="F39" i="12"/>
  <c r="C40" i="12"/>
  <c r="F40" i="12"/>
  <c r="C41" i="12"/>
  <c r="F41" i="12"/>
  <c r="C42" i="12"/>
  <c r="F42" i="12"/>
  <c r="C43" i="12"/>
  <c r="F43" i="12"/>
  <c r="C44" i="12"/>
  <c r="F44" i="12"/>
  <c r="C45" i="12"/>
  <c r="F45" i="12"/>
  <c r="C46" i="12"/>
  <c r="F46" i="12"/>
  <c r="C47" i="12"/>
  <c r="F47" i="12"/>
  <c r="C48" i="12"/>
  <c r="F48" i="12"/>
  <c r="C49" i="12"/>
  <c r="F49" i="12"/>
  <c r="C50" i="12"/>
  <c r="F50" i="12"/>
  <c r="C51" i="12"/>
  <c r="F51" i="12"/>
  <c r="C52" i="12"/>
  <c r="F52" i="12"/>
  <c r="C53" i="12"/>
  <c r="F53" i="12"/>
  <c r="C54" i="12"/>
  <c r="F54" i="12"/>
  <c r="C55" i="12"/>
  <c r="F55" i="12"/>
  <c r="C56" i="12"/>
  <c r="F56" i="12"/>
  <c r="C36" i="12"/>
  <c r="F36" i="12"/>
  <c r="C11" i="12"/>
  <c r="F11" i="12"/>
  <c r="C12" i="12"/>
  <c r="F12" i="12"/>
  <c r="C13" i="12"/>
  <c r="F13" i="12"/>
  <c r="C14" i="12"/>
  <c r="F14" i="12"/>
  <c r="C15" i="12"/>
  <c r="F15" i="12"/>
  <c r="C16" i="12"/>
  <c r="F16" i="12"/>
  <c r="C17" i="12"/>
  <c r="F17" i="12"/>
  <c r="C18" i="12"/>
  <c r="F18" i="12"/>
  <c r="C19" i="12"/>
  <c r="F19" i="12"/>
  <c r="C20" i="12"/>
  <c r="F20" i="12"/>
  <c r="C21" i="12"/>
  <c r="F21" i="12"/>
  <c r="C22" i="12"/>
  <c r="F22" i="12"/>
  <c r="C23" i="12"/>
  <c r="F23" i="12"/>
  <c r="C24" i="12"/>
  <c r="F24" i="12"/>
  <c r="C25" i="12"/>
  <c r="F25" i="12"/>
  <c r="C26" i="12"/>
  <c r="F26" i="12"/>
  <c r="C27" i="12"/>
  <c r="F27" i="12"/>
  <c r="C28" i="12"/>
  <c r="F28" i="12"/>
  <c r="C29" i="12"/>
  <c r="F29" i="12"/>
  <c r="C30" i="12"/>
  <c r="F30" i="12"/>
  <c r="C10" i="12"/>
  <c r="F10" i="12"/>
  <c r="F35" i="12"/>
  <c r="F31" i="12"/>
  <c r="C37" i="11"/>
  <c r="F37" i="11"/>
  <c r="C38" i="11"/>
  <c r="F38" i="11"/>
  <c r="C39" i="11"/>
  <c r="F39" i="11"/>
  <c r="C40" i="11"/>
  <c r="F40" i="11"/>
  <c r="C41" i="11"/>
  <c r="F41" i="11"/>
  <c r="C42" i="11"/>
  <c r="F42" i="11"/>
  <c r="C43" i="11"/>
  <c r="F43" i="11"/>
  <c r="C44" i="11"/>
  <c r="F44" i="11"/>
  <c r="C45" i="11"/>
  <c r="F45" i="11"/>
  <c r="C46" i="11"/>
  <c r="F46" i="11"/>
  <c r="C47" i="11"/>
  <c r="F47" i="11"/>
  <c r="C48" i="11"/>
  <c r="F48" i="11"/>
  <c r="C49" i="11"/>
  <c r="F49" i="11"/>
  <c r="C50" i="11"/>
  <c r="F50" i="11"/>
  <c r="C51" i="11"/>
  <c r="F51" i="11"/>
  <c r="C52" i="11"/>
  <c r="F52" i="11"/>
  <c r="C53" i="11"/>
  <c r="F53" i="11"/>
  <c r="C54" i="11"/>
  <c r="F54" i="11"/>
  <c r="C55" i="11"/>
  <c r="F55" i="11"/>
  <c r="C56" i="11"/>
  <c r="F56" i="11"/>
  <c r="C36" i="11"/>
  <c r="F36" i="11"/>
  <c r="C11" i="11"/>
  <c r="F11" i="11"/>
  <c r="C12" i="11"/>
  <c r="F12" i="11"/>
  <c r="C13" i="11"/>
  <c r="F13" i="11"/>
  <c r="C14" i="11"/>
  <c r="F14" i="11"/>
  <c r="C15" i="11"/>
  <c r="F15" i="11"/>
  <c r="G15" i="11" s="1"/>
  <c r="C16" i="11"/>
  <c r="F16" i="11"/>
  <c r="C17" i="11"/>
  <c r="F17" i="11"/>
  <c r="C18" i="11"/>
  <c r="F18" i="11"/>
  <c r="C19" i="11"/>
  <c r="F19" i="11"/>
  <c r="C20" i="11"/>
  <c r="F20" i="11"/>
  <c r="C21" i="11"/>
  <c r="F21" i="11"/>
  <c r="C22" i="11"/>
  <c r="F22" i="11"/>
  <c r="C23" i="11"/>
  <c r="F23" i="11"/>
  <c r="C24" i="11"/>
  <c r="F24" i="11"/>
  <c r="C25" i="11"/>
  <c r="F25" i="11"/>
  <c r="C26" i="11"/>
  <c r="F26" i="11"/>
  <c r="C27" i="11"/>
  <c r="F27" i="11"/>
  <c r="C28" i="11"/>
  <c r="F28" i="11"/>
  <c r="C29" i="11"/>
  <c r="F29" i="11"/>
  <c r="C30" i="11"/>
  <c r="F30" i="11"/>
  <c r="C10" i="11"/>
  <c r="F35" i="11"/>
  <c r="F31" i="11"/>
  <c r="F10" i="11"/>
  <c r="P2" i="5"/>
  <c r="P3" i="5"/>
  <c r="P4" i="5"/>
  <c r="P5" i="5"/>
  <c r="P7" i="5"/>
  <c r="P6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1" i="5"/>
  <c r="P30" i="5"/>
  <c r="P32" i="5"/>
  <c r="P34" i="5"/>
  <c r="P33" i="5"/>
  <c r="P35" i="5"/>
  <c r="P36" i="5"/>
  <c r="P37" i="5"/>
  <c r="P39" i="5"/>
  <c r="P40" i="5"/>
  <c r="P41" i="5"/>
  <c r="P38" i="5"/>
  <c r="P42" i="5"/>
  <c r="P43" i="5"/>
  <c r="P44" i="5"/>
  <c r="P47" i="5"/>
  <c r="P46" i="5"/>
  <c r="P48" i="5"/>
  <c r="P49" i="5"/>
  <c r="P51" i="5"/>
  <c r="P52" i="5"/>
  <c r="P53" i="5"/>
  <c r="P54" i="5"/>
  <c r="P56" i="5"/>
  <c r="P55" i="5"/>
  <c r="P58" i="5"/>
  <c r="P57" i="5"/>
  <c r="P60" i="5"/>
  <c r="P59" i="5"/>
  <c r="P61" i="5"/>
  <c r="P62" i="5"/>
  <c r="P64" i="5"/>
  <c r="P69" i="5"/>
  <c r="P70" i="5"/>
  <c r="P72" i="5"/>
  <c r="P74" i="5"/>
  <c r="P75" i="5"/>
  <c r="P76" i="5"/>
  <c r="P79" i="5"/>
  <c r="P84" i="5"/>
  <c r="P85" i="5"/>
  <c r="P86" i="5"/>
  <c r="P89" i="5"/>
  <c r="P88" i="5"/>
  <c r="P92" i="5"/>
  <c r="P93" i="5"/>
  <c r="P94" i="5"/>
  <c r="P96" i="5"/>
  <c r="P97" i="5"/>
  <c r="P98" i="5"/>
  <c r="P99" i="5"/>
  <c r="P100" i="5"/>
  <c r="P102" i="5"/>
  <c r="P103" i="5"/>
  <c r="P104" i="5"/>
  <c r="P107" i="5"/>
  <c r="P108" i="5"/>
  <c r="P71" i="5"/>
  <c r="P78" i="5"/>
  <c r="P68" i="5"/>
  <c r="P83" i="5"/>
  <c r="P67" i="5"/>
  <c r="P87" i="5"/>
  <c r="P45" i="5"/>
  <c r="P50" i="5"/>
  <c r="P105" i="5"/>
  <c r="P63" i="5"/>
  <c r="P95" i="5"/>
  <c r="P106" i="5"/>
  <c r="P90" i="5"/>
  <c r="P101" i="5"/>
  <c r="P66" i="5"/>
  <c r="P65" i="5"/>
  <c r="P73" i="5"/>
  <c r="P77" i="5"/>
  <c r="P81" i="5"/>
  <c r="P80" i="5"/>
  <c r="P82" i="5"/>
  <c r="P91" i="5"/>
  <c r="P109" i="5"/>
  <c r="P110" i="5"/>
  <c r="P111" i="5"/>
  <c r="P112" i="5"/>
  <c r="P113" i="5"/>
  <c r="P114" i="5"/>
  <c r="P116" i="5"/>
  <c r="P117" i="5"/>
  <c r="P118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4" i="5"/>
  <c r="P135" i="5"/>
  <c r="P136" i="5"/>
  <c r="P137" i="5"/>
  <c r="P138" i="5"/>
  <c r="P139" i="5"/>
  <c r="P140" i="5"/>
  <c r="P141" i="5"/>
  <c r="P142" i="5"/>
  <c r="P143" i="5"/>
  <c r="P144" i="5"/>
  <c r="P145" i="5"/>
  <c r="P146" i="5"/>
  <c r="P147" i="5"/>
  <c r="P148" i="5"/>
  <c r="P149" i="5"/>
  <c r="P150" i="5"/>
  <c r="AH149" i="5"/>
  <c r="AI148" i="5"/>
  <c r="AH144" i="5"/>
  <c r="AI141" i="5"/>
  <c r="AH136" i="5"/>
  <c r="AI130" i="5"/>
  <c r="AI129" i="5"/>
  <c r="N2" i="5"/>
  <c r="N3" i="5"/>
  <c r="N4" i="5"/>
  <c r="N5" i="5"/>
  <c r="N7" i="5"/>
  <c r="N6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1" i="5"/>
  <c r="N30" i="5"/>
  <c r="N32" i="5"/>
  <c r="N34" i="5"/>
  <c r="N33" i="5"/>
  <c r="N35" i="5"/>
  <c r="N36" i="5"/>
  <c r="N37" i="5"/>
  <c r="N39" i="5"/>
  <c r="N40" i="5"/>
  <c r="N41" i="5"/>
  <c r="N38" i="5"/>
  <c r="N42" i="5"/>
  <c r="N43" i="5"/>
  <c r="N44" i="5"/>
  <c r="N47" i="5"/>
  <c r="N46" i="5"/>
  <c r="N48" i="5"/>
  <c r="N49" i="5"/>
  <c r="N51" i="5"/>
  <c r="N52" i="5"/>
  <c r="N53" i="5"/>
  <c r="N54" i="5"/>
  <c r="N56" i="5"/>
  <c r="N55" i="5"/>
  <c r="N58" i="5"/>
  <c r="N57" i="5"/>
  <c r="N60" i="5"/>
  <c r="N59" i="5"/>
  <c r="N61" i="5"/>
  <c r="N62" i="5"/>
  <c r="N64" i="5"/>
  <c r="N69" i="5"/>
  <c r="N70" i="5"/>
  <c r="N72" i="5"/>
  <c r="N74" i="5"/>
  <c r="N75" i="5"/>
  <c r="N76" i="5"/>
  <c r="N79" i="5"/>
  <c r="N84" i="5"/>
  <c r="N85" i="5"/>
  <c r="N86" i="5"/>
  <c r="N89" i="5"/>
  <c r="N88" i="5"/>
  <c r="N92" i="5"/>
  <c r="N93" i="5"/>
  <c r="N94" i="5"/>
  <c r="N96" i="5"/>
  <c r="N97" i="5"/>
  <c r="N98" i="5"/>
  <c r="N99" i="5"/>
  <c r="N100" i="5"/>
  <c r="N102" i="5"/>
  <c r="N103" i="5"/>
  <c r="N104" i="5"/>
  <c r="N107" i="5"/>
  <c r="N108" i="5"/>
  <c r="N71" i="5"/>
  <c r="N78" i="5"/>
  <c r="N68" i="5"/>
  <c r="N83" i="5"/>
  <c r="N67" i="5"/>
  <c r="N87" i="5"/>
  <c r="N45" i="5"/>
  <c r="N50" i="5"/>
  <c r="N105" i="5"/>
  <c r="N63" i="5"/>
  <c r="N95" i="5"/>
  <c r="N106" i="5"/>
  <c r="N90" i="5"/>
  <c r="N101" i="5"/>
  <c r="N66" i="5"/>
  <c r="N65" i="5"/>
  <c r="N73" i="5"/>
  <c r="N77" i="5"/>
  <c r="N81" i="5"/>
  <c r="N80" i="5"/>
  <c r="N82" i="5"/>
  <c r="N91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Z146" i="5"/>
  <c r="O110" i="5"/>
  <c r="O113" i="5"/>
  <c r="O114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J150" i="5"/>
  <c r="J149" i="5"/>
  <c r="J148" i="5"/>
  <c r="J147" i="5"/>
  <c r="J146" i="5"/>
  <c r="J145" i="5"/>
  <c r="J144" i="5"/>
  <c r="J143" i="5"/>
  <c r="J142" i="5"/>
  <c r="J141" i="5"/>
  <c r="J140" i="5"/>
  <c r="J139" i="5"/>
  <c r="J138" i="5"/>
  <c r="J137" i="5"/>
  <c r="J136" i="5"/>
  <c r="J135" i="5"/>
  <c r="J134" i="5"/>
  <c r="J133" i="5"/>
  <c r="J132" i="5"/>
  <c r="J131" i="5"/>
  <c r="J130" i="5"/>
  <c r="J129" i="5"/>
  <c r="J128" i="5"/>
  <c r="J127" i="5"/>
  <c r="J126" i="5"/>
  <c r="J125" i="5"/>
  <c r="J124" i="5"/>
  <c r="J123" i="5"/>
  <c r="J122" i="5"/>
  <c r="J121" i="5"/>
  <c r="H56" i="12"/>
  <c r="J120" i="5"/>
  <c r="H55" i="12" s="1"/>
  <c r="J119" i="5"/>
  <c r="H54" i="12"/>
  <c r="J118" i="5"/>
  <c r="H53" i="12"/>
  <c r="J117" i="5"/>
  <c r="H52" i="12" s="1"/>
  <c r="J116" i="5"/>
  <c r="H51" i="12" s="1"/>
  <c r="J115" i="5"/>
  <c r="H50" i="12"/>
  <c r="J114" i="5"/>
  <c r="H49" i="12"/>
  <c r="J113" i="5"/>
  <c r="H48" i="12"/>
  <c r="J112" i="5"/>
  <c r="J111" i="5"/>
  <c r="H46" i="12"/>
  <c r="J110" i="5"/>
  <c r="H45" i="12"/>
  <c r="J109" i="5"/>
  <c r="J91" i="5"/>
  <c r="O91" i="5" s="1"/>
  <c r="J82" i="5"/>
  <c r="O82" i="5"/>
  <c r="J80" i="5"/>
  <c r="O80" i="5"/>
  <c r="J81" i="5"/>
  <c r="K81" i="5" s="1"/>
  <c r="O81" i="5"/>
  <c r="J77" i="5"/>
  <c r="J73" i="5"/>
  <c r="O73" i="5" s="1"/>
  <c r="J65" i="5"/>
  <c r="K65" i="5" s="1"/>
  <c r="J66" i="5"/>
  <c r="J101" i="5"/>
  <c r="H36" i="12" s="1"/>
  <c r="O101" i="5"/>
  <c r="J90" i="5"/>
  <c r="K90" i="5" s="1"/>
  <c r="O90" i="5"/>
  <c r="J106" i="5"/>
  <c r="J95" i="5"/>
  <c r="O95" i="5"/>
  <c r="Y95" i="5" s="1"/>
  <c r="Z95" i="5" s="1"/>
  <c r="J63" i="5"/>
  <c r="H29" i="11"/>
  <c r="J105" i="5"/>
  <c r="H40" i="12" s="1"/>
  <c r="J50" i="5"/>
  <c r="J45" i="5"/>
  <c r="O45" i="5" s="1"/>
  <c r="Y45" i="5" s="1"/>
  <c r="Z45" i="5" s="1"/>
  <c r="J87" i="5"/>
  <c r="O87" i="5"/>
  <c r="J67" i="5"/>
  <c r="J83" i="5"/>
  <c r="H54" i="11" s="1"/>
  <c r="J68" i="5"/>
  <c r="J78" i="5"/>
  <c r="J71" i="5"/>
  <c r="J108" i="5"/>
  <c r="H42" i="12"/>
  <c r="J107" i="5"/>
  <c r="H41" i="12"/>
  <c r="J104" i="5"/>
  <c r="O104" i="5" s="1"/>
  <c r="Y104" i="5" s="1"/>
  <c r="Z104" i="5" s="1"/>
  <c r="J103" i="5"/>
  <c r="O103" i="5" s="1"/>
  <c r="Y103" i="5" s="1"/>
  <c r="Z103" i="5" s="1"/>
  <c r="J102" i="5"/>
  <c r="J100" i="5"/>
  <c r="J99" i="5"/>
  <c r="H29" i="12" s="1"/>
  <c r="J98" i="5"/>
  <c r="J97" i="5"/>
  <c r="J96" i="5"/>
  <c r="J94" i="5"/>
  <c r="H24" i="12" s="1"/>
  <c r="J93" i="5"/>
  <c r="H22" i="12"/>
  <c r="J92" i="5"/>
  <c r="J88" i="5"/>
  <c r="J89" i="5"/>
  <c r="J86" i="5"/>
  <c r="K86" i="5" s="1"/>
  <c r="J85" i="5"/>
  <c r="J84" i="5"/>
  <c r="J79" i="5"/>
  <c r="J76" i="5"/>
  <c r="H47" i="11" s="1"/>
  <c r="J75" i="5"/>
  <c r="H46" i="11" s="1"/>
  <c r="J74" i="5"/>
  <c r="J72" i="5"/>
  <c r="J70" i="5"/>
  <c r="J69" i="5"/>
  <c r="J64" i="5"/>
  <c r="H30" i="11" s="1"/>
  <c r="J62" i="5"/>
  <c r="H28" i="11"/>
  <c r="J61" i="5"/>
  <c r="H27" i="11"/>
  <c r="J59" i="5"/>
  <c r="J60" i="5"/>
  <c r="H26" i="11" s="1"/>
  <c r="J57" i="5"/>
  <c r="H23" i="11"/>
  <c r="J58" i="5"/>
  <c r="H24" i="11"/>
  <c r="J55" i="5"/>
  <c r="H21" i="11"/>
  <c r="J56" i="5"/>
  <c r="J54" i="5"/>
  <c r="H20" i="11" s="1"/>
  <c r="J53" i="5"/>
  <c r="J52" i="5"/>
  <c r="J51" i="5"/>
  <c r="H17" i="11" s="1"/>
  <c r="J49" i="5"/>
  <c r="J48" i="5"/>
  <c r="H14" i="11"/>
  <c r="O48" i="5"/>
  <c r="J46" i="5"/>
  <c r="H12" i="11" s="1"/>
  <c r="H42" i="11"/>
  <c r="J47" i="5"/>
  <c r="O47" i="5" s="1"/>
  <c r="Y47" i="5" s="1"/>
  <c r="J44" i="5"/>
  <c r="H10" i="11"/>
  <c r="J43" i="5"/>
  <c r="J42" i="5"/>
  <c r="J38" i="5"/>
  <c r="J41" i="5"/>
  <c r="J40" i="5"/>
  <c r="J39" i="5"/>
  <c r="H15" i="11"/>
  <c r="J37" i="5"/>
  <c r="J36" i="5"/>
  <c r="J35" i="5"/>
  <c r="J33" i="5"/>
  <c r="J34" i="5"/>
  <c r="J32" i="5"/>
  <c r="J30" i="5"/>
  <c r="J31" i="5"/>
  <c r="J29" i="5"/>
  <c r="J28" i="5"/>
  <c r="J27" i="5"/>
  <c r="J26" i="5"/>
  <c r="J25" i="5"/>
  <c r="J24" i="5"/>
  <c r="J23" i="5"/>
  <c r="O23" i="5" s="1"/>
  <c r="J22" i="5"/>
  <c r="J21" i="5"/>
  <c r="J20" i="5"/>
  <c r="J19" i="5"/>
  <c r="J18" i="5"/>
  <c r="H22" i="11"/>
  <c r="J17" i="5"/>
  <c r="J16" i="5"/>
  <c r="J15" i="5"/>
  <c r="O15" i="5" s="1"/>
  <c r="J14" i="5"/>
  <c r="J13" i="5"/>
  <c r="O13" i="5" s="1"/>
  <c r="J12" i="5"/>
  <c r="J11" i="5"/>
  <c r="J10" i="5"/>
  <c r="J9" i="5"/>
  <c r="K9" i="5" s="1"/>
  <c r="J8" i="5"/>
  <c r="J6" i="5"/>
  <c r="J7" i="5"/>
  <c r="J5" i="5"/>
  <c r="H13" i="11"/>
  <c r="J4" i="5"/>
  <c r="J2" i="5"/>
  <c r="J3" i="5"/>
  <c r="AE2" i="5"/>
  <c r="AE3" i="5"/>
  <c r="AE4" i="5"/>
  <c r="AE5" i="5"/>
  <c r="AE7" i="5"/>
  <c r="AE6" i="5"/>
  <c r="AE8" i="5"/>
  <c r="AE9" i="5"/>
  <c r="AE10" i="5"/>
  <c r="AE11" i="5"/>
  <c r="AE12" i="5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1" i="5"/>
  <c r="AE30" i="5"/>
  <c r="AE32" i="5"/>
  <c r="AE34" i="5"/>
  <c r="AE33" i="5"/>
  <c r="AE35" i="5"/>
  <c r="AE36" i="5"/>
  <c r="AE37" i="5"/>
  <c r="AE39" i="5"/>
  <c r="AE40" i="5"/>
  <c r="AE41" i="5"/>
  <c r="AE38" i="5"/>
  <c r="AE42" i="5"/>
  <c r="AE43" i="5"/>
  <c r="AE44" i="5"/>
  <c r="AE47" i="5"/>
  <c r="AE46" i="5"/>
  <c r="AE48" i="5"/>
  <c r="AE49" i="5"/>
  <c r="AE51" i="5"/>
  <c r="AE52" i="5"/>
  <c r="AE53" i="5"/>
  <c r="AE54" i="5"/>
  <c r="AE56" i="5"/>
  <c r="AE55" i="5"/>
  <c r="AE58" i="5"/>
  <c r="AE57" i="5"/>
  <c r="AE60" i="5"/>
  <c r="AE59" i="5"/>
  <c r="AE61" i="5"/>
  <c r="AE62" i="5"/>
  <c r="AE64" i="5"/>
  <c r="AE69" i="5"/>
  <c r="AE70" i="5"/>
  <c r="AE72" i="5"/>
  <c r="AE74" i="5"/>
  <c r="AE75" i="5"/>
  <c r="AE76" i="5"/>
  <c r="AE79" i="5"/>
  <c r="AE84" i="5"/>
  <c r="AE85" i="5"/>
  <c r="AE86" i="5"/>
  <c r="AE89" i="5"/>
  <c r="AE88" i="5"/>
  <c r="AE92" i="5"/>
  <c r="AE93" i="5"/>
  <c r="AE94" i="5"/>
  <c r="AE96" i="5"/>
  <c r="AE97" i="5"/>
  <c r="AE98" i="5"/>
  <c r="AE99" i="5"/>
  <c r="AE100" i="5"/>
  <c r="AE102" i="5"/>
  <c r="AE103" i="5"/>
  <c r="AE104" i="5"/>
  <c r="AE107" i="5"/>
  <c r="AE108" i="5"/>
  <c r="AE71" i="5"/>
  <c r="AE78" i="5"/>
  <c r="AE68" i="5"/>
  <c r="AE83" i="5"/>
  <c r="AE67" i="5"/>
  <c r="AE87" i="5"/>
  <c r="AE45" i="5"/>
  <c r="AE50" i="5"/>
  <c r="AE105" i="5"/>
  <c r="AE63" i="5"/>
  <c r="AE95" i="5"/>
  <c r="AE106" i="5"/>
  <c r="AE90" i="5"/>
  <c r="AE101" i="5"/>
  <c r="AE66" i="5"/>
  <c r="AE65" i="5"/>
  <c r="AE73" i="5"/>
  <c r="AE77" i="5"/>
  <c r="AE81" i="5"/>
  <c r="AE80" i="5"/>
  <c r="AE82" i="5"/>
  <c r="AE91" i="5"/>
  <c r="AE109" i="5"/>
  <c r="AE110" i="5"/>
  <c r="AE111" i="5"/>
  <c r="AE112" i="5"/>
  <c r="AE113" i="5"/>
  <c r="AE114" i="5"/>
  <c r="AE115" i="5"/>
  <c r="AE116" i="5"/>
  <c r="AE117" i="5"/>
  <c r="AE118" i="5"/>
  <c r="AE119" i="5"/>
  <c r="AE120" i="5"/>
  <c r="AE121" i="5"/>
  <c r="AE122" i="5"/>
  <c r="AE123" i="5"/>
  <c r="AE124" i="5"/>
  <c r="AE125" i="5"/>
  <c r="AE126" i="5"/>
  <c r="AE127" i="5"/>
  <c r="AE128" i="5"/>
  <c r="AE129" i="5"/>
  <c r="AE130" i="5"/>
  <c r="AE131" i="5"/>
  <c r="AE132" i="5"/>
  <c r="AE133" i="5"/>
  <c r="AE134" i="5"/>
  <c r="AE135" i="5"/>
  <c r="AE136" i="5"/>
  <c r="AE137" i="5"/>
  <c r="AE138" i="5"/>
  <c r="AE139" i="5"/>
  <c r="AE140" i="5"/>
  <c r="AE141" i="5"/>
  <c r="AE142" i="5"/>
  <c r="AE143" i="5"/>
  <c r="AE144" i="5"/>
  <c r="AE145" i="5"/>
  <c r="AE146" i="5"/>
  <c r="AE147" i="5"/>
  <c r="AE148" i="5"/>
  <c r="AE149" i="5"/>
  <c r="AE150" i="5"/>
  <c r="A3" i="8"/>
  <c r="A4" i="8"/>
  <c r="A5" i="8"/>
  <c r="A6" i="8"/>
  <c r="A7" i="8"/>
  <c r="A8" i="8"/>
  <c r="A9" i="8"/>
  <c r="A10" i="8"/>
  <c r="A11" i="8"/>
  <c r="A12" i="8"/>
  <c r="A13" i="8"/>
  <c r="A2" i="8"/>
  <c r="D149" i="5"/>
  <c r="AB149" i="5" s="1"/>
  <c r="D150" i="5"/>
  <c r="AG150" i="5"/>
  <c r="I149" i="5"/>
  <c r="I150" i="5"/>
  <c r="S149" i="5"/>
  <c r="S150" i="5"/>
  <c r="T149" i="5"/>
  <c r="T150" i="5"/>
  <c r="W149" i="5"/>
  <c r="W150" i="5"/>
  <c r="X149" i="5"/>
  <c r="X150" i="5"/>
  <c r="I4" i="5"/>
  <c r="I5" i="5"/>
  <c r="I6" i="5"/>
  <c r="I12" i="5"/>
  <c r="I13" i="5"/>
  <c r="I14" i="5"/>
  <c r="I15" i="5"/>
  <c r="I16" i="5"/>
  <c r="I17" i="5"/>
  <c r="I19" i="5"/>
  <c r="I22" i="5"/>
  <c r="I24" i="5"/>
  <c r="I29" i="5"/>
  <c r="I31" i="5"/>
  <c r="I32" i="5"/>
  <c r="I36" i="5"/>
  <c r="I37" i="5"/>
  <c r="I39" i="5"/>
  <c r="I40" i="5"/>
  <c r="I41" i="5"/>
  <c r="I38" i="5"/>
  <c r="I44" i="5"/>
  <c r="I46" i="5"/>
  <c r="I51" i="5"/>
  <c r="I52" i="5"/>
  <c r="I54" i="5"/>
  <c r="I56" i="5"/>
  <c r="I55" i="5"/>
  <c r="I58" i="5"/>
  <c r="I57" i="5"/>
  <c r="I59" i="5"/>
  <c r="I62" i="5"/>
  <c r="I64" i="5"/>
  <c r="I69" i="5"/>
  <c r="I70" i="5"/>
  <c r="I72" i="5"/>
  <c r="I74" i="5"/>
  <c r="I75" i="5"/>
  <c r="I76" i="5"/>
  <c r="I79" i="5"/>
  <c r="I84" i="5"/>
  <c r="I85" i="5"/>
  <c r="I89" i="5"/>
  <c r="I92" i="5"/>
  <c r="I93" i="5"/>
  <c r="I94" i="5"/>
  <c r="I96" i="5"/>
  <c r="I97" i="5"/>
  <c r="I98" i="5"/>
  <c r="I99" i="5"/>
  <c r="I102" i="5"/>
  <c r="I103" i="5"/>
  <c r="I104" i="5"/>
  <c r="I107" i="5"/>
  <c r="I108" i="5"/>
  <c r="I71" i="5"/>
  <c r="I78" i="5"/>
  <c r="I68" i="5"/>
  <c r="I67" i="5"/>
  <c r="I87" i="5"/>
  <c r="I45" i="5"/>
  <c r="I50" i="5"/>
  <c r="I105" i="5"/>
  <c r="I63" i="5"/>
  <c r="I95" i="5"/>
  <c r="I106" i="5"/>
  <c r="I90" i="5"/>
  <c r="I101" i="5"/>
  <c r="I66" i="5"/>
  <c r="I65" i="5"/>
  <c r="I73" i="5"/>
  <c r="I77" i="5"/>
  <c r="I81" i="5"/>
  <c r="I80" i="5"/>
  <c r="I82" i="5"/>
  <c r="I109" i="5"/>
  <c r="I110" i="5"/>
  <c r="I111" i="5"/>
  <c r="I112" i="5"/>
  <c r="I113" i="5"/>
  <c r="I114" i="5"/>
  <c r="I115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B4" i="1"/>
  <c r="B5" i="1" s="1"/>
  <c r="D9" i="5"/>
  <c r="D10" i="5"/>
  <c r="D11" i="5"/>
  <c r="I11" i="5"/>
  <c r="D12" i="5"/>
  <c r="K12" i="5" s="1"/>
  <c r="AB12" i="5"/>
  <c r="D13" i="5"/>
  <c r="AB13" i="5" s="1"/>
  <c r="D14" i="5"/>
  <c r="K14" i="5"/>
  <c r="D15" i="5"/>
  <c r="AB15" i="5"/>
  <c r="D16" i="5"/>
  <c r="D17" i="5"/>
  <c r="D18" i="5"/>
  <c r="I18" i="5" s="1"/>
  <c r="D19" i="5"/>
  <c r="D20" i="5"/>
  <c r="D21" i="5"/>
  <c r="D22" i="5"/>
  <c r="D23" i="5"/>
  <c r="I23" i="5" s="1"/>
  <c r="D24" i="5"/>
  <c r="D25" i="5"/>
  <c r="D26" i="5"/>
  <c r="AB26" i="5" s="1"/>
  <c r="I26" i="5"/>
  <c r="D27" i="5"/>
  <c r="D28" i="5"/>
  <c r="I28" i="5" s="1"/>
  <c r="D29" i="5"/>
  <c r="D31" i="5"/>
  <c r="D30" i="5"/>
  <c r="D32" i="5"/>
  <c r="D34" i="5"/>
  <c r="AF34" i="5" s="1"/>
  <c r="AG34" i="5" s="1"/>
  <c r="I34" i="5"/>
  <c r="D33" i="5"/>
  <c r="D35" i="5"/>
  <c r="I35" i="5"/>
  <c r="D36" i="5"/>
  <c r="AB36" i="5" s="1"/>
  <c r="D37" i="5"/>
  <c r="K37" i="5"/>
  <c r="D39" i="5"/>
  <c r="AB39" i="5" s="1"/>
  <c r="D40" i="5"/>
  <c r="AB40" i="5" s="1"/>
  <c r="D41" i="5"/>
  <c r="K41" i="5"/>
  <c r="D38" i="5"/>
  <c r="D42" i="5"/>
  <c r="I42" i="5"/>
  <c r="D43" i="5"/>
  <c r="I43" i="5"/>
  <c r="D44" i="5"/>
  <c r="D47" i="5"/>
  <c r="AB47" i="5"/>
  <c r="D46" i="5"/>
  <c r="D48" i="5"/>
  <c r="K48" i="5"/>
  <c r="D49" i="5"/>
  <c r="K49" i="5" s="1"/>
  <c r="D51" i="5"/>
  <c r="D52" i="5"/>
  <c r="D53" i="5"/>
  <c r="I53" i="5"/>
  <c r="D54" i="5"/>
  <c r="K54" i="5"/>
  <c r="D56" i="5"/>
  <c r="D55" i="5"/>
  <c r="AB55" i="5" s="1"/>
  <c r="D58" i="5"/>
  <c r="D57" i="5"/>
  <c r="AB57" i="5"/>
  <c r="D60" i="5"/>
  <c r="I60" i="5"/>
  <c r="D59" i="5"/>
  <c r="AB59" i="5" s="1"/>
  <c r="D61" i="5"/>
  <c r="I61" i="5" s="1"/>
  <c r="D62" i="5"/>
  <c r="D64" i="5"/>
  <c r="D69" i="5"/>
  <c r="D70" i="5"/>
  <c r="D72" i="5"/>
  <c r="D74" i="5"/>
  <c r="D75" i="5"/>
  <c r="D76" i="5"/>
  <c r="D79" i="5"/>
  <c r="AF79" i="5" s="1"/>
  <c r="AG79" i="5" s="1"/>
  <c r="K79" i="5"/>
  <c r="D84" i="5"/>
  <c r="D85" i="5"/>
  <c r="D86" i="5"/>
  <c r="I86" i="5"/>
  <c r="D89" i="5"/>
  <c r="D88" i="5"/>
  <c r="AB88" i="5" s="1"/>
  <c r="I88" i="5"/>
  <c r="D92" i="5"/>
  <c r="K92" i="5" s="1"/>
  <c r="D93" i="5"/>
  <c r="D94" i="5"/>
  <c r="D96" i="5"/>
  <c r="D97" i="5"/>
  <c r="AB97" i="5"/>
  <c r="D98" i="5"/>
  <c r="K98" i="5" s="1"/>
  <c r="D99" i="5"/>
  <c r="D100" i="5"/>
  <c r="I100" i="5" s="1"/>
  <c r="D102" i="5"/>
  <c r="D103" i="5"/>
  <c r="AB103" i="5"/>
  <c r="D104" i="5"/>
  <c r="AB104" i="5" s="1"/>
  <c r="D107" i="5"/>
  <c r="AB107" i="5"/>
  <c r="D108" i="5"/>
  <c r="AB108" i="5" s="1"/>
  <c r="D71" i="5"/>
  <c r="D78" i="5"/>
  <c r="D68" i="5"/>
  <c r="AB68" i="5" s="1"/>
  <c r="D83" i="5"/>
  <c r="AB83" i="5"/>
  <c r="D67" i="5"/>
  <c r="D87" i="5"/>
  <c r="AB87" i="5"/>
  <c r="D45" i="5"/>
  <c r="AB45" i="5" s="1"/>
  <c r="D50" i="5"/>
  <c r="D105" i="5"/>
  <c r="D63" i="5"/>
  <c r="D95" i="5"/>
  <c r="D106" i="5"/>
  <c r="D90" i="5"/>
  <c r="D101" i="5"/>
  <c r="K101" i="5" s="1"/>
  <c r="AB101" i="5"/>
  <c r="D66" i="5"/>
  <c r="D65" i="5"/>
  <c r="D73" i="5"/>
  <c r="D77" i="5"/>
  <c r="D81" i="5"/>
  <c r="D80" i="5"/>
  <c r="AB80" i="5" s="1"/>
  <c r="D82" i="5"/>
  <c r="D91" i="5"/>
  <c r="I91" i="5" s="1"/>
  <c r="K91" i="5"/>
  <c r="D109" i="5"/>
  <c r="D110" i="5"/>
  <c r="K110" i="5"/>
  <c r="D111" i="5"/>
  <c r="AB111" i="5"/>
  <c r="D112" i="5"/>
  <c r="AB112" i="5" s="1"/>
  <c r="D113" i="5"/>
  <c r="AG113" i="5"/>
  <c r="D114" i="5"/>
  <c r="AG114" i="5"/>
  <c r="D115" i="5"/>
  <c r="AG115" i="5"/>
  <c r="D116" i="5"/>
  <c r="AB116" i="5" s="1"/>
  <c r="D117" i="5"/>
  <c r="AF117" i="5"/>
  <c r="D118" i="5"/>
  <c r="AB118" i="5"/>
  <c r="D119" i="5"/>
  <c r="D120" i="5"/>
  <c r="AG120" i="5" s="1"/>
  <c r="D121" i="5"/>
  <c r="AF121" i="5"/>
  <c r="D122" i="5"/>
  <c r="K122" i="5"/>
  <c r="D123" i="5"/>
  <c r="AB123" i="5"/>
  <c r="D124" i="5"/>
  <c r="K124" i="5" s="1"/>
  <c r="D125" i="5"/>
  <c r="AG125" i="5"/>
  <c r="D126" i="5"/>
  <c r="AB126" i="5"/>
  <c r="D127" i="5"/>
  <c r="AB127" i="5" s="1"/>
  <c r="D128" i="5"/>
  <c r="D129" i="5"/>
  <c r="K129" i="5"/>
  <c r="D130" i="5"/>
  <c r="AB130" i="5" s="1"/>
  <c r="D131" i="5"/>
  <c r="D132" i="5"/>
  <c r="AF132" i="5" s="1"/>
  <c r="D133" i="5"/>
  <c r="AF133" i="5"/>
  <c r="D134" i="5"/>
  <c r="D135" i="5"/>
  <c r="D136" i="5"/>
  <c r="AB136" i="5" s="1"/>
  <c r="D137" i="5"/>
  <c r="AF137" i="5"/>
  <c r="D138" i="5"/>
  <c r="D139" i="5"/>
  <c r="AF139" i="5" s="1"/>
  <c r="AG139" i="5"/>
  <c r="D140" i="5"/>
  <c r="D141" i="5"/>
  <c r="AF141" i="5"/>
  <c r="D142" i="5"/>
  <c r="AB142" i="5" s="1"/>
  <c r="D143" i="5"/>
  <c r="AF143" i="5"/>
  <c r="D144" i="5"/>
  <c r="AB144" i="5" s="1"/>
  <c r="D145" i="5"/>
  <c r="K145" i="5"/>
  <c r="D146" i="5"/>
  <c r="D147" i="5"/>
  <c r="AG147" i="5"/>
  <c r="D148" i="5"/>
  <c r="K148" i="5" s="1"/>
  <c r="D2" i="5"/>
  <c r="AB2" i="5"/>
  <c r="D3" i="5"/>
  <c r="K3" i="5" s="1"/>
  <c r="D4" i="5"/>
  <c r="D5" i="5"/>
  <c r="K5" i="5" s="1"/>
  <c r="D7" i="5"/>
  <c r="I7" i="5" s="1"/>
  <c r="D6" i="5"/>
  <c r="D8" i="5"/>
  <c r="K8" i="5" s="1"/>
  <c r="I8" i="5"/>
  <c r="W3" i="5"/>
  <c r="X3" i="5"/>
  <c r="W4" i="5"/>
  <c r="X4" i="5"/>
  <c r="W7" i="5"/>
  <c r="X7" i="5"/>
  <c r="W6" i="5"/>
  <c r="X6" i="5"/>
  <c r="W8" i="5"/>
  <c r="X8" i="5"/>
  <c r="W9" i="5"/>
  <c r="X9" i="5"/>
  <c r="W10" i="5"/>
  <c r="X10" i="5"/>
  <c r="W11" i="5"/>
  <c r="X11" i="5"/>
  <c r="W12" i="5"/>
  <c r="X12" i="5"/>
  <c r="W13" i="5"/>
  <c r="X13" i="5"/>
  <c r="W14" i="5"/>
  <c r="X14" i="5"/>
  <c r="W15" i="5"/>
  <c r="X15" i="5"/>
  <c r="W16" i="5"/>
  <c r="X16" i="5"/>
  <c r="W17" i="5"/>
  <c r="X17" i="5"/>
  <c r="W18" i="5"/>
  <c r="X18" i="5"/>
  <c r="W19" i="5"/>
  <c r="X19" i="5"/>
  <c r="W20" i="5"/>
  <c r="X20" i="5"/>
  <c r="W21" i="5"/>
  <c r="X21" i="5"/>
  <c r="W22" i="5"/>
  <c r="X22" i="5"/>
  <c r="W23" i="5"/>
  <c r="X23" i="5"/>
  <c r="W24" i="5"/>
  <c r="X24" i="5"/>
  <c r="W25" i="5"/>
  <c r="X25" i="5"/>
  <c r="W26" i="5"/>
  <c r="X26" i="5"/>
  <c r="W27" i="5"/>
  <c r="X27" i="5"/>
  <c r="W28" i="5"/>
  <c r="X28" i="5"/>
  <c r="W29" i="5"/>
  <c r="X29" i="5"/>
  <c r="W31" i="5"/>
  <c r="X31" i="5"/>
  <c r="W30" i="5"/>
  <c r="X30" i="5"/>
  <c r="W32" i="5"/>
  <c r="X32" i="5"/>
  <c r="W34" i="5"/>
  <c r="X34" i="5"/>
  <c r="W33" i="5"/>
  <c r="X33" i="5"/>
  <c r="W35" i="5"/>
  <c r="X35" i="5"/>
  <c r="W36" i="5"/>
  <c r="X36" i="5"/>
  <c r="W37" i="5"/>
  <c r="X37" i="5"/>
  <c r="W39" i="5"/>
  <c r="X39" i="5"/>
  <c r="W40" i="5"/>
  <c r="X40" i="5"/>
  <c r="W41" i="5"/>
  <c r="X41" i="5"/>
  <c r="W38" i="5"/>
  <c r="X38" i="5"/>
  <c r="W42" i="5"/>
  <c r="X42" i="5"/>
  <c r="W43" i="5"/>
  <c r="X43" i="5"/>
  <c r="W44" i="5"/>
  <c r="X44" i="5"/>
  <c r="W47" i="5"/>
  <c r="X47" i="5"/>
  <c r="W46" i="5"/>
  <c r="X46" i="5"/>
  <c r="W48" i="5"/>
  <c r="X48" i="5"/>
  <c r="W49" i="5"/>
  <c r="X49" i="5"/>
  <c r="W51" i="5"/>
  <c r="X51" i="5"/>
  <c r="W52" i="5"/>
  <c r="X52" i="5"/>
  <c r="W53" i="5"/>
  <c r="X53" i="5"/>
  <c r="W54" i="5"/>
  <c r="X54" i="5"/>
  <c r="W56" i="5"/>
  <c r="X56" i="5"/>
  <c r="W55" i="5"/>
  <c r="X55" i="5"/>
  <c r="W58" i="5"/>
  <c r="X58" i="5"/>
  <c r="W57" i="5"/>
  <c r="X57" i="5"/>
  <c r="W60" i="5"/>
  <c r="X60" i="5"/>
  <c r="W59" i="5"/>
  <c r="X59" i="5"/>
  <c r="W61" i="5"/>
  <c r="X61" i="5"/>
  <c r="W62" i="5"/>
  <c r="X62" i="5"/>
  <c r="W64" i="5"/>
  <c r="X64" i="5"/>
  <c r="W69" i="5"/>
  <c r="X69" i="5"/>
  <c r="W70" i="5"/>
  <c r="X70" i="5"/>
  <c r="W72" i="5"/>
  <c r="X72" i="5"/>
  <c r="W74" i="5"/>
  <c r="X74" i="5"/>
  <c r="W75" i="5"/>
  <c r="X75" i="5"/>
  <c r="W76" i="5"/>
  <c r="X76" i="5"/>
  <c r="W79" i="5"/>
  <c r="X79" i="5"/>
  <c r="W84" i="5"/>
  <c r="X84" i="5"/>
  <c r="W85" i="5"/>
  <c r="X85" i="5"/>
  <c r="W86" i="5"/>
  <c r="X86" i="5"/>
  <c r="W89" i="5"/>
  <c r="X89" i="5"/>
  <c r="W88" i="5"/>
  <c r="X88" i="5"/>
  <c r="W92" i="5"/>
  <c r="X92" i="5"/>
  <c r="W93" i="5"/>
  <c r="X93" i="5"/>
  <c r="W94" i="5"/>
  <c r="X94" i="5"/>
  <c r="W96" i="5"/>
  <c r="X96" i="5"/>
  <c r="W97" i="5"/>
  <c r="X97" i="5"/>
  <c r="W98" i="5"/>
  <c r="X98" i="5"/>
  <c r="W99" i="5"/>
  <c r="X99" i="5"/>
  <c r="W100" i="5"/>
  <c r="X100" i="5"/>
  <c r="W102" i="5"/>
  <c r="X102" i="5"/>
  <c r="W103" i="5"/>
  <c r="X103" i="5"/>
  <c r="W104" i="5"/>
  <c r="X104" i="5"/>
  <c r="W107" i="5"/>
  <c r="X107" i="5"/>
  <c r="W108" i="5"/>
  <c r="X108" i="5"/>
  <c r="W71" i="5"/>
  <c r="X71" i="5"/>
  <c r="W78" i="5"/>
  <c r="X78" i="5"/>
  <c r="W68" i="5"/>
  <c r="X68" i="5"/>
  <c r="W83" i="5"/>
  <c r="X83" i="5"/>
  <c r="W67" i="5"/>
  <c r="X67" i="5"/>
  <c r="W87" i="5"/>
  <c r="X87" i="5"/>
  <c r="W45" i="5"/>
  <c r="X45" i="5"/>
  <c r="W50" i="5"/>
  <c r="X50" i="5"/>
  <c r="W105" i="5"/>
  <c r="X105" i="5"/>
  <c r="W63" i="5"/>
  <c r="X63" i="5"/>
  <c r="W95" i="5"/>
  <c r="X95" i="5"/>
  <c r="W106" i="5"/>
  <c r="X106" i="5"/>
  <c r="W90" i="5"/>
  <c r="X90" i="5"/>
  <c r="W101" i="5"/>
  <c r="X101" i="5"/>
  <c r="W66" i="5"/>
  <c r="X66" i="5"/>
  <c r="W65" i="5"/>
  <c r="X65" i="5"/>
  <c r="W73" i="5"/>
  <c r="X73" i="5"/>
  <c r="W77" i="5"/>
  <c r="X77" i="5"/>
  <c r="W81" i="5"/>
  <c r="X81" i="5"/>
  <c r="W80" i="5"/>
  <c r="X80" i="5"/>
  <c r="W82" i="5"/>
  <c r="X82" i="5"/>
  <c r="W91" i="5"/>
  <c r="X91" i="5"/>
  <c r="W109" i="5"/>
  <c r="X109" i="5"/>
  <c r="W110" i="5"/>
  <c r="X110" i="5"/>
  <c r="W111" i="5"/>
  <c r="X111" i="5"/>
  <c r="W112" i="5"/>
  <c r="X112" i="5"/>
  <c r="W113" i="5"/>
  <c r="X113" i="5"/>
  <c r="W114" i="5"/>
  <c r="X114" i="5"/>
  <c r="W115" i="5"/>
  <c r="X115" i="5"/>
  <c r="W116" i="5"/>
  <c r="X116" i="5"/>
  <c r="W117" i="5"/>
  <c r="X117" i="5"/>
  <c r="W118" i="5"/>
  <c r="X118" i="5"/>
  <c r="W119" i="5"/>
  <c r="X119" i="5"/>
  <c r="W120" i="5"/>
  <c r="X120" i="5"/>
  <c r="W121" i="5"/>
  <c r="X121" i="5"/>
  <c r="W122" i="5"/>
  <c r="X122" i="5"/>
  <c r="W123" i="5"/>
  <c r="X123" i="5"/>
  <c r="W124" i="5"/>
  <c r="X124" i="5"/>
  <c r="W125" i="5"/>
  <c r="X125" i="5"/>
  <c r="W126" i="5"/>
  <c r="X126" i="5"/>
  <c r="W127" i="5"/>
  <c r="X127" i="5"/>
  <c r="W128" i="5"/>
  <c r="X128" i="5"/>
  <c r="W129" i="5"/>
  <c r="X129" i="5"/>
  <c r="W130" i="5"/>
  <c r="X130" i="5"/>
  <c r="W131" i="5"/>
  <c r="X131" i="5"/>
  <c r="W132" i="5"/>
  <c r="X132" i="5"/>
  <c r="W133" i="5"/>
  <c r="X133" i="5"/>
  <c r="W134" i="5"/>
  <c r="X134" i="5"/>
  <c r="W135" i="5"/>
  <c r="X135" i="5"/>
  <c r="W136" i="5"/>
  <c r="X136" i="5"/>
  <c r="W137" i="5"/>
  <c r="X137" i="5"/>
  <c r="W138" i="5"/>
  <c r="X138" i="5"/>
  <c r="W139" i="5"/>
  <c r="X139" i="5"/>
  <c r="W140" i="5"/>
  <c r="X140" i="5"/>
  <c r="W141" i="5"/>
  <c r="X141" i="5"/>
  <c r="W142" i="5"/>
  <c r="X142" i="5"/>
  <c r="W143" i="5"/>
  <c r="X143" i="5"/>
  <c r="W144" i="5"/>
  <c r="X144" i="5"/>
  <c r="W145" i="5"/>
  <c r="X145" i="5"/>
  <c r="W146" i="5"/>
  <c r="X146" i="5"/>
  <c r="W147" i="5"/>
  <c r="X147" i="5"/>
  <c r="W148" i="5"/>
  <c r="X148" i="5"/>
  <c r="X2" i="5"/>
  <c r="W2" i="5"/>
  <c r="S3" i="5"/>
  <c r="AD3" i="5" s="1"/>
  <c r="T3" i="5"/>
  <c r="S4" i="5"/>
  <c r="T4" i="5"/>
  <c r="S5" i="5"/>
  <c r="T5" i="5"/>
  <c r="S7" i="5"/>
  <c r="T7" i="5"/>
  <c r="S6" i="5"/>
  <c r="T6" i="5"/>
  <c r="S8" i="5"/>
  <c r="T8" i="5"/>
  <c r="S9" i="5"/>
  <c r="T9" i="5"/>
  <c r="S10" i="5"/>
  <c r="T10" i="5"/>
  <c r="S11" i="5"/>
  <c r="T11" i="5"/>
  <c r="S12" i="5"/>
  <c r="T12" i="5"/>
  <c r="S13" i="5"/>
  <c r="T13" i="5"/>
  <c r="S14" i="5"/>
  <c r="T14" i="5"/>
  <c r="S15" i="5"/>
  <c r="T15" i="5"/>
  <c r="S16" i="5"/>
  <c r="T16" i="5"/>
  <c r="S17" i="5"/>
  <c r="T17" i="5"/>
  <c r="S18" i="5"/>
  <c r="T18" i="5"/>
  <c r="S19" i="5"/>
  <c r="T19" i="5"/>
  <c r="S20" i="5"/>
  <c r="T20" i="5"/>
  <c r="S21" i="5"/>
  <c r="T21" i="5"/>
  <c r="S22" i="5"/>
  <c r="T22" i="5"/>
  <c r="S23" i="5"/>
  <c r="AD23" i="5" s="1"/>
  <c r="T23" i="5"/>
  <c r="S24" i="5"/>
  <c r="T24" i="5"/>
  <c r="S25" i="5"/>
  <c r="T25" i="5"/>
  <c r="S26" i="5"/>
  <c r="T26" i="5"/>
  <c r="S27" i="5"/>
  <c r="T27" i="5"/>
  <c r="S28" i="5"/>
  <c r="T28" i="5"/>
  <c r="S29" i="5"/>
  <c r="T29" i="5"/>
  <c r="S31" i="5"/>
  <c r="T31" i="5"/>
  <c r="S30" i="5"/>
  <c r="T30" i="5"/>
  <c r="S32" i="5"/>
  <c r="T32" i="5"/>
  <c r="S34" i="5"/>
  <c r="T34" i="5"/>
  <c r="S33" i="5"/>
  <c r="T33" i="5"/>
  <c r="S35" i="5"/>
  <c r="AD35" i="5" s="1"/>
  <c r="T35" i="5"/>
  <c r="S36" i="5"/>
  <c r="T36" i="5"/>
  <c r="S37" i="5"/>
  <c r="T37" i="5"/>
  <c r="S39" i="5"/>
  <c r="T39" i="5"/>
  <c r="S40" i="5"/>
  <c r="T40" i="5"/>
  <c r="S41" i="5"/>
  <c r="T41" i="5"/>
  <c r="S38" i="5"/>
  <c r="Z38" i="5" s="1"/>
  <c r="T38" i="5"/>
  <c r="S42" i="5"/>
  <c r="T42" i="5"/>
  <c r="AD42" i="5" s="1"/>
  <c r="S43" i="5"/>
  <c r="T43" i="5"/>
  <c r="S44" i="5"/>
  <c r="T44" i="5"/>
  <c r="S47" i="5"/>
  <c r="AC47" i="5" s="1"/>
  <c r="T47" i="5"/>
  <c r="S46" i="5"/>
  <c r="T46" i="5"/>
  <c r="S48" i="5"/>
  <c r="T48" i="5"/>
  <c r="S49" i="5"/>
  <c r="T49" i="5"/>
  <c r="S51" i="5"/>
  <c r="T51" i="5"/>
  <c r="S52" i="5"/>
  <c r="T52" i="5"/>
  <c r="S53" i="5"/>
  <c r="T53" i="5"/>
  <c r="S54" i="5"/>
  <c r="T54" i="5"/>
  <c r="S56" i="5"/>
  <c r="T56" i="5"/>
  <c r="S55" i="5"/>
  <c r="T55" i="5"/>
  <c r="S58" i="5"/>
  <c r="T58" i="5"/>
  <c r="S57" i="5"/>
  <c r="T57" i="5"/>
  <c r="S60" i="5"/>
  <c r="T60" i="5"/>
  <c r="S59" i="5"/>
  <c r="T59" i="5"/>
  <c r="S61" i="5"/>
  <c r="T61" i="5"/>
  <c r="S62" i="5"/>
  <c r="T62" i="5"/>
  <c r="S64" i="5"/>
  <c r="T64" i="5"/>
  <c r="S69" i="5"/>
  <c r="T69" i="5"/>
  <c r="S70" i="5"/>
  <c r="T70" i="5"/>
  <c r="S72" i="5"/>
  <c r="T72" i="5"/>
  <c r="S74" i="5"/>
  <c r="T74" i="5"/>
  <c r="S75" i="5"/>
  <c r="T75" i="5"/>
  <c r="S76" i="5"/>
  <c r="T76" i="5"/>
  <c r="S79" i="5"/>
  <c r="T79" i="5"/>
  <c r="S84" i="5"/>
  <c r="T84" i="5"/>
  <c r="S85" i="5"/>
  <c r="T85" i="5"/>
  <c r="S86" i="5"/>
  <c r="T86" i="5"/>
  <c r="S89" i="5"/>
  <c r="T89" i="5"/>
  <c r="S88" i="5"/>
  <c r="T88" i="5"/>
  <c r="S92" i="5"/>
  <c r="T92" i="5"/>
  <c r="S93" i="5"/>
  <c r="T93" i="5"/>
  <c r="S94" i="5"/>
  <c r="T94" i="5"/>
  <c r="S96" i="5"/>
  <c r="T96" i="5"/>
  <c r="S97" i="5"/>
  <c r="T97" i="5"/>
  <c r="S98" i="5"/>
  <c r="T98" i="5"/>
  <c r="S99" i="5"/>
  <c r="T99" i="5"/>
  <c r="S100" i="5"/>
  <c r="T100" i="5"/>
  <c r="S102" i="5"/>
  <c r="T102" i="5"/>
  <c r="S103" i="5"/>
  <c r="T103" i="5"/>
  <c r="S104" i="5"/>
  <c r="T104" i="5"/>
  <c r="S107" i="5"/>
  <c r="T107" i="5"/>
  <c r="S108" i="5"/>
  <c r="T108" i="5"/>
  <c r="S71" i="5"/>
  <c r="T71" i="5"/>
  <c r="S78" i="5"/>
  <c r="T78" i="5"/>
  <c r="S68" i="5"/>
  <c r="T68" i="5"/>
  <c r="S83" i="5"/>
  <c r="T83" i="5"/>
  <c r="S67" i="5"/>
  <c r="T67" i="5"/>
  <c r="S87" i="5"/>
  <c r="T87" i="5"/>
  <c r="S45" i="5"/>
  <c r="T45" i="5"/>
  <c r="S50" i="5"/>
  <c r="T50" i="5"/>
  <c r="S105" i="5"/>
  <c r="T105" i="5"/>
  <c r="S63" i="5"/>
  <c r="AC63" i="5" s="1"/>
  <c r="T63" i="5"/>
  <c r="S95" i="5"/>
  <c r="T95" i="5"/>
  <c r="S106" i="5"/>
  <c r="T106" i="5"/>
  <c r="S90" i="5"/>
  <c r="T90" i="5"/>
  <c r="S101" i="5"/>
  <c r="T101" i="5"/>
  <c r="S66" i="5"/>
  <c r="T66" i="5"/>
  <c r="S65" i="5"/>
  <c r="T65" i="5"/>
  <c r="S73" i="5"/>
  <c r="T73" i="5"/>
  <c r="S77" i="5"/>
  <c r="T77" i="5"/>
  <c r="S81" i="5"/>
  <c r="T81" i="5"/>
  <c r="S80" i="5"/>
  <c r="T80" i="5"/>
  <c r="S82" i="5"/>
  <c r="T82" i="5"/>
  <c r="S91" i="5"/>
  <c r="T91" i="5"/>
  <c r="S109" i="5"/>
  <c r="T109" i="5"/>
  <c r="S110" i="5"/>
  <c r="T110" i="5"/>
  <c r="S112" i="5"/>
  <c r="T112" i="5"/>
  <c r="S113" i="5"/>
  <c r="T113" i="5"/>
  <c r="S114" i="5"/>
  <c r="T114" i="5"/>
  <c r="S115" i="5"/>
  <c r="T115" i="5"/>
  <c r="S116" i="5"/>
  <c r="T116" i="5"/>
  <c r="S117" i="5"/>
  <c r="T117" i="5"/>
  <c r="S118" i="5"/>
  <c r="T118" i="5"/>
  <c r="S119" i="5"/>
  <c r="T119" i="5"/>
  <c r="S120" i="5"/>
  <c r="T120" i="5"/>
  <c r="S121" i="5"/>
  <c r="T121" i="5"/>
  <c r="S122" i="5"/>
  <c r="T122" i="5"/>
  <c r="S123" i="5"/>
  <c r="T123" i="5"/>
  <c r="S124" i="5"/>
  <c r="T124" i="5"/>
  <c r="S125" i="5"/>
  <c r="T125" i="5"/>
  <c r="S126" i="5"/>
  <c r="T126" i="5"/>
  <c r="S127" i="5"/>
  <c r="T127" i="5"/>
  <c r="S128" i="5"/>
  <c r="T128" i="5"/>
  <c r="S129" i="5"/>
  <c r="T129" i="5"/>
  <c r="S130" i="5"/>
  <c r="T130" i="5"/>
  <c r="S131" i="5"/>
  <c r="T131" i="5"/>
  <c r="S132" i="5"/>
  <c r="T132" i="5"/>
  <c r="S133" i="5"/>
  <c r="T133" i="5"/>
  <c r="S134" i="5"/>
  <c r="T134" i="5"/>
  <c r="S135" i="5"/>
  <c r="T135" i="5"/>
  <c r="S136" i="5"/>
  <c r="T136" i="5"/>
  <c r="S137" i="5"/>
  <c r="T137" i="5"/>
  <c r="S138" i="5"/>
  <c r="T138" i="5"/>
  <c r="S139" i="5"/>
  <c r="T139" i="5"/>
  <c r="S140" i="5"/>
  <c r="T140" i="5"/>
  <c r="S141" i="5"/>
  <c r="T141" i="5"/>
  <c r="S142" i="5"/>
  <c r="T142" i="5"/>
  <c r="S143" i="5"/>
  <c r="T143" i="5"/>
  <c r="S144" i="5"/>
  <c r="T144" i="5"/>
  <c r="S145" i="5"/>
  <c r="T145" i="5"/>
  <c r="S146" i="5"/>
  <c r="T146" i="5"/>
  <c r="S147" i="5"/>
  <c r="T147" i="5"/>
  <c r="S148" i="5"/>
  <c r="T148" i="5"/>
  <c r="T2" i="5"/>
  <c r="S2" i="5"/>
  <c r="K2" i="4"/>
  <c r="K3" i="4"/>
  <c r="K7" i="4" s="1"/>
  <c r="K5" i="4"/>
  <c r="K6" i="4"/>
  <c r="K10" i="4"/>
  <c r="K11" i="4"/>
  <c r="K12" i="4"/>
  <c r="K13" i="4"/>
  <c r="K14" i="4"/>
  <c r="K15" i="4"/>
  <c r="K16" i="4"/>
  <c r="K18" i="4"/>
  <c r="K19" i="4"/>
  <c r="K23" i="4"/>
  <c r="K24" i="4"/>
  <c r="K25" i="4"/>
  <c r="K26" i="4"/>
  <c r="K27" i="4"/>
  <c r="A6" i="1" a="1"/>
  <c r="A6" i="1" s="1"/>
  <c r="I10" i="5"/>
  <c r="AB11" i="5"/>
  <c r="K56" i="5"/>
  <c r="K16" i="5"/>
  <c r="AB50" i="5"/>
  <c r="K82" i="5"/>
  <c r="K138" i="5"/>
  <c r="K141" i="5"/>
  <c r="AF88" i="5"/>
  <c r="AG88" i="5" s="1"/>
  <c r="AF123" i="5"/>
  <c r="AB66" i="5"/>
  <c r="AB32" i="5"/>
  <c r="AF125" i="5"/>
  <c r="AG117" i="5"/>
  <c r="AB110" i="5"/>
  <c r="K96" i="5"/>
  <c r="AG129" i="5"/>
  <c r="K125" i="5"/>
  <c r="AF142" i="5"/>
  <c r="AB146" i="5"/>
  <c r="K144" i="5"/>
  <c r="AB81" i="5"/>
  <c r="AB62" i="5"/>
  <c r="AB20" i="5"/>
  <c r="K150" i="5"/>
  <c r="AF150" i="5"/>
  <c r="AF136" i="5"/>
  <c r="AF113" i="5"/>
  <c r="AF145" i="5"/>
  <c r="AB23" i="5"/>
  <c r="AB42" i="5"/>
  <c r="AB63" i="5"/>
  <c r="I9" i="5"/>
  <c r="K136" i="5"/>
  <c r="K18" i="5"/>
  <c r="K25" i="5"/>
  <c r="AG136" i="5"/>
  <c r="AB18" i="5"/>
  <c r="K142" i="5"/>
  <c r="K24" i="5"/>
  <c r="K100" i="5"/>
  <c r="AB48" i="5"/>
  <c r="AB106" i="5"/>
  <c r="AB56" i="5"/>
  <c r="K15" i="5"/>
  <c r="AB79" i="5"/>
  <c r="AB119" i="5"/>
  <c r="K66" i="5"/>
  <c r="AB145" i="5"/>
  <c r="AG142" i="5"/>
  <c r="AB121" i="5"/>
  <c r="AB37" i="5"/>
  <c r="AB30" i="5"/>
  <c r="AB19" i="5"/>
  <c r="K128" i="5"/>
  <c r="AB38" i="5"/>
  <c r="AB105" i="5"/>
  <c r="AB128" i="5"/>
  <c r="AB16" i="5"/>
  <c r="K29" i="5"/>
  <c r="AB61" i="5"/>
  <c r="K113" i="5"/>
  <c r="AG126" i="5"/>
  <c r="AB89" i="5"/>
  <c r="K53" i="5"/>
  <c r="AB24" i="5"/>
  <c r="AB8" i="5"/>
  <c r="K146" i="5"/>
  <c r="AB141" i="5"/>
  <c r="AG123" i="5"/>
  <c r="AB60" i="5"/>
  <c r="AB150" i="5"/>
  <c r="K80" i="5"/>
  <c r="K76" i="5"/>
  <c r="K61" i="5"/>
  <c r="K11" i="5"/>
  <c r="AG130" i="5"/>
  <c r="AF122" i="5"/>
  <c r="AB122" i="5"/>
  <c r="AB114" i="5"/>
  <c r="K114" i="5"/>
  <c r="AB65" i="5"/>
  <c r="K107" i="5"/>
  <c r="AB52" i="5"/>
  <c r="AB74" i="5"/>
  <c r="K60" i="5"/>
  <c r="AF149" i="5"/>
  <c r="AG132" i="5"/>
  <c r="AB132" i="5"/>
  <c r="AF124" i="5"/>
  <c r="AG124" i="5"/>
  <c r="AB58" i="5"/>
  <c r="AG146" i="5"/>
  <c r="AF146" i="5"/>
  <c r="AG141" i="5"/>
  <c r="AF126" i="5"/>
  <c r="AF118" i="5"/>
  <c r="AF128" i="5"/>
  <c r="AG128" i="5"/>
  <c r="K120" i="5"/>
  <c r="AF120" i="5"/>
  <c r="AB94" i="5"/>
  <c r="K45" i="5"/>
  <c r="K13" i="5"/>
  <c r="AB10" i="5"/>
  <c r="K6" i="5"/>
  <c r="AB33" i="5"/>
  <c r="AB7" i="5"/>
  <c r="AF147" i="5"/>
  <c r="AB125" i="5"/>
  <c r="AG121" i="5"/>
  <c r="K126" i="5"/>
  <c r="AG149" i="5"/>
  <c r="AG137" i="5"/>
  <c r="AF129" i="5"/>
  <c r="K149" i="5"/>
  <c r="AB100" i="5"/>
  <c r="K121" i="5"/>
  <c r="K116" i="5"/>
  <c r="AB14" i="5"/>
  <c r="AB6" i="5"/>
  <c r="AB99" i="5"/>
  <c r="K130" i="5"/>
  <c r="AB85" i="5"/>
  <c r="AB51" i="5"/>
  <c r="AG118" i="5"/>
  <c r="AB29" i="5"/>
  <c r="AF130" i="5"/>
  <c r="AB5" i="5"/>
  <c r="AB90" i="5"/>
  <c r="I2" i="5"/>
  <c r="I3" i="5"/>
  <c r="AF8" i="5"/>
  <c r="AG8" i="5" s="1"/>
  <c r="AF7" i="5"/>
  <c r="AG7" i="5" s="1"/>
  <c r="AF6" i="5"/>
  <c r="AG6" i="5" s="1"/>
  <c r="AF5" i="5"/>
  <c r="AG5" i="5" s="1"/>
  <c r="AF11" i="5"/>
  <c r="AG11" i="5" s="1"/>
  <c r="AF10" i="5"/>
  <c r="AG10" i="5" s="1"/>
  <c r="AF9" i="5"/>
  <c r="AG9" i="5" s="1"/>
  <c r="AB9" i="5"/>
  <c r="AF84" i="5"/>
  <c r="AG84" i="5" s="1"/>
  <c r="AF75" i="5"/>
  <c r="AG75" i="5" s="1"/>
  <c r="AF74" i="5"/>
  <c r="AG74" i="5" s="1"/>
  <c r="AF72" i="5"/>
  <c r="AF70" i="5"/>
  <c r="AG70" i="5" s="1"/>
  <c r="AF68" i="5"/>
  <c r="AG68" i="5" s="1"/>
  <c r="AF67" i="5"/>
  <c r="AG67" i="5" s="1"/>
  <c r="AF65" i="5"/>
  <c r="AG65" i="5" s="1"/>
  <c r="AF63" i="5"/>
  <c r="AG63" i="5" s="1"/>
  <c r="AF62" i="5"/>
  <c r="AG62" i="5" s="1"/>
  <c r="AF61" i="5"/>
  <c r="AG61" i="5" s="1"/>
  <c r="AF57" i="5"/>
  <c r="AG57" i="5" s="1"/>
  <c r="AF55" i="5"/>
  <c r="AG55" i="5" s="1"/>
  <c r="AF53" i="5"/>
  <c r="AG53" i="5" s="1"/>
  <c r="AF52" i="5"/>
  <c r="AG52" i="5" s="1"/>
  <c r="AF51" i="5"/>
  <c r="AG51" i="5" s="1"/>
  <c r="AF50" i="5"/>
  <c r="AG50" i="5" s="1"/>
  <c r="AF49" i="5"/>
  <c r="AG49" i="5" s="1"/>
  <c r="AF47" i="5"/>
  <c r="AG47" i="5" s="1"/>
  <c r="AF45" i="5"/>
  <c r="AG45" i="5" s="1"/>
  <c r="AF42" i="5"/>
  <c r="AG42" i="5" s="1"/>
  <c r="AF37" i="5"/>
  <c r="AG37" i="5" s="1"/>
  <c r="AF36" i="5"/>
  <c r="AG36" i="5" s="1"/>
  <c r="AF35" i="5"/>
  <c r="AG35" i="5" s="1"/>
  <c r="AF33" i="5"/>
  <c r="AG33" i="5" s="1"/>
  <c r="AF30" i="5"/>
  <c r="AG30" i="5" s="1"/>
  <c r="AF29" i="5"/>
  <c r="AG29" i="5" s="1"/>
  <c r="AF28" i="5"/>
  <c r="AG28" i="5" s="1"/>
  <c r="AF27" i="5"/>
  <c r="AG27" i="5" s="1"/>
  <c r="AF26" i="5"/>
  <c r="AF25" i="5"/>
  <c r="AF23" i="5"/>
  <c r="AG23" i="5" s="1"/>
  <c r="AF21" i="5"/>
  <c r="AG21" i="5" s="1"/>
  <c r="AF20" i="5"/>
  <c r="AG20" i="5" s="1"/>
  <c r="AF19" i="5"/>
  <c r="AG19" i="5" s="1"/>
  <c r="AF18" i="5"/>
  <c r="AG18" i="5" s="1"/>
  <c r="AF16" i="5"/>
  <c r="AG16" i="5" s="1"/>
  <c r="AF14" i="5"/>
  <c r="AG14" i="5" s="1"/>
  <c r="AF13" i="5"/>
  <c r="AG13" i="5" s="1"/>
  <c r="AF12" i="5"/>
  <c r="AG12" i="5" s="1"/>
  <c r="K108" i="5"/>
  <c r="K104" i="5"/>
  <c r="AB98" i="5"/>
  <c r="AB92" i="5"/>
  <c r="K88" i="5"/>
  <c r="AB75" i="5"/>
  <c r="AB70" i="5"/>
  <c r="K62" i="5"/>
  <c r="K57" i="5"/>
  <c r="AB53" i="5"/>
  <c r="K51" i="5"/>
  <c r="AB43" i="5"/>
  <c r="K42" i="5"/>
  <c r="AB34" i="5"/>
  <c r="K34" i="5"/>
  <c r="AB31" i="5"/>
  <c r="K23" i="5"/>
  <c r="AF66" i="5"/>
  <c r="AG66" i="5" s="1"/>
  <c r="AI136" i="5"/>
  <c r="AH117" i="5"/>
  <c r="AH143" i="5"/>
  <c r="AH148" i="5"/>
  <c r="AI137" i="5"/>
  <c r="AI145" i="5"/>
  <c r="AH129" i="5"/>
  <c r="AH130" i="5"/>
  <c r="AH141" i="5"/>
  <c r="AI125" i="5"/>
  <c r="AI121" i="5"/>
  <c r="AH121" i="5"/>
  <c r="AF83" i="5"/>
  <c r="AG83" i="5" s="1"/>
  <c r="K31" i="5"/>
  <c r="I49" i="5"/>
  <c r="AB49" i="5"/>
  <c r="AF85" i="5"/>
  <c r="AG85" i="5" s="1"/>
  <c r="AG145" i="5"/>
  <c r="K123" i="5"/>
  <c r="AB73" i="5"/>
  <c r="I48" i="5"/>
  <c r="I47" i="5"/>
  <c r="O24" i="5"/>
  <c r="O3" i="5"/>
  <c r="O8" i="5"/>
  <c r="O9" i="5"/>
  <c r="O11" i="5"/>
  <c r="O12" i="5"/>
  <c r="O18" i="5"/>
  <c r="O20" i="5"/>
  <c r="Y20" i="5" s="1"/>
  <c r="Z20" i="5" s="1"/>
  <c r="O22" i="5"/>
  <c r="O25" i="5"/>
  <c r="O28" i="5"/>
  <c r="O31" i="5"/>
  <c r="O33" i="5"/>
  <c r="O36" i="5"/>
  <c r="O39" i="5"/>
  <c r="O41" i="5"/>
  <c r="O42" i="5"/>
  <c r="AF90" i="5"/>
  <c r="AG90" i="5" s="1"/>
  <c r="AF86" i="5"/>
  <c r="AG86" i="5" s="1"/>
  <c r="O21" i="5"/>
  <c r="O29" i="5"/>
  <c r="O34" i="5"/>
  <c r="O37" i="5"/>
  <c r="O38" i="5"/>
  <c r="Y38" i="5" s="1"/>
  <c r="K87" i="5"/>
  <c r="AB67" i="5"/>
  <c r="AF94" i="5"/>
  <c r="AG94" i="5" s="1"/>
  <c r="AF93" i="5"/>
  <c r="AG93" i="5" s="1"/>
  <c r="AF89" i="5"/>
  <c r="AG89" i="5" s="1"/>
  <c r="AF58" i="5"/>
  <c r="AG58" i="5" s="1"/>
  <c r="AF56" i="5"/>
  <c r="AG56" i="5" s="1"/>
  <c r="I30" i="5"/>
  <c r="O43" i="5"/>
  <c r="O2" i="5"/>
  <c r="O4" i="5"/>
  <c r="O5" i="5"/>
  <c r="O26" i="5"/>
  <c r="K67" i="5"/>
  <c r="K39" i="5"/>
  <c r="K19" i="5"/>
  <c r="K133" i="5"/>
  <c r="AG133" i="5"/>
  <c r="AB109" i="5"/>
  <c r="AB129" i="5"/>
  <c r="K137" i="5"/>
  <c r="AB133" i="5"/>
  <c r="AB117" i="5"/>
  <c r="AB124" i="5"/>
  <c r="K105" i="5"/>
  <c r="AB137" i="5"/>
  <c r="AB86" i="5"/>
  <c r="AB82" i="5"/>
  <c r="K117" i="5"/>
  <c r="O19" i="5"/>
  <c r="O40" i="5"/>
  <c r="Y40" i="5" s="1"/>
  <c r="K58" i="5"/>
  <c r="AF2" i="5"/>
  <c r="K2" i="5"/>
  <c r="O10" i="5"/>
  <c r="O44" i="5"/>
  <c r="O46" i="5"/>
  <c r="O49" i="5"/>
  <c r="O51" i="5"/>
  <c r="O52" i="5"/>
  <c r="O54" i="5"/>
  <c r="O56" i="5"/>
  <c r="O55" i="5"/>
  <c r="O58" i="5"/>
  <c r="O57" i="5"/>
  <c r="AC57" i="5" s="1"/>
  <c r="O60" i="5"/>
  <c r="Y60" i="5" s="1"/>
  <c r="O61" i="5"/>
  <c r="O62" i="5"/>
  <c r="Y62" i="5" s="1"/>
  <c r="O64" i="5"/>
  <c r="O69" i="5"/>
  <c r="O70" i="5"/>
  <c r="O72" i="5"/>
  <c r="O74" i="5"/>
  <c r="O75" i="5"/>
  <c r="O76" i="5"/>
  <c r="O79" i="5"/>
  <c r="H48" i="11"/>
  <c r="O85" i="5"/>
  <c r="Y85" i="5" s="1"/>
  <c r="Z85" i="5" s="1"/>
  <c r="H49" i="11"/>
  <c r="O86" i="5"/>
  <c r="H10" i="12"/>
  <c r="O89" i="5"/>
  <c r="Y89" i="5" s="1"/>
  <c r="Z89" i="5" s="1"/>
  <c r="H51" i="11"/>
  <c r="H52" i="11"/>
  <c r="H11" i="12"/>
  <c r="H12" i="12"/>
  <c r="H53" i="11"/>
  <c r="O92" i="5"/>
  <c r="Y92" i="5" s="1"/>
  <c r="Z92" i="5" s="1"/>
  <c r="O93" i="5"/>
  <c r="Y93" i="5" s="1"/>
  <c r="Z93" i="5" s="1"/>
  <c r="O94" i="5"/>
  <c r="Y94" i="5" s="1"/>
  <c r="Z94" i="5" s="1"/>
  <c r="O96" i="5"/>
  <c r="H15" i="12"/>
  <c r="H56" i="11"/>
  <c r="H16" i="12"/>
  <c r="H17" i="12"/>
  <c r="O98" i="5"/>
  <c r="Y98" i="5" s="1"/>
  <c r="Z98" i="5" s="1"/>
  <c r="O99" i="5"/>
  <c r="Y99" i="5" s="1"/>
  <c r="Z99" i="5" s="1"/>
  <c r="O100" i="5"/>
  <c r="Y100" i="5" s="1"/>
  <c r="Z100" i="5" s="1"/>
  <c r="H19" i="12"/>
  <c r="H20" i="12"/>
  <c r="O102" i="5"/>
  <c r="Y102" i="5" s="1"/>
  <c r="Z102" i="5" s="1"/>
  <c r="H21" i="12"/>
  <c r="O107" i="5"/>
  <c r="O71" i="5"/>
  <c r="O78" i="5"/>
  <c r="O68" i="5"/>
  <c r="O83" i="5"/>
  <c r="O67" i="5"/>
  <c r="H25" i="12"/>
  <c r="O105" i="5"/>
  <c r="Y105" i="5" s="1"/>
  <c r="Z105" i="5" s="1"/>
  <c r="AF100" i="5"/>
  <c r="AG100" i="5" s="1"/>
  <c r="AF99" i="5"/>
  <c r="AG99" i="5" s="1"/>
  <c r="AF98" i="5"/>
  <c r="AG98" i="5" s="1"/>
  <c r="AF91" i="5"/>
  <c r="AG91" i="5" s="1"/>
  <c r="O108" i="5"/>
  <c r="Y108" i="5" s="1"/>
  <c r="H43" i="11"/>
  <c r="AF92" i="5"/>
  <c r="AG92" i="5" s="1"/>
  <c r="K35" i="5"/>
  <c r="AB35" i="5"/>
  <c r="AF32" i="5"/>
  <c r="AG32" i="5" s="1"/>
  <c r="AF48" i="5"/>
  <c r="AG48" i="5" s="1"/>
  <c r="AB3" i="5"/>
  <c r="AF148" i="5"/>
  <c r="K147" i="5"/>
  <c r="AF116" i="5"/>
  <c r="K118" i="5"/>
  <c r="AG148" i="5"/>
  <c r="AB120" i="5"/>
  <c r="AG116" i="5"/>
  <c r="K74" i="5"/>
  <c r="AF73" i="5"/>
  <c r="AG73" i="5" s="1"/>
  <c r="AF114" i="5"/>
  <c r="AG122" i="5"/>
  <c r="K103" i="5"/>
  <c r="K55" i="5"/>
  <c r="K83" i="5"/>
  <c r="AB147" i="5"/>
  <c r="AG144" i="5"/>
  <c r="K47" i="5"/>
  <c r="AB28" i="5"/>
  <c r="AB54" i="5"/>
  <c r="K112" i="5"/>
  <c r="K26" i="5"/>
  <c r="AF144" i="5"/>
  <c r="AB148" i="5"/>
  <c r="AF31" i="5"/>
  <c r="AG31" i="5" s="1"/>
  <c r="K28" i="5"/>
  <c r="AB21" i="5"/>
  <c r="H26" i="12"/>
  <c r="H40" i="11"/>
  <c r="O106" i="5"/>
  <c r="Y106" i="5" s="1"/>
  <c r="Z106" i="5" s="1"/>
  <c r="H28" i="12"/>
  <c r="K106" i="5"/>
  <c r="H27" i="12"/>
  <c r="O63" i="5"/>
  <c r="K63" i="5"/>
  <c r="AF81" i="5"/>
  <c r="AG81" i="5" s="1"/>
  <c r="AF101" i="5"/>
  <c r="AG101" i="5" s="1"/>
  <c r="AF80" i="5"/>
  <c r="AG80" i="5" s="1"/>
  <c r="AF39" i="5"/>
  <c r="AF54" i="5"/>
  <c r="AG54" i="5" s="1"/>
  <c r="AF60" i="5"/>
  <c r="AG60" i="5" s="1"/>
  <c r="AF24" i="5"/>
  <c r="AG24" i="5" s="1"/>
  <c r="AF76" i="5"/>
  <c r="K93" i="5"/>
  <c r="K33" i="5"/>
  <c r="O6" i="5"/>
  <c r="O35" i="5"/>
  <c r="H44" i="11"/>
  <c r="H50" i="11"/>
  <c r="AF15" i="5"/>
  <c r="AG15" i="5" s="1"/>
  <c r="AF41" i="5"/>
  <c r="AG41" i="5" s="1"/>
  <c r="AB41" i="5"/>
  <c r="H11" i="11"/>
  <c r="O17" i="5"/>
  <c r="H38" i="11"/>
  <c r="H45" i="11"/>
  <c r="AB93" i="5"/>
  <c r="K89" i="5"/>
  <c r="I33" i="5"/>
  <c r="AF110" i="5"/>
  <c r="AG110" i="5" s="1"/>
  <c r="AF109" i="5"/>
  <c r="AG109" i="5" s="1"/>
  <c r="AF108" i="5"/>
  <c r="AF107" i="5"/>
  <c r="AG107" i="5" s="1"/>
  <c r="AF106" i="5"/>
  <c r="AG106" i="5" s="1"/>
  <c r="AF105" i="5"/>
  <c r="AG105" i="5" s="1"/>
  <c r="AF104" i="5"/>
  <c r="AG104" i="5" s="1"/>
  <c r="AH104" i="5" s="1"/>
  <c r="AF97" i="5"/>
  <c r="AG97" i="5" s="1"/>
  <c r="AF82" i="5"/>
  <c r="AG82" i="5" s="1"/>
  <c r="I83" i="5"/>
  <c r="AB113" i="5"/>
  <c r="H23" i="12"/>
  <c r="O65" i="5"/>
  <c r="H36" i="11"/>
  <c r="H43" i="12"/>
  <c r="H37" i="12"/>
  <c r="H30" i="12"/>
  <c r="AB91" i="5"/>
  <c r="O66" i="5"/>
  <c r="H37" i="11"/>
  <c r="H39" i="12"/>
  <c r="O77" i="5"/>
  <c r="AC77" i="5" s="1"/>
  <c r="H38" i="12"/>
  <c r="K73" i="5"/>
  <c r="AF112" i="5"/>
  <c r="AG112" i="5" s="1"/>
  <c r="AF111" i="5"/>
  <c r="AG111" i="5" s="1"/>
  <c r="Z130" i="5"/>
  <c r="Z90" i="5"/>
  <c r="Z122" i="5"/>
  <c r="Z150" i="5"/>
  <c r="Z118" i="5"/>
  <c r="Z126" i="5"/>
  <c r="Z62" i="5"/>
  <c r="Z142" i="5"/>
  <c r="Z114" i="5"/>
  <c r="O115" i="5"/>
  <c r="Z115" i="5"/>
  <c r="AI135" i="5"/>
  <c r="AH139" i="5"/>
  <c r="AI123" i="5"/>
  <c r="O111" i="5"/>
  <c r="K111" i="5"/>
  <c r="H47" i="12"/>
  <c r="D40" i="11"/>
  <c r="E40" i="11" s="1"/>
  <c r="D50" i="12"/>
  <c r="E50" i="12"/>
  <c r="G50" i="12" s="1"/>
  <c r="D46" i="12"/>
  <c r="E46" i="12"/>
  <c r="G46" i="12" s="1"/>
  <c r="B13" i="12"/>
  <c r="D13" i="12"/>
  <c r="E13" i="12"/>
  <c r="G13" i="12" s="1"/>
  <c r="D52" i="12"/>
  <c r="E52" i="12"/>
  <c r="G52" i="12" s="1"/>
  <c r="B11" i="12"/>
  <c r="AJ111" i="5"/>
  <c r="AK111" i="5"/>
  <c r="AD111" i="5" s="1"/>
  <c r="I116" i="5"/>
  <c r="B10" i="12"/>
  <c r="K20" i="4"/>
  <c r="K21" i="4"/>
  <c r="K22" i="4" s="1"/>
  <c r="B17" i="12"/>
  <c r="E17" i="12"/>
  <c r="G17" i="12" s="1"/>
  <c r="B26" i="11"/>
  <c r="B25" i="12"/>
  <c r="D25" i="12"/>
  <c r="E25" i="12" s="1"/>
  <c r="G25" i="12" s="1"/>
  <c r="B36" i="11"/>
  <c r="D36" i="11" s="1"/>
  <c r="E36" i="11" s="1"/>
  <c r="G36" i="11" s="1"/>
  <c r="B50" i="11"/>
  <c r="D12" i="12"/>
  <c r="E12" i="12" s="1"/>
  <c r="G12" i="12" s="1"/>
  <c r="D51" i="12"/>
  <c r="E51" i="12" s="1"/>
  <c r="G51" i="12" s="1"/>
  <c r="B16" i="11"/>
  <c r="D16" i="11"/>
  <c r="E16" i="11" s="1"/>
  <c r="D42" i="11"/>
  <c r="E42" i="11" s="1"/>
  <c r="B26" i="12"/>
  <c r="D26" i="12" s="1"/>
  <c r="E26" i="12" s="1"/>
  <c r="G26" i="12" s="1"/>
  <c r="B41" i="12"/>
  <c r="D41" i="12" s="1"/>
  <c r="E41" i="12" s="1"/>
  <c r="B30" i="11"/>
  <c r="D30" i="11" s="1"/>
  <c r="E30" i="11" s="1"/>
  <c r="G30" i="11" s="1"/>
  <c r="B15" i="11"/>
  <c r="D15" i="11" s="1"/>
  <c r="E15" i="11" s="1"/>
  <c r="B56" i="11"/>
  <c r="B41" i="11"/>
  <c r="D41" i="11" s="1"/>
  <c r="E41" i="11" s="1"/>
  <c r="G41" i="11"/>
  <c r="K17" i="4"/>
  <c r="B24" i="12"/>
  <c r="D24" i="12" s="1"/>
  <c r="E24" i="12" s="1"/>
  <c r="G24" i="12" s="1"/>
  <c r="B18" i="11"/>
  <c r="AF44" i="5"/>
  <c r="AF59" i="5"/>
  <c r="AF3" i="5"/>
  <c r="AF43" i="5"/>
  <c r="AF87" i="5"/>
  <c r="AF103" i="5"/>
  <c r="AG2" i="5" l="1"/>
  <c r="AH118" i="5"/>
  <c r="AI118" i="5"/>
  <c r="D50" i="11"/>
  <c r="E50" i="11" s="1"/>
  <c r="G50" i="11" s="1"/>
  <c r="B47" i="11"/>
  <c r="D47" i="11" s="1"/>
  <c r="E47" i="11" s="1"/>
  <c r="G47" i="11" s="1"/>
  <c r="B29" i="11"/>
  <c r="D29" i="11"/>
  <c r="E29" i="11" s="1"/>
  <c r="G29" i="11" s="1"/>
  <c r="B21" i="11"/>
  <c r="D21" i="11" s="1"/>
  <c r="E21" i="11" s="1"/>
  <c r="G21" i="11" s="1"/>
  <c r="B14" i="11"/>
  <c r="D14" i="11" s="1"/>
  <c r="E14" i="11" s="1"/>
  <c r="G14" i="11" s="1"/>
  <c r="D48" i="12"/>
  <c r="E48" i="12" s="1"/>
  <c r="G48" i="12" s="1"/>
  <c r="B48" i="12"/>
  <c r="D54" i="12"/>
  <c r="E54" i="12" s="1"/>
  <c r="G54" i="12" s="1"/>
  <c r="AI131" i="5"/>
  <c r="AH122" i="5"/>
  <c r="AD33" i="5"/>
  <c r="C4" i="1"/>
  <c r="AH116" i="5"/>
  <c r="E51" i="11"/>
  <c r="G51" i="11" s="1"/>
  <c r="D19" i="11"/>
  <c r="E19" i="11" s="1"/>
  <c r="G19" i="11" s="1"/>
  <c r="G44" i="11"/>
  <c r="AH150" i="5"/>
  <c r="Z111" i="5"/>
  <c r="AD91" i="5"/>
  <c r="AD27" i="5"/>
  <c r="G28" i="12"/>
  <c r="D21" i="12"/>
  <c r="E21" i="12" s="1"/>
  <c r="G21" i="12" s="1"/>
  <c r="G12" i="11"/>
  <c r="G40" i="11"/>
  <c r="G41" i="12"/>
  <c r="G19" i="12"/>
  <c r="G45" i="12"/>
  <c r="G38" i="12"/>
  <c r="D11" i="11"/>
  <c r="E11" i="11" s="1"/>
  <c r="G11" i="11" s="1"/>
  <c r="F5" i="11"/>
  <c r="E25" i="10"/>
  <c r="E27" i="10"/>
  <c r="F5" i="13"/>
  <c r="AI128" i="5"/>
  <c r="G17" i="11"/>
  <c r="D13" i="11"/>
  <c r="E13" i="11" s="1"/>
  <c r="G13" i="11" s="1"/>
  <c r="D53" i="12"/>
  <c r="E53" i="12" s="1"/>
  <c r="G53" i="12" s="1"/>
  <c r="AI85" i="5"/>
  <c r="D56" i="11"/>
  <c r="E56" i="11" s="1"/>
  <c r="G56" i="11" s="1"/>
  <c r="E13" i="10"/>
  <c r="G47" i="12"/>
  <c r="AH90" i="5"/>
  <c r="AI138" i="5"/>
  <c r="E20" i="10"/>
  <c r="D49" i="12"/>
  <c r="E49" i="12" s="1"/>
  <c r="G49" i="12" s="1"/>
  <c r="AI140" i="5"/>
  <c r="B49" i="10"/>
  <c r="D49" i="10" s="1"/>
  <c r="H49" i="10"/>
  <c r="C49" i="10"/>
  <c r="F49" i="10"/>
  <c r="Z11" i="5"/>
  <c r="AD83" i="5"/>
  <c r="E26" i="10"/>
  <c r="AH147" i="5"/>
  <c r="B41" i="10"/>
  <c r="D41" i="10" s="1"/>
  <c r="H41" i="10"/>
  <c r="F41" i="10"/>
  <c r="C41" i="10"/>
  <c r="G23" i="11"/>
  <c r="H40" i="10"/>
  <c r="C40" i="10"/>
  <c r="F40" i="10"/>
  <c r="B40" i="10"/>
  <c r="D40" i="10" s="1"/>
  <c r="E40" i="10" s="1"/>
  <c r="G40" i="10" s="1"/>
  <c r="AD86" i="5"/>
  <c r="E12" i="10"/>
  <c r="AH114" i="5"/>
  <c r="AD25" i="5"/>
  <c r="AD61" i="5"/>
  <c r="G28" i="11"/>
  <c r="AD88" i="5"/>
  <c r="B54" i="10"/>
  <c r="B15" i="12"/>
  <c r="D20" i="12"/>
  <c r="E20" i="12" s="1"/>
  <c r="G20" i="12" s="1"/>
  <c r="K8" i="4"/>
  <c r="K9" i="4" s="1"/>
  <c r="D46" i="11"/>
  <c r="E46" i="11" s="1"/>
  <c r="G46" i="11" s="1"/>
  <c r="AH107" i="5"/>
  <c r="AC35" i="5"/>
  <c r="AI35" i="5" s="1"/>
  <c r="AI142" i="5"/>
  <c r="AH126" i="5"/>
  <c r="AI124" i="5"/>
  <c r="AC62" i="5"/>
  <c r="AD28" i="5"/>
  <c r="D40" i="12"/>
  <c r="E40" i="12" s="1"/>
  <c r="G40" i="12" s="1"/>
  <c r="H53" i="10"/>
  <c r="B53" i="10"/>
  <c r="D53" i="10" s="1"/>
  <c r="F53" i="10"/>
  <c r="C53" i="10"/>
  <c r="F45" i="10"/>
  <c r="H45" i="10"/>
  <c r="B45" i="10"/>
  <c r="D45" i="10" s="1"/>
  <c r="E45" i="10" s="1"/>
  <c r="G45" i="10" s="1"/>
  <c r="C45" i="10"/>
  <c r="F37" i="10"/>
  <c r="C37" i="10"/>
  <c r="E37" i="10" s="1"/>
  <c r="G37" i="10" s="1"/>
  <c r="H37" i="10"/>
  <c r="B37" i="10"/>
  <c r="D37" i="10" s="1"/>
  <c r="D56" i="12"/>
  <c r="E56" i="12" s="1"/>
  <c r="G56" i="12" s="1"/>
  <c r="AH127" i="5"/>
  <c r="AH134" i="5"/>
  <c r="AD7" i="5"/>
  <c r="AH113" i="5"/>
  <c r="D37" i="11"/>
  <c r="E37" i="11" s="1"/>
  <c r="G37" i="11" s="1"/>
  <c r="AH105" i="5"/>
  <c r="AI132" i="5"/>
  <c r="C47" i="10"/>
  <c r="H47" i="10"/>
  <c r="B47" i="10"/>
  <c r="D47" i="10" s="1"/>
  <c r="F47" i="10"/>
  <c r="AC37" i="5"/>
  <c r="AI37" i="5" s="1"/>
  <c r="AD21" i="5"/>
  <c r="H33" i="10"/>
  <c r="C33" i="10"/>
  <c r="F33" i="10"/>
  <c r="B33" i="10"/>
  <c r="D33" i="10" s="1"/>
  <c r="H46" i="10"/>
  <c r="C46" i="10"/>
  <c r="F46" i="10"/>
  <c r="B46" i="10"/>
  <c r="D46" i="10" s="1"/>
  <c r="H38" i="10"/>
  <c r="C38" i="10"/>
  <c r="B38" i="10"/>
  <c r="D38" i="10" s="1"/>
  <c r="F38" i="10"/>
  <c r="D39" i="11"/>
  <c r="E39" i="11" s="1"/>
  <c r="G39" i="11" s="1"/>
  <c r="D38" i="11"/>
  <c r="E38" i="11" s="1"/>
  <c r="G38" i="11" s="1"/>
  <c r="D44" i="12"/>
  <c r="E44" i="12" s="1"/>
  <c r="G44" i="12" s="1"/>
  <c r="AH115" i="5"/>
  <c r="AH120" i="5"/>
  <c r="H52" i="10"/>
  <c r="B52" i="10"/>
  <c r="D52" i="10" s="1"/>
  <c r="F52" i="10"/>
  <c r="C52" i="10"/>
  <c r="D44" i="10"/>
  <c r="E44" i="10" s="1"/>
  <c r="G44" i="10" s="1"/>
  <c r="F44" i="10"/>
  <c r="B44" i="10"/>
  <c r="H44" i="10"/>
  <c r="C44" i="10"/>
  <c r="F36" i="10"/>
  <c r="H36" i="10"/>
  <c r="B36" i="10"/>
  <c r="D36" i="10" s="1"/>
  <c r="C36" i="10"/>
  <c r="Z63" i="5"/>
  <c r="H50" i="10"/>
  <c r="B50" i="10"/>
  <c r="D50" i="10" s="1"/>
  <c r="C50" i="10"/>
  <c r="F50" i="10"/>
  <c r="H42" i="10"/>
  <c r="B42" i="10"/>
  <c r="C42" i="10"/>
  <c r="F42" i="10"/>
  <c r="D42" i="10"/>
  <c r="H34" i="10"/>
  <c r="B34" i="10"/>
  <c r="D34" i="10" s="1"/>
  <c r="C34" i="10"/>
  <c r="F34" i="10"/>
  <c r="Z35" i="5"/>
  <c r="G16" i="11"/>
  <c r="C48" i="10"/>
  <c r="F48" i="10"/>
  <c r="B48" i="10"/>
  <c r="D48" i="10" s="1"/>
  <c r="E48" i="10" s="1"/>
  <c r="G48" i="10" s="1"/>
  <c r="H48" i="10"/>
  <c r="AD30" i="5"/>
  <c r="D25" i="11"/>
  <c r="E25" i="11" s="1"/>
  <c r="G25" i="11" s="1"/>
  <c r="C39" i="10"/>
  <c r="H39" i="10"/>
  <c r="B39" i="10"/>
  <c r="D39" i="10" s="1"/>
  <c r="E39" i="10" s="1"/>
  <c r="F39" i="10"/>
  <c r="D55" i="12"/>
  <c r="E55" i="12" s="1"/>
  <c r="G55" i="12" s="1"/>
  <c r="AH98" i="5"/>
  <c r="Z40" i="5"/>
  <c r="AD47" i="5"/>
  <c r="G42" i="11"/>
  <c r="D16" i="12"/>
  <c r="E16" i="12" s="1"/>
  <c r="G16" i="12" s="1"/>
  <c r="AI133" i="5"/>
  <c r="AD53" i="5"/>
  <c r="AD43" i="5"/>
  <c r="AD11" i="5"/>
  <c r="E52" i="11"/>
  <c r="G52" i="11" s="1"/>
  <c r="H51" i="10"/>
  <c r="B51" i="10"/>
  <c r="F51" i="10"/>
  <c r="C51" i="10"/>
  <c r="D51" i="10"/>
  <c r="E51" i="10" s="1"/>
  <c r="G51" i="10" s="1"/>
  <c r="F43" i="10"/>
  <c r="B43" i="10"/>
  <c r="D43" i="10" s="1"/>
  <c r="H43" i="10"/>
  <c r="C43" i="10"/>
  <c r="F35" i="10"/>
  <c r="B35" i="10"/>
  <c r="D35" i="10" s="1"/>
  <c r="E35" i="10" s="1"/>
  <c r="G35" i="10" s="1"/>
  <c r="C35" i="10"/>
  <c r="H35" i="10"/>
  <c r="Z37" i="5"/>
  <c r="B77" i="10"/>
  <c r="D10" i="11"/>
  <c r="E10" i="11" s="1"/>
  <c r="G10" i="11" s="1"/>
  <c r="G18" i="10"/>
  <c r="G17" i="10"/>
  <c r="G26" i="10"/>
  <c r="AG44" i="5"/>
  <c r="K44" i="5"/>
  <c r="AB44" i="5"/>
  <c r="G10" i="10"/>
  <c r="G12" i="10"/>
  <c r="G11" i="10"/>
  <c r="G14" i="10"/>
  <c r="G22" i="10"/>
  <c r="G20" i="10"/>
  <c r="G27" i="10"/>
  <c r="G25" i="10"/>
  <c r="G23" i="10"/>
  <c r="G13" i="10"/>
  <c r="G30" i="10"/>
  <c r="G28" i="10"/>
  <c r="G15" i="10"/>
  <c r="AI62" i="5"/>
  <c r="AH110" i="5"/>
  <c r="AI110" i="5"/>
  <c r="AI98" i="5"/>
  <c r="AI89" i="5"/>
  <c r="AH89" i="5"/>
  <c r="O109" i="5"/>
  <c r="Y109" i="5" s="1"/>
  <c r="Z109" i="5" s="1"/>
  <c r="H44" i="12"/>
  <c r="K109" i="5"/>
  <c r="AC17" i="5"/>
  <c r="Y17" i="5"/>
  <c r="Z17" i="5" s="1"/>
  <c r="Y58" i="5"/>
  <c r="Z58" i="5" s="1"/>
  <c r="AC58" i="5"/>
  <c r="Y22" i="5"/>
  <c r="Z22" i="5" s="1"/>
  <c r="AC22" i="5"/>
  <c r="K7" i="5"/>
  <c r="O7" i="5"/>
  <c r="Y70" i="5"/>
  <c r="Z70" i="5" s="1"/>
  <c r="AC70" i="5"/>
  <c r="AH70" i="5" s="1"/>
  <c r="Y26" i="5"/>
  <c r="Z26" i="5" s="1"/>
  <c r="AC26" i="5"/>
  <c r="K77" i="5"/>
  <c r="AB77" i="5"/>
  <c r="AF77" i="5"/>
  <c r="AG77" i="5" s="1"/>
  <c r="AI77" i="5" s="1"/>
  <c r="AF95" i="5"/>
  <c r="AG95" i="5" s="1"/>
  <c r="AB95" i="5"/>
  <c r="K95" i="5"/>
  <c r="AB46" i="5"/>
  <c r="K46" i="5"/>
  <c r="AF38" i="5"/>
  <c r="AG38" i="5" s="1"/>
  <c r="K38" i="5"/>
  <c r="AB22" i="5"/>
  <c r="AF22" i="5"/>
  <c r="AG22" i="5" s="1"/>
  <c r="K22" i="5"/>
  <c r="H25" i="11"/>
  <c r="K59" i="5"/>
  <c r="O59" i="5"/>
  <c r="AF46" i="5"/>
  <c r="AG46" i="5" s="1"/>
  <c r="K30" i="5"/>
  <c r="O30" i="5"/>
  <c r="O27" i="5"/>
  <c r="Y42" i="5"/>
  <c r="Z42" i="5" s="1"/>
  <c r="AC42" i="5"/>
  <c r="AH42" i="5" s="1"/>
  <c r="AB4" i="5"/>
  <c r="AF4" i="5"/>
  <c r="AG4" i="5" s="1"/>
  <c r="K4" i="5"/>
  <c r="AF140" i="5"/>
  <c r="AG140" i="5"/>
  <c r="K140" i="5"/>
  <c r="AB140" i="5"/>
  <c r="AF134" i="5"/>
  <c r="AB134" i="5"/>
  <c r="AG134" i="5"/>
  <c r="K134" i="5"/>
  <c r="AB78" i="5"/>
  <c r="AF78" i="5"/>
  <c r="AG78" i="5" s="1"/>
  <c r="K78" i="5"/>
  <c r="AB102" i="5"/>
  <c r="K102" i="5"/>
  <c r="AF102" i="5"/>
  <c r="AG102" i="5" s="1"/>
  <c r="AH102" i="5" s="1"/>
  <c r="K84" i="5"/>
  <c r="AB84" i="5"/>
  <c r="AB69" i="5"/>
  <c r="K69" i="5"/>
  <c r="AF69" i="5"/>
  <c r="AG69" i="5" s="1"/>
  <c r="B23" i="12"/>
  <c r="D23" i="12" s="1"/>
  <c r="E23" i="12" s="1"/>
  <c r="B36" i="12"/>
  <c r="D36" i="12" s="1"/>
  <c r="E36" i="12" s="1"/>
  <c r="G36" i="12" s="1"/>
  <c r="AC48" i="5"/>
  <c r="AH48" i="5" s="1"/>
  <c r="Y48" i="5"/>
  <c r="Z48" i="5" s="1"/>
  <c r="Y6" i="5"/>
  <c r="Z6" i="5" s="1"/>
  <c r="AC6" i="5"/>
  <c r="AI6" i="5" s="1"/>
  <c r="Y83" i="5"/>
  <c r="Z83" i="5" s="1"/>
  <c r="AC83" i="5"/>
  <c r="AH83" i="5" s="1"/>
  <c r="Y96" i="5"/>
  <c r="Z96" i="5" s="1"/>
  <c r="AC96" i="5"/>
  <c r="Y31" i="5"/>
  <c r="Z31" i="5" s="1"/>
  <c r="AC31" i="5"/>
  <c r="AI31" i="5" s="1"/>
  <c r="AC9" i="5"/>
  <c r="AH9" i="5" s="1"/>
  <c r="Y9" i="5"/>
  <c r="Z9" i="5" s="1"/>
  <c r="Y8" i="5"/>
  <c r="Z8" i="5" s="1"/>
  <c r="AC8" i="5"/>
  <c r="AH8" i="5" s="1"/>
  <c r="AH6" i="5"/>
  <c r="K119" i="5"/>
  <c r="AG119" i="5"/>
  <c r="AF119" i="5"/>
  <c r="AB96" i="5"/>
  <c r="AF96" i="5"/>
  <c r="AG96" i="5" s="1"/>
  <c r="AB72" i="5"/>
  <c r="AG72" i="5"/>
  <c r="K72" i="5"/>
  <c r="I21" i="5"/>
  <c r="K21" i="5"/>
  <c r="AC13" i="5"/>
  <c r="AH13" i="5" s="1"/>
  <c r="Y13" i="5"/>
  <c r="Z13" i="5" s="1"/>
  <c r="AC23" i="5"/>
  <c r="AI23" i="5" s="1"/>
  <c r="Y23" i="5"/>
  <c r="Z23" i="5" s="1"/>
  <c r="O32" i="5"/>
  <c r="G19" i="10"/>
  <c r="K4" i="4"/>
  <c r="B48" i="11"/>
  <c r="D48" i="11" s="1"/>
  <c r="E48" i="11" s="1"/>
  <c r="G48" i="11" s="1"/>
  <c r="Y67" i="5"/>
  <c r="Z67" i="5" s="1"/>
  <c r="AC67" i="5"/>
  <c r="AI67" i="5" s="1"/>
  <c r="AB139" i="5"/>
  <c r="AI58" i="5"/>
  <c r="AC25" i="5"/>
  <c r="Y25" i="5"/>
  <c r="Z25" i="5" s="1"/>
  <c r="AF135" i="5"/>
  <c r="AB135" i="5"/>
  <c r="K135" i="5"/>
  <c r="AG135" i="5"/>
  <c r="I27" i="5"/>
  <c r="K27" i="5"/>
  <c r="AB27" i="5"/>
  <c r="I20" i="5"/>
  <c r="K20" i="5"/>
  <c r="O14" i="5"/>
  <c r="D26" i="11"/>
  <c r="E26" i="11" s="1"/>
  <c r="G26" i="11" s="1"/>
  <c r="D53" i="11"/>
  <c r="E53" i="11" s="1"/>
  <c r="G53" i="11" s="1"/>
  <c r="Y68" i="5"/>
  <c r="Z68" i="5" s="1"/>
  <c r="AC68" i="5"/>
  <c r="AI68" i="5" s="1"/>
  <c r="AH62" i="5"/>
  <c r="Y66" i="5"/>
  <c r="Z66" i="5" s="1"/>
  <c r="AC66" i="5"/>
  <c r="AI66" i="5" s="1"/>
  <c r="Y78" i="5"/>
  <c r="Z78" i="5" s="1"/>
  <c r="AC78" i="5"/>
  <c r="AC39" i="5"/>
  <c r="Y39" i="5"/>
  <c r="Z39" i="5" s="1"/>
  <c r="AD60" i="5"/>
  <c r="K32" i="5"/>
  <c r="H18" i="11"/>
  <c r="K52" i="5"/>
  <c r="Y82" i="5"/>
  <c r="Z82" i="5" s="1"/>
  <c r="AC82" i="5"/>
  <c r="AH82" i="5" s="1"/>
  <c r="D42" i="12"/>
  <c r="E42" i="12" s="1"/>
  <c r="G42" i="12" s="1"/>
  <c r="D18" i="11"/>
  <c r="E18" i="11" s="1"/>
  <c r="G18" i="11" s="1"/>
  <c r="AC20" i="5"/>
  <c r="AI20" i="5" s="1"/>
  <c r="Y5" i="5"/>
  <c r="Z5" i="5" s="1"/>
  <c r="AC5" i="5"/>
  <c r="AH5" i="5" s="1"/>
  <c r="AC41" i="5"/>
  <c r="AH41" i="5" s="1"/>
  <c r="Y41" i="5"/>
  <c r="Z41" i="5" s="1"/>
  <c r="K127" i="5"/>
  <c r="AG127" i="5"/>
  <c r="AF127" i="5"/>
  <c r="AC75" i="5"/>
  <c r="AH75" i="5" s="1"/>
  <c r="Y75" i="5"/>
  <c r="Z75" i="5" s="1"/>
  <c r="AI90" i="5"/>
  <c r="AC71" i="5"/>
  <c r="Y71" i="5"/>
  <c r="Z71" i="5" s="1"/>
  <c r="H13" i="12"/>
  <c r="Y74" i="5"/>
  <c r="Z74" i="5" s="1"/>
  <c r="AC74" i="5"/>
  <c r="AH74" i="5" s="1"/>
  <c r="Z60" i="5"/>
  <c r="AC49" i="5"/>
  <c r="AI49" i="5" s="1"/>
  <c r="Y49" i="5"/>
  <c r="Z49" i="5" s="1"/>
  <c r="K139" i="5"/>
  <c r="Y2" i="5"/>
  <c r="Z2" i="5" s="1"/>
  <c r="AC2" i="5"/>
  <c r="Y12" i="5"/>
  <c r="Z12" i="5" s="1"/>
  <c r="AC12" i="5"/>
  <c r="AH12" i="5" s="1"/>
  <c r="H19" i="11"/>
  <c r="O53" i="5"/>
  <c r="Y57" i="5"/>
  <c r="Z57" i="5" s="1"/>
  <c r="Y52" i="5"/>
  <c r="Z52" i="5" s="1"/>
  <c r="AC52" i="5"/>
  <c r="AI99" i="5"/>
  <c r="AH99" i="5"/>
  <c r="AC51" i="5"/>
  <c r="AH51" i="5" s="1"/>
  <c r="Y34" i="5"/>
  <c r="Z34" i="5" s="1"/>
  <c r="AC34" i="5"/>
  <c r="AH34" i="5" s="1"/>
  <c r="H14" i="12"/>
  <c r="O84" i="5"/>
  <c r="Y84" i="5" s="1"/>
  <c r="Z84" i="5" s="1"/>
  <c r="H55" i="11"/>
  <c r="Y86" i="5"/>
  <c r="Z86" i="5" s="1"/>
  <c r="AC86" i="5"/>
  <c r="AI86" i="5" s="1"/>
  <c r="Y72" i="5"/>
  <c r="Z72" i="5" s="1"/>
  <c r="AC72" i="5"/>
  <c r="Y46" i="5"/>
  <c r="Z46" i="5" s="1"/>
  <c r="AC46" i="5"/>
  <c r="Y43" i="5"/>
  <c r="Z43" i="5" s="1"/>
  <c r="AC43" i="5"/>
  <c r="K94" i="5"/>
  <c r="K70" i="5"/>
  <c r="H41" i="11"/>
  <c r="O97" i="5"/>
  <c r="Y97" i="5" s="1"/>
  <c r="Z97" i="5" s="1"/>
  <c r="K97" i="5"/>
  <c r="AC73" i="5"/>
  <c r="AH73" i="5" s="1"/>
  <c r="Y73" i="5"/>
  <c r="Z73" i="5" s="1"/>
  <c r="Y91" i="5"/>
  <c r="Z91" i="5" s="1"/>
  <c r="AC91" i="5"/>
  <c r="AH91" i="5" s="1"/>
  <c r="B30" i="12"/>
  <c r="D30" i="12" s="1"/>
  <c r="E30" i="12" s="1"/>
  <c r="G30" i="12" s="1"/>
  <c r="B43" i="11"/>
  <c r="D43" i="11" s="1"/>
  <c r="E43" i="11" s="1"/>
  <c r="G43" i="11" s="1"/>
  <c r="AC60" i="5"/>
  <c r="AH60" i="5" s="1"/>
  <c r="Y51" i="5"/>
  <c r="Z51" i="5" s="1"/>
  <c r="K143" i="5"/>
  <c r="AG143" i="5"/>
  <c r="K71" i="5"/>
  <c r="AF71" i="5"/>
  <c r="AG71" i="5" s="1"/>
  <c r="K64" i="5"/>
  <c r="AF64" i="5"/>
  <c r="AG64" i="5" s="1"/>
  <c r="AI64" i="5" s="1"/>
  <c r="Y15" i="5"/>
  <c r="Z15" i="5" s="1"/>
  <c r="AC15" i="5"/>
  <c r="AH15" i="5" s="1"/>
  <c r="O88" i="5"/>
  <c r="H18" i="12"/>
  <c r="AC81" i="5"/>
  <c r="AI81" i="5" s="1"/>
  <c r="Y81" i="5"/>
  <c r="Z81" i="5" s="1"/>
  <c r="AC64" i="5"/>
  <c r="Y64" i="5"/>
  <c r="Z64" i="5" s="1"/>
  <c r="AC29" i="5"/>
  <c r="AI29" i="5" s="1"/>
  <c r="Y29" i="5"/>
  <c r="Z29" i="5" s="1"/>
  <c r="AB143" i="5"/>
  <c r="AF131" i="5"/>
  <c r="K131" i="5"/>
  <c r="AB131" i="5"/>
  <c r="O50" i="5"/>
  <c r="Y50" i="5" s="1"/>
  <c r="Z50" i="5" s="1"/>
  <c r="K50" i="5"/>
  <c r="H16" i="11"/>
  <c r="D39" i="12"/>
  <c r="E39" i="12" s="1"/>
  <c r="G39" i="12" s="1"/>
  <c r="Y77" i="5"/>
  <c r="Z77" i="5" s="1"/>
  <c r="AC65" i="5"/>
  <c r="AH65" i="5" s="1"/>
  <c r="Y65" i="5"/>
  <c r="Z65" i="5" s="1"/>
  <c r="Y56" i="5"/>
  <c r="Z56" i="5" s="1"/>
  <c r="AC56" i="5"/>
  <c r="AI56" i="5" s="1"/>
  <c r="Y18" i="5"/>
  <c r="Z18" i="5" s="1"/>
  <c r="AC18" i="5"/>
  <c r="AI18" i="5" s="1"/>
  <c r="Y79" i="5"/>
  <c r="Z79" i="5" s="1"/>
  <c r="AC79" i="5"/>
  <c r="AI79" i="5" s="1"/>
  <c r="Y54" i="5"/>
  <c r="Z54" i="5" s="1"/>
  <c r="AC54" i="5"/>
  <c r="AH54" i="5" s="1"/>
  <c r="AC21" i="5"/>
  <c r="Y21" i="5"/>
  <c r="Z21" i="5" s="1"/>
  <c r="O16" i="5"/>
  <c r="AC24" i="5"/>
  <c r="AI24" i="5" s="1"/>
  <c r="Y24" i="5"/>
  <c r="Z24" i="5" s="1"/>
  <c r="K17" i="5"/>
  <c r="AF17" i="5"/>
  <c r="AG17" i="5" s="1"/>
  <c r="Y10" i="5"/>
  <c r="Z10" i="5" s="1"/>
  <c r="AC10" i="5"/>
  <c r="AH10" i="5" s="1"/>
  <c r="Y36" i="5"/>
  <c r="Z36" i="5" s="1"/>
  <c r="AC36" i="5"/>
  <c r="AH36" i="5" s="1"/>
  <c r="Y3" i="5"/>
  <c r="Z3" i="5" s="1"/>
  <c r="AC3" i="5"/>
  <c r="AB64" i="5"/>
  <c r="Y19" i="5"/>
  <c r="Z19" i="5" s="1"/>
  <c r="AC19" i="5"/>
  <c r="AH19" i="5" s="1"/>
  <c r="AC33" i="5"/>
  <c r="AH33" i="5" s="1"/>
  <c r="Y33" i="5"/>
  <c r="Z33" i="5" s="1"/>
  <c r="K40" i="5"/>
  <c r="AF40" i="5"/>
  <c r="AG40" i="5" s="1"/>
  <c r="AB71" i="5"/>
  <c r="AB76" i="5"/>
  <c r="AG76" i="5"/>
  <c r="K43" i="5"/>
  <c r="I25" i="5"/>
  <c r="AB25" i="5"/>
  <c r="AG25" i="5"/>
  <c r="Y80" i="5"/>
  <c r="Z80" i="5" s="1"/>
  <c r="AC80" i="5"/>
  <c r="AG108" i="5"/>
  <c r="AI108" i="5" s="1"/>
  <c r="AG39" i="5"/>
  <c r="Y76" i="5"/>
  <c r="Z76" i="5" s="1"/>
  <c r="AC76" i="5"/>
  <c r="AC61" i="5"/>
  <c r="AI61" i="5" s="1"/>
  <c r="AG131" i="5"/>
  <c r="K75" i="5"/>
  <c r="K99" i="5"/>
  <c r="AG26" i="5"/>
  <c r="AB17" i="5"/>
  <c r="K132" i="5"/>
  <c r="K115" i="5"/>
  <c r="AB115" i="5"/>
  <c r="AF115" i="5"/>
  <c r="Z47" i="5"/>
  <c r="K68" i="5"/>
  <c r="H39" i="11"/>
  <c r="D27" i="11"/>
  <c r="B54" i="11"/>
  <c r="D54" i="11" s="1"/>
  <c r="E54" i="11" s="1"/>
  <c r="G54" i="11" s="1"/>
  <c r="Y61" i="5"/>
  <c r="Z61" i="5" s="1"/>
  <c r="B37" i="12"/>
  <c r="D37" i="12"/>
  <c r="E37" i="12" s="1"/>
  <c r="G37" i="12" s="1"/>
  <c r="G16" i="10"/>
  <c r="AC40" i="5"/>
  <c r="AF138" i="5"/>
  <c r="AG138" i="5"/>
  <c r="E27" i="11"/>
  <c r="G27" i="11" s="1"/>
  <c r="B24" i="11"/>
  <c r="D24" i="11" s="1"/>
  <c r="E24" i="11" s="1"/>
  <c r="G24" i="11" s="1"/>
  <c r="AC38" i="5"/>
  <c r="B27" i="12"/>
  <c r="D27" i="12" s="1"/>
  <c r="E27" i="12" s="1"/>
  <c r="G27" i="12" s="1"/>
  <c r="D55" i="11"/>
  <c r="E55" i="11" s="1"/>
  <c r="G55" i="11" s="1"/>
  <c r="AC69" i="5"/>
  <c r="Y69" i="5"/>
  <c r="Z69" i="5" s="1"/>
  <c r="Y55" i="5"/>
  <c r="Z55" i="5" s="1"/>
  <c r="AC55" i="5"/>
  <c r="AH55" i="5" s="1"/>
  <c r="Y44" i="5"/>
  <c r="Z44" i="5" s="1"/>
  <c r="AC44" i="5"/>
  <c r="Y4" i="5"/>
  <c r="Z4" i="5" s="1"/>
  <c r="AC4" i="5"/>
  <c r="Y28" i="5"/>
  <c r="Z28" i="5" s="1"/>
  <c r="AC28" i="5"/>
  <c r="AH28" i="5" s="1"/>
  <c r="AC11" i="5"/>
  <c r="AH11" i="5" s="1"/>
  <c r="AH47" i="5"/>
  <c r="K36" i="5"/>
  <c r="AB138" i="5"/>
  <c r="K85" i="5"/>
  <c r="K10" i="5"/>
  <c r="G24" i="10"/>
  <c r="AD49" i="5"/>
  <c r="AD20" i="5"/>
  <c r="AD48" i="5"/>
  <c r="D43" i="12"/>
  <c r="E43" i="12" s="1"/>
  <c r="G43" i="12" s="1"/>
  <c r="D49" i="11"/>
  <c r="E49" i="11" s="1"/>
  <c r="G49" i="11" s="1"/>
  <c r="O112" i="5"/>
  <c r="Y112" i="5" s="1"/>
  <c r="Z112" i="5" s="1"/>
  <c r="AD26" i="5"/>
  <c r="AD18" i="5"/>
  <c r="AI91" i="5"/>
  <c r="B6" i="1"/>
  <c r="AI105" i="5"/>
  <c r="AI107" i="5"/>
  <c r="AH58" i="5"/>
  <c r="AG43" i="5"/>
  <c r="AG3" i="5"/>
  <c r="AG103" i="5"/>
  <c r="AG87" i="5"/>
  <c r="AG59" i="5"/>
  <c r="AI101" i="5"/>
  <c r="AH101" i="5"/>
  <c r="AI92" i="5"/>
  <c r="AH92" i="5"/>
  <c r="AI45" i="5"/>
  <c r="AH45" i="5"/>
  <c r="AH63" i="5"/>
  <c r="AI63" i="5"/>
  <c r="AI41" i="5"/>
  <c r="AH85" i="5"/>
  <c r="AH106" i="5"/>
  <c r="AI106" i="5"/>
  <c r="AH80" i="5"/>
  <c r="AI80" i="5"/>
  <c r="AH109" i="5"/>
  <c r="AI109" i="5"/>
  <c r="AH93" i="5"/>
  <c r="AI93" i="5"/>
  <c r="AI21" i="5"/>
  <c r="AH21" i="5"/>
  <c r="AI34" i="5"/>
  <c r="AH112" i="5"/>
  <c r="AI112" i="5"/>
  <c r="AH79" i="5"/>
  <c r="AI42" i="5"/>
  <c r="AH57" i="5"/>
  <c r="AI57" i="5"/>
  <c r="AI104" i="5"/>
  <c r="AI94" i="5"/>
  <c r="AH94" i="5"/>
  <c r="AI47" i="5"/>
  <c r="AI97" i="5"/>
  <c r="AH97" i="5"/>
  <c r="AH66" i="5"/>
  <c r="AH111" i="5"/>
  <c r="AI111" i="5"/>
  <c r="AH100" i="5"/>
  <c r="AI100" i="5"/>
  <c r="AI84" i="5"/>
  <c r="AH84" i="5"/>
  <c r="A7" i="1" a="1"/>
  <c r="A7" i="1" s="1"/>
  <c r="C6" i="1"/>
  <c r="AH81" i="5"/>
  <c r="AI50" i="5"/>
  <c r="AH50" i="5"/>
  <c r="AH2" i="5" l="1"/>
  <c r="C31" i="6"/>
  <c r="C30" i="6"/>
  <c r="D30" i="6" s="1"/>
  <c r="E12" i="8" s="1"/>
  <c r="F12" i="8" s="1"/>
  <c r="C28" i="6"/>
  <c r="D28" i="6" s="1"/>
  <c r="E10" i="8" s="1"/>
  <c r="C29" i="6"/>
  <c r="C26" i="6"/>
  <c r="D26" i="6" s="1"/>
  <c r="E8" i="8" s="1"/>
  <c r="C27" i="6"/>
  <c r="D27" i="6" s="1"/>
  <c r="E9" i="8" s="1"/>
  <c r="C25" i="6"/>
  <c r="E25" i="6" s="1"/>
  <c r="G7" i="8" s="1"/>
  <c r="C24" i="6"/>
  <c r="C23" i="6"/>
  <c r="C22" i="6"/>
  <c r="E22" i="6" s="1"/>
  <c r="G4" i="8" s="1"/>
  <c r="C21" i="6"/>
  <c r="C20" i="6"/>
  <c r="B2" i="8" s="1"/>
  <c r="C2" i="8" s="1"/>
  <c r="E36" i="10"/>
  <c r="G36" i="10" s="1"/>
  <c r="E52" i="10"/>
  <c r="G52" i="10" s="1"/>
  <c r="AH35" i="5"/>
  <c r="AI25" i="5"/>
  <c r="AH38" i="5"/>
  <c r="G39" i="10"/>
  <c r="AI11" i="5"/>
  <c r="AI51" i="5"/>
  <c r="AI2" i="5"/>
  <c r="AH68" i="5"/>
  <c r="AH39" i="5"/>
  <c r="AI44" i="5"/>
  <c r="E47" i="10"/>
  <c r="G47" i="10" s="1"/>
  <c r="AI83" i="5"/>
  <c r="AH37" i="5"/>
  <c r="AH67" i="5"/>
  <c r="AI55" i="5"/>
  <c r="AI10" i="5"/>
  <c r="AI73" i="5"/>
  <c r="E42" i="10"/>
  <c r="G42" i="10" s="1"/>
  <c r="E49" i="10"/>
  <c r="G49" i="10" s="1"/>
  <c r="D4" i="1"/>
  <c r="C5" i="1"/>
  <c r="C32" i="1" s="1"/>
  <c r="A61" i="13"/>
  <c r="F61" i="13" s="1"/>
  <c r="A69" i="13"/>
  <c r="F69" i="13" s="1"/>
  <c r="A56" i="13"/>
  <c r="F56" i="13" s="1"/>
  <c r="A41" i="13"/>
  <c r="A49" i="13"/>
  <c r="A13" i="13"/>
  <c r="A21" i="13"/>
  <c r="A29" i="13"/>
  <c r="A62" i="13"/>
  <c r="F62" i="13" s="1"/>
  <c r="A70" i="13"/>
  <c r="F70" i="13" s="1"/>
  <c r="A34" i="13"/>
  <c r="A42" i="13"/>
  <c r="A50" i="13"/>
  <c r="A14" i="13"/>
  <c r="A22" i="13"/>
  <c r="A30" i="13"/>
  <c r="A63" i="13"/>
  <c r="F63" i="13" s="1"/>
  <c r="A71" i="13"/>
  <c r="F71" i="13" s="1"/>
  <c r="A35" i="13"/>
  <c r="A43" i="13"/>
  <c r="A51" i="13"/>
  <c r="A15" i="13"/>
  <c r="A23" i="13"/>
  <c r="A10" i="13"/>
  <c r="A58" i="13"/>
  <c r="F58" i="13" s="1"/>
  <c r="A66" i="13"/>
  <c r="F66" i="13" s="1"/>
  <c r="A74" i="13"/>
  <c r="F74" i="13" s="1"/>
  <c r="A38" i="13"/>
  <c r="A46" i="13"/>
  <c r="A33" i="13"/>
  <c r="A18" i="13"/>
  <c r="A26" i="13"/>
  <c r="A57" i="13"/>
  <c r="F57" i="13" s="1"/>
  <c r="A73" i="13"/>
  <c r="F73" i="13" s="1"/>
  <c r="A45" i="13"/>
  <c r="A17" i="13"/>
  <c r="A59" i="13"/>
  <c r="F59" i="13" s="1"/>
  <c r="A75" i="13"/>
  <c r="F75" i="13" s="1"/>
  <c r="A47" i="13"/>
  <c r="A19" i="13"/>
  <c r="A60" i="13"/>
  <c r="F60" i="13" s="1"/>
  <c r="A76" i="13"/>
  <c r="F76" i="13" s="1"/>
  <c r="A48" i="13"/>
  <c r="A20" i="13"/>
  <c r="A64" i="13"/>
  <c r="F64" i="13" s="1"/>
  <c r="A36" i="13"/>
  <c r="A52" i="13"/>
  <c r="A24" i="13"/>
  <c r="A65" i="13"/>
  <c r="F65" i="13" s="1"/>
  <c r="A37" i="13"/>
  <c r="A53" i="13"/>
  <c r="A25" i="13"/>
  <c r="A68" i="13"/>
  <c r="F68" i="13" s="1"/>
  <c r="A27" i="13"/>
  <c r="A12" i="13"/>
  <c r="A72" i="13"/>
  <c r="F72" i="13" s="1"/>
  <c r="A28" i="13"/>
  <c r="A39" i="13"/>
  <c r="A67" i="13"/>
  <c r="F67" i="13" s="1"/>
  <c r="A40" i="13"/>
  <c r="A44" i="13"/>
  <c r="A11" i="13"/>
  <c r="A16" i="13"/>
  <c r="E50" i="10"/>
  <c r="G50" i="10" s="1"/>
  <c r="AH24" i="5"/>
  <c r="AH4" i="5"/>
  <c r="E46" i="10"/>
  <c r="G46" i="10" s="1"/>
  <c r="E53" i="10"/>
  <c r="G53" i="10" s="1"/>
  <c r="E38" i="10"/>
  <c r="G38" i="10" s="1"/>
  <c r="E33" i="10"/>
  <c r="G33" i="10" s="1"/>
  <c r="E41" i="10"/>
  <c r="G41" i="10" s="1"/>
  <c r="E43" i="10"/>
  <c r="G43" i="10" s="1"/>
  <c r="E34" i="10"/>
  <c r="G34" i="10" s="1"/>
  <c r="AI9" i="5"/>
  <c r="AI54" i="5"/>
  <c r="AI75" i="5"/>
  <c r="AI26" i="5"/>
  <c r="AH69" i="5"/>
  <c r="AH61" i="5"/>
  <c r="AI96" i="5"/>
  <c r="AI48" i="5"/>
  <c r="AH78" i="5"/>
  <c r="AI13" i="5"/>
  <c r="AH56" i="5"/>
  <c r="AI5" i="5"/>
  <c r="AI82" i="5"/>
  <c r="AI17" i="5"/>
  <c r="AH86" i="5"/>
  <c r="AI12" i="5"/>
  <c r="AI40" i="5"/>
  <c r="AH49" i="5"/>
  <c r="AH44" i="5"/>
  <c r="AI38" i="5"/>
  <c r="AH26" i="5"/>
  <c r="AH108" i="5"/>
  <c r="AH25" i="5"/>
  <c r="AH96" i="5"/>
  <c r="AH64" i="5"/>
  <c r="AH77" i="5"/>
  <c r="AH46" i="5"/>
  <c r="AI22" i="5"/>
  <c r="AH22" i="5"/>
  <c r="AI72" i="5"/>
  <c r="AH76" i="5"/>
  <c r="AH71" i="5"/>
  <c r="AI39" i="5"/>
  <c r="F20" i="6"/>
  <c r="I2" i="8" s="1"/>
  <c r="J2" i="8" s="1"/>
  <c r="AI78" i="5"/>
  <c r="G23" i="12"/>
  <c r="E31" i="12"/>
  <c r="AI71" i="5"/>
  <c r="AI36" i="5"/>
  <c r="AI8" i="5"/>
  <c r="AI15" i="5"/>
  <c r="AI102" i="5"/>
  <c r="E31" i="11"/>
  <c r="AH29" i="5"/>
  <c r="AI95" i="5"/>
  <c r="AH95" i="5"/>
  <c r="E31" i="10"/>
  <c r="AI28" i="5"/>
  <c r="AI69" i="5"/>
  <c r="AI76" i="5"/>
  <c r="AH18" i="5"/>
  <c r="AC32" i="5"/>
  <c r="Y32" i="5"/>
  <c r="Z32" i="5" s="1"/>
  <c r="AI65" i="5"/>
  <c r="Y27" i="5"/>
  <c r="Z27" i="5" s="1"/>
  <c r="AC27" i="5"/>
  <c r="AC88" i="5"/>
  <c r="Y88" i="5"/>
  <c r="Z88" i="5" s="1"/>
  <c r="AH52" i="5"/>
  <c r="AI52" i="5"/>
  <c r="AC53" i="5"/>
  <c r="Y53" i="5"/>
  <c r="Z53" i="5" s="1"/>
  <c r="Y30" i="5"/>
  <c r="Z30" i="5" s="1"/>
  <c r="AC30" i="5"/>
  <c r="B32" i="1"/>
  <c r="AH20" i="5"/>
  <c r="AI33" i="5"/>
  <c r="AH17" i="5"/>
  <c r="AI60" i="5"/>
  <c r="AH31" i="5"/>
  <c r="AI70" i="5"/>
  <c r="AH72" i="5"/>
  <c r="Y59" i="5"/>
  <c r="Z59" i="5" s="1"/>
  <c r="AC59" i="5"/>
  <c r="AH59" i="5" s="1"/>
  <c r="F5" i="6"/>
  <c r="Y16" i="5"/>
  <c r="Z16" i="5" s="1"/>
  <c r="AC16" i="5"/>
  <c r="AI46" i="5"/>
  <c r="AH23" i="5"/>
  <c r="AH40" i="5"/>
  <c r="AI74" i="5"/>
  <c r="Y14" i="5"/>
  <c r="Z14" i="5" s="1"/>
  <c r="AC14" i="5"/>
  <c r="AI19" i="5"/>
  <c r="AI4" i="5"/>
  <c r="AC7" i="5"/>
  <c r="Y7" i="5"/>
  <c r="Z7" i="5" s="1"/>
  <c r="F25" i="6"/>
  <c r="I7" i="8" s="1"/>
  <c r="F31" i="6"/>
  <c r="I13" i="8" s="1"/>
  <c r="J13" i="8" s="1"/>
  <c r="AG6" i="1"/>
  <c r="F27" i="6"/>
  <c r="I9" i="8" s="1"/>
  <c r="F21" i="6"/>
  <c r="I3" i="8" s="1"/>
  <c r="F29" i="6"/>
  <c r="I11" i="8" s="1"/>
  <c r="J11" i="8" s="1"/>
  <c r="F22" i="6"/>
  <c r="I4" i="8" s="1"/>
  <c r="F28" i="6"/>
  <c r="D7" i="1"/>
  <c r="C7" i="1"/>
  <c r="B7" i="1"/>
  <c r="A8" i="1" a="1"/>
  <c r="A8" i="1" s="1"/>
  <c r="AG7" i="1"/>
  <c r="AH87" i="5"/>
  <c r="AI87" i="5"/>
  <c r="AH3" i="5"/>
  <c r="AI3" i="5"/>
  <c r="F30" i="6"/>
  <c r="I12" i="8" s="1"/>
  <c r="J12" i="8" s="1"/>
  <c r="F23" i="6"/>
  <c r="I5" i="8" s="1"/>
  <c r="AI103" i="5"/>
  <c r="AH103" i="5"/>
  <c r="F26" i="6"/>
  <c r="I8" i="8" s="1"/>
  <c r="F24" i="6"/>
  <c r="I6" i="8" s="1"/>
  <c r="AH43" i="5"/>
  <c r="AI43" i="5"/>
  <c r="F5" i="14" l="1"/>
  <c r="F28" i="13"/>
  <c r="H28" i="13"/>
  <c r="C28" i="13"/>
  <c r="B28" i="13"/>
  <c r="D28" i="13" s="1"/>
  <c r="B65" i="13"/>
  <c r="D65" i="13"/>
  <c r="E65" i="13"/>
  <c r="G65" i="13" s="1"/>
  <c r="H65" i="13"/>
  <c r="C65" i="13"/>
  <c r="H60" i="13"/>
  <c r="E60" i="13"/>
  <c r="G60" i="13" s="1"/>
  <c r="D60" i="13"/>
  <c r="C60" i="13"/>
  <c r="B60" i="13"/>
  <c r="B57" i="13"/>
  <c r="D57" i="13" s="1"/>
  <c r="H57" i="13"/>
  <c r="C57" i="13"/>
  <c r="B58" i="13"/>
  <c r="H58" i="13"/>
  <c r="D58" i="13"/>
  <c r="C58" i="13"/>
  <c r="E58" i="13"/>
  <c r="G58" i="13" s="1"/>
  <c r="H63" i="13"/>
  <c r="D63" i="13"/>
  <c r="B63" i="13"/>
  <c r="C63" i="13"/>
  <c r="E63" i="13"/>
  <c r="G63" i="13" s="1"/>
  <c r="E62" i="13"/>
  <c r="G62" i="13" s="1"/>
  <c r="B62" i="13"/>
  <c r="H62" i="13"/>
  <c r="C62" i="13"/>
  <c r="D62" i="13"/>
  <c r="D61" i="13"/>
  <c r="E61" i="13"/>
  <c r="G61" i="13" s="1"/>
  <c r="C61" i="13"/>
  <c r="H61" i="13"/>
  <c r="B61" i="13"/>
  <c r="H72" i="13"/>
  <c r="B72" i="13"/>
  <c r="E72" i="13"/>
  <c r="G72" i="13" s="1"/>
  <c r="D72" i="13"/>
  <c r="C72" i="13"/>
  <c r="F24" i="13"/>
  <c r="B24" i="13"/>
  <c r="D24" i="13" s="1"/>
  <c r="C24" i="13"/>
  <c r="H24" i="13"/>
  <c r="B19" i="13"/>
  <c r="D19" i="13" s="1"/>
  <c r="H19" i="13"/>
  <c r="C19" i="13"/>
  <c r="F19" i="13"/>
  <c r="F26" i="13"/>
  <c r="B26" i="13"/>
  <c r="D26" i="13" s="1"/>
  <c r="H26" i="13"/>
  <c r="C26" i="13"/>
  <c r="C10" i="13"/>
  <c r="H10" i="13"/>
  <c r="F10" i="13"/>
  <c r="B10" i="13"/>
  <c r="D10" i="13" s="1"/>
  <c r="B54" i="13"/>
  <c r="B77" i="13"/>
  <c r="B31" i="13"/>
  <c r="H30" i="13"/>
  <c r="B30" i="13"/>
  <c r="D30" i="13" s="1"/>
  <c r="F30" i="13"/>
  <c r="C30" i="13"/>
  <c r="C29" i="13"/>
  <c r="H29" i="13"/>
  <c r="F29" i="13"/>
  <c r="B29" i="13"/>
  <c r="D29" i="13" s="1"/>
  <c r="B37" i="13"/>
  <c r="D37" i="13" s="1"/>
  <c r="H37" i="13"/>
  <c r="C37" i="13"/>
  <c r="F37" i="13"/>
  <c r="B73" i="13"/>
  <c r="C73" i="13"/>
  <c r="H73" i="13"/>
  <c r="E73" i="13"/>
  <c r="G73" i="13" s="1"/>
  <c r="D73" i="13"/>
  <c r="H71" i="13"/>
  <c r="D71" i="13"/>
  <c r="C71" i="13"/>
  <c r="B71" i="13"/>
  <c r="E71" i="13"/>
  <c r="G71" i="13" s="1"/>
  <c r="D69" i="13"/>
  <c r="H69" i="13"/>
  <c r="C69" i="13"/>
  <c r="E69" i="13"/>
  <c r="G69" i="13" s="1"/>
  <c r="B69" i="13"/>
  <c r="F52" i="13"/>
  <c r="H52" i="13"/>
  <c r="C52" i="13"/>
  <c r="B52" i="13"/>
  <c r="D52" i="13" s="1"/>
  <c r="B11" i="13"/>
  <c r="D11" i="13" s="1"/>
  <c r="H11" i="13"/>
  <c r="F11" i="13"/>
  <c r="C11" i="13"/>
  <c r="B27" i="13"/>
  <c r="D27" i="13" s="1"/>
  <c r="F27" i="13"/>
  <c r="H27" i="13"/>
  <c r="C27" i="13"/>
  <c r="F36" i="13"/>
  <c r="B36" i="13"/>
  <c r="D36" i="13" s="1"/>
  <c r="H36" i="13"/>
  <c r="C36" i="13"/>
  <c r="B75" i="13"/>
  <c r="H75" i="13"/>
  <c r="D75" i="13"/>
  <c r="C75" i="13"/>
  <c r="E75" i="13"/>
  <c r="G75" i="13" s="1"/>
  <c r="B33" i="13"/>
  <c r="D33" i="13" s="1"/>
  <c r="H33" i="13"/>
  <c r="F33" i="13"/>
  <c r="C33" i="13"/>
  <c r="C15" i="13"/>
  <c r="B15" i="13"/>
  <c r="D15" i="13" s="1"/>
  <c r="H15" i="13"/>
  <c r="F15" i="13"/>
  <c r="B14" i="13"/>
  <c r="D14" i="13" s="1"/>
  <c r="H14" i="13"/>
  <c r="C14" i="13"/>
  <c r="F14" i="13"/>
  <c r="C13" i="13"/>
  <c r="F13" i="13"/>
  <c r="H13" i="13"/>
  <c r="B13" i="13"/>
  <c r="D13" i="13" s="1"/>
  <c r="F44" i="13"/>
  <c r="B44" i="13"/>
  <c r="D44" i="13" s="1"/>
  <c r="H44" i="13"/>
  <c r="C44" i="13"/>
  <c r="E68" i="13"/>
  <c r="G68" i="13" s="1"/>
  <c r="H68" i="13"/>
  <c r="D68" i="13"/>
  <c r="C68" i="13"/>
  <c r="B68" i="13"/>
  <c r="H64" i="13"/>
  <c r="E64" i="13"/>
  <c r="G64" i="13" s="1"/>
  <c r="B64" i="13"/>
  <c r="C64" i="13"/>
  <c r="D64" i="13"/>
  <c r="B59" i="13"/>
  <c r="D59" i="13"/>
  <c r="H59" i="13"/>
  <c r="E59" i="13"/>
  <c r="G59" i="13" s="1"/>
  <c r="C59" i="13"/>
  <c r="C46" i="13"/>
  <c r="H46" i="13"/>
  <c r="B46" i="13"/>
  <c r="D46" i="13" s="1"/>
  <c r="F46" i="13"/>
  <c r="F51" i="13"/>
  <c r="H51" i="13"/>
  <c r="B51" i="13"/>
  <c r="D51" i="13" s="1"/>
  <c r="C51" i="13"/>
  <c r="C50" i="13"/>
  <c r="B50" i="13"/>
  <c r="D50" i="13" s="1"/>
  <c r="H50" i="13"/>
  <c r="F50" i="13"/>
  <c r="B49" i="13"/>
  <c r="D49" i="13" s="1"/>
  <c r="H49" i="13"/>
  <c r="F49" i="13"/>
  <c r="C49" i="13"/>
  <c r="B16" i="13"/>
  <c r="D16" i="13" s="1"/>
  <c r="H16" i="13"/>
  <c r="C16" i="13"/>
  <c r="F16" i="13"/>
  <c r="B12" i="13"/>
  <c r="D12" i="13" s="1"/>
  <c r="H12" i="13"/>
  <c r="C12" i="13"/>
  <c r="F12" i="13"/>
  <c r="B47" i="13"/>
  <c r="D47" i="13" s="1"/>
  <c r="F47" i="13"/>
  <c r="H47" i="13"/>
  <c r="C47" i="13"/>
  <c r="B18" i="13"/>
  <c r="D18" i="13" s="1"/>
  <c r="H18" i="13"/>
  <c r="F18" i="13"/>
  <c r="C18" i="13"/>
  <c r="B23" i="13"/>
  <c r="D23" i="13" s="1"/>
  <c r="C23" i="13"/>
  <c r="F23" i="13"/>
  <c r="H23" i="13"/>
  <c r="F22" i="13"/>
  <c r="C22" i="13"/>
  <c r="B22" i="13"/>
  <c r="D22" i="13" s="1"/>
  <c r="H22" i="13"/>
  <c r="C21" i="13"/>
  <c r="H21" i="13"/>
  <c r="F21" i="13"/>
  <c r="B21" i="13"/>
  <c r="D21" i="13" s="1"/>
  <c r="D5" i="1"/>
  <c r="D32" i="1" s="1"/>
  <c r="E4" i="1"/>
  <c r="D6" i="1"/>
  <c r="C40" i="13"/>
  <c r="F40" i="13"/>
  <c r="B40" i="13"/>
  <c r="D40" i="13" s="1"/>
  <c r="H40" i="13"/>
  <c r="C25" i="13"/>
  <c r="H25" i="13"/>
  <c r="B25" i="13"/>
  <c r="D25" i="13" s="1"/>
  <c r="F25" i="13"/>
  <c r="F20" i="13"/>
  <c r="B20" i="13"/>
  <c r="D20" i="13" s="1"/>
  <c r="H20" i="13"/>
  <c r="C20" i="13"/>
  <c r="C17" i="13"/>
  <c r="H17" i="13"/>
  <c r="B17" i="13"/>
  <c r="D17" i="13" s="1"/>
  <c r="F17" i="13"/>
  <c r="F38" i="13"/>
  <c r="C38" i="13"/>
  <c r="B38" i="13"/>
  <c r="D38" i="13" s="1"/>
  <c r="H38" i="13"/>
  <c r="B43" i="13"/>
  <c r="D43" i="13" s="1"/>
  <c r="C43" i="13"/>
  <c r="F43" i="13"/>
  <c r="H43" i="13"/>
  <c r="B42" i="13"/>
  <c r="D42" i="13" s="1"/>
  <c r="F42" i="13"/>
  <c r="C42" i="13"/>
  <c r="H42" i="13"/>
  <c r="F41" i="13"/>
  <c r="H41" i="13"/>
  <c r="B41" i="13"/>
  <c r="D41" i="13" s="1"/>
  <c r="C41" i="13"/>
  <c r="C39" i="13"/>
  <c r="H39" i="13"/>
  <c r="B39" i="13"/>
  <c r="D39" i="13" s="1"/>
  <c r="F39" i="13"/>
  <c r="H76" i="13"/>
  <c r="B76" i="13"/>
  <c r="E76" i="13"/>
  <c r="G76" i="13" s="1"/>
  <c r="D76" i="13"/>
  <c r="C76" i="13"/>
  <c r="B66" i="13"/>
  <c r="H66" i="13"/>
  <c r="D66" i="13"/>
  <c r="C66" i="13"/>
  <c r="E66" i="13"/>
  <c r="G66" i="13" s="1"/>
  <c r="B70" i="13"/>
  <c r="D70" i="13"/>
  <c r="E70" i="13"/>
  <c r="G70" i="13" s="1"/>
  <c r="H70" i="13"/>
  <c r="C70" i="13"/>
  <c r="B67" i="13"/>
  <c r="C67" i="13"/>
  <c r="E67" i="13"/>
  <c r="G67" i="13" s="1"/>
  <c r="D67" i="13"/>
  <c r="H67" i="13"/>
  <c r="B53" i="13"/>
  <c r="D53" i="13" s="1"/>
  <c r="H53" i="13"/>
  <c r="F53" i="13"/>
  <c r="C53" i="13"/>
  <c r="F48" i="13"/>
  <c r="B48" i="13"/>
  <c r="D48" i="13" s="1"/>
  <c r="H48" i="13"/>
  <c r="C48" i="13"/>
  <c r="B45" i="13"/>
  <c r="D45" i="13" s="1"/>
  <c r="H45" i="13"/>
  <c r="C45" i="13"/>
  <c r="F45" i="13"/>
  <c r="B74" i="13"/>
  <c r="C74" i="13"/>
  <c r="E74" i="13"/>
  <c r="G74" i="13" s="1"/>
  <c r="D74" i="13"/>
  <c r="H74" i="13"/>
  <c r="B35" i="13"/>
  <c r="D35" i="13" s="1"/>
  <c r="C35" i="13"/>
  <c r="F35" i="13"/>
  <c r="H35" i="13"/>
  <c r="C34" i="13"/>
  <c r="H34" i="13"/>
  <c r="F34" i="13"/>
  <c r="B34" i="13"/>
  <c r="D34" i="13" s="1"/>
  <c r="B56" i="13"/>
  <c r="D56" i="13" s="1"/>
  <c r="C56" i="13"/>
  <c r="H56" i="13"/>
  <c r="AI59" i="5"/>
  <c r="E30" i="6"/>
  <c r="G12" i="8" s="1"/>
  <c r="B12" i="8"/>
  <c r="C12" i="8" s="1"/>
  <c r="E20" i="6"/>
  <c r="G2" i="8" s="1"/>
  <c r="B9" i="8"/>
  <c r="E27" i="6"/>
  <c r="G9" i="8" s="1"/>
  <c r="D22" i="6"/>
  <c r="E4" i="8" s="1"/>
  <c r="B4" i="8"/>
  <c r="B8" i="8"/>
  <c r="D25" i="6"/>
  <c r="E7" i="8" s="1"/>
  <c r="AH7" i="5"/>
  <c r="AI7" i="5"/>
  <c r="AI27" i="5"/>
  <c r="AH27" i="5"/>
  <c r="G31" i="11"/>
  <c r="E35" i="11"/>
  <c r="D20" i="6"/>
  <c r="E2" i="8" s="1"/>
  <c r="F2" i="8" s="1"/>
  <c r="E5" i="6"/>
  <c r="G5" i="6"/>
  <c r="AI32" i="5"/>
  <c r="AH32" i="5"/>
  <c r="E32" i="10"/>
  <c r="G31" i="10"/>
  <c r="B7" i="8"/>
  <c r="E35" i="12"/>
  <c r="G31" i="12"/>
  <c r="AI14" i="5"/>
  <c r="AH14" i="5"/>
  <c r="AH53" i="5"/>
  <c r="AI53" i="5"/>
  <c r="E26" i="6"/>
  <c r="G8" i="8" s="1"/>
  <c r="AI16" i="5"/>
  <c r="AH16" i="5"/>
  <c r="AI30" i="5"/>
  <c r="AH30" i="5"/>
  <c r="AI88" i="5"/>
  <c r="AH88" i="5"/>
  <c r="E28" i="6"/>
  <c r="G10" i="8" s="1"/>
  <c r="B10" i="8"/>
  <c r="E21" i="6"/>
  <c r="G3" i="8" s="1"/>
  <c r="B3" i="8"/>
  <c r="C3" i="8" s="1"/>
  <c r="D21" i="6"/>
  <c r="E3" i="8" s="1"/>
  <c r="C8" i="1"/>
  <c r="E8" i="1"/>
  <c r="AG8" i="1"/>
  <c r="D8" i="1"/>
  <c r="B8" i="1"/>
  <c r="B6" i="8"/>
  <c r="D24" i="6"/>
  <c r="E6" i="8" s="1"/>
  <c r="E24" i="6"/>
  <c r="G6" i="8" s="1"/>
  <c r="D29" i="6"/>
  <c r="E11" i="8" s="1"/>
  <c r="B11" i="8"/>
  <c r="E29" i="6"/>
  <c r="G11" i="8" s="1"/>
  <c r="E23" i="6"/>
  <c r="G5" i="8" s="1"/>
  <c r="B5" i="8"/>
  <c r="D23" i="6"/>
  <c r="E5" i="8" s="1"/>
  <c r="C17" i="6"/>
  <c r="F34" i="6"/>
  <c r="I10" i="8"/>
  <c r="A34" i="6"/>
  <c r="E31" i="6"/>
  <c r="G13" i="8" s="1"/>
  <c r="D31" i="6"/>
  <c r="E13" i="8" s="1"/>
  <c r="F13" i="8" s="1"/>
  <c r="B13" i="8"/>
  <c r="C13" i="8" s="1"/>
  <c r="J3" i="8"/>
  <c r="J4" i="8" s="1"/>
  <c r="J5" i="8" s="1"/>
  <c r="J6" i="8" s="1"/>
  <c r="J7" i="8" s="1"/>
  <c r="J8" i="8" s="1"/>
  <c r="J9" i="8" s="1"/>
  <c r="C34" i="6"/>
  <c r="A9" i="1" a="1"/>
  <c r="A9" i="1" s="1"/>
  <c r="A10" i="1" s="1" a="1"/>
  <c r="A10" i="1" s="1"/>
  <c r="G30" i="6" l="1"/>
  <c r="K12" i="8" s="1"/>
  <c r="L12" i="8" s="1"/>
  <c r="G25" i="6"/>
  <c r="K7" i="8" s="1"/>
  <c r="G21" i="6"/>
  <c r="K3" i="8" s="1"/>
  <c r="G20" i="6"/>
  <c r="K2" i="8" s="1"/>
  <c r="L2" i="8" s="1"/>
  <c r="G31" i="6"/>
  <c r="K13" i="8" s="1"/>
  <c r="L13" i="8" s="1"/>
  <c r="G23" i="6"/>
  <c r="K5" i="8" s="1"/>
  <c r="G22" i="6"/>
  <c r="K4" i="8" s="1"/>
  <c r="G28" i="6"/>
  <c r="K10" i="8" s="1"/>
  <c r="G24" i="6"/>
  <c r="K6" i="8" s="1"/>
  <c r="G27" i="6"/>
  <c r="K9" i="8" s="1"/>
  <c r="G29" i="6"/>
  <c r="K11" i="8" s="1"/>
  <c r="L11" i="8" s="1"/>
  <c r="G26" i="6"/>
  <c r="K8" i="8" s="1"/>
  <c r="E57" i="13"/>
  <c r="G57" i="13" s="1"/>
  <c r="E36" i="13"/>
  <c r="G36" i="13" s="1"/>
  <c r="E15" i="13"/>
  <c r="G15" i="13" s="1"/>
  <c r="E16" i="13"/>
  <c r="G16" i="13" s="1"/>
  <c r="E28" i="13"/>
  <c r="G28" i="13" s="1"/>
  <c r="E24" i="13"/>
  <c r="G24" i="13" s="1"/>
  <c r="A47" i="14"/>
  <c r="E47" i="14" s="1"/>
  <c r="G47" i="14" s="1"/>
  <c r="A39" i="14"/>
  <c r="A75" i="14"/>
  <c r="F75" i="14" s="1"/>
  <c r="A67" i="14"/>
  <c r="F67" i="14" s="1"/>
  <c r="A59" i="14"/>
  <c r="F59" i="14" s="1"/>
  <c r="A21" i="14"/>
  <c r="A28" i="14"/>
  <c r="A14" i="14"/>
  <c r="A46" i="14"/>
  <c r="A38" i="14"/>
  <c r="E38" i="14" s="1"/>
  <c r="G38" i="14" s="1"/>
  <c r="A74" i="14"/>
  <c r="F74" i="14" s="1"/>
  <c r="A66" i="14"/>
  <c r="F66" i="14" s="1"/>
  <c r="A58" i="14"/>
  <c r="F58" i="14" s="1"/>
  <c r="A19" i="14"/>
  <c r="A12" i="14"/>
  <c r="A49" i="14"/>
  <c r="E49" i="14" s="1"/>
  <c r="G49" i="14" s="1"/>
  <c r="A41" i="14"/>
  <c r="A33" i="14"/>
  <c r="A69" i="14"/>
  <c r="F69" i="14" s="1"/>
  <c r="A61" i="14"/>
  <c r="F61" i="14" s="1"/>
  <c r="A25" i="14"/>
  <c r="A24" i="14"/>
  <c r="A20" i="14"/>
  <c r="A48" i="14"/>
  <c r="E48" i="14" s="1"/>
  <c r="G48" i="14" s="1"/>
  <c r="A40" i="14"/>
  <c r="E40" i="14" s="1"/>
  <c r="G40" i="14" s="1"/>
  <c r="A76" i="14"/>
  <c r="A68" i="14"/>
  <c r="F68" i="14" s="1"/>
  <c r="A60" i="14"/>
  <c r="F60" i="14" s="1"/>
  <c r="A23" i="14"/>
  <c r="A18" i="14"/>
  <c r="A30" i="14"/>
  <c r="A53" i="14"/>
  <c r="A45" i="14"/>
  <c r="A37" i="14"/>
  <c r="E37" i="14" s="1"/>
  <c r="G37" i="14" s="1"/>
  <c r="A73" i="14"/>
  <c r="F73" i="14" s="1"/>
  <c r="A65" i="14"/>
  <c r="F65" i="14" s="1"/>
  <c r="A57" i="14"/>
  <c r="A17" i="14"/>
  <c r="A22" i="14"/>
  <c r="A52" i="14"/>
  <c r="A44" i="14"/>
  <c r="E44" i="14" s="1"/>
  <c r="G44" i="14" s="1"/>
  <c r="A36" i="14"/>
  <c r="A72" i="14"/>
  <c r="F72" i="14" s="1"/>
  <c r="A64" i="14"/>
  <c r="F64" i="14" s="1"/>
  <c r="A56" i="14"/>
  <c r="F56" i="14" s="1"/>
  <c r="A15" i="14"/>
  <c r="A16" i="14"/>
  <c r="A51" i="14"/>
  <c r="E51" i="14" s="1"/>
  <c r="G51" i="14" s="1"/>
  <c r="A43" i="14"/>
  <c r="A35" i="14"/>
  <c r="A71" i="14"/>
  <c r="F71" i="14" s="1"/>
  <c r="A63" i="14"/>
  <c r="F63" i="14" s="1"/>
  <c r="A29" i="14"/>
  <c r="A13" i="14"/>
  <c r="A26" i="14"/>
  <c r="A50" i="14"/>
  <c r="A42" i="14"/>
  <c r="A34" i="14"/>
  <c r="A70" i="14"/>
  <c r="A62" i="14"/>
  <c r="F62" i="14" s="1"/>
  <c r="A27" i="14"/>
  <c r="A11" i="14"/>
  <c r="A10" i="14"/>
  <c r="E52" i="13"/>
  <c r="G52" i="13" s="1"/>
  <c r="E48" i="13"/>
  <c r="G48" i="13" s="1"/>
  <c r="E19" i="13"/>
  <c r="G19" i="13" s="1"/>
  <c r="E22" i="13"/>
  <c r="G22" i="13" s="1"/>
  <c r="E23" i="13"/>
  <c r="G23" i="13" s="1"/>
  <c r="E49" i="13"/>
  <c r="G49" i="13" s="1"/>
  <c r="E30" i="13"/>
  <c r="G30" i="13" s="1"/>
  <c r="E46" i="13"/>
  <c r="G46" i="13" s="1"/>
  <c r="E40" i="13"/>
  <c r="G40" i="13" s="1"/>
  <c r="E38" i="13"/>
  <c r="G38" i="13" s="1"/>
  <c r="E20" i="13"/>
  <c r="G20" i="13" s="1"/>
  <c r="E41" i="13"/>
  <c r="G41" i="13" s="1"/>
  <c r="E45" i="13"/>
  <c r="G45" i="13" s="1"/>
  <c r="E53" i="13"/>
  <c r="G53" i="13" s="1"/>
  <c r="E11" i="13"/>
  <c r="G11" i="13" s="1"/>
  <c r="E18" i="13"/>
  <c r="G18" i="13" s="1"/>
  <c r="E51" i="13"/>
  <c r="G51" i="13" s="1"/>
  <c r="E37" i="13"/>
  <c r="G37" i="13" s="1"/>
  <c r="E21" i="13"/>
  <c r="G21" i="13" s="1"/>
  <c r="E27" i="13"/>
  <c r="G27" i="13" s="1"/>
  <c r="E10" i="13"/>
  <c r="G10" i="13" s="1"/>
  <c r="E12" i="13"/>
  <c r="G12" i="13" s="1"/>
  <c r="E33" i="13"/>
  <c r="G33" i="13" s="1"/>
  <c r="E29" i="13"/>
  <c r="G29" i="13" s="1"/>
  <c r="E26" i="13"/>
  <c r="G26" i="13" s="1"/>
  <c r="E43" i="13"/>
  <c r="G43" i="13" s="1"/>
  <c r="E56" i="13"/>
  <c r="G56" i="13" s="1"/>
  <c r="E35" i="13"/>
  <c r="G35" i="13" s="1"/>
  <c r="E50" i="13"/>
  <c r="G50" i="13" s="1"/>
  <c r="E13" i="13"/>
  <c r="G13" i="13" s="1"/>
  <c r="E39" i="13"/>
  <c r="G39" i="13" s="1"/>
  <c r="E14" i="13"/>
  <c r="G14" i="13" s="1"/>
  <c r="E42" i="13"/>
  <c r="G42" i="13" s="1"/>
  <c r="E47" i="13"/>
  <c r="G47" i="13" s="1"/>
  <c r="E44" i="13"/>
  <c r="G44" i="13" s="1"/>
  <c r="E34" i="13"/>
  <c r="G34" i="13" s="1"/>
  <c r="E6" i="1"/>
  <c r="E7" i="1"/>
  <c r="F4" i="1"/>
  <c r="E5" i="1"/>
  <c r="E32" i="1" s="1"/>
  <c r="E17" i="13"/>
  <c r="G17" i="13" s="1"/>
  <c r="E25" i="13"/>
  <c r="G25" i="13" s="1"/>
  <c r="C4" i="8"/>
  <c r="C5" i="8" s="1"/>
  <c r="C6" i="8" s="1"/>
  <c r="C7" i="8" s="1"/>
  <c r="C8" i="8" s="1"/>
  <c r="C9" i="8" s="1"/>
  <c r="C10" i="8" s="1"/>
  <c r="C11" i="8" s="1"/>
  <c r="E54" i="10"/>
  <c r="G32" i="10"/>
  <c r="E57" i="11"/>
  <c r="G57" i="11" s="1"/>
  <c r="G35" i="11"/>
  <c r="G35" i="12"/>
  <c r="E57" i="12"/>
  <c r="G57" i="12" s="1"/>
  <c r="F3" i="8"/>
  <c r="F4" i="8" s="1"/>
  <c r="F5" i="8" s="1"/>
  <c r="F6" i="8" s="1"/>
  <c r="F7" i="8" s="1"/>
  <c r="F8" i="8" s="1"/>
  <c r="F9" i="8" s="1"/>
  <c r="F10" i="8" s="1"/>
  <c r="F11" i="8" s="1"/>
  <c r="D9" i="8"/>
  <c r="D12" i="8"/>
  <c r="D3" i="8"/>
  <c r="D10" i="8"/>
  <c r="D5" i="8"/>
  <c r="D2" i="8"/>
  <c r="D8" i="8"/>
  <c r="D7" i="8"/>
  <c r="D11" i="8"/>
  <c r="D13" i="8"/>
  <c r="D6" i="8"/>
  <c r="D4" i="8"/>
  <c r="J10" i="8"/>
  <c r="D9" i="1"/>
  <c r="C9" i="1"/>
  <c r="B9" i="1"/>
  <c r="E9" i="1"/>
  <c r="AG9" i="1"/>
  <c r="F9" i="1"/>
  <c r="A11" i="1" a="1"/>
  <c r="A11" i="1" s="1"/>
  <c r="E10" i="1"/>
  <c r="C10" i="1"/>
  <c r="D10" i="1"/>
  <c r="AG10" i="1"/>
  <c r="B10" i="1"/>
  <c r="F10" i="1"/>
  <c r="G17" i="6"/>
  <c r="E76" i="14" l="1"/>
  <c r="G76" i="14" s="1"/>
  <c r="F76" i="14"/>
  <c r="E57" i="14"/>
  <c r="G57" i="14" s="1"/>
  <c r="F57" i="14"/>
  <c r="E70" i="14"/>
  <c r="G70" i="14" s="1"/>
  <c r="F70" i="14"/>
  <c r="H70" i="14"/>
  <c r="C70" i="14"/>
  <c r="B70" i="14"/>
  <c r="D70" i="14" s="1"/>
  <c r="H71" i="14"/>
  <c r="C71" i="14"/>
  <c r="B71" i="14"/>
  <c r="D71" i="14" s="1"/>
  <c r="E71" i="14" s="1"/>
  <c r="G71" i="14" s="1"/>
  <c r="B72" i="14"/>
  <c r="H72" i="14"/>
  <c r="D72" i="14"/>
  <c r="C72" i="14"/>
  <c r="E72" i="14" s="1"/>
  <c r="G72" i="14" s="1"/>
  <c r="C73" i="14"/>
  <c r="E73" i="14" s="1"/>
  <c r="G73" i="14" s="1"/>
  <c r="B73" i="14"/>
  <c r="D73" i="14" s="1"/>
  <c r="H73" i="14"/>
  <c r="B68" i="14"/>
  <c r="D68" i="14"/>
  <c r="C68" i="14"/>
  <c r="H68" i="14"/>
  <c r="E68" i="14"/>
  <c r="G68" i="14" s="1"/>
  <c r="H69" i="14"/>
  <c r="C69" i="14"/>
  <c r="B69" i="14"/>
  <c r="D69" i="14" s="1"/>
  <c r="C74" i="14"/>
  <c r="B74" i="14"/>
  <c r="D74" i="14" s="1"/>
  <c r="H74" i="14"/>
  <c r="B75" i="14"/>
  <c r="H75" i="14"/>
  <c r="D75" i="14"/>
  <c r="E75" i="14" s="1"/>
  <c r="G75" i="14" s="1"/>
  <c r="C75" i="14"/>
  <c r="E69" i="14"/>
  <c r="G69" i="14" s="1"/>
  <c r="C34" i="14"/>
  <c r="F34" i="14"/>
  <c r="H34" i="14"/>
  <c r="B34" i="14"/>
  <c r="D34" i="14" s="1"/>
  <c r="B35" i="14"/>
  <c r="D35" i="14" s="1"/>
  <c r="H35" i="14"/>
  <c r="F35" i="14"/>
  <c r="C35" i="14"/>
  <c r="B36" i="14"/>
  <c r="D36" i="14" s="1"/>
  <c r="F36" i="14"/>
  <c r="H36" i="14"/>
  <c r="C36" i="14"/>
  <c r="F37" i="14"/>
  <c r="C37" i="14"/>
  <c r="B37" i="14"/>
  <c r="D37" i="14" s="1"/>
  <c r="H37" i="14"/>
  <c r="C76" i="14"/>
  <c r="B76" i="14"/>
  <c r="D76" i="14" s="1"/>
  <c r="H76" i="14"/>
  <c r="B33" i="14"/>
  <c r="D33" i="14" s="1"/>
  <c r="H33" i="14"/>
  <c r="F33" i="14"/>
  <c r="C33" i="14"/>
  <c r="H38" i="14"/>
  <c r="B38" i="14"/>
  <c r="D38" i="14" s="1"/>
  <c r="F38" i="14"/>
  <c r="C38" i="14"/>
  <c r="D39" i="14"/>
  <c r="F39" i="14"/>
  <c r="H39" i="14"/>
  <c r="C39" i="14"/>
  <c r="E39" i="14" s="1"/>
  <c r="G39" i="14" s="1"/>
  <c r="B39" i="14"/>
  <c r="H10" i="14"/>
  <c r="B31" i="14"/>
  <c r="B77" i="14"/>
  <c r="B10" i="14"/>
  <c r="D10" i="14" s="1"/>
  <c r="F10" i="14"/>
  <c r="C10" i="14"/>
  <c r="B54" i="14"/>
  <c r="C26" i="14"/>
  <c r="B26" i="14"/>
  <c r="D26" i="14" s="1"/>
  <c r="H26" i="14"/>
  <c r="F26" i="14"/>
  <c r="B16" i="14"/>
  <c r="D16" i="14" s="1"/>
  <c r="H16" i="14"/>
  <c r="F16" i="14"/>
  <c r="C16" i="14"/>
  <c r="F22" i="14"/>
  <c r="C22" i="14"/>
  <c r="H22" i="14"/>
  <c r="B22" i="14"/>
  <c r="D22" i="14" s="1"/>
  <c r="B30" i="14"/>
  <c r="D30" i="14" s="1"/>
  <c r="H30" i="14"/>
  <c r="F30" i="14"/>
  <c r="C30" i="14"/>
  <c r="C20" i="14"/>
  <c r="B20" i="14"/>
  <c r="D20" i="14" s="1"/>
  <c r="H20" i="14"/>
  <c r="F20" i="14"/>
  <c r="B12" i="14"/>
  <c r="D12" i="14" s="1"/>
  <c r="H12" i="14"/>
  <c r="F12" i="14"/>
  <c r="C12" i="14"/>
  <c r="H28" i="14"/>
  <c r="F28" i="14"/>
  <c r="C28" i="14"/>
  <c r="B28" i="14"/>
  <c r="D28" i="14" s="1"/>
  <c r="H62" i="14"/>
  <c r="D62" i="14"/>
  <c r="E62" i="14" s="1"/>
  <c r="G62" i="14" s="1"/>
  <c r="C62" i="14"/>
  <c r="B62" i="14"/>
  <c r="D63" i="14"/>
  <c r="E63" i="14" s="1"/>
  <c r="G63" i="14" s="1"/>
  <c r="H63" i="14"/>
  <c r="C63" i="14"/>
  <c r="B63" i="14"/>
  <c r="C64" i="14"/>
  <c r="B64" i="14"/>
  <c r="D64" i="14" s="1"/>
  <c r="E64" i="14" s="1"/>
  <c r="G64" i="14" s="1"/>
  <c r="H64" i="14"/>
  <c r="B65" i="14"/>
  <c r="H65" i="14"/>
  <c r="D65" i="14"/>
  <c r="E65" i="14"/>
  <c r="G65" i="14" s="1"/>
  <c r="C65" i="14"/>
  <c r="B60" i="14"/>
  <c r="D60" i="14"/>
  <c r="H60" i="14"/>
  <c r="C60" i="14"/>
  <c r="E60" i="14" s="1"/>
  <c r="G60" i="14" s="1"/>
  <c r="D61" i="14"/>
  <c r="H61" i="14"/>
  <c r="C61" i="14"/>
  <c r="E61" i="14" s="1"/>
  <c r="G61" i="14" s="1"/>
  <c r="B61" i="14"/>
  <c r="H66" i="14"/>
  <c r="C66" i="14"/>
  <c r="E66" i="14" s="1"/>
  <c r="G66" i="14" s="1"/>
  <c r="B66" i="14"/>
  <c r="D66" i="14"/>
  <c r="B67" i="14"/>
  <c r="D67" i="14"/>
  <c r="C67" i="14"/>
  <c r="E67" i="14" s="1"/>
  <c r="G67" i="14" s="1"/>
  <c r="H67" i="14"/>
  <c r="F42" i="14"/>
  <c r="C42" i="14"/>
  <c r="E42" i="14" s="1"/>
  <c r="G42" i="14" s="1"/>
  <c r="H42" i="14"/>
  <c r="B42" i="14"/>
  <c r="D42" i="14" s="1"/>
  <c r="B43" i="14"/>
  <c r="D43" i="14" s="1"/>
  <c r="E43" i="14" s="1"/>
  <c r="G43" i="14" s="1"/>
  <c r="H43" i="14"/>
  <c r="F43" i="14"/>
  <c r="C43" i="14"/>
  <c r="B44" i="14"/>
  <c r="D44" i="14" s="1"/>
  <c r="F44" i="14"/>
  <c r="C44" i="14"/>
  <c r="H44" i="14"/>
  <c r="F45" i="14"/>
  <c r="C45" i="14"/>
  <c r="H45" i="14"/>
  <c r="B45" i="14"/>
  <c r="D45" i="14" s="1"/>
  <c r="E45" i="14" s="1"/>
  <c r="G45" i="14" s="1"/>
  <c r="B40" i="14"/>
  <c r="D40" i="14" s="1"/>
  <c r="F40" i="14"/>
  <c r="H40" i="14"/>
  <c r="C40" i="14"/>
  <c r="B41" i="14"/>
  <c r="D41" i="14" s="1"/>
  <c r="H41" i="14"/>
  <c r="F41" i="14"/>
  <c r="C41" i="14"/>
  <c r="E41" i="14" s="1"/>
  <c r="G41" i="14" s="1"/>
  <c r="H46" i="14"/>
  <c r="B46" i="14"/>
  <c r="D46" i="14" s="1"/>
  <c r="F46" i="14"/>
  <c r="C46" i="14"/>
  <c r="H47" i="14"/>
  <c r="B47" i="14"/>
  <c r="D47" i="14"/>
  <c r="F47" i="14"/>
  <c r="C47" i="14"/>
  <c r="E46" i="14"/>
  <c r="G46" i="14" s="1"/>
  <c r="E74" i="14"/>
  <c r="G74" i="14" s="1"/>
  <c r="F50" i="14"/>
  <c r="C50" i="14"/>
  <c r="E50" i="14" s="1"/>
  <c r="G50" i="14" s="1"/>
  <c r="H50" i="14"/>
  <c r="B50" i="14"/>
  <c r="D50" i="14" s="1"/>
  <c r="B51" i="14"/>
  <c r="D51" i="14" s="1"/>
  <c r="H51" i="14"/>
  <c r="F51" i="14"/>
  <c r="C51" i="14"/>
  <c r="D52" i="14"/>
  <c r="B52" i="14"/>
  <c r="H52" i="14"/>
  <c r="F52" i="14"/>
  <c r="C52" i="14"/>
  <c r="E52" i="14" s="1"/>
  <c r="G52" i="14" s="1"/>
  <c r="F53" i="14"/>
  <c r="C53" i="14"/>
  <c r="B53" i="14"/>
  <c r="D53" i="14" s="1"/>
  <c r="E53" i="14" s="1"/>
  <c r="G53" i="14" s="1"/>
  <c r="H53" i="14"/>
  <c r="B48" i="14"/>
  <c r="D48" i="14" s="1"/>
  <c r="F48" i="14"/>
  <c r="C48" i="14"/>
  <c r="H48" i="14"/>
  <c r="C49" i="14"/>
  <c r="H49" i="14"/>
  <c r="B49" i="14"/>
  <c r="D49" i="14"/>
  <c r="F49" i="14"/>
  <c r="H14" i="14"/>
  <c r="F14" i="14"/>
  <c r="C14" i="14"/>
  <c r="B14" i="14"/>
  <c r="D14" i="14" s="1"/>
  <c r="C11" i="14"/>
  <c r="B11" i="14"/>
  <c r="D11" i="14" s="1"/>
  <c r="H11" i="14"/>
  <c r="F11" i="14"/>
  <c r="C13" i="14"/>
  <c r="B13" i="14"/>
  <c r="D13" i="14" s="1"/>
  <c r="H13" i="14"/>
  <c r="F13" i="14"/>
  <c r="B15" i="14"/>
  <c r="D15" i="14" s="1"/>
  <c r="H15" i="14"/>
  <c r="F15" i="14"/>
  <c r="C15" i="14"/>
  <c r="F17" i="14"/>
  <c r="C17" i="14"/>
  <c r="B17" i="14"/>
  <c r="D17" i="14" s="1"/>
  <c r="H17" i="14"/>
  <c r="H18" i="14"/>
  <c r="B18" i="14"/>
  <c r="D18" i="14" s="1"/>
  <c r="F18" i="14"/>
  <c r="C18" i="14"/>
  <c r="C24" i="14"/>
  <c r="B24" i="14"/>
  <c r="D24" i="14" s="1"/>
  <c r="H24" i="14"/>
  <c r="F24" i="14"/>
  <c r="B19" i="14"/>
  <c r="D19" i="14" s="1"/>
  <c r="H19" i="14"/>
  <c r="F19" i="14"/>
  <c r="C19" i="14"/>
  <c r="H21" i="14"/>
  <c r="F21" i="14"/>
  <c r="C21" i="14"/>
  <c r="B21" i="14"/>
  <c r="D21" i="14" s="1"/>
  <c r="C27" i="14"/>
  <c r="B27" i="14"/>
  <c r="D27" i="14" s="1"/>
  <c r="H27" i="14"/>
  <c r="F27" i="14"/>
  <c r="C29" i="14"/>
  <c r="B29" i="14"/>
  <c r="D29" i="14" s="1"/>
  <c r="H29" i="14"/>
  <c r="F29" i="14"/>
  <c r="C56" i="14"/>
  <c r="B56" i="14"/>
  <c r="D56" i="14" s="1"/>
  <c r="E56" i="14" s="1"/>
  <c r="G56" i="14" s="1"/>
  <c r="H56" i="14"/>
  <c r="B57" i="14"/>
  <c r="H57" i="14"/>
  <c r="C57" i="14"/>
  <c r="D57" i="14"/>
  <c r="C23" i="14"/>
  <c r="B23" i="14"/>
  <c r="D23" i="14" s="1"/>
  <c r="H23" i="14"/>
  <c r="F23" i="14"/>
  <c r="C25" i="14"/>
  <c r="B25" i="14"/>
  <c r="D25" i="14" s="1"/>
  <c r="H25" i="14"/>
  <c r="F25" i="14"/>
  <c r="H58" i="14"/>
  <c r="C58" i="14"/>
  <c r="B58" i="14"/>
  <c r="D58" i="14"/>
  <c r="E58" i="14" s="1"/>
  <c r="G58" i="14" s="1"/>
  <c r="C59" i="14"/>
  <c r="B59" i="14"/>
  <c r="D59" i="14" s="1"/>
  <c r="E59" i="14" s="1"/>
  <c r="G59" i="14" s="1"/>
  <c r="H59" i="14"/>
  <c r="F7" i="1"/>
  <c r="F8" i="1"/>
  <c r="F5" i="1"/>
  <c r="F32" i="1" s="1"/>
  <c r="G4" i="1"/>
  <c r="F6" i="1"/>
  <c r="E31" i="13"/>
  <c r="L3" i="8"/>
  <c r="L4" i="8" s="1"/>
  <c r="L5" i="8" s="1"/>
  <c r="L6" i="8" s="1"/>
  <c r="L7" i="8" s="1"/>
  <c r="L8" i="8" s="1"/>
  <c r="L9" i="8" s="1"/>
  <c r="L10" i="8" s="1"/>
  <c r="G54" i="10"/>
  <c r="E55" i="10"/>
  <c r="M6" i="8"/>
  <c r="M12" i="8"/>
  <c r="M13" i="8"/>
  <c r="M9" i="8"/>
  <c r="M11" i="8"/>
  <c r="M4" i="8"/>
  <c r="M3" i="8"/>
  <c r="M5" i="8"/>
  <c r="M7" i="8"/>
  <c r="M8" i="8"/>
  <c r="M2" i="8"/>
  <c r="M10" i="8"/>
  <c r="H5" i="8"/>
  <c r="H13" i="8"/>
  <c r="H11" i="8"/>
  <c r="H6" i="8"/>
  <c r="H4" i="8"/>
  <c r="H10" i="8"/>
  <c r="H12" i="8"/>
  <c r="H2" i="8"/>
  <c r="H9" i="8"/>
  <c r="H8" i="8"/>
  <c r="H7" i="8"/>
  <c r="H3" i="8"/>
  <c r="E11" i="1"/>
  <c r="AG11" i="1"/>
  <c r="C11" i="1"/>
  <c r="F11" i="1"/>
  <c r="G11" i="1"/>
  <c r="B11" i="1"/>
  <c r="D11" i="1"/>
  <c r="A12" i="1" a="1"/>
  <c r="A12" i="1" s="1"/>
  <c r="E21" i="14" l="1"/>
  <c r="G21" i="14" s="1"/>
  <c r="E13" i="14"/>
  <c r="G13" i="14" s="1"/>
  <c r="E12" i="14"/>
  <c r="G12" i="14" s="1"/>
  <c r="E30" i="14"/>
  <c r="G30" i="14" s="1"/>
  <c r="E16" i="14"/>
  <c r="E10" i="14"/>
  <c r="G10" i="14" s="1"/>
  <c r="E17" i="14"/>
  <c r="G17" i="14" s="1"/>
  <c r="E35" i="14"/>
  <c r="G35" i="14" s="1"/>
  <c r="E27" i="14"/>
  <c r="G27" i="14" s="1"/>
  <c r="E25" i="14"/>
  <c r="G25" i="14" s="1"/>
  <c r="E26" i="14"/>
  <c r="G26" i="14" s="1"/>
  <c r="E34" i="14"/>
  <c r="G34" i="14" s="1"/>
  <c r="G16" i="14"/>
  <c r="E18" i="14"/>
  <c r="G18" i="14" s="1"/>
  <c r="E29" i="14"/>
  <c r="G29" i="14" s="1"/>
  <c r="E23" i="14"/>
  <c r="G23" i="14" s="1"/>
  <c r="E11" i="14"/>
  <c r="E24" i="14"/>
  <c r="G24" i="14" s="1"/>
  <c r="E14" i="14"/>
  <c r="G14" i="14" s="1"/>
  <c r="E33" i="14"/>
  <c r="G33" i="14" s="1"/>
  <c r="E36" i="14"/>
  <c r="G36" i="14" s="1"/>
  <c r="E19" i="14"/>
  <c r="G19" i="14" s="1"/>
  <c r="E28" i="14"/>
  <c r="G28" i="14" s="1"/>
  <c r="E15" i="14"/>
  <c r="G15" i="14" s="1"/>
  <c r="E20" i="14"/>
  <c r="G20" i="14" s="1"/>
  <c r="E22" i="14"/>
  <c r="G22" i="14" s="1"/>
  <c r="G8" i="1"/>
  <c r="G7" i="1"/>
  <c r="G5" i="1"/>
  <c r="G32" i="1" s="1"/>
  <c r="G9" i="1"/>
  <c r="G10" i="1"/>
  <c r="G6" i="1"/>
  <c r="H4" i="1"/>
  <c r="E32" i="13"/>
  <c r="G31" i="13"/>
  <c r="G55" i="10"/>
  <c r="E77" i="10"/>
  <c r="G77" i="10" s="1"/>
  <c r="E12" i="1"/>
  <c r="B12" i="1"/>
  <c r="G12" i="1"/>
  <c r="AG12" i="1"/>
  <c r="C12" i="1"/>
  <c r="H12" i="1"/>
  <c r="D12" i="1"/>
  <c r="F12" i="1"/>
  <c r="A13" i="1" a="1"/>
  <c r="A13" i="1" s="1"/>
  <c r="G11" i="14" l="1"/>
  <c r="E31" i="14"/>
  <c r="G32" i="13"/>
  <c r="E54" i="13"/>
  <c r="H9" i="1"/>
  <c r="H10" i="1"/>
  <c r="H6" i="1"/>
  <c r="H7" i="1"/>
  <c r="I4" i="1"/>
  <c r="H5" i="1"/>
  <c r="H32" i="1" s="1"/>
  <c r="H8" i="1"/>
  <c r="H11" i="1"/>
  <c r="G13" i="1"/>
  <c r="AG13" i="1"/>
  <c r="C13" i="1"/>
  <c r="H13" i="1"/>
  <c r="F13" i="1"/>
  <c r="B13" i="1"/>
  <c r="D13" i="1"/>
  <c r="E13" i="1"/>
  <c r="A14" i="1" a="1"/>
  <c r="A14" i="1" s="1"/>
  <c r="A15" i="1" s="1" a="1"/>
  <c r="A15" i="1" s="1"/>
  <c r="G31" i="14" l="1"/>
  <c r="E32" i="14"/>
  <c r="I11" i="1"/>
  <c r="I10" i="1"/>
  <c r="I12" i="1"/>
  <c r="I6" i="1"/>
  <c r="I9" i="1"/>
  <c r="I7" i="1"/>
  <c r="I8" i="1"/>
  <c r="I5" i="1"/>
  <c r="I32" i="1" s="1"/>
  <c r="J4" i="1"/>
  <c r="E55" i="13"/>
  <c r="G54" i="13"/>
  <c r="I13" i="1"/>
  <c r="G15" i="1"/>
  <c r="J15" i="1"/>
  <c r="F15" i="1"/>
  <c r="I15" i="1"/>
  <c r="H15" i="1"/>
  <c r="AG15" i="1"/>
  <c r="E15" i="1"/>
  <c r="C15" i="1"/>
  <c r="D15" i="1"/>
  <c r="B15" i="1"/>
  <c r="E14" i="1"/>
  <c r="I14" i="1"/>
  <c r="AG14" i="1"/>
  <c r="D14" i="1"/>
  <c r="B14" i="1"/>
  <c r="J14" i="1"/>
  <c r="F14" i="1"/>
  <c r="H14" i="1"/>
  <c r="C14" i="1"/>
  <c r="G14" i="1"/>
  <c r="A16" i="1" a="1"/>
  <c r="A16" i="1" s="1"/>
  <c r="A17" i="1" s="1" a="1"/>
  <c r="A17" i="1" s="1"/>
  <c r="G32" i="14" l="1"/>
  <c r="E54" i="14"/>
  <c r="E77" i="13"/>
  <c r="G77" i="13" s="1"/>
  <c r="G55" i="13"/>
  <c r="J12" i="1"/>
  <c r="J5" i="1"/>
  <c r="J32" i="1" s="1"/>
  <c r="J11" i="1"/>
  <c r="J8" i="1"/>
  <c r="K4" i="1"/>
  <c r="J13" i="1"/>
  <c r="J10" i="1"/>
  <c r="J6" i="1"/>
  <c r="J7" i="1"/>
  <c r="J9" i="1"/>
  <c r="J17" i="1"/>
  <c r="H17" i="1"/>
  <c r="F17" i="1"/>
  <c r="C17" i="1"/>
  <c r="D17" i="1"/>
  <c r="G17" i="1"/>
  <c r="E17" i="1"/>
  <c r="K17" i="1"/>
  <c r="B17" i="1"/>
  <c r="AG17" i="1"/>
  <c r="I17" i="1"/>
  <c r="A18" i="1" a="1"/>
  <c r="A18" i="1" s="1"/>
  <c r="C16" i="1"/>
  <c r="D16" i="1"/>
  <c r="K16" i="1"/>
  <c r="H16" i="1"/>
  <c r="E16" i="1"/>
  <c r="I16" i="1"/>
  <c r="G16" i="1"/>
  <c r="AG16" i="1"/>
  <c r="J16" i="1"/>
  <c r="F16" i="1"/>
  <c r="B16" i="1"/>
  <c r="E55" i="14" l="1"/>
  <c r="G54" i="14"/>
  <c r="K6" i="1"/>
  <c r="K8" i="1"/>
  <c r="K14" i="1"/>
  <c r="K5" i="1"/>
  <c r="K32" i="1" s="1"/>
  <c r="L4" i="1"/>
  <c r="K7" i="1"/>
  <c r="K11" i="1"/>
  <c r="K15" i="1"/>
  <c r="K9" i="1"/>
  <c r="K12" i="1"/>
  <c r="K10" i="1"/>
  <c r="K13" i="1"/>
  <c r="K18" i="1"/>
  <c r="I18" i="1"/>
  <c r="C18" i="1"/>
  <c r="F18" i="1"/>
  <c r="AG18" i="1"/>
  <c r="B18" i="1"/>
  <c r="E18" i="1"/>
  <c r="G18" i="1"/>
  <c r="L18" i="1"/>
  <c r="J18" i="1"/>
  <c r="H18" i="1"/>
  <c r="D18" i="1"/>
  <c r="A19" i="1" a="1"/>
  <c r="A19" i="1" s="1"/>
  <c r="E77" i="14" l="1"/>
  <c r="G77" i="14" s="1"/>
  <c r="G55" i="14"/>
  <c r="L15" i="1"/>
  <c r="L14" i="1"/>
  <c r="M4" i="1"/>
  <c r="L6" i="1"/>
  <c r="L12" i="1"/>
  <c r="L8" i="1"/>
  <c r="L7" i="1"/>
  <c r="L9" i="1"/>
  <c r="L17" i="1"/>
  <c r="L16" i="1"/>
  <c r="L13" i="1"/>
  <c r="L10" i="1"/>
  <c r="L11" i="1"/>
  <c r="L5" i="1"/>
  <c r="L32" i="1" s="1"/>
  <c r="F19" i="1"/>
  <c r="D19" i="1"/>
  <c r="G19" i="1"/>
  <c r="L19" i="1"/>
  <c r="I19" i="1"/>
  <c r="K19" i="1"/>
  <c r="H19" i="1"/>
  <c r="J19" i="1"/>
  <c r="AG19" i="1"/>
  <c r="E19" i="1"/>
  <c r="M19" i="1"/>
  <c r="B19" i="1"/>
  <c r="C19" i="1"/>
  <c r="A20" i="1" a="1"/>
  <c r="A20" i="1" s="1"/>
  <c r="M16" i="1" l="1"/>
  <c r="M17" i="1"/>
  <c r="M11" i="1"/>
  <c r="N4" i="1"/>
  <c r="M8" i="1"/>
  <c r="M13" i="1"/>
  <c r="M14" i="1"/>
  <c r="M5" i="1"/>
  <c r="M32" i="1" s="1"/>
  <c r="M12" i="1"/>
  <c r="M7" i="1"/>
  <c r="M9" i="1"/>
  <c r="M6" i="1"/>
  <c r="M10" i="1"/>
  <c r="M15" i="1"/>
  <c r="M18" i="1"/>
  <c r="F20" i="1"/>
  <c r="L20" i="1"/>
  <c r="G20" i="1"/>
  <c r="N20" i="1"/>
  <c r="H20" i="1"/>
  <c r="D20" i="1"/>
  <c r="C20" i="1"/>
  <c r="K20" i="1"/>
  <c r="M20" i="1"/>
  <c r="J20" i="1"/>
  <c r="E20" i="1"/>
  <c r="AG20" i="1"/>
  <c r="B20" i="1"/>
  <c r="I20" i="1"/>
  <c r="A21" i="1" a="1"/>
  <c r="A21" i="1" s="1"/>
  <c r="N18" i="1" l="1"/>
  <c r="N15" i="1"/>
  <c r="N7" i="1"/>
  <c r="N8" i="1"/>
  <c r="N11" i="1"/>
  <c r="N6" i="1"/>
  <c r="N19" i="1"/>
  <c r="N5" i="1"/>
  <c r="N32" i="1" s="1"/>
  <c r="O4" i="1"/>
  <c r="N10" i="1"/>
  <c r="N16" i="1"/>
  <c r="N9" i="1"/>
  <c r="N17" i="1"/>
  <c r="N12" i="1"/>
  <c r="N13" i="1"/>
  <c r="N14" i="1"/>
  <c r="J21" i="1"/>
  <c r="E21" i="1"/>
  <c r="K21" i="1"/>
  <c r="C21" i="1"/>
  <c r="N21" i="1"/>
  <c r="I21" i="1"/>
  <c r="G21" i="1"/>
  <c r="O21" i="1"/>
  <c r="M21" i="1"/>
  <c r="B21" i="1"/>
  <c r="D21" i="1"/>
  <c r="AG21" i="1"/>
  <c r="F21" i="1"/>
  <c r="H21" i="1"/>
  <c r="L21" i="1"/>
  <c r="A22" i="1" a="1"/>
  <c r="A22" i="1" s="1"/>
  <c r="O19" i="1" l="1"/>
  <c r="O14" i="1"/>
  <c r="P4" i="1"/>
  <c r="O20" i="1"/>
  <c r="O13" i="1"/>
  <c r="O10" i="1"/>
  <c r="O12" i="1"/>
  <c r="O7" i="1"/>
  <c r="O16" i="1"/>
  <c r="O8" i="1"/>
  <c r="O5" i="1"/>
  <c r="O32" i="1" s="1"/>
  <c r="O9" i="1"/>
  <c r="O17" i="1"/>
  <c r="O18" i="1"/>
  <c r="O11" i="1"/>
  <c r="O15" i="1"/>
  <c r="O6" i="1"/>
  <c r="K22" i="1"/>
  <c r="I22" i="1"/>
  <c r="F22" i="1"/>
  <c r="E22" i="1"/>
  <c r="P22" i="1"/>
  <c r="B22" i="1"/>
  <c r="C22" i="1"/>
  <c r="AG22" i="1"/>
  <c r="M22" i="1"/>
  <c r="G22" i="1"/>
  <c r="L22" i="1"/>
  <c r="D22" i="1"/>
  <c r="O22" i="1"/>
  <c r="N22" i="1"/>
  <c r="H22" i="1"/>
  <c r="J22" i="1"/>
  <c r="A23" i="1" a="1"/>
  <c r="A23" i="1" s="1"/>
  <c r="P20" i="1" l="1"/>
  <c r="P16" i="1"/>
  <c r="P14" i="1"/>
  <c r="P13" i="1"/>
  <c r="P10" i="1"/>
  <c r="P7" i="1"/>
  <c r="P9" i="1"/>
  <c r="P21" i="1"/>
  <c r="P17" i="1"/>
  <c r="P8" i="1"/>
  <c r="P5" i="1"/>
  <c r="P32" i="1" s="1"/>
  <c r="P11" i="1"/>
  <c r="P18" i="1"/>
  <c r="Q4" i="1"/>
  <c r="P15" i="1"/>
  <c r="P19" i="1"/>
  <c r="P6" i="1"/>
  <c r="P12" i="1"/>
  <c r="AG23" i="1"/>
  <c r="E23" i="1"/>
  <c r="J23" i="1"/>
  <c r="C23" i="1"/>
  <c r="N23" i="1"/>
  <c r="L23" i="1"/>
  <c r="P23" i="1"/>
  <c r="B23" i="1"/>
  <c r="F23" i="1"/>
  <c r="O23" i="1"/>
  <c r="M23" i="1"/>
  <c r="I23" i="1"/>
  <c r="G23" i="1"/>
  <c r="K23" i="1"/>
  <c r="H23" i="1"/>
  <c r="D23" i="1"/>
  <c r="Q23" i="1"/>
  <c r="A24" i="1" a="1"/>
  <c r="A24" i="1" s="1"/>
  <c r="Q9" i="1" l="1"/>
  <c r="Q8" i="1"/>
  <c r="Q13" i="1"/>
  <c r="Q10" i="1"/>
  <c r="Q18" i="1"/>
  <c r="Q17" i="1"/>
  <c r="Q20" i="1"/>
  <c r="Q19" i="1"/>
  <c r="Q11" i="1"/>
  <c r="Q6" i="1"/>
  <c r="Q21" i="1"/>
  <c r="Q22" i="1"/>
  <c r="Q12" i="1"/>
  <c r="R4" i="1"/>
  <c r="Q16" i="1"/>
  <c r="Q14" i="1"/>
  <c r="Q7" i="1"/>
  <c r="Q5" i="1"/>
  <c r="Q32" i="1" s="1"/>
  <c r="Q15" i="1"/>
  <c r="O24" i="1"/>
  <c r="M24" i="1"/>
  <c r="J24" i="1"/>
  <c r="Q24" i="1"/>
  <c r="F24" i="1"/>
  <c r="K24" i="1"/>
  <c r="E24" i="1"/>
  <c r="N24" i="1"/>
  <c r="I24" i="1"/>
  <c r="G24" i="1"/>
  <c r="C24" i="1"/>
  <c r="R24" i="1"/>
  <c r="H24" i="1"/>
  <c r="P24" i="1"/>
  <c r="L24" i="1"/>
  <c r="AG24" i="1"/>
  <c r="D24" i="1"/>
  <c r="B24" i="1"/>
  <c r="A25" i="1" a="1"/>
  <c r="A25" i="1" s="1"/>
  <c r="R22" i="1" l="1"/>
  <c r="R6" i="1"/>
  <c r="R16" i="1"/>
  <c r="R7" i="1"/>
  <c r="R9" i="1"/>
  <c r="R23" i="1"/>
  <c r="R12" i="1"/>
  <c r="R20" i="1"/>
  <c r="R19" i="1"/>
  <c r="R15" i="1"/>
  <c r="R18" i="1"/>
  <c r="R5" i="1"/>
  <c r="R32" i="1" s="1"/>
  <c r="R11" i="1"/>
  <c r="R21" i="1"/>
  <c r="R14" i="1"/>
  <c r="R8" i="1"/>
  <c r="S4" i="1"/>
  <c r="R17" i="1"/>
  <c r="R13" i="1"/>
  <c r="R10" i="1"/>
  <c r="M25" i="1"/>
  <c r="E25" i="1"/>
  <c r="Q25" i="1"/>
  <c r="D25" i="1"/>
  <c r="H25" i="1"/>
  <c r="R25" i="1"/>
  <c r="C25" i="1"/>
  <c r="N25" i="1"/>
  <c r="L25" i="1"/>
  <c r="F25" i="1"/>
  <c r="G25" i="1"/>
  <c r="B25" i="1"/>
  <c r="I25" i="1"/>
  <c r="S25" i="1"/>
  <c r="AG25" i="1"/>
  <c r="K25" i="1"/>
  <c r="J25" i="1"/>
  <c r="P25" i="1"/>
  <c r="O25" i="1"/>
  <c r="A26" i="1" a="1"/>
  <c r="A26" i="1" s="1"/>
  <c r="S23" i="1" l="1"/>
  <c r="S10" i="1"/>
  <c r="S19" i="1"/>
  <c r="S17" i="1"/>
  <c r="S18" i="1"/>
  <c r="S15" i="1"/>
  <c r="S24" i="1"/>
  <c r="S21" i="1"/>
  <c r="S7" i="1"/>
  <c r="T4" i="1"/>
  <c r="S13" i="1"/>
  <c r="S20" i="1"/>
  <c r="S5" i="1"/>
  <c r="S32" i="1" s="1"/>
  <c r="S8" i="1"/>
  <c r="S16" i="1"/>
  <c r="S11" i="1"/>
  <c r="S12" i="1"/>
  <c r="S6" i="1"/>
  <c r="S22" i="1"/>
  <c r="S14" i="1"/>
  <c r="S9" i="1"/>
  <c r="Q26" i="1"/>
  <c r="P26" i="1"/>
  <c r="G26" i="1"/>
  <c r="D26" i="1"/>
  <c r="B26" i="1"/>
  <c r="L26" i="1"/>
  <c r="E26" i="1"/>
  <c r="J26" i="1"/>
  <c r="S26" i="1"/>
  <c r="H26" i="1"/>
  <c r="M26" i="1"/>
  <c r="I26" i="1"/>
  <c r="K26" i="1"/>
  <c r="C26" i="1"/>
  <c r="O26" i="1"/>
  <c r="AG26" i="1"/>
  <c r="F26" i="1"/>
  <c r="R26" i="1"/>
  <c r="N26" i="1"/>
  <c r="T26" i="1"/>
  <c r="A27" i="1" a="1"/>
  <c r="A27" i="1" s="1"/>
  <c r="T24" i="1" l="1"/>
  <c r="T15" i="1"/>
  <c r="T5" i="1"/>
  <c r="T32" i="1" s="1"/>
  <c r="T7" i="1"/>
  <c r="T13" i="1"/>
  <c r="T25" i="1"/>
  <c r="T14" i="1"/>
  <c r="T11" i="1"/>
  <c r="T21" i="1"/>
  <c r="T17" i="1"/>
  <c r="T12" i="1"/>
  <c r="T9" i="1"/>
  <c r="U4" i="1"/>
  <c r="T6" i="1"/>
  <c r="T8" i="1"/>
  <c r="T19" i="1"/>
  <c r="T20" i="1"/>
  <c r="T16" i="1"/>
  <c r="T10" i="1"/>
  <c r="T22" i="1"/>
  <c r="T18" i="1"/>
  <c r="T23" i="1"/>
  <c r="P27" i="1"/>
  <c r="H27" i="1"/>
  <c r="F27" i="1"/>
  <c r="O27" i="1"/>
  <c r="U27" i="1"/>
  <c r="R27" i="1"/>
  <c r="C27" i="1"/>
  <c r="D27" i="1"/>
  <c r="M27" i="1"/>
  <c r="N27" i="1"/>
  <c r="E27" i="1"/>
  <c r="B27" i="1"/>
  <c r="S27" i="1"/>
  <c r="I27" i="1"/>
  <c r="T27" i="1"/>
  <c r="J27" i="1"/>
  <c r="AG27" i="1"/>
  <c r="K27" i="1"/>
  <c r="Q27" i="1"/>
  <c r="L27" i="1"/>
  <c r="G27" i="1"/>
  <c r="A28" i="1" a="1"/>
  <c r="A28" i="1" s="1"/>
  <c r="U25" i="1" l="1"/>
  <c r="U8" i="1"/>
  <c r="V4" i="1"/>
  <c r="U20" i="1"/>
  <c r="U26" i="1"/>
  <c r="U22" i="1"/>
  <c r="U12" i="1"/>
  <c r="U16" i="1"/>
  <c r="U13" i="1"/>
  <c r="U7" i="1"/>
  <c r="U6" i="1"/>
  <c r="U15" i="1"/>
  <c r="U18" i="1"/>
  <c r="U21" i="1"/>
  <c r="U14" i="1"/>
  <c r="U11" i="1"/>
  <c r="U24" i="1"/>
  <c r="U9" i="1"/>
  <c r="U19" i="1"/>
  <c r="U10" i="1"/>
  <c r="U5" i="1"/>
  <c r="U32" i="1" s="1"/>
  <c r="U17" i="1"/>
  <c r="U23" i="1"/>
  <c r="H28" i="1"/>
  <c r="R28" i="1"/>
  <c r="AG28" i="1"/>
  <c r="P28" i="1"/>
  <c r="G28" i="1"/>
  <c r="L28" i="1"/>
  <c r="Q28" i="1"/>
  <c r="K28" i="1"/>
  <c r="M28" i="1"/>
  <c r="O28" i="1"/>
  <c r="F28" i="1"/>
  <c r="U28" i="1"/>
  <c r="C28" i="1"/>
  <c r="D28" i="1"/>
  <c r="N28" i="1"/>
  <c r="B28" i="1"/>
  <c r="I28" i="1"/>
  <c r="V28" i="1"/>
  <c r="S28" i="1"/>
  <c r="J28" i="1"/>
  <c r="T28" i="1"/>
  <c r="E28" i="1"/>
  <c r="A29" i="1" a="1"/>
  <c r="A29" i="1" s="1"/>
  <c r="V26" i="1" l="1"/>
  <c r="V8" i="1"/>
  <c r="V11" i="1"/>
  <c r="V12" i="1"/>
  <c r="V18" i="1"/>
  <c r="V15" i="1"/>
  <c r="V23" i="1"/>
  <c r="V24" i="1"/>
  <c r="V17" i="1"/>
  <c r="V19" i="1"/>
  <c r="V20" i="1"/>
  <c r="V27" i="1"/>
  <c r="V14" i="1"/>
  <c r="V5" i="1"/>
  <c r="V32" i="1" s="1"/>
  <c r="V6" i="1"/>
  <c r="W4" i="1"/>
  <c r="W29" i="1" s="1"/>
  <c r="V9" i="1"/>
  <c r="V13" i="1"/>
  <c r="V22" i="1"/>
  <c r="V16" i="1"/>
  <c r="V21" i="1"/>
  <c r="V25" i="1"/>
  <c r="V10" i="1"/>
  <c r="V7" i="1"/>
  <c r="C29" i="1"/>
  <c r="M29" i="1"/>
  <c r="D29" i="1"/>
  <c r="G29" i="1"/>
  <c r="L29" i="1"/>
  <c r="Q29" i="1"/>
  <c r="T29" i="1"/>
  <c r="R29" i="1"/>
  <c r="H29" i="1"/>
  <c r="U29" i="1"/>
  <c r="AG29" i="1"/>
  <c r="O29" i="1"/>
  <c r="N29" i="1"/>
  <c r="B29" i="1"/>
  <c r="K29" i="1"/>
  <c r="P29" i="1"/>
  <c r="S29" i="1"/>
  <c r="I29" i="1"/>
  <c r="V29" i="1"/>
  <c r="F29" i="1"/>
  <c r="E29" i="1"/>
  <c r="J29" i="1"/>
  <c r="A30" i="1" a="1"/>
  <c r="A30" i="1" s="1"/>
  <c r="W27" i="1" l="1"/>
  <c r="X4" i="1"/>
  <c r="W23" i="1"/>
  <c r="W17" i="1"/>
  <c r="W15" i="1"/>
  <c r="W12" i="1"/>
  <c r="W10" i="1"/>
  <c r="W19" i="1"/>
  <c r="W28" i="1"/>
  <c r="W24" i="1"/>
  <c r="W14" i="1"/>
  <c r="W8" i="1"/>
  <c r="W20" i="1"/>
  <c r="W18" i="1"/>
  <c r="W7" i="1"/>
  <c r="W25" i="1"/>
  <c r="W11" i="1"/>
  <c r="W9" i="1"/>
  <c r="W26" i="1"/>
  <c r="W22" i="1"/>
  <c r="W21" i="1"/>
  <c r="W6" i="1"/>
  <c r="W5" i="1"/>
  <c r="W32" i="1" s="1"/>
  <c r="W16" i="1"/>
  <c r="W13" i="1"/>
  <c r="B30" i="1"/>
  <c r="C30" i="1"/>
  <c r="N30" i="1"/>
  <c r="U30" i="1"/>
  <c r="R30" i="1"/>
  <c r="V30" i="1"/>
  <c r="T30" i="1"/>
  <c r="J30" i="1"/>
  <c r="W30" i="1"/>
  <c r="I30" i="1"/>
  <c r="P30" i="1"/>
  <c r="E30" i="1"/>
  <c r="S30" i="1"/>
  <c r="L30" i="1"/>
  <c r="Q30" i="1"/>
  <c r="K30" i="1"/>
  <c r="O30" i="1"/>
  <c r="G30" i="1"/>
  <c r="M30" i="1"/>
  <c r="AG30" i="1"/>
  <c r="X30" i="1"/>
  <c r="D30" i="1"/>
  <c r="F30" i="1"/>
  <c r="H30" i="1"/>
  <c r="X28" i="1" l="1"/>
  <c r="X25" i="1"/>
  <c r="X8" i="1"/>
  <c r="X5" i="1"/>
  <c r="X32" i="1" s="1"/>
  <c r="X7" i="1"/>
  <c r="X16" i="1"/>
  <c r="X12" i="1"/>
  <c r="X19" i="1"/>
  <c r="X27" i="1"/>
  <c r="X15" i="1"/>
  <c r="X24" i="1"/>
  <c r="X20" i="1"/>
  <c r="X23" i="1"/>
  <c r="X10" i="1"/>
  <c r="Y4" i="1"/>
  <c r="X29" i="1"/>
  <c r="X9" i="1"/>
  <c r="X17" i="1"/>
  <c r="X13" i="1"/>
  <c r="X18" i="1"/>
  <c r="X6" i="1"/>
  <c r="X21" i="1"/>
  <c r="X11" i="1"/>
  <c r="X14" i="1"/>
  <c r="X22" i="1"/>
  <c r="X26" i="1"/>
  <c r="Y29" i="1" l="1"/>
  <c r="Y22" i="1"/>
  <c r="Y18" i="1"/>
  <c r="Y13" i="1"/>
  <c r="Y11" i="1"/>
  <c r="Y12" i="1"/>
  <c r="Y19" i="1"/>
  <c r="Y25" i="1"/>
  <c r="Y26" i="1"/>
  <c r="Y8" i="1"/>
  <c r="Y27" i="1"/>
  <c r="Y28" i="1"/>
  <c r="Y7" i="1"/>
  <c r="Y17" i="1"/>
  <c r="Y21" i="1"/>
  <c r="Y20" i="1"/>
  <c r="Y14" i="1"/>
  <c r="Y30" i="1"/>
  <c r="Y15" i="1"/>
  <c r="Y24" i="1"/>
  <c r="Y6" i="1"/>
  <c r="Y23" i="1"/>
  <c r="Y9" i="1"/>
  <c r="Z4" i="1"/>
  <c r="Y16" i="1"/>
  <c r="Y10" i="1"/>
  <c r="Y5" i="1"/>
  <c r="Y32" i="1" s="1"/>
  <c r="Z30" i="1" l="1"/>
  <c r="Z24" i="1"/>
  <c r="Z22" i="1"/>
  <c r="Z9" i="1"/>
  <c r="Z27" i="1"/>
  <c r="Z11" i="1"/>
  <c r="Z13" i="1"/>
  <c r="Z7" i="1"/>
  <c r="Z17" i="1"/>
  <c r="Z15" i="1"/>
  <c r="Z16" i="1"/>
  <c r="Z10" i="1"/>
  <c r="Z28" i="1"/>
  <c r="Z18" i="1"/>
  <c r="Z25" i="1"/>
  <c r="Z26" i="1"/>
  <c r="Z12" i="1"/>
  <c r="AA4" i="1"/>
  <c r="Z5" i="1"/>
  <c r="Z32" i="1" s="1"/>
  <c r="Z19" i="1"/>
  <c r="Z29" i="1"/>
  <c r="Z21" i="1"/>
  <c r="Z20" i="1"/>
  <c r="Z14" i="1"/>
  <c r="Z8" i="1"/>
  <c r="Z6" i="1"/>
  <c r="Z23" i="1"/>
  <c r="AA18" i="1" l="1"/>
  <c r="AA24" i="1"/>
  <c r="AA23" i="1"/>
  <c r="AA11" i="1"/>
  <c r="AA26" i="1"/>
  <c r="AA10" i="1"/>
  <c r="AA6" i="1"/>
  <c r="AA28" i="1"/>
  <c r="AA15" i="1"/>
  <c r="AA21" i="1"/>
  <c r="AA19" i="1"/>
  <c r="AA16" i="1"/>
  <c r="AA27" i="1"/>
  <c r="AA25" i="1"/>
  <c r="AA12" i="1"/>
  <c r="AA9" i="1"/>
  <c r="AA17" i="1"/>
  <c r="AA14" i="1"/>
  <c r="AA20" i="1"/>
  <c r="AA7" i="1"/>
  <c r="AA5" i="1"/>
  <c r="AA32" i="1" s="1"/>
  <c r="AB4" i="1"/>
  <c r="AA22" i="1"/>
  <c r="AA29" i="1"/>
  <c r="AA13" i="1"/>
  <c r="AA30" i="1"/>
  <c r="AA8" i="1"/>
  <c r="AB18" i="1" l="1"/>
  <c r="AB21" i="1"/>
  <c r="AB10" i="1"/>
  <c r="AB29" i="1"/>
  <c r="AB20" i="1"/>
  <c r="AB27" i="1"/>
  <c r="AC4" i="1"/>
  <c r="AB14" i="1"/>
  <c r="AB5" i="1"/>
  <c r="AB32" i="1" s="1"/>
  <c r="AB7" i="1"/>
  <c r="AB17" i="1"/>
  <c r="AB16" i="1"/>
  <c r="AB19" i="1"/>
  <c r="AB6" i="1"/>
  <c r="AB25" i="1"/>
  <c r="AB12" i="1"/>
  <c r="AB15" i="1"/>
  <c r="AB8" i="1"/>
  <c r="AB23" i="1"/>
  <c r="AB30" i="1"/>
  <c r="AB11" i="1"/>
  <c r="AB28" i="1"/>
  <c r="AB26" i="1"/>
  <c r="AB24" i="1"/>
  <c r="AB9" i="1"/>
  <c r="AB13" i="1"/>
  <c r="AB22" i="1"/>
  <c r="AC12" i="1" l="1"/>
  <c r="AC21" i="1"/>
  <c r="AC17" i="1"/>
  <c r="AC25" i="1"/>
  <c r="AC20" i="1"/>
  <c r="AC15" i="1"/>
  <c r="AC24" i="1"/>
  <c r="AC28" i="1"/>
  <c r="AC10" i="1"/>
  <c r="AC30" i="1"/>
  <c r="AC27" i="1"/>
  <c r="AC23" i="1"/>
  <c r="AC16" i="1"/>
  <c r="AC6" i="1"/>
  <c r="AC8" i="1"/>
  <c r="AC5" i="1"/>
  <c r="AC32" i="1" s="1"/>
  <c r="AC18" i="1"/>
  <c r="AC11" i="1"/>
  <c r="AC13" i="1"/>
  <c r="AC7" i="1"/>
  <c r="AC9" i="1"/>
  <c r="AC19" i="1"/>
  <c r="AC29" i="1"/>
  <c r="AC14" i="1"/>
  <c r="AC26" i="1"/>
  <c r="AD4" i="1"/>
  <c r="AC22" i="1"/>
  <c r="AE4" i="1" l="1"/>
  <c r="AD26" i="1"/>
  <c r="AD5" i="1"/>
  <c r="AD32" i="1" s="1"/>
  <c r="AD27" i="1"/>
  <c r="AD12" i="1"/>
  <c r="AD19" i="1"/>
  <c r="AD13" i="1"/>
  <c r="AD28" i="1"/>
  <c r="AD20" i="1"/>
  <c r="AD21" i="1"/>
  <c r="AD6" i="1"/>
  <c r="AD8" i="1"/>
  <c r="AD15" i="1"/>
  <c r="AD22" i="1"/>
  <c r="AD24" i="1"/>
  <c r="AD10" i="1"/>
  <c r="AD29" i="1"/>
  <c r="AD17" i="1"/>
  <c r="AD14" i="1"/>
  <c r="AD18" i="1"/>
  <c r="AD25" i="1"/>
  <c r="AD16" i="1"/>
  <c r="AD7" i="1"/>
  <c r="AD30" i="1"/>
  <c r="AD11" i="1"/>
  <c r="AD9" i="1"/>
  <c r="AD23" i="1"/>
  <c r="AE26" i="1" l="1"/>
  <c r="AE12" i="1"/>
  <c r="AF4" i="1"/>
  <c r="AE7" i="1"/>
  <c r="AE20" i="1"/>
  <c r="AE13" i="1"/>
  <c r="AE23" i="1"/>
  <c r="AE28" i="1"/>
  <c r="AE21" i="1"/>
  <c r="AE9" i="1"/>
  <c r="AE16" i="1"/>
  <c r="AE6" i="1"/>
  <c r="AE29" i="1"/>
  <c r="AE15" i="1"/>
  <c r="AE10" i="1"/>
  <c r="AE8" i="1"/>
  <c r="AE5" i="1"/>
  <c r="AE24" i="1"/>
  <c r="AE30" i="1"/>
  <c r="AE27" i="1"/>
  <c r="AE18" i="1"/>
  <c r="AE17" i="1"/>
  <c r="AE11" i="1"/>
  <c r="AE14" i="1"/>
  <c r="AE22" i="1"/>
  <c r="AE25" i="1"/>
  <c r="AE19" i="1"/>
  <c r="AF27" i="1" l="1"/>
  <c r="AF25" i="1"/>
  <c r="AF15" i="1"/>
  <c r="AF12" i="1"/>
  <c r="AF5" i="1"/>
  <c r="AF23" i="1"/>
  <c r="AF20" i="1"/>
  <c r="AF13" i="1"/>
  <c r="AF8" i="1"/>
  <c r="AF9" i="1"/>
  <c r="AF28" i="1"/>
  <c r="AF6" i="1"/>
  <c r="AF17" i="1"/>
  <c r="AF18" i="1"/>
  <c r="AF29" i="1"/>
  <c r="AF14" i="1"/>
  <c r="AF24" i="1"/>
  <c r="AF11" i="1"/>
  <c r="AF10" i="1"/>
  <c r="AF30" i="1"/>
  <c r="AF19" i="1"/>
  <c r="AF16" i="1"/>
  <c r="AF7" i="1"/>
  <c r="AF26" i="1"/>
  <c r="AF21" i="1"/>
  <c r="AF22" i="1"/>
  <c r="AE32" i="1"/>
  <c r="J35" i="1"/>
  <c r="AF32" i="1" l="1"/>
  <c r="R35" i="1"/>
</calcChain>
</file>

<file path=xl/sharedStrings.xml><?xml version="1.0" encoding="utf-8"?>
<sst xmlns="http://schemas.openxmlformats.org/spreadsheetml/2006/main" count="1175" uniqueCount="507">
  <si>
    <t>Pâques</t>
  </si>
  <si>
    <t>Lundi de Pâques</t>
  </si>
  <si>
    <t>Ascension</t>
  </si>
  <si>
    <t>Pentecôte</t>
  </si>
  <si>
    <t>Assomption</t>
  </si>
  <si>
    <t>Toussaint</t>
  </si>
  <si>
    <t>Armistice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</si>
  <si>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</si>
  <si>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</si>
  <si>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</si>
  <si>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</si>
  <si>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</si>
  <si>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</si>
  <si>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</si>
  <si>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</si>
  <si>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</si>
  <si>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</si>
  <si>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</si>
  <si>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</si>
  <si>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</si>
  <si>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</si>
  <si>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</si>
  <si>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</si>
  <si>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</si>
  <si>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</si>
  <si>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</si>
  <si>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Nom du groupe</t>
  </si>
  <si>
    <t>Convention</t>
  </si>
  <si>
    <t>Sous-réserve</t>
  </si>
  <si>
    <t>Statut</t>
  </si>
  <si>
    <t>Taux d'occupation</t>
  </si>
  <si>
    <t>Moyenne nuitées / pax</t>
  </si>
  <si>
    <t>Nbr total 
réservations</t>
  </si>
  <si>
    <t>Nbr
de nuit(s)</t>
  </si>
  <si>
    <t>Nbr pax / jour</t>
  </si>
  <si>
    <t>Objectif 
nuitées</t>
  </si>
  <si>
    <t>Total 
pax</t>
  </si>
  <si>
    <t>Total 
nuits</t>
  </si>
  <si>
    <t>Total 
nuitées</t>
  </si>
  <si>
    <t>Nuitées
Sous-réserve</t>
  </si>
  <si>
    <t>Nuitées
Demande de convention</t>
  </si>
  <si>
    <t>Nuitées
Convention</t>
  </si>
  <si>
    <t>Taux d'occupation 
moyen / mois</t>
  </si>
  <si>
    <t>Moyenne 
pax / nuit</t>
  </si>
  <si>
    <t>Total nuitées 
/ mois</t>
  </si>
  <si>
    <t>Moyenne de nuitées</t>
  </si>
  <si>
    <t>Taux d'occupation 
moyen</t>
  </si>
  <si>
    <t>Effectif reçu</t>
  </si>
  <si>
    <t>Cat</t>
  </si>
  <si>
    <t>Orgn</t>
  </si>
  <si>
    <t>Effectif facturé</t>
  </si>
  <si>
    <t>Dem convention</t>
  </si>
  <si>
    <t>IME</t>
  </si>
  <si>
    <t>ASS</t>
  </si>
  <si>
    <t>SPT</t>
  </si>
  <si>
    <t>SEM</t>
  </si>
  <si>
    <t>ALSH</t>
  </si>
  <si>
    <t>FAM</t>
  </si>
  <si>
    <t>BEL</t>
  </si>
  <si>
    <t>GB</t>
  </si>
  <si>
    <t>Liste
Cat</t>
  </si>
  <si>
    <t>Liste 
Orgn</t>
  </si>
  <si>
    <t>Liste Mois</t>
  </si>
  <si>
    <t>Liste Fériés</t>
  </si>
  <si>
    <t>Liste 
Années</t>
  </si>
  <si>
    <t>Nuitées réalisées</t>
  </si>
  <si>
    <t>Adultes</t>
  </si>
  <si>
    <t>Enfants</t>
  </si>
  <si>
    <t>Base de données groupes</t>
  </si>
  <si>
    <t>Liste
Reg</t>
  </si>
  <si>
    <t>DP</t>
  </si>
  <si>
    <t>PC</t>
  </si>
  <si>
    <t>NPD</t>
  </si>
  <si>
    <t>NS</t>
  </si>
  <si>
    <t>Tarifs Adultes</t>
  </si>
  <si>
    <t>Nbr de nuitées</t>
  </si>
  <si>
    <t>HOT</t>
  </si>
  <si>
    <t>Taxe séjour</t>
  </si>
  <si>
    <t>Tarifs
Enfants</t>
  </si>
  <si>
    <t>Gratuité annuelle</t>
  </si>
  <si>
    <t>Chiffre d'affaire annuel</t>
  </si>
  <si>
    <t>Taxe de séjour annuelle</t>
  </si>
  <si>
    <r>
      <t xml:space="preserve">DP </t>
    </r>
    <r>
      <rPr>
        <b/>
        <sz val="10"/>
        <color indexed="10"/>
        <rFont val="Times New Roman"/>
        <family val="1"/>
      </rPr>
      <t>HS</t>
    </r>
  </si>
  <si>
    <r>
      <t xml:space="preserve">NPD </t>
    </r>
    <r>
      <rPr>
        <b/>
        <sz val="10"/>
        <color indexed="10"/>
        <rFont val="Times New Roman"/>
        <family val="1"/>
      </rPr>
      <t>HS</t>
    </r>
  </si>
  <si>
    <r>
      <t xml:space="preserve">NS </t>
    </r>
    <r>
      <rPr>
        <b/>
        <sz val="10"/>
        <color indexed="10"/>
        <rFont val="Times New Roman"/>
        <family val="1"/>
      </rPr>
      <t>HS</t>
    </r>
  </si>
  <si>
    <r>
      <t xml:space="preserve">PC </t>
    </r>
    <r>
      <rPr>
        <b/>
        <sz val="10"/>
        <color indexed="10"/>
        <rFont val="Times New Roman"/>
        <family val="1"/>
      </rPr>
      <t>HS</t>
    </r>
  </si>
  <si>
    <t>Nbr de nuit(s)</t>
  </si>
  <si>
    <t>Date de départ</t>
  </si>
  <si>
    <t>Date d'arrivée</t>
  </si>
  <si>
    <t>Effectif reçu adlt(s)</t>
  </si>
  <si>
    <t>Effectif reçu enft(s)</t>
  </si>
  <si>
    <t>Perte effectif adlt(s)</t>
  </si>
  <si>
    <t>Perte effectif enft(s)</t>
  </si>
  <si>
    <t>Perte nuitées</t>
  </si>
  <si>
    <t>Nbr de pax</t>
  </si>
  <si>
    <t>Effectif facturé adlt(s)</t>
  </si>
  <si>
    <t>Effectif facturé enft(s)</t>
  </si>
  <si>
    <t>Régime type</t>
  </si>
  <si>
    <t>Régime nbr</t>
  </si>
  <si>
    <t>Régime 2 type</t>
  </si>
  <si>
    <t>Régime 2 nbr</t>
  </si>
  <si>
    <t>Gratuité nbr</t>
  </si>
  <si>
    <t>Coût taxe séjour</t>
  </si>
  <si>
    <t>Mois</t>
  </si>
  <si>
    <t>Taux 
d'occupation</t>
  </si>
  <si>
    <t>Nuitées</t>
  </si>
  <si>
    <t>Chiffre d'affaire</t>
  </si>
  <si>
    <t>Nuitées 
réalisées</t>
  </si>
  <si>
    <t>Taux d'occupation moyen</t>
  </si>
  <si>
    <t>Cumul nuitées</t>
  </si>
  <si>
    <t>Cumul nuitées réalisée</t>
  </si>
  <si>
    <t>Cumul taxe de séjour</t>
  </si>
  <si>
    <t>Cumul chiffre d'affaire</t>
  </si>
  <si>
    <t>Moyenne de nuitées mensuelle</t>
  </si>
  <si>
    <t>Moyenne chiffre d'affaire</t>
  </si>
  <si>
    <t>Total général</t>
  </si>
  <si>
    <t>Total</t>
  </si>
  <si>
    <t>Somme de Nbr de nuitées</t>
  </si>
  <si>
    <t>Nombre de Orgn</t>
  </si>
  <si>
    <t>Données</t>
  </si>
  <si>
    <t>Moyenne mensuelle de nuitées</t>
  </si>
  <si>
    <t>Total mensuel nuitées</t>
  </si>
  <si>
    <t>Taux mensuel d'occupation</t>
  </si>
  <si>
    <t>Taux mensuel moyen d'occupation</t>
  </si>
  <si>
    <t>Chiffre d'affaire mensuel</t>
  </si>
  <si>
    <t>Chiffre d'affaire mensuel moyen</t>
  </si>
  <si>
    <t>Nbr de nuit(s) mois M</t>
  </si>
  <si>
    <t>Nbr de nuit(s) mois M+1</t>
  </si>
  <si>
    <t>Chiffre d'affaire mois  M</t>
  </si>
  <si>
    <t>Chiffre d'affaire mois M+1</t>
  </si>
  <si>
    <t>N° adhérent</t>
  </si>
  <si>
    <t>Code postal &amp; Ville</t>
  </si>
  <si>
    <t>SCO P</t>
  </si>
  <si>
    <t>SCO C</t>
  </si>
  <si>
    <t>SCO L</t>
  </si>
  <si>
    <t>SCO U</t>
  </si>
  <si>
    <t>RAND</t>
  </si>
  <si>
    <t>Rappel
Nom du groupe</t>
  </si>
  <si>
    <t>Adresse 1</t>
  </si>
  <si>
    <t>Adresse 2</t>
  </si>
  <si>
    <t>RS</t>
  </si>
  <si>
    <r>
      <t xml:space="preserve">RS </t>
    </r>
    <r>
      <rPr>
        <b/>
        <sz val="10"/>
        <color indexed="10"/>
        <rFont val="Times New Roman"/>
        <family val="1"/>
      </rPr>
      <t>HS</t>
    </r>
  </si>
  <si>
    <t>PC HS</t>
  </si>
  <si>
    <t>DP HS</t>
  </si>
  <si>
    <t>128 à 130</t>
  </si>
  <si>
    <t>171 - 172</t>
  </si>
  <si>
    <t>111-112</t>
  </si>
  <si>
    <r>
      <t xml:space="preserve">PC </t>
    </r>
    <r>
      <rPr>
        <b/>
        <sz val="10"/>
        <color indexed="17"/>
        <rFont val="Times New Roman"/>
        <family val="1"/>
      </rPr>
      <t>Rem</t>
    </r>
  </si>
  <si>
    <r>
      <t xml:space="preserve">RS </t>
    </r>
    <r>
      <rPr>
        <b/>
        <sz val="10"/>
        <color indexed="17"/>
        <rFont val="Times New Roman"/>
        <family val="1"/>
      </rPr>
      <t>Rem</t>
    </r>
  </si>
  <si>
    <t>PC Rem</t>
  </si>
  <si>
    <t>RS Rem</t>
  </si>
  <si>
    <t>Perte financière en €</t>
  </si>
  <si>
    <t>Montant total en €</t>
  </si>
  <si>
    <t>Coût gratuité en €</t>
  </si>
  <si>
    <t>Tarif adlt en €</t>
  </si>
  <si>
    <t>Tarif enft en €</t>
  </si>
  <si>
    <t>Tarif 2 adlt en €</t>
  </si>
  <si>
    <t>Tarif 2 enft en €</t>
  </si>
  <si>
    <t>TAXE DE SEJOUR - REGISTRE D'ACCUEIL</t>
  </si>
  <si>
    <t>PERIODE DU 1ER JANVIER AU 31 MAI 2017</t>
  </si>
  <si>
    <t>CLP ESCALE EN BAIE DE SOMME - 228 av du Cdt Y. Masset - 80410 CAYEUX SUR MER</t>
  </si>
  <si>
    <t>Adultes et enfants de plus de 13 ans</t>
  </si>
  <si>
    <t>Montant par séjour</t>
  </si>
  <si>
    <t>Nb Personnes totales y compris exonération</t>
  </si>
  <si>
    <t>SEJOUR</t>
  </si>
  <si>
    <t>Nb Personnes</t>
  </si>
  <si>
    <t>Nb Nuits</t>
  </si>
  <si>
    <t>Tarif</t>
  </si>
  <si>
    <t>DU</t>
  </si>
  <si>
    <t>AU</t>
  </si>
  <si>
    <t>Total à reporter</t>
  </si>
  <si>
    <t>Signature</t>
  </si>
  <si>
    <t>Taxe de séjour
Janvier-Mai</t>
  </si>
  <si>
    <t>Taxe de séjour
Juin-Août</t>
  </si>
  <si>
    <t>Taxe de séjour
Septembre-Décembre</t>
  </si>
  <si>
    <t xml:space="preserve">Total </t>
  </si>
  <si>
    <t>A Cayeux sur mer, le 9 Juin 2017</t>
  </si>
  <si>
    <t>190-191</t>
  </si>
  <si>
    <t>PERIODE DU 1ER JUIN AU 31 AOUT 2017</t>
  </si>
  <si>
    <t>PERIODE DU 1ER SEPTEMBRE AU 31 DECEMBRE 2017</t>
  </si>
  <si>
    <t>209-210</t>
  </si>
  <si>
    <t>207-208</t>
  </si>
  <si>
    <t>234-236</t>
  </si>
  <si>
    <t>240-243</t>
  </si>
  <si>
    <t>252-254</t>
  </si>
  <si>
    <t>255-256</t>
  </si>
  <si>
    <t>257-258</t>
  </si>
  <si>
    <t>Annulé</t>
  </si>
  <si>
    <t>Sans suite</t>
  </si>
  <si>
    <t>Nuitées
Sans suite</t>
  </si>
  <si>
    <t>Nuitées
Annulées</t>
  </si>
  <si>
    <t>Perte pax
totale</t>
  </si>
  <si>
    <t>Perte financière
baisse effectif</t>
  </si>
  <si>
    <t>Perte financière
réservation annulée</t>
  </si>
  <si>
    <t>Perte financière
totale</t>
  </si>
  <si>
    <t>Perte pax
Sans suite</t>
  </si>
  <si>
    <t>Perte pax
baisse effectif</t>
  </si>
  <si>
    <t>Perte pax
réservation annulée</t>
  </si>
  <si>
    <t>Perte nuitées
réservation annulée</t>
  </si>
  <si>
    <t>Perte nuitées
totale</t>
  </si>
  <si>
    <t>Perte nuitées
baisse effectif</t>
  </si>
  <si>
    <t>Perte nuitées
sans suite</t>
  </si>
  <si>
    <t>Gratuité annulée nbr</t>
  </si>
  <si>
    <t>Coût gratuité annulée en €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</si>
  <si>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</si>
  <si>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</si>
  <si>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</si>
  <si>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</si>
  <si>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</si>
  <si>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</si>
  <si>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</si>
  <si>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</si>
  <si>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</si>
  <si>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</si>
  <si>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</si>
  <si>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</si>
  <si>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</si>
  <si>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</si>
  <si>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</si>
  <si>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</si>
  <si>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</si>
  <si>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</si>
  <si>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</si>
  <si>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</si>
  <si>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</si>
  <si>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</si>
  <si>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</si>
  <si>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</si>
  <si>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</si>
  <si>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</si>
  <si>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</si>
  <si>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</si>
  <si>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</si>
  <si>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</si>
  <si>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</si>
  <si>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</si>
  <si>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</si>
  <si>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</si>
  <si>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</si>
  <si>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</si>
  <si>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</si>
  <si>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</si>
  <si>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</si>
  <si>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</si>
  <si>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</si>
  <si>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</si>
  <si>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</si>
  <si>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</si>
  <si>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</si>
  <si>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</si>
  <si>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</si>
  <si>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</si>
  <si>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</si>
  <si>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</si>
  <si>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</si>
  <si>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</si>
  <si>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</si>
  <si>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</si>
  <si>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</si>
  <si>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</si>
  <si>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</si>
  <si>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</si>
  <si>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</si>
  <si>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</si>
  <si>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</si>
  <si>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</si>
  <si>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</si>
  <si>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</si>
  <si>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</si>
  <si>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</si>
  <si>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</si>
  <si>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</si>
  <si>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</si>
  <si>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</si>
  <si>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</si>
  <si>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</si>
  <si>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</si>
  <si>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</si>
  <si>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</si>
  <si>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</si>
  <si>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</si>
  <si>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</si>
  <si>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</si>
  <si>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</si>
  <si>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</si>
  <si>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</si>
  <si>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</si>
  <si>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</si>
  <si>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</si>
  <si>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</si>
  <si>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</si>
  <si>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</si>
  <si>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</si>
  <si>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</si>
  <si>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</si>
  <si>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</si>
  <si>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</si>
  <si>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</si>
  <si>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</si>
  <si>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</si>
  <si>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</si>
  <si>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</si>
  <si>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</si>
  <si>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</si>
  <si>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</si>
  <si>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</si>
  <si>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</si>
  <si>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</si>
  <si>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</si>
  <si>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</si>
  <si>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</si>
  <si>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</si>
  <si>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</si>
  <si>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</si>
  <si>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</si>
  <si>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</si>
  <si>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</si>
  <si>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ADRESSE 19</t>
  </si>
  <si>
    <t>ADRESSE 20</t>
  </si>
  <si>
    <t>ADRESSE 21</t>
  </si>
  <si>
    <t>ADRESSE 22</t>
  </si>
  <si>
    <t>ADRESSE 23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</si>
  <si>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</si>
  <si>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</si>
  <si>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</si>
  <si>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</si>
  <si>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</si>
  <si>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</si>
  <si>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</si>
  <si>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31</t>
  </si>
  <si>
    <t>ADRESSE 32</t>
  </si>
  <si>
    <t>ADRESSE 33</t>
  </si>
  <si>
    <t>ADRESSE 34</t>
  </si>
  <si>
    <t>ADRESSE 35</t>
  </si>
  <si>
    <t>ADRESSE 36</t>
  </si>
  <si>
    <t>ADRESSE 37</t>
  </si>
  <si>
    <t>ADRESSE 38</t>
  </si>
  <si>
    <t>ADRESSE 39</t>
  </si>
  <si>
    <t>ADRESSE 40</t>
  </si>
  <si>
    <t>ADRESSE 41</t>
  </si>
  <si>
    <t>ADRESSE 42</t>
  </si>
  <si>
    <t>ADRESSE 43</t>
  </si>
  <si>
    <t>ADRESSE 44</t>
  </si>
  <si>
    <t>ADRESSE 45</t>
  </si>
  <si>
    <t>ADRESSE 46</t>
  </si>
  <si>
    <t>ADRESSE 47</t>
  </si>
  <si>
    <t>ADRESSE 48</t>
  </si>
  <si>
    <t>ADRESSE 49</t>
  </si>
  <si>
    <t>ADRESSE 50</t>
  </si>
  <si>
    <t>ADRESSE 51</t>
  </si>
  <si>
    <t>ADRESSE 52</t>
  </si>
  <si>
    <t>ADRESSE 53</t>
  </si>
  <si>
    <t>ADRESSE 54</t>
  </si>
  <si>
    <t>ADRESSE 55</t>
  </si>
  <si>
    <t>ADRESSE 56</t>
  </si>
  <si>
    <t>ADRESSE 57</t>
  </si>
  <si>
    <t>ADRESSE 58</t>
  </si>
  <si>
    <t>ADRESSE 59</t>
  </si>
  <si>
    <t>ADRESSE 60</t>
  </si>
  <si>
    <t>ADRESSE 61</t>
  </si>
  <si>
    <t>ADRESSE 62</t>
  </si>
  <si>
    <t>ADRESSE 63</t>
  </si>
  <si>
    <t>ADRESSE 64</t>
  </si>
  <si>
    <t>ADRESSE 65</t>
  </si>
  <si>
    <t>ADRESSE 66</t>
  </si>
  <si>
    <t>ADRESSE 67</t>
  </si>
  <si>
    <t>ADRESSE 68</t>
  </si>
  <si>
    <t>ADRESSE 69</t>
  </si>
  <si>
    <t>ADRESSE 70</t>
  </si>
  <si>
    <t>ADRESSE 71</t>
  </si>
  <si>
    <t>ADRESSE 72</t>
  </si>
  <si>
    <t>ADRESSE 73</t>
  </si>
  <si>
    <t>ADRESSE 74</t>
  </si>
  <si>
    <t>ADRESSE 75</t>
  </si>
  <si>
    <t>ADRESSE 76</t>
  </si>
  <si>
    <t>ADRESSE 77</t>
  </si>
  <si>
    <t>ADRESSE 78</t>
  </si>
  <si>
    <t>ADRESSE 79</t>
  </si>
  <si>
    <t>ADRESSE 80</t>
  </si>
  <si>
    <t>ADRESSE 81</t>
  </si>
  <si>
    <t>ADRESSE 82</t>
  </si>
  <si>
    <t>ADRESSE 83</t>
  </si>
  <si>
    <t>ADRESSE 84</t>
  </si>
  <si>
    <t>ADRESSE 85</t>
  </si>
  <si>
    <t>ADRESSE 86</t>
  </si>
  <si>
    <t>ADRESSE 87</t>
  </si>
  <si>
    <t>ADRESSE 88</t>
  </si>
  <si>
    <t>ADRESSE 89</t>
  </si>
  <si>
    <t>ADRESSE 90</t>
  </si>
  <si>
    <t>ADRESSE 91</t>
  </si>
  <si>
    <t>ADRESSE 92</t>
  </si>
  <si>
    <t>ADRESSE 93</t>
  </si>
  <si>
    <t>ADRESSE 94</t>
  </si>
  <si>
    <t>ADRESSE 95</t>
  </si>
  <si>
    <t>ADRESSE 96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</si>
  <si>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</si>
  <si>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</si>
  <si>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</si>
  <si>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</si>
  <si>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</si>
  <si>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</si>
  <si>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</si>
  <si>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</si>
  <si>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</si>
  <si>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</si>
  <si>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</si>
  <si>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</si>
  <si>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</si>
  <si>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</si>
  <si>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</si>
  <si>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</si>
  <si>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</si>
  <si>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</si>
  <si>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</si>
  <si>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</si>
  <si>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</si>
  <si>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</si>
  <si>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</si>
  <si>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</si>
  <si>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</si>
  <si>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</si>
  <si>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</si>
  <si>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</si>
  <si>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</si>
  <si>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</si>
  <si>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</si>
  <si>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</si>
  <si>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</si>
  <si>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</si>
  <si>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</si>
  <si>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</si>
  <si>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</si>
  <si>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</si>
  <si>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</si>
  <si>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</si>
  <si>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</si>
  <si>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</si>
  <si>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</si>
  <si>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</si>
  <si>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</si>
  <si>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</si>
  <si>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</si>
  <si>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</si>
  <si>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</si>
  <si>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</si>
  <si>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</si>
  <si>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</si>
  <si>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</si>
  <si>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</si>
  <si>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</si>
  <si>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</si>
  <si>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</si>
  <si>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</si>
  <si>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</si>
  <si>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</si>
  <si>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</si>
  <si>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</si>
  <si>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</si>
  <si>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</si>
  <si>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</si>
  <si>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</si>
  <si>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</si>
  <si>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</si>
  <si>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</si>
  <si>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</si>
  <si>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</si>
  <si>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</si>
  <si>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</si>
  <si>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</si>
  <si>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</si>
  <si>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</si>
  <si>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</si>
  <si>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</si>
  <si>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</si>
  <si>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</si>
  <si>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</si>
  <si>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</si>
  <si>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</si>
  <si>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</si>
  <si>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</si>
  <si>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</si>
  <si>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</si>
  <si>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</si>
  <si>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</si>
  <si>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</si>
  <si>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</si>
  <si>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</si>
  <si>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</si>
  <si>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</si>
  <si>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</si>
  <si>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#N/A</t>
  </si>
  <si>
    <t>TEST 96</t>
  </si>
  <si>
    <t>TEST 97</t>
  </si>
  <si>
    <t>TEST 98</t>
  </si>
  <si>
    <t>TEST 99</t>
  </si>
  <si>
    <t>TEST 100</t>
  </si>
  <si>
    <t>TEST 101</t>
  </si>
  <si>
    <t>TEST 102</t>
  </si>
  <si>
    <t>TEST 103</t>
  </si>
  <si>
    <t>TEST 104</t>
  </si>
  <si>
    <t>TEST 105</t>
  </si>
  <si>
    <t>TEST 106</t>
  </si>
  <si>
    <t>TEST 107</t>
  </si>
  <si>
    <t>TEST 108</t>
  </si>
  <si>
    <t>TEST 109</t>
  </si>
  <si>
    <t>TEST 110</t>
  </si>
  <si>
    <t>TEST 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</si>
</sst>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0.0%"/>
    <numFmt numFmtId="170" formatCode="00"/>
    <numFmt numFmtId="171" formatCode="#,##0.0\ &quot;€&quot;"/>
    <numFmt numFmtId="172" formatCode="#,##0\ &quot;€&quot;"/>
    <numFmt numFmtId="173" formatCode="#,##0.00\ &quot;€&quot;"/>
    <numFmt numFmtId="174" formatCode="#"/>
    <numFmt numFmtId="175" formatCode="#,##0.0\ &quot;€&quot;;[Red]\-#,##0.0\ &quot;€&quot;"/>
    <numFmt numFmtId="176" formatCode="0.000000%"/>
    <numFmt numFmtId="177" formatCode="_-* #,##0.00\ [$€-40C]_-;\-* #,##0.00\ [$€-40C]_-;_-* &quot;-&quot;??\ [$€-40C]_-;_-@_-"/>
    <numFmt numFmtId="178" formatCode="_-* #,##0\ _€_-;\-* #,##0\ _€_-;_-* &quot;-&quot;??\ _€_-;_-@_-"/>
  </numFmts>
  <fonts count="30" x14ac:knownFonts="1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2"/>
      <color indexed="9"/>
      <name val="Times New Roman"/>
      <family val="1"/>
    </font>
    <font>
      <b/>
      <i/>
      <sz val="10"/>
      <name val="Times New Roman"/>
      <family val="1"/>
    </font>
    <font>
      <sz val="10"/>
      <name val="Times New Roman"/>
      <family val="1"/>
    </font>
    <font>
      <b/>
      <sz val="10"/>
      <color indexed="10"/>
      <name val="Times New Roman"/>
      <family val="1"/>
    </font>
    <font>
      <sz val="10"/>
      <color indexed="55"/>
      <name val="Times New Roman"/>
      <family val="1"/>
    </font>
    <font>
      <b/>
      <sz val="10"/>
      <color indexed="17"/>
      <name val="Times New Roman"/>
      <family val="1"/>
    </font>
    <font>
      <b/>
      <sz val="10"/>
      <color indexed="55"/>
      <name val="Times New Roman"/>
      <family val="1"/>
    </font>
    <font>
      <b/>
      <sz val="10"/>
      <color theme="1"/>
      <name val="Times New Roman"/>
      <family val="1"/>
    </font>
    <font>
      <b/>
      <sz val="14"/>
      <color theme="5"/>
      <name val="Times New Roman"/>
      <family val="1"/>
    </font>
    <font>
      <b/>
      <sz val="10"/>
      <color rgb="FFFF0000"/>
      <name val="Times New Roman"/>
      <family val="1"/>
    </font>
    <font>
      <b/>
      <sz val="10"/>
      <color theme="0"/>
      <name val="Times New Roman"/>
      <family val="1"/>
    </font>
    <font>
      <sz val="10"/>
      <color rgb="FF000000"/>
      <name val="Times New Roman"/>
      <family val="1"/>
    </font>
    <font>
      <sz val="12"/>
      <color theme="1"/>
      <name val="Bodoni MT"/>
      <family val="1"/>
    </font>
    <font>
      <sz val="11"/>
      <color theme="1"/>
      <name val="Bodoni MT"/>
      <family val="1"/>
    </font>
    <font>
      <sz val="20"/>
      <color theme="1"/>
      <name val="Bodoni MT"/>
      <family val="1"/>
    </font>
    <font>
      <b/>
      <sz val="14"/>
      <color rgb="FF800000"/>
      <name val="Times New Roman"/>
      <family val="1"/>
    </font>
    <font>
      <b/>
      <sz val="12"/>
      <color theme="1"/>
      <name val="Bodoni MT"/>
      <family val="1"/>
    </font>
    <font>
      <sz val="12"/>
      <color theme="0"/>
      <name val="Bodoni MT"/>
      <family val="1"/>
    </font>
    <font>
      <sz val="10"/>
      <color theme="0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373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5" fontId="3" fillId="0" borderId="2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8" fillId="3" borderId="0" xfId="0" applyFont="1" applyFill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164" fontId="5" fillId="0" borderId="1" xfId="0" applyNumberFormat="1" applyFont="1" applyFill="1" applyBorder="1" applyAlignment="1" applyProtection="1">
      <alignment horizontal="center" vertical="center"/>
      <protection hidden="1"/>
    </xf>
    <xf numFmtId="164" fontId="11" fillId="4" borderId="3" xfId="0" applyNumberFormat="1" applyFont="1" applyFill="1" applyBorder="1" applyAlignment="1">
      <alignment horizontal="center" vertical="center"/>
    </xf>
    <xf numFmtId="0" fontId="3" fillId="5" borderId="4" xfId="5" applyFont="1" applyFill="1" applyBorder="1" applyAlignment="1">
      <alignment horizontal="center" vertical="center"/>
    </xf>
    <xf numFmtId="0" fontId="7" fillId="0" borderId="5" xfId="5" applyFont="1" applyBorder="1" applyAlignment="1">
      <alignment horizontal="center" vertical="center"/>
    </xf>
    <xf numFmtId="0" fontId="3" fillId="6" borderId="4" xfId="5" applyFont="1" applyFill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hidden="1"/>
    </xf>
    <xf numFmtId="0" fontId="7" fillId="0" borderId="0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9" fontId="7" fillId="7" borderId="0" xfId="6" applyFont="1" applyFill="1" applyBorder="1" applyAlignment="1" applyProtection="1">
      <alignment horizontal="center" vertical="center"/>
      <protection hidden="1"/>
    </xf>
    <xf numFmtId="0" fontId="7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/>
    <xf numFmtId="0" fontId="0" fillId="0" borderId="0" xfId="0" applyBorder="1" applyAlignment="1">
      <alignment horizontal="center" vertical="center"/>
    </xf>
    <xf numFmtId="167" fontId="3" fillId="0" borderId="9" xfId="0" applyNumberFormat="1" applyFont="1" applyBorder="1" applyAlignment="1">
      <alignment horizontal="center" vertical="center"/>
    </xf>
    <xf numFmtId="167" fontId="3" fillId="0" borderId="10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3" fillId="0" borderId="0" xfId="5" applyFont="1" applyBorder="1" applyAlignment="1">
      <alignment horizontal="center" vertical="center"/>
    </xf>
    <xf numFmtId="0" fontId="7" fillId="0" borderId="0" xfId="5" applyFont="1" applyFill="1" applyBorder="1" applyAlignment="1">
      <alignment horizontal="center" vertical="center"/>
    </xf>
    <xf numFmtId="0" fontId="7" fillId="0" borderId="0" xfId="5" applyFont="1" applyBorder="1" applyAlignment="1">
      <alignment horizontal="center" vertical="center"/>
    </xf>
    <xf numFmtId="0" fontId="3" fillId="0" borderId="0" xfId="5" applyFont="1" applyAlignment="1">
      <alignment horizontal="center" vertical="center"/>
    </xf>
    <xf numFmtId="0" fontId="8" fillId="0" borderId="0" xfId="1" applyFont="1" applyAlignment="1" applyProtection="1">
      <alignment horizontal="center" vertical="center"/>
    </xf>
    <xf numFmtId="0" fontId="7" fillId="0" borderId="5" xfId="5" applyFont="1" applyBorder="1" applyAlignment="1">
      <alignment horizontal="center" vertical="center" wrapText="1"/>
    </xf>
    <xf numFmtId="0" fontId="7" fillId="0" borderId="0" xfId="0" applyNumberFormat="1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 vertical="center"/>
    </xf>
    <xf numFmtId="9" fontId="3" fillId="0" borderId="0" xfId="6" applyFont="1" applyBorder="1" applyAlignment="1">
      <alignment horizontal="center" vertical="center"/>
    </xf>
    <xf numFmtId="167" fontId="3" fillId="0" borderId="0" xfId="0" applyNumberFormat="1" applyFont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 wrapText="1" readingOrder="1"/>
    </xf>
    <xf numFmtId="0" fontId="7" fillId="4" borderId="1" xfId="0" applyFont="1" applyFill="1" applyBorder="1" applyAlignment="1">
      <alignment horizontal="center" vertical="center" wrapText="1" readingOrder="1"/>
    </xf>
    <xf numFmtId="0" fontId="7" fillId="4" borderId="13" xfId="0" applyFont="1" applyFill="1" applyBorder="1" applyAlignment="1">
      <alignment horizontal="center" vertical="center" wrapText="1" readingOrder="1"/>
    </xf>
    <xf numFmtId="0" fontId="3" fillId="0" borderId="0" xfId="0" applyNumberFormat="1" applyFont="1" applyAlignment="1">
      <alignment horizontal="center" vertical="center"/>
    </xf>
    <xf numFmtId="170" fontId="3" fillId="0" borderId="0" xfId="0" applyNumberFormat="1" applyFont="1" applyAlignment="1">
      <alignment horizontal="center" vertical="center"/>
    </xf>
    <xf numFmtId="0" fontId="7" fillId="0" borderId="16" xfId="5" applyFont="1" applyBorder="1" applyAlignment="1">
      <alignment horizontal="center" vertical="center" wrapText="1"/>
    </xf>
    <xf numFmtId="0" fontId="7" fillId="0" borderId="17" xfId="5" applyFont="1" applyBorder="1" applyAlignment="1">
      <alignment horizontal="center" vertical="center" wrapText="1"/>
    </xf>
    <xf numFmtId="0" fontId="7" fillId="0" borderId="18" xfId="5" applyFont="1" applyBorder="1" applyAlignment="1">
      <alignment horizontal="center" vertical="center" wrapText="1"/>
    </xf>
    <xf numFmtId="168" fontId="12" fillId="4" borderId="19" xfId="0" applyNumberFormat="1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2" fillId="4" borderId="21" xfId="0" applyFont="1" applyFill="1" applyBorder="1" applyAlignment="1">
      <alignment horizontal="center" vertical="center" wrapText="1"/>
    </xf>
    <xf numFmtId="0" fontId="3" fillId="0" borderId="9" xfId="6" applyNumberFormat="1" applyFont="1" applyBorder="1" applyAlignment="1">
      <alignment horizontal="center" vertical="center"/>
    </xf>
    <xf numFmtId="172" fontId="3" fillId="0" borderId="0" xfId="0" applyNumberFormat="1" applyFont="1" applyBorder="1" applyAlignment="1">
      <alignment horizontal="center" vertical="center"/>
    </xf>
    <xf numFmtId="171" fontId="7" fillId="0" borderId="0" xfId="0" applyNumberFormat="1" applyFont="1" applyBorder="1" applyAlignment="1">
      <alignment horizontal="center" vertical="center"/>
    </xf>
    <xf numFmtId="171" fontId="3" fillId="0" borderId="0" xfId="0" applyNumberFormat="1" applyFont="1" applyBorder="1" applyAlignment="1">
      <alignment horizontal="center" vertical="center"/>
    </xf>
    <xf numFmtId="0" fontId="7" fillId="0" borderId="5" xfId="5" applyFont="1" applyFill="1" applyBorder="1" applyAlignment="1">
      <alignment horizontal="center" vertical="center" wrapText="1"/>
    </xf>
    <xf numFmtId="170" fontId="3" fillId="0" borderId="22" xfId="5" applyNumberFormat="1" applyFont="1" applyFill="1" applyBorder="1" applyAlignment="1">
      <alignment horizontal="center" vertical="center" wrapText="1"/>
    </xf>
    <xf numFmtId="0" fontId="7" fillId="0" borderId="23" xfId="5" applyFont="1" applyFill="1" applyBorder="1" applyAlignment="1">
      <alignment horizontal="center" vertical="center" wrapText="1"/>
    </xf>
    <xf numFmtId="0" fontId="3" fillId="0" borderId="0" xfId="5" applyFont="1" applyFill="1" applyBorder="1" applyAlignment="1">
      <alignment horizontal="center" vertical="center"/>
    </xf>
    <xf numFmtId="0" fontId="7" fillId="0" borderId="4" xfId="5" applyFont="1" applyFill="1" applyBorder="1" applyAlignment="1">
      <alignment horizontal="center" vertical="center" wrapText="1"/>
    </xf>
    <xf numFmtId="0" fontId="3" fillId="0" borderId="22" xfId="5" applyFont="1" applyFill="1" applyBorder="1" applyAlignment="1">
      <alignment horizontal="center" vertical="center"/>
    </xf>
    <xf numFmtId="0" fontId="3" fillId="0" borderId="4" xfId="5" applyFont="1" applyBorder="1" applyAlignment="1">
      <alignment horizontal="center" vertical="center"/>
    </xf>
    <xf numFmtId="171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71" fontId="7" fillId="0" borderId="0" xfId="0" applyNumberFormat="1" applyFont="1" applyAlignment="1">
      <alignment horizontal="center" vertical="center"/>
    </xf>
    <xf numFmtId="172" fontId="3" fillId="0" borderId="0" xfId="4" applyNumberFormat="1" applyFont="1" applyAlignment="1">
      <alignment horizontal="center" vertical="center"/>
    </xf>
    <xf numFmtId="174" fontId="3" fillId="0" borderId="0" xfId="0" applyNumberFormat="1" applyFont="1" applyAlignment="1">
      <alignment horizontal="center" vertical="center"/>
    </xf>
    <xf numFmtId="171" fontId="20" fillId="0" borderId="0" xfId="0" applyNumberFormat="1" applyFont="1" applyAlignment="1">
      <alignment horizontal="center" vertical="center"/>
    </xf>
    <xf numFmtId="0" fontId="21" fillId="4" borderId="63" xfId="0" applyFont="1" applyFill="1" applyBorder="1" applyAlignment="1">
      <alignment horizontal="center" vertical="center" wrapText="1"/>
    </xf>
    <xf numFmtId="169" fontId="0" fillId="0" borderId="1" xfId="6" applyNumberFormat="1" applyFont="1" applyBorder="1" applyAlignment="1">
      <alignment horizontal="center" vertical="center"/>
    </xf>
    <xf numFmtId="169" fontId="0" fillId="0" borderId="15" xfId="6" applyNumberFormat="1" applyFont="1" applyBorder="1" applyAlignment="1">
      <alignment horizontal="center" vertical="center"/>
    </xf>
    <xf numFmtId="0" fontId="3" fillId="0" borderId="1" xfId="6" applyNumberFormat="1" applyFont="1" applyBorder="1" applyAlignment="1">
      <alignment horizontal="center" vertical="center"/>
    </xf>
    <xf numFmtId="171" fontId="3" fillId="0" borderId="1" xfId="6" applyNumberFormat="1" applyFon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71" fontId="0" fillId="0" borderId="1" xfId="6" applyNumberFormat="1" applyFont="1" applyBorder="1" applyAlignment="1">
      <alignment horizontal="center" vertical="center"/>
    </xf>
    <xf numFmtId="167" fontId="7" fillId="0" borderId="18" xfId="0" applyNumberFormat="1" applyFont="1" applyBorder="1" applyAlignment="1">
      <alignment horizontal="center" vertical="center"/>
    </xf>
    <xf numFmtId="176" fontId="3" fillId="0" borderId="0" xfId="0" applyNumberFormat="1" applyFont="1" applyAlignment="1">
      <alignment horizontal="center" vertical="center"/>
    </xf>
    <xf numFmtId="167" fontId="0" fillId="0" borderId="1" xfId="6" applyNumberFormat="1" applyFont="1" applyBorder="1" applyAlignment="1">
      <alignment horizontal="center" vertical="center"/>
    </xf>
    <xf numFmtId="0" fontId="3" fillId="0" borderId="19" xfId="6" applyNumberFormat="1" applyFont="1" applyBorder="1" applyAlignment="1">
      <alignment horizontal="center" vertical="center"/>
    </xf>
    <xf numFmtId="167" fontId="0" fillId="0" borderId="19" xfId="6" applyNumberFormat="1" applyFont="1" applyBorder="1" applyAlignment="1">
      <alignment horizontal="center" vertical="center"/>
    </xf>
    <xf numFmtId="169" fontId="0" fillId="0" borderId="19" xfId="6" applyNumberFormat="1" applyFont="1" applyBorder="1" applyAlignment="1">
      <alignment horizontal="center" vertical="center"/>
    </xf>
    <xf numFmtId="169" fontId="0" fillId="0" borderId="19" xfId="0" applyNumberFormat="1" applyBorder="1" applyAlignment="1">
      <alignment horizontal="center" vertical="center"/>
    </xf>
    <xf numFmtId="171" fontId="3" fillId="0" borderId="19" xfId="6" applyNumberFormat="1" applyFont="1" applyBorder="1" applyAlignment="1">
      <alignment horizontal="center" vertical="center"/>
    </xf>
    <xf numFmtId="171" fontId="0" fillId="0" borderId="19" xfId="6" applyNumberFormat="1" applyFont="1" applyBorder="1" applyAlignment="1">
      <alignment horizontal="center" vertical="center"/>
    </xf>
    <xf numFmtId="171" fontId="0" fillId="0" borderId="24" xfId="6" applyNumberFormat="1" applyFont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4" xfId="6" applyNumberFormat="1" applyFont="1" applyBorder="1" applyAlignment="1">
      <alignment horizontal="center" vertical="center"/>
    </xf>
    <xf numFmtId="167" fontId="0" fillId="0" borderId="24" xfId="6" applyNumberFormat="1" applyFont="1" applyBorder="1" applyAlignment="1">
      <alignment horizontal="center" vertical="center"/>
    </xf>
    <xf numFmtId="169" fontId="0" fillId="0" borderId="24" xfId="6" applyNumberFormat="1" applyFont="1" applyBorder="1" applyAlignment="1">
      <alignment horizontal="center" vertical="center"/>
    </xf>
    <xf numFmtId="169" fontId="0" fillId="0" borderId="24" xfId="0" applyNumberFormat="1" applyBorder="1" applyAlignment="1">
      <alignment horizontal="center" vertical="center"/>
    </xf>
    <xf numFmtId="171" fontId="3" fillId="0" borderId="24" xfId="6" applyNumberFormat="1" applyFont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 wrapText="1"/>
    </xf>
    <xf numFmtId="171" fontId="0" fillId="0" borderId="2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1" fontId="0" fillId="0" borderId="24" xfId="0" applyNumberFormat="1" applyBorder="1" applyAlignment="1">
      <alignment horizontal="center" vertical="center"/>
    </xf>
    <xf numFmtId="171" fontId="3" fillId="0" borderId="0" xfId="0" applyNumberFormat="1" applyFont="1" applyAlignment="1">
      <alignment vertical="center"/>
    </xf>
    <xf numFmtId="172" fontId="0" fillId="0" borderId="0" xfId="0" applyNumberFormat="1" applyAlignment="1">
      <alignment horizontal="center" vertical="center"/>
    </xf>
    <xf numFmtId="174" fontId="15" fillId="0" borderId="0" xfId="0" applyNumberFormat="1" applyFont="1" applyAlignment="1">
      <alignment horizontal="center"/>
    </xf>
    <xf numFmtId="1" fontId="3" fillId="0" borderId="0" xfId="0" applyNumberFormat="1" applyFont="1" applyAlignment="1" applyProtection="1">
      <alignment horizontal="center" vertical="center"/>
      <protection locked="0"/>
    </xf>
    <xf numFmtId="168" fontId="3" fillId="0" borderId="0" xfId="0" applyNumberFormat="1" applyFont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71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166" fontId="3" fillId="2" borderId="28" xfId="0" applyNumberFormat="1" applyFont="1" applyFill="1" applyBorder="1" applyAlignment="1">
      <alignment horizontal="center" vertical="center"/>
    </xf>
    <xf numFmtId="14" fontId="3" fillId="2" borderId="29" xfId="0" applyNumberFormat="1" applyFont="1" applyFill="1" applyBorder="1" applyAlignment="1">
      <alignment horizontal="center" vertical="center"/>
    </xf>
    <xf numFmtId="166" fontId="3" fillId="2" borderId="30" xfId="0" applyNumberFormat="1" applyFont="1" applyFill="1" applyBorder="1" applyAlignment="1">
      <alignment horizontal="center" vertical="center"/>
    </xf>
    <xf numFmtId="14" fontId="3" fillId="2" borderId="31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14" fontId="3" fillId="2" borderId="10" xfId="0" applyNumberFormat="1" applyFont="1" applyFill="1" applyBorder="1" applyAlignment="1">
      <alignment horizontal="center" vertical="center"/>
    </xf>
    <xf numFmtId="166" fontId="3" fillId="8" borderId="28" xfId="5" applyNumberFormat="1" applyFont="1" applyFill="1" applyBorder="1" applyAlignment="1">
      <alignment horizontal="center" vertical="center"/>
    </xf>
    <xf numFmtId="14" fontId="3" fillId="8" borderId="31" xfId="0" applyNumberFormat="1" applyFont="1" applyFill="1" applyBorder="1" applyAlignment="1">
      <alignment horizontal="center" vertical="center"/>
    </xf>
    <xf numFmtId="166" fontId="3" fillId="8" borderId="30" xfId="0" applyNumberFormat="1" applyFont="1" applyFill="1" applyBorder="1" applyAlignment="1">
      <alignment horizontal="center" vertical="center"/>
    </xf>
    <xf numFmtId="166" fontId="3" fillId="8" borderId="6" xfId="0" applyNumberFormat="1" applyFont="1" applyFill="1" applyBorder="1" applyAlignment="1">
      <alignment horizontal="center" vertical="center"/>
    </xf>
    <xf numFmtId="14" fontId="3" fillId="8" borderId="10" xfId="0" applyNumberFormat="1" applyFont="1" applyFill="1" applyBorder="1" applyAlignment="1">
      <alignment horizontal="center" vertical="center"/>
    </xf>
    <xf numFmtId="166" fontId="3" fillId="0" borderId="0" xfId="5" applyNumberFormat="1" applyFont="1" applyAlignment="1">
      <alignment horizontal="center" vertical="center"/>
    </xf>
    <xf numFmtId="0" fontId="0" fillId="0" borderId="65" xfId="0" pivotButton="1" applyBorder="1"/>
    <xf numFmtId="0" fontId="0" fillId="0" borderId="66" xfId="0" applyBorder="1"/>
    <xf numFmtId="0" fontId="0" fillId="0" borderId="65" xfId="0" applyBorder="1"/>
    <xf numFmtId="0" fontId="0" fillId="0" borderId="66" xfId="0" applyNumberFormat="1" applyBorder="1"/>
    <xf numFmtId="0" fontId="0" fillId="0" borderId="67" xfId="0" applyBorder="1"/>
    <xf numFmtId="0" fontId="0" fillId="0" borderId="68" xfId="0" applyNumberFormat="1" applyBorder="1"/>
    <xf numFmtId="0" fontId="0" fillId="0" borderId="69" xfId="0" applyBorder="1"/>
    <xf numFmtId="171" fontId="0" fillId="0" borderId="65" xfId="0" applyNumberFormat="1" applyBorder="1"/>
    <xf numFmtId="171" fontId="0" fillId="0" borderId="70" xfId="0" applyNumberFormat="1" applyBorder="1"/>
    <xf numFmtId="0" fontId="0" fillId="0" borderId="71" xfId="0" applyBorder="1"/>
    <xf numFmtId="171" fontId="0" fillId="0" borderId="71" xfId="0" applyNumberFormat="1" applyBorder="1"/>
    <xf numFmtId="171" fontId="0" fillId="0" borderId="72" xfId="0" applyNumberFormat="1" applyBorder="1"/>
    <xf numFmtId="171" fontId="0" fillId="0" borderId="67" xfId="0" applyNumberFormat="1" applyBorder="1"/>
    <xf numFmtId="171" fontId="0" fillId="0" borderId="73" xfId="0" applyNumberFormat="1" applyBorder="1"/>
    <xf numFmtId="0" fontId="0" fillId="0" borderId="70" xfId="0" applyBorder="1" applyAlignment="1">
      <alignment wrapText="1"/>
    </xf>
    <xf numFmtId="169" fontId="0" fillId="0" borderId="65" xfId="0" applyNumberFormat="1" applyBorder="1"/>
    <xf numFmtId="169" fontId="0" fillId="0" borderId="70" xfId="0" applyNumberFormat="1" applyBorder="1"/>
    <xf numFmtId="169" fontId="0" fillId="0" borderId="71" xfId="0" applyNumberFormat="1" applyBorder="1"/>
    <xf numFmtId="169" fontId="0" fillId="0" borderId="72" xfId="0" applyNumberFormat="1" applyBorder="1"/>
    <xf numFmtId="169" fontId="0" fillId="0" borderId="67" xfId="0" applyNumberFormat="1" applyBorder="1"/>
    <xf numFmtId="169" fontId="0" fillId="0" borderId="73" xfId="0" applyNumberFormat="1" applyBorder="1"/>
    <xf numFmtId="0" fontId="0" fillId="0" borderId="70" xfId="0" applyNumberFormat="1" applyBorder="1"/>
    <xf numFmtId="0" fontId="0" fillId="0" borderId="72" xfId="0" applyNumberFormat="1" applyBorder="1"/>
    <xf numFmtId="0" fontId="0" fillId="0" borderId="73" xfId="0" applyNumberFormat="1" applyBorder="1"/>
    <xf numFmtId="0" fontId="22" fillId="0" borderId="32" xfId="0" applyFont="1" applyFill="1" applyBorder="1" applyAlignment="1" applyProtection="1">
      <alignment horizontal="center" vertical="center" wrapText="1"/>
      <protection locked="0"/>
    </xf>
    <xf numFmtId="0" fontId="7" fillId="0" borderId="17" xfId="5" applyFont="1" applyFill="1" applyBorder="1" applyAlignment="1">
      <alignment horizontal="center" vertical="center" wrapText="1"/>
    </xf>
    <xf numFmtId="0" fontId="3" fillId="0" borderId="33" xfId="5" applyFont="1" applyFill="1" applyBorder="1" applyAlignment="1">
      <alignment horizontal="center" vertical="center" wrapText="1"/>
    </xf>
    <xf numFmtId="0" fontId="3" fillId="0" borderId="33" xfId="5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0" xfId="5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6" xfId="5" applyFont="1" applyFill="1" applyBorder="1" applyAlignment="1">
      <alignment horizontal="center" vertical="center" wrapText="1"/>
    </xf>
    <xf numFmtId="0" fontId="22" fillId="0" borderId="28" xfId="0" applyFont="1" applyFill="1" applyBorder="1" applyAlignment="1" applyProtection="1">
      <alignment horizontal="center" vertical="center" wrapText="1"/>
      <protection locked="0"/>
    </xf>
    <xf numFmtId="170" fontId="3" fillId="0" borderId="33" xfId="0" applyNumberFormat="1" applyFont="1" applyBorder="1" applyAlignment="1">
      <alignment horizontal="center" vertical="center" wrapText="1"/>
    </xf>
    <xf numFmtId="170" fontId="3" fillId="0" borderId="33" xfId="5" applyNumberFormat="1" applyFont="1" applyFill="1" applyBorder="1" applyAlignment="1">
      <alignment horizontal="center" vertical="center" wrapText="1"/>
    </xf>
    <xf numFmtId="170" fontId="3" fillId="0" borderId="33" xfId="5" applyNumberFormat="1" applyFont="1" applyBorder="1" applyAlignment="1">
      <alignment horizontal="center" vertical="center" wrapText="1"/>
    </xf>
    <xf numFmtId="0" fontId="3" fillId="0" borderId="30" xfId="0" applyFont="1" applyBorder="1" applyAlignment="1">
      <alignment horizontal="left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22" xfId="5" applyFont="1" applyBorder="1" applyAlignment="1">
      <alignment horizontal="center" vertical="center"/>
    </xf>
    <xf numFmtId="0" fontId="3" fillId="0" borderId="30" xfId="5" applyFont="1" applyBorder="1" applyAlignment="1">
      <alignment horizontal="center" vertical="center"/>
    </xf>
    <xf numFmtId="171" fontId="3" fillId="0" borderId="33" xfId="5" applyNumberFormat="1" applyFont="1" applyBorder="1" applyAlignment="1">
      <alignment horizontal="center" vertical="center"/>
    </xf>
    <xf numFmtId="171" fontId="3" fillId="0" borderId="34" xfId="5" applyNumberFormat="1" applyFont="1" applyBorder="1" applyAlignment="1">
      <alignment horizontal="center" vertical="center"/>
    </xf>
    <xf numFmtId="171" fontId="3" fillId="0" borderId="34" xfId="3" applyNumberFormat="1" applyFont="1" applyBorder="1" applyAlignment="1">
      <alignment horizontal="center" vertical="center"/>
    </xf>
    <xf numFmtId="0" fontId="3" fillId="0" borderId="6" xfId="5" applyFont="1" applyBorder="1" applyAlignment="1">
      <alignment horizontal="center" vertical="center"/>
    </xf>
    <xf numFmtId="171" fontId="3" fillId="0" borderId="8" xfId="5" applyNumberFormat="1" applyFont="1" applyBorder="1" applyAlignment="1">
      <alignment horizontal="center" vertical="center"/>
    </xf>
    <xf numFmtId="171" fontId="3" fillId="0" borderId="35" xfId="2" applyNumberFormat="1" applyFont="1" applyBorder="1" applyAlignment="1">
      <alignment horizontal="center" vertical="center"/>
    </xf>
    <xf numFmtId="0" fontId="7" fillId="0" borderId="36" xfId="5" applyFont="1" applyBorder="1" applyAlignment="1">
      <alignment horizontal="center" vertical="center"/>
    </xf>
    <xf numFmtId="0" fontId="3" fillId="0" borderId="37" xfId="5" applyFont="1" applyBorder="1" applyAlignment="1">
      <alignment horizontal="center" vertical="center"/>
    </xf>
    <xf numFmtId="175" fontId="3" fillId="0" borderId="38" xfId="5" applyNumberFormat="1" applyFont="1" applyBorder="1" applyAlignment="1">
      <alignment horizontal="center" vertical="center"/>
    </xf>
    <xf numFmtId="0" fontId="3" fillId="0" borderId="0" xfId="5" applyFont="1" applyFill="1" applyAlignment="1">
      <alignment horizontal="center" vertical="center"/>
    </xf>
    <xf numFmtId="170" fontId="3" fillId="0" borderId="8" xfId="0" applyNumberFormat="1" applyFont="1" applyBorder="1" applyAlignment="1">
      <alignment horizontal="center" vertical="center" wrapText="1"/>
    </xf>
    <xf numFmtId="170" fontId="22" fillId="0" borderId="34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34" xfId="5" applyNumberFormat="1" applyFont="1" applyBorder="1" applyAlignment="1">
      <alignment horizontal="center" vertical="center" wrapText="1"/>
    </xf>
    <xf numFmtId="170" fontId="3" fillId="0" borderId="35" xfId="5" applyNumberFormat="1" applyFont="1" applyBorder="1" applyAlignment="1">
      <alignment horizontal="center" vertical="center" wrapText="1"/>
    </xf>
    <xf numFmtId="170" fontId="0" fillId="0" borderId="65" xfId="0" applyNumberFormat="1" applyBorder="1" applyAlignment="1">
      <alignment horizontal="left" vertical="center"/>
    </xf>
    <xf numFmtId="0" fontId="3" fillId="0" borderId="0" xfId="0" applyFont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21" fillId="9" borderId="63" xfId="0" applyFont="1" applyFill="1" applyBorder="1" applyAlignment="1" applyProtection="1">
      <alignment horizontal="center" vertical="center" wrapText="1"/>
      <protection locked="0"/>
    </xf>
    <xf numFmtId="0" fontId="4" fillId="9" borderId="74" xfId="0" applyFont="1" applyFill="1" applyBorder="1" applyAlignment="1" applyProtection="1">
      <alignment horizontal="center" vertical="center" wrapText="1"/>
      <protection locked="0"/>
    </xf>
    <xf numFmtId="14" fontId="4" fillId="9" borderId="63" xfId="0" applyNumberFormat="1" applyFont="1" applyFill="1" applyBorder="1" applyAlignment="1" applyProtection="1">
      <alignment horizontal="center" vertical="center" wrapText="1"/>
      <protection locked="0"/>
    </xf>
    <xf numFmtId="168" fontId="21" fillId="9" borderId="63" xfId="0" applyNumberFormat="1" applyFont="1" applyFill="1" applyBorder="1" applyAlignment="1" applyProtection="1">
      <alignment horizontal="center" vertical="center" wrapText="1"/>
      <protection locked="0"/>
    </xf>
    <xf numFmtId="171" fontId="3" fillId="0" borderId="34" xfId="2" applyNumberFormat="1" applyFont="1" applyBorder="1" applyAlignment="1">
      <alignment horizontal="center" vertical="center"/>
    </xf>
    <xf numFmtId="170" fontId="3" fillId="0" borderId="4" xfId="5" applyNumberFormat="1" applyFont="1" applyFill="1" applyBorder="1" applyAlignment="1">
      <alignment horizontal="center" vertical="center" wrapText="1"/>
    </xf>
    <xf numFmtId="170" fontId="3" fillId="0" borderId="37" xfId="5" applyNumberFormat="1" applyFont="1" applyFill="1" applyBorder="1" applyAlignment="1">
      <alignment horizontal="center" vertical="center" wrapText="1"/>
    </xf>
    <xf numFmtId="10" fontId="0" fillId="0" borderId="1" xfId="6" applyNumberFormat="1" applyFont="1" applyBorder="1" applyAlignment="1">
      <alignment horizontal="center" vertical="center"/>
    </xf>
    <xf numFmtId="10" fontId="7" fillId="0" borderId="9" xfId="6" applyNumberFormat="1" applyFont="1" applyBorder="1" applyAlignment="1">
      <alignment horizontal="center" vertical="center"/>
    </xf>
    <xf numFmtId="10" fontId="7" fillId="0" borderId="18" xfId="0" applyNumberFormat="1" applyFont="1" applyBorder="1" applyAlignment="1">
      <alignment horizontal="center" vertical="center"/>
    </xf>
    <xf numFmtId="173" fontId="7" fillId="0" borderId="13" xfId="6" applyNumberFormat="1" applyFont="1" applyBorder="1" applyAlignment="1">
      <alignment horizontal="center" vertical="center"/>
    </xf>
    <xf numFmtId="173" fontId="7" fillId="0" borderId="14" xfId="6" applyNumberFormat="1" applyFont="1" applyBorder="1" applyAlignment="1">
      <alignment horizontal="center" vertical="center"/>
    </xf>
    <xf numFmtId="173" fontId="3" fillId="0" borderId="1" xfId="6" applyNumberFormat="1" applyFont="1" applyBorder="1" applyAlignment="1">
      <alignment horizontal="center" vertical="center"/>
    </xf>
    <xf numFmtId="173" fontId="3" fillId="0" borderId="15" xfId="6" applyNumberFormat="1" applyFont="1" applyBorder="1" applyAlignment="1">
      <alignment horizontal="center" vertical="center"/>
    </xf>
    <xf numFmtId="9" fontId="7" fillId="7" borderId="0" xfId="6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 wrapText="1"/>
    </xf>
    <xf numFmtId="170" fontId="0" fillId="0" borderId="0" xfId="0" applyNumberFormat="1" applyBorder="1" applyAlignment="1">
      <alignment horizontal="left" vertical="center"/>
    </xf>
    <xf numFmtId="0" fontId="0" fillId="0" borderId="0" xfId="0" applyNumberFormat="1" applyBorder="1"/>
    <xf numFmtId="0" fontId="0" fillId="0" borderId="65" xfId="0" applyNumberFormat="1" applyBorder="1" applyAlignment="1">
      <alignment horizontal="right"/>
    </xf>
    <xf numFmtId="0" fontId="0" fillId="0" borderId="71" xfId="0" applyNumberFormat="1" applyBorder="1" applyAlignment="1">
      <alignment horizontal="right"/>
    </xf>
    <xf numFmtId="0" fontId="0" fillId="0" borderId="67" xfId="0" applyNumberFormat="1" applyBorder="1" applyAlignment="1">
      <alignment horizontal="right"/>
    </xf>
    <xf numFmtId="0" fontId="0" fillId="0" borderId="65" xfId="0" applyBorder="1" applyAlignment="1">
      <alignment horizontal="center" vertical="center" wrapText="1"/>
    </xf>
    <xf numFmtId="14" fontId="23" fillId="0" borderId="1" xfId="0" applyNumberFormat="1" applyFont="1" applyBorder="1" applyAlignment="1">
      <alignment horizontal="center"/>
    </xf>
    <xf numFmtId="14" fontId="23" fillId="0" borderId="3" xfId="0" applyNumberFormat="1" applyFont="1" applyBorder="1" applyAlignment="1">
      <alignment horizontal="center"/>
    </xf>
    <xf numFmtId="177" fontId="23" fillId="0" borderId="1" xfId="0" applyNumberFormat="1" applyFont="1" applyBorder="1" applyAlignment="1">
      <alignment horizontal="center"/>
    </xf>
    <xf numFmtId="0" fontId="23" fillId="0" borderId="39" xfId="0" applyFont="1" applyBorder="1" applyAlignment="1">
      <alignment horizontal="center"/>
    </xf>
    <xf numFmtId="0" fontId="23" fillId="0" borderId="27" xfId="0" applyFont="1" applyBorder="1" applyAlignment="1">
      <alignment horizontal="center"/>
    </xf>
    <xf numFmtId="0" fontId="23" fillId="0" borderId="40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23" fillId="0" borderId="41" xfId="0" applyFont="1" applyBorder="1" applyAlignment="1">
      <alignment horizontal="center"/>
    </xf>
    <xf numFmtId="0" fontId="23" fillId="0" borderId="42" xfId="0" applyFont="1" applyBorder="1" applyAlignment="1">
      <alignment horizontal="center"/>
    </xf>
    <xf numFmtId="0" fontId="23" fillId="0" borderId="43" xfId="0" applyFont="1" applyBorder="1" applyAlignment="1">
      <alignment horizontal="center"/>
    </xf>
    <xf numFmtId="0" fontId="24" fillId="0" borderId="0" xfId="0" applyFont="1" applyAlignment="1">
      <alignment horizontal="center"/>
    </xf>
    <xf numFmtId="173" fontId="23" fillId="0" borderId="1" xfId="0" applyNumberFormat="1" applyFont="1" applyBorder="1" applyAlignment="1">
      <alignment horizontal="center"/>
    </xf>
    <xf numFmtId="0" fontId="3" fillId="0" borderId="0" xfId="6" applyNumberFormat="1" applyFont="1" applyBorder="1" applyAlignment="1">
      <alignment horizontal="center" vertical="center"/>
    </xf>
    <xf numFmtId="169" fontId="0" fillId="0" borderId="0" xfId="6" applyNumberFormat="1" applyFont="1" applyBorder="1" applyAlignment="1">
      <alignment horizontal="center" vertical="center"/>
    </xf>
    <xf numFmtId="173" fontId="3" fillId="0" borderId="0" xfId="6" applyNumberFormat="1" applyFont="1" applyBorder="1" applyAlignment="1">
      <alignment horizontal="center" vertical="center"/>
    </xf>
    <xf numFmtId="173" fontId="7" fillId="0" borderId="0" xfId="6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3" fillId="0" borderId="0" xfId="0" applyFont="1" applyAlignment="1">
      <alignment horizontal="center"/>
    </xf>
    <xf numFmtId="0" fontId="23" fillId="0" borderId="1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3" fillId="0" borderId="1" xfId="0" applyFont="1" applyBorder="1" applyAlignment="1">
      <alignment horizontal="center" vertical="center" wrapText="1"/>
    </xf>
    <xf numFmtId="0" fontId="3" fillId="10" borderId="4" xfId="5" applyFont="1" applyFill="1" applyBorder="1" applyAlignment="1">
      <alignment horizontal="center" vertical="center"/>
    </xf>
    <xf numFmtId="0" fontId="3" fillId="11" borderId="37" xfId="5" applyFont="1" applyFill="1" applyBorder="1" applyAlignment="1">
      <alignment horizontal="center" vertical="center"/>
    </xf>
    <xf numFmtId="0" fontId="3" fillId="12" borderId="4" xfId="5" applyFont="1" applyFill="1" applyBorder="1" applyAlignment="1">
      <alignment horizontal="center" vertical="center"/>
    </xf>
    <xf numFmtId="173" fontId="3" fillId="0" borderId="0" xfId="4" applyNumberFormat="1" applyFont="1" applyAlignment="1">
      <alignment horizontal="center" vertical="center"/>
    </xf>
    <xf numFmtId="174" fontId="17" fillId="0" borderId="0" xfId="0" applyNumberFormat="1" applyFont="1" applyAlignment="1">
      <alignment horizontal="center"/>
    </xf>
    <xf numFmtId="0" fontId="21" fillId="4" borderId="64" xfId="0" applyFont="1" applyFill="1" applyBorder="1" applyAlignment="1">
      <alignment horizontal="center" vertical="center" wrapText="1"/>
    </xf>
    <xf numFmtId="0" fontId="0" fillId="11" borderId="0" xfId="0" applyFill="1" applyAlignment="1">
      <alignment wrapText="1"/>
    </xf>
    <xf numFmtId="0" fontId="0" fillId="12" borderId="0" xfId="0" applyFill="1" applyAlignment="1">
      <alignment wrapText="1"/>
    </xf>
    <xf numFmtId="0" fontId="7" fillId="4" borderId="19" xfId="0" applyFont="1" applyFill="1" applyBorder="1" applyAlignment="1">
      <alignment horizontal="center" vertical="center" wrapText="1"/>
    </xf>
    <xf numFmtId="0" fontId="7" fillId="4" borderId="20" xfId="0" applyFont="1" applyFill="1" applyBorder="1" applyAlignment="1">
      <alignment horizontal="center" vertical="center" wrapText="1"/>
    </xf>
    <xf numFmtId="173" fontId="3" fillId="0" borderId="0" xfId="0" applyNumberFormat="1" applyFont="1" applyAlignment="1">
      <alignment horizontal="center" vertical="center"/>
    </xf>
    <xf numFmtId="0" fontId="23" fillId="0" borderId="1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3" fillId="0" borderId="0" xfId="0" applyFont="1" applyAlignment="1">
      <alignment horizontal="center"/>
    </xf>
    <xf numFmtId="168" fontId="0" fillId="0" borderId="15" xfId="0" applyNumberFormat="1" applyFont="1" applyBorder="1" applyAlignment="1">
      <alignment horizontal="center" vertical="center"/>
    </xf>
    <xf numFmtId="168" fontId="0" fillId="0" borderId="11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68" fontId="0" fillId="0" borderId="7" xfId="0" applyNumberFormat="1" applyFont="1" applyBorder="1" applyAlignment="1">
      <alignment horizontal="center" vertical="center"/>
    </xf>
    <xf numFmtId="1" fontId="0" fillId="0" borderId="15" xfId="0" applyNumberFormat="1" applyFont="1" applyBorder="1" applyAlignment="1">
      <alignment horizontal="center" vertical="center"/>
    </xf>
    <xf numFmtId="173" fontId="27" fillId="0" borderId="1" xfId="0" applyNumberFormat="1" applyFont="1" applyBorder="1" applyAlignment="1">
      <alignment horizontal="center"/>
    </xf>
    <xf numFmtId="0" fontId="27" fillId="0" borderId="3" xfId="0" quotePrefix="1" applyFont="1" applyBorder="1" applyAlignment="1">
      <alignment horizontal="centerContinuous"/>
    </xf>
    <xf numFmtId="0" fontId="27" fillId="0" borderId="75" xfId="0" applyFont="1" applyBorder="1" applyAlignment="1">
      <alignment horizontal="center"/>
    </xf>
    <xf numFmtId="0" fontId="27" fillId="0" borderId="75" xfId="0" applyFont="1" applyBorder="1" applyAlignment="1">
      <alignment horizontal="centerContinuous"/>
    </xf>
    <xf numFmtId="0" fontId="27" fillId="0" borderId="26" xfId="0" applyFont="1" applyBorder="1" applyAlignment="1">
      <alignment horizontal="centerContinuous"/>
    </xf>
    <xf numFmtId="0" fontId="27" fillId="0" borderId="1" xfId="0" applyFont="1" applyBorder="1" applyAlignment="1">
      <alignment horizontal="center"/>
    </xf>
    <xf numFmtId="177" fontId="27" fillId="0" borderId="1" xfId="0" applyNumberFormat="1" applyFont="1" applyBorder="1" applyAlignment="1">
      <alignment horizontal="center"/>
    </xf>
    <xf numFmtId="0" fontId="27" fillId="0" borderId="0" xfId="0" applyFont="1" applyAlignment="1">
      <alignment horizontal="center"/>
    </xf>
    <xf numFmtId="0" fontId="7" fillId="0" borderId="0" xfId="0" applyFont="1"/>
    <xf numFmtId="0" fontId="27" fillId="0" borderId="3" xfId="0" applyFont="1" applyBorder="1" applyAlignment="1">
      <alignment horizontal="centerContinuous"/>
    </xf>
    <xf numFmtId="0" fontId="27" fillId="0" borderId="1" xfId="0" applyFont="1" applyBorder="1" applyAlignment="1">
      <alignment horizontal="center" vertical="center" wrapText="1"/>
    </xf>
    <xf numFmtId="0" fontId="7" fillId="0" borderId="1" xfId="0" applyFont="1" applyBorder="1"/>
    <xf numFmtId="0" fontId="27" fillId="0" borderId="75" xfId="0" applyFont="1" applyBorder="1" applyAlignment="1"/>
    <xf numFmtId="0" fontId="27" fillId="0" borderId="26" xfId="0" applyFont="1" applyBorder="1" applyAlignment="1"/>
    <xf numFmtId="44" fontId="27" fillId="0" borderId="1" xfId="4" applyFont="1" applyBorder="1" applyAlignment="1"/>
    <xf numFmtId="14" fontId="3" fillId="0" borderId="0" xfId="0" applyNumberFormat="1" applyFont="1" applyFill="1" applyAlignment="1" applyProtection="1">
      <alignment horizontal="center" vertical="center"/>
      <protection locked="0"/>
    </xf>
    <xf numFmtId="178" fontId="23" fillId="0" borderId="0" xfId="2" applyNumberFormat="1" applyFont="1" applyAlignment="1">
      <alignment horizontal="center"/>
    </xf>
    <xf numFmtId="14" fontId="1" fillId="0" borderId="0" xfId="0" applyNumberFormat="1" applyFont="1"/>
    <xf numFmtId="0" fontId="28" fillId="0" borderId="0" xfId="0" applyFont="1" applyAlignment="1">
      <alignment horizontal="center"/>
    </xf>
    <xf numFmtId="178" fontId="28" fillId="0" borderId="0" xfId="2" applyNumberFormat="1" applyFont="1" applyAlignment="1">
      <alignment horizontal="center"/>
    </xf>
    <xf numFmtId="0" fontId="29" fillId="0" borderId="0" xfId="0" applyFont="1"/>
    <xf numFmtId="0" fontId="27" fillId="6" borderId="3" xfId="0" applyFont="1" applyFill="1" applyBorder="1" applyAlignment="1">
      <alignment horizontal="centerContinuous"/>
    </xf>
    <xf numFmtId="14" fontId="23" fillId="6" borderId="1" xfId="0" applyNumberFormat="1" applyFont="1" applyFill="1" applyBorder="1" applyAlignment="1">
      <alignment horizontal="center"/>
    </xf>
    <xf numFmtId="0" fontId="7" fillId="6" borderId="1" xfId="0" applyFont="1" applyFill="1" applyBorder="1"/>
    <xf numFmtId="0" fontId="21" fillId="4" borderId="63" xfId="0" applyFont="1" applyFill="1" applyBorder="1" applyAlignment="1" applyProtection="1">
      <alignment horizontal="center" vertical="center" wrapText="1"/>
      <protection locked="0"/>
    </xf>
    <xf numFmtId="171" fontId="1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9" fillId="4" borderId="44" xfId="0" applyFont="1" applyFill="1" applyBorder="1" applyAlignment="1">
      <alignment horizontal="center" vertical="center" wrapText="1"/>
    </xf>
    <xf numFmtId="0" fontId="3" fillId="0" borderId="4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10" fillId="4" borderId="47" xfId="0" applyFont="1" applyFill="1" applyBorder="1" applyAlignment="1" applyProtection="1">
      <alignment horizontal="center" vertical="center"/>
      <protection locked="0"/>
    </xf>
    <xf numFmtId="0" fontId="10" fillId="4" borderId="48" xfId="0" applyFont="1" applyFill="1" applyBorder="1" applyAlignment="1" applyProtection="1">
      <alignment horizontal="center" vertical="center"/>
      <protection locked="0"/>
    </xf>
    <xf numFmtId="0" fontId="10" fillId="4" borderId="29" xfId="0" applyFont="1" applyFill="1" applyBorder="1" applyAlignment="1" applyProtection="1">
      <alignment horizontal="center" vertical="center"/>
      <protection locked="0"/>
    </xf>
    <xf numFmtId="0" fontId="10" fillId="4" borderId="11" xfId="0" applyFont="1" applyFill="1" applyBorder="1" applyAlignment="1" applyProtection="1">
      <alignment horizontal="center" vertical="center"/>
      <protection locked="0"/>
    </xf>
    <xf numFmtId="0" fontId="10" fillId="4" borderId="49" xfId="0" applyFont="1" applyFill="1" applyBorder="1" applyAlignment="1" applyProtection="1">
      <alignment horizontal="center" vertical="center"/>
      <protection locked="0"/>
    </xf>
    <xf numFmtId="0" fontId="10" fillId="4" borderId="10" xfId="0" applyFont="1" applyFill="1" applyBorder="1" applyAlignment="1" applyProtection="1">
      <alignment horizontal="center" vertical="center"/>
      <protection locked="0"/>
    </xf>
    <xf numFmtId="0" fontId="3" fillId="0" borderId="40" xfId="0" applyFont="1" applyBorder="1" applyAlignment="1">
      <alignment horizontal="center"/>
    </xf>
    <xf numFmtId="0" fontId="7" fillId="4" borderId="23" xfId="0" applyFont="1" applyFill="1" applyBorder="1" applyAlignment="1">
      <alignment horizontal="center" vertical="center" wrapText="1"/>
    </xf>
    <xf numFmtId="0" fontId="7" fillId="4" borderId="50" xfId="0" applyFont="1" applyFill="1" applyBorder="1" applyAlignment="1">
      <alignment horizontal="center" vertical="center"/>
    </xf>
    <xf numFmtId="0" fontId="7" fillId="4" borderId="51" xfId="0" applyFont="1" applyFill="1" applyBorder="1" applyAlignment="1">
      <alignment horizontal="center" vertical="center"/>
    </xf>
    <xf numFmtId="10" fontId="7" fillId="0" borderId="23" xfId="0" applyNumberFormat="1" applyFont="1" applyBorder="1" applyAlignment="1">
      <alignment horizontal="center" vertical="center"/>
    </xf>
    <xf numFmtId="10" fontId="0" fillId="0" borderId="50" xfId="0" applyNumberFormat="1" applyBorder="1" applyAlignment="1">
      <alignment horizontal="center" vertical="center"/>
    </xf>
    <xf numFmtId="10" fontId="0" fillId="0" borderId="51" xfId="0" applyNumberFormat="1" applyBorder="1" applyAlignment="1">
      <alignment horizontal="center" vertical="center"/>
    </xf>
    <xf numFmtId="0" fontId="7" fillId="0" borderId="23" xfId="0" quotePrefix="1" applyFont="1" applyBorder="1" applyAlignment="1">
      <alignment horizontal="center" vertical="center"/>
    </xf>
    <xf numFmtId="0" fontId="7" fillId="0" borderId="50" xfId="0" applyFont="1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wrapText="1"/>
    </xf>
    <xf numFmtId="0" fontId="7" fillId="16" borderId="60" xfId="0" applyFont="1" applyFill="1" applyBorder="1" applyAlignment="1">
      <alignment horizontal="center" vertical="center" wrapText="1"/>
    </xf>
    <xf numFmtId="0" fontId="7" fillId="16" borderId="20" xfId="0" applyFont="1" applyFill="1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 wrapText="1"/>
    </xf>
    <xf numFmtId="0" fontId="7" fillId="9" borderId="20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7" fillId="15" borderId="19" xfId="0" applyFont="1" applyFill="1" applyBorder="1" applyAlignment="1">
      <alignment horizontal="center" vertical="center" wrapText="1"/>
    </xf>
    <xf numFmtId="0" fontId="7" fillId="15" borderId="20" xfId="0" applyFont="1" applyFill="1" applyBorder="1" applyAlignment="1">
      <alignment horizontal="center" vertical="center" wrapText="1"/>
    </xf>
    <xf numFmtId="0" fontId="7" fillId="15" borderId="60" xfId="0" applyFont="1" applyFill="1" applyBorder="1" applyAlignment="1">
      <alignment horizontal="center" vertical="center" wrapText="1"/>
    </xf>
    <xf numFmtId="173" fontId="0" fillId="0" borderId="15" xfId="0" applyNumberFormat="1" applyFont="1" applyBorder="1" applyAlignment="1">
      <alignment horizontal="center" vertical="center"/>
    </xf>
    <xf numFmtId="173" fontId="20" fillId="0" borderId="15" xfId="0" applyNumberFormat="1" applyFont="1" applyBorder="1" applyAlignment="1">
      <alignment horizontal="center" vertical="center"/>
    </xf>
    <xf numFmtId="0" fontId="7" fillId="13" borderId="60" xfId="0" applyFont="1" applyFill="1" applyBorder="1" applyAlignment="1">
      <alignment horizontal="center" vertical="center" wrapText="1"/>
    </xf>
    <xf numFmtId="0" fontId="7" fillId="13" borderId="19" xfId="0" applyFont="1" applyFill="1" applyBorder="1" applyAlignment="1">
      <alignment horizontal="center" vertical="center" wrapText="1"/>
    </xf>
    <xf numFmtId="0" fontId="7" fillId="9" borderId="60" xfId="0" applyFont="1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horizontal="center" vertical="center" wrapText="1"/>
    </xf>
    <xf numFmtId="0" fontId="12" fillId="14" borderId="21" xfId="0" applyFont="1" applyFill="1" applyBorder="1" applyAlignment="1">
      <alignment horizontal="center" vertical="center" wrapText="1"/>
    </xf>
    <xf numFmtId="0" fontId="12" fillId="14" borderId="25" xfId="0" applyFont="1" applyFill="1" applyBorder="1" applyAlignment="1">
      <alignment horizontal="center" vertical="center" wrapText="1"/>
    </xf>
    <xf numFmtId="0" fontId="12" fillId="12" borderId="52" xfId="0" applyFont="1" applyFill="1" applyBorder="1" applyAlignment="1">
      <alignment horizontal="center" vertical="center" wrapText="1"/>
    </xf>
    <xf numFmtId="0" fontId="12" fillId="12" borderId="62" xfId="0" applyFont="1" applyFill="1" applyBorder="1" applyAlignment="1">
      <alignment horizontal="center" vertical="center" wrapText="1"/>
    </xf>
    <xf numFmtId="0" fontId="12" fillId="12" borderId="25" xfId="0" applyFont="1" applyFill="1" applyBorder="1" applyAlignment="1">
      <alignment horizontal="center" vertical="center" wrapText="1"/>
    </xf>
    <xf numFmtId="0" fontId="12" fillId="4" borderId="3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7" fillId="7" borderId="59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2" fillId="6" borderId="52" xfId="0" applyFont="1" applyFill="1" applyBorder="1" applyAlignment="1">
      <alignment horizontal="center" vertical="center" wrapText="1"/>
    </xf>
    <xf numFmtId="0" fontId="12" fillId="6" borderId="53" xfId="0" applyFont="1" applyFill="1" applyBorder="1" applyAlignment="1">
      <alignment horizontal="center" vertical="center" wrapText="1"/>
    </xf>
    <xf numFmtId="0" fontId="12" fillId="10" borderId="21" xfId="0" applyFont="1" applyFill="1" applyBorder="1" applyAlignment="1">
      <alignment horizontal="center" vertical="center" wrapText="1"/>
    </xf>
    <xf numFmtId="0" fontId="12" fillId="10" borderId="25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12" fillId="5" borderId="52" xfId="0" applyFont="1" applyFill="1" applyBorder="1" applyAlignment="1">
      <alignment horizontal="center" vertical="center" wrapText="1"/>
    </xf>
    <xf numFmtId="0" fontId="12" fillId="5" borderId="62" xfId="0" applyFont="1" applyFill="1" applyBorder="1" applyAlignment="1">
      <alignment horizontal="center" vertical="center" wrapText="1"/>
    </xf>
    <xf numFmtId="0" fontId="12" fillId="5" borderId="25" xfId="0" applyFont="1" applyFill="1" applyBorder="1" applyAlignment="1">
      <alignment horizontal="center" vertical="center" wrapText="1"/>
    </xf>
    <xf numFmtId="0" fontId="7" fillId="0" borderId="61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7" fillId="4" borderId="60" xfId="0" applyFont="1" applyFill="1" applyBorder="1" applyAlignment="1">
      <alignment horizontal="center" vertical="center" wrapText="1"/>
    </xf>
    <xf numFmtId="0" fontId="12" fillId="11" borderId="21" xfId="0" applyFont="1" applyFill="1" applyBorder="1" applyAlignment="1">
      <alignment horizontal="center" vertical="center" wrapText="1"/>
    </xf>
    <xf numFmtId="0" fontId="12" fillId="11" borderId="53" xfId="0" applyFont="1" applyFill="1" applyBorder="1" applyAlignment="1">
      <alignment horizontal="center" vertical="center" wrapText="1"/>
    </xf>
    <xf numFmtId="0" fontId="12" fillId="12" borderId="21" xfId="0" applyFont="1" applyFill="1" applyBorder="1" applyAlignment="1">
      <alignment horizontal="center" vertical="center" wrapText="1"/>
    </xf>
    <xf numFmtId="0" fontId="12" fillId="12" borderId="53" xfId="0" applyFont="1" applyFill="1" applyBorder="1" applyAlignment="1">
      <alignment horizontal="center" vertical="center" wrapText="1"/>
    </xf>
    <xf numFmtId="0" fontId="0" fillId="0" borderId="55" xfId="0" applyBorder="1" applyAlignment="1">
      <alignment horizontal="center" vertical="center"/>
    </xf>
    <xf numFmtId="0" fontId="12" fillId="5" borderId="53" xfId="0" applyFont="1" applyFill="1" applyBorder="1" applyAlignment="1">
      <alignment horizontal="center" vertical="center" wrapText="1"/>
    </xf>
    <xf numFmtId="173" fontId="0" fillId="0" borderId="54" xfId="0" applyNumberFormat="1" applyBorder="1" applyAlignment="1">
      <alignment horizontal="center" vertical="center"/>
    </xf>
    <xf numFmtId="173" fontId="3" fillId="0" borderId="56" xfId="0" applyNumberFormat="1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173" fontId="0" fillId="0" borderId="56" xfId="0" applyNumberFormat="1" applyBorder="1" applyAlignment="1">
      <alignment horizontal="center" vertical="center"/>
    </xf>
    <xf numFmtId="167" fontId="7" fillId="7" borderId="19" xfId="0" applyNumberFormat="1" applyFont="1" applyFill="1" applyBorder="1" applyAlignment="1">
      <alignment horizontal="center" vertical="center"/>
    </xf>
    <xf numFmtId="167" fontId="7" fillId="7" borderId="20" xfId="0" applyNumberFormat="1" applyFont="1" applyFill="1" applyBorder="1" applyAlignment="1">
      <alignment horizontal="center" vertical="center"/>
    </xf>
    <xf numFmtId="173" fontId="0" fillId="0" borderId="54" xfId="0" applyNumberFormat="1" applyFont="1" applyBorder="1" applyAlignment="1">
      <alignment horizontal="center" vertical="center"/>
    </xf>
    <xf numFmtId="173" fontId="3" fillId="0" borderId="55" xfId="0" applyNumberFormat="1" applyFont="1" applyBorder="1" applyAlignment="1">
      <alignment horizontal="center" vertical="center"/>
    </xf>
    <xf numFmtId="173" fontId="0" fillId="0" borderId="56" xfId="0" applyNumberFormat="1" applyFont="1" applyBorder="1" applyAlignment="1">
      <alignment horizontal="center" vertical="center"/>
    </xf>
    <xf numFmtId="173" fontId="7" fillId="0" borderId="57" xfId="0" applyNumberFormat="1" applyFont="1" applyBorder="1" applyAlignment="1">
      <alignment horizontal="center" vertical="center"/>
    </xf>
    <xf numFmtId="173" fontId="7" fillId="0" borderId="55" xfId="0" applyNumberFormat="1" applyFont="1" applyBorder="1" applyAlignment="1">
      <alignment horizontal="center" vertical="center"/>
    </xf>
    <xf numFmtId="173" fontId="3" fillId="0" borderId="58" xfId="0" applyNumberFormat="1" applyFont="1" applyBorder="1" applyAlignment="1">
      <alignment horizontal="center" vertical="center"/>
    </xf>
    <xf numFmtId="0" fontId="7" fillId="7" borderId="60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6" xfId="0" applyFont="1" applyBorder="1" applyAlignment="1">
      <alignment horizontal="center" vertical="center"/>
    </xf>
    <xf numFmtId="0" fontId="7" fillId="4" borderId="60" xfId="0" applyFont="1" applyFill="1" applyBorder="1" applyAlignment="1">
      <alignment horizontal="center" vertical="center"/>
    </xf>
    <xf numFmtId="0" fontId="7" fillId="4" borderId="52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5" fillId="0" borderId="47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3" fillId="0" borderId="1" xfId="0" applyFont="1" applyBorder="1" applyAlignment="1">
      <alignment horizontal="center" vertical="center" wrapText="1"/>
    </xf>
  </cellXfs>
  <cellStyles count="8">
    <cellStyle name="Lien hypertexte" xfId="1" builtinId="8"/>
    <cellStyle name="Milliers" xfId="2" builtinId="3"/>
    <cellStyle name="Milliers 2" xfId="3"/>
    <cellStyle name="Monétaire" xfId="4" builtinId="4"/>
    <cellStyle name="Normal" xfId="0" builtinId="0"/>
    <cellStyle name="Normal_Classeur2" xfId="5"/>
    <cellStyle name="Pourcentage" xfId="6" builtinId="5"/>
    <cellStyle name="Pourcentage 2" xfId="7"/>
  </cellStyles>
  <dxfs count="118">
    <dxf>
      <numFmt numFmtId="171" formatCode="#,##0.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7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alignment horizontal="center"/>
    </dxf>
    <dxf>
      <alignment horizontal="right"/>
    </dxf>
    <dxf>
      <alignment horizontal="right"/>
    </dxf>
    <dxf>
      <alignment vertical="center"/>
    </dxf>
    <dxf>
      <alignment wrapText="1"/>
    </dxf>
    <dxf>
      <alignment wrapText="1" readingOrder="0"/>
    </dxf>
    <dxf>
      <alignment wrapText="1" readingOrder="0"/>
    </dxf>
    <dxf>
      <alignment wrapText="1" readingOrder="0"/>
    </dxf>
    <dxf>
      <numFmt numFmtId="170" formatCode="00"/>
    </dxf>
    <dxf>
      <numFmt numFmtId="170" formatCode="00"/>
    </dxf>
    <dxf>
      <alignment vertical="center" readingOrder="0"/>
    </dxf>
    <dxf>
      <alignment horizontal="left" readingOrder="0"/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numFmt numFmtId="0" formatCode="General"/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2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4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4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4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1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  <color indexed="8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Charge Modif.xlsm]Graphiques!Tableau croisé dynamique1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t>Nombre de nuitée / catégories</a:t>
            </a:r>
          </a:p>
        </c:rich>
      </c:tx>
      <c:overlay val="0"/>
      <c:spPr>
        <a:noFill/>
        <a:ln w="25400">
          <a:noFill/>
        </a:ln>
      </c:spPr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</c:pivotFmt>
      <c:pivotFmt>
        <c:idx val="2"/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Graphiques!$B$1:$B$2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Graphiques!$A$3:$A$4</c:f>
              <c:strCache>
                <c:ptCount val="1"/>
                <c:pt idx="0">
                  <c:v>#N/A</c:v>
                </c:pt>
              </c:strCache>
            </c:strRef>
          </c:cat>
          <c:val>
            <c:numRef>
              <c:f>Graphiques!$B$3:$B$4</c:f>
              <c:numCache>
                <c:formatCode>General</c:formatCode>
                <c:ptCount val="1"/>
                <c:pt idx="0">
                  <c:v>5040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Charge Modif.xlsm]Graphiques!Tableau croisé dynamique2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t>Nombre de groupe / origine</a:t>
            </a:r>
          </a:p>
        </c:rich>
      </c:tx>
      <c:overlay val="0"/>
      <c:spPr>
        <a:noFill/>
        <a:ln w="25400">
          <a:noFill/>
        </a:ln>
      </c:spPr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</c:dLbl>
      </c:pivotFmt>
      <c:pivotFmt>
        <c:idx val="1"/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Graphiques!$G$1:$G$2</c:f>
              <c:strCache>
                <c:ptCount val="1"/>
                <c:pt idx="0">
                  <c:v>Total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Graphiques!$F$3:$F$4</c:f>
              <c:strCache>
                <c:ptCount val="1"/>
                <c:pt idx="0">
                  <c:v>#N/A</c:v>
                </c:pt>
              </c:strCache>
            </c:strRef>
          </c:cat>
          <c:val>
            <c:numRef>
              <c:f>Graphiques!$G$3:$G$4</c:f>
              <c:numCache>
                <c:formatCode>General</c:formatCode>
                <c:ptCount val="1"/>
                <c:pt idx="0">
                  <c:v>111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Charge Modif.xlsm]Graphiques!Tableau croisé dynamique3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t>Total mensuel de nuitées et moyenne</a:t>
            </a:r>
          </a:p>
        </c:rich>
      </c:tx>
      <c:overlay val="0"/>
      <c:spPr>
        <a:noFill/>
        <a:ln w="25400">
          <a:noFill/>
        </a:ln>
      </c:sp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dLblPos val="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Graphiques!$B$21:$B$22</c:f>
              <c:strCache>
                <c:ptCount val="1"/>
                <c:pt idx="0">
                  <c:v>Total mensuel nuitées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1"/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Graphiques!$A$23:$A$35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Graphiques!$B$23:$B$35</c:f>
              <c:numCache>
                <c:formatCode>General</c:formatCode>
                <c:ptCount val="12"/>
                <c:pt idx="0">
                  <c:v>#N/A</c:v>
                </c:pt>
                <c:pt idx="1">
                  <c:v>70</c:v>
                </c:pt>
                <c:pt idx="2">
                  <c:v>311</c:v>
                </c:pt>
                <c:pt idx="3">
                  <c:v>873</c:v>
                </c:pt>
                <c:pt idx="4">
                  <c:v>1055</c:v>
                </c:pt>
                <c:pt idx="5">
                  <c:v>764</c:v>
                </c:pt>
                <c:pt idx="6">
                  <c:v>714</c:v>
                </c:pt>
                <c:pt idx="7">
                  <c:v>217</c:v>
                </c:pt>
                <c:pt idx="8">
                  <c:v>617</c:v>
                </c:pt>
                <c:pt idx="9">
                  <c:v>419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Graphiques!$C$21:$C$22</c:f>
              <c:strCache>
                <c:ptCount val="1"/>
                <c:pt idx="0">
                  <c:v>Moyenne mensuelle de nuitées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Graphiques!$A$23:$A$35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Graphiques!$C$23:$C$35</c:f>
              <c:numCache>
                <c:formatCode>General</c:formatCode>
                <c:ptCount val="12"/>
                <c:pt idx="0">
                  <c:v>420</c:v>
                </c:pt>
                <c:pt idx="1">
                  <c:v>420</c:v>
                </c:pt>
                <c:pt idx="2">
                  <c:v>420</c:v>
                </c:pt>
                <c:pt idx="3">
                  <c:v>420</c:v>
                </c:pt>
                <c:pt idx="4">
                  <c:v>420</c:v>
                </c:pt>
                <c:pt idx="5">
                  <c:v>420</c:v>
                </c:pt>
                <c:pt idx="6">
                  <c:v>420</c:v>
                </c:pt>
                <c:pt idx="7">
                  <c:v>420</c:v>
                </c:pt>
                <c:pt idx="8">
                  <c:v>420</c:v>
                </c:pt>
                <c:pt idx="9">
                  <c:v>420</c:v>
                </c:pt>
                <c:pt idx="10">
                  <c:v>420</c:v>
                </c:pt>
                <c:pt idx="11">
                  <c:v>420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5481728"/>
        <c:axId val="405487616"/>
      </c:lineChart>
      <c:catAx>
        <c:axId val="405481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05487616"/>
        <c:crosses val="autoZero"/>
        <c:auto val="0"/>
        <c:lblAlgn val="ctr"/>
        <c:lblOffset val="100"/>
        <c:noMultiLvlLbl val="0"/>
      </c:catAx>
      <c:valAx>
        <c:axId val="405487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05481728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overlay val="0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Charge Modif.xlsm]Graphiques!Tableau croisé dynamique4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t>Taux mensuel d'occupation</a:t>
            </a:r>
          </a:p>
        </c:rich>
      </c:tx>
      <c:overlay val="0"/>
      <c:spPr>
        <a:noFill/>
        <a:ln w="25400">
          <a:noFill/>
        </a:ln>
      </c:sp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dLblPos val="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Graphiques!$B$40:$B$41</c:f>
              <c:strCache>
                <c:ptCount val="1"/>
                <c:pt idx="0">
                  <c:v>Taux mensuel d'occupation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1"/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Graphiques!$A$42:$A$54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Graphiques!$B$42:$B$54</c:f>
              <c:numCache>
                <c:formatCode>0.0%</c:formatCode>
                <c:ptCount val="12"/>
                <c:pt idx="0">
                  <c:v>#N/A</c:v>
                </c:pt>
                <c:pt idx="1">
                  <c:v>4.1666666666666664E-2</c:v>
                </c:pt>
                <c:pt idx="2">
                  <c:v>0.16720430107526882</c:v>
                </c:pt>
                <c:pt idx="3">
                  <c:v>0.48499999999999999</c:v>
                </c:pt>
                <c:pt idx="4">
                  <c:v>0.56720430107526887</c:v>
                </c:pt>
                <c:pt idx="5">
                  <c:v>0.42444444444444446</c:v>
                </c:pt>
                <c:pt idx="6">
                  <c:v>0.38387096774193546</c:v>
                </c:pt>
                <c:pt idx="7">
                  <c:v>0.11666666666666667</c:v>
                </c:pt>
                <c:pt idx="8">
                  <c:v>0.34277777777777779</c:v>
                </c:pt>
                <c:pt idx="9">
                  <c:v>0.22526881720430109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Graphiques!$C$40:$C$41</c:f>
              <c:strCache>
                <c:ptCount val="1"/>
                <c:pt idx="0">
                  <c:v>Taux mensuel moyen d'occupation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Graphiques!$A$42:$A$54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Graphiques!$C$42:$C$54</c:f>
              <c:numCache>
                <c:formatCode>0.0%</c:formatCode>
                <c:ptCount val="12"/>
                <c:pt idx="0">
                  <c:v>0.22950866188769414</c:v>
                </c:pt>
                <c:pt idx="1">
                  <c:v>0.22950866188769414</c:v>
                </c:pt>
                <c:pt idx="2">
                  <c:v>0.22950866188769414</c:v>
                </c:pt>
                <c:pt idx="3">
                  <c:v>0.22950866188769414</c:v>
                </c:pt>
                <c:pt idx="4">
                  <c:v>0.22950866188769414</c:v>
                </c:pt>
                <c:pt idx="5">
                  <c:v>0.22950866188769414</c:v>
                </c:pt>
                <c:pt idx="6">
                  <c:v>0.22950866188769414</c:v>
                </c:pt>
                <c:pt idx="7">
                  <c:v>0.22950866188769414</c:v>
                </c:pt>
                <c:pt idx="8">
                  <c:v>0.22950866188769414</c:v>
                </c:pt>
                <c:pt idx="9">
                  <c:v>0.22950866188769414</c:v>
                </c:pt>
                <c:pt idx="10">
                  <c:v>0.22950866188769414</c:v>
                </c:pt>
                <c:pt idx="11">
                  <c:v>0.22950866188769414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363520"/>
        <c:axId val="404377600"/>
      </c:lineChart>
      <c:catAx>
        <c:axId val="404363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04377600"/>
        <c:crosses val="autoZero"/>
        <c:auto val="0"/>
        <c:lblAlgn val="ctr"/>
        <c:lblOffset val="100"/>
        <c:noMultiLvlLbl val="0"/>
      </c:catAx>
      <c:valAx>
        <c:axId val="40437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04363520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overlay val="0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Charge Modif.xlsm]Graphiques!Tableau croisé dynamique5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t>Chiffre d'affaire mensuel et moyenne</a:t>
            </a:r>
          </a:p>
        </c:rich>
      </c:tx>
      <c:overlay val="0"/>
      <c:spPr>
        <a:noFill/>
        <a:ln w="25400">
          <a:noFill/>
        </a:ln>
      </c:sp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Graphiques!$B$58:$B$59</c:f>
              <c:strCache>
                <c:ptCount val="1"/>
                <c:pt idx="0">
                  <c:v>Chiffre d'affaire mensuel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Graphiques!$A$60:$A$72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Graphiques!$B$60:$B$72</c:f>
              <c:numCache>
                <c:formatCode>#,##0.0\ "€"</c:formatCode>
                <c:ptCount val="12"/>
                <c:pt idx="0">
                  <c:v>#N/A</c:v>
                </c:pt>
                <c:pt idx="1">
                  <c:v>3140</c:v>
                </c:pt>
                <c:pt idx="2">
                  <c:v>13869.5</c:v>
                </c:pt>
                <c:pt idx="3">
                  <c:v>38423.5</c:v>
                </c:pt>
                <c:pt idx="4">
                  <c:v>47638</c:v>
                </c:pt>
                <c:pt idx="5">
                  <c:v>34733.5</c:v>
                </c:pt>
                <c:pt idx="6">
                  <c:v>32516</c:v>
                </c:pt>
                <c:pt idx="7">
                  <c:v>6738</c:v>
                </c:pt>
                <c:pt idx="8">
                  <c:v>5759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Graphiques!$C$58:$C$59</c:f>
              <c:strCache>
                <c:ptCount val="1"/>
                <c:pt idx="0">
                  <c:v>Chiffre d'affaire mensuel moyen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Graphiques!$A$60:$A$72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Graphiques!$C$60:$C$72</c:f>
              <c:numCache>
                <c:formatCode>#,##0.0\ "€"</c:formatCode>
                <c:ptCount val="12"/>
                <c:pt idx="0">
                  <c:v>15234.791666666666</c:v>
                </c:pt>
                <c:pt idx="1">
                  <c:v>15234.791666666666</c:v>
                </c:pt>
                <c:pt idx="2">
                  <c:v>15234.791666666666</c:v>
                </c:pt>
                <c:pt idx="3">
                  <c:v>15234.791666666666</c:v>
                </c:pt>
                <c:pt idx="4">
                  <c:v>15234.791666666666</c:v>
                </c:pt>
                <c:pt idx="5">
                  <c:v>15234.791666666666</c:v>
                </c:pt>
                <c:pt idx="6">
                  <c:v>15234.791666666666</c:v>
                </c:pt>
                <c:pt idx="7">
                  <c:v>15234.791666666666</c:v>
                </c:pt>
                <c:pt idx="8">
                  <c:v>15234.791666666666</c:v>
                </c:pt>
                <c:pt idx="9">
                  <c:v>15234.791666666666</c:v>
                </c:pt>
                <c:pt idx="10">
                  <c:v>15234.791666666666</c:v>
                </c:pt>
                <c:pt idx="11">
                  <c:v>15234.791666666666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409728"/>
        <c:axId val="405812352"/>
      </c:lineChart>
      <c:catAx>
        <c:axId val="404409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05812352"/>
        <c:crosses val="autoZero"/>
        <c:auto val="0"/>
        <c:lblAlgn val="ctr"/>
        <c:lblOffset val="100"/>
        <c:noMultiLvlLbl val="0"/>
      </c:catAx>
      <c:valAx>
        <c:axId val="405812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\ &quot;€&quot;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04409728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overlay val="0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1</xdr:col>
          <xdr:colOff>0</xdr:colOff>
          <xdr:row>4</xdr:row>
          <xdr:rowOff>0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438150</xdr:colOff>
          <xdr:row>5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0</xdr:colOff>
      <xdr:row>20</xdr:row>
      <xdr:rowOff>0</xdr:rowOff>
    </xdr:to>
    <xdr:graphicFrame macro="">
      <xdr:nvGraphicFramePr>
        <xdr:cNvPr id="291013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0</xdr:row>
      <xdr:rowOff>0</xdr:rowOff>
    </xdr:from>
    <xdr:to>
      <xdr:col>16</xdr:col>
      <xdr:colOff>676275</xdr:colOff>
      <xdr:row>20</xdr:row>
      <xdr:rowOff>0</xdr:rowOff>
    </xdr:to>
    <xdr:graphicFrame macro="">
      <xdr:nvGraphicFramePr>
        <xdr:cNvPr id="291013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22</xdr:row>
      <xdr:rowOff>0</xdr:rowOff>
    </xdr:from>
    <xdr:to>
      <xdr:col>17</xdr:col>
      <xdr:colOff>0</xdr:colOff>
      <xdr:row>41</xdr:row>
      <xdr:rowOff>0</xdr:rowOff>
    </xdr:to>
    <xdr:graphicFrame macro="">
      <xdr:nvGraphicFramePr>
        <xdr:cNvPr id="2910140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17</xdr:col>
      <xdr:colOff>0</xdr:colOff>
      <xdr:row>62</xdr:row>
      <xdr:rowOff>0</xdr:rowOff>
    </xdr:to>
    <xdr:graphicFrame macro="">
      <xdr:nvGraphicFramePr>
        <xdr:cNvPr id="2910141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64</xdr:row>
      <xdr:rowOff>0</xdr:rowOff>
    </xdr:from>
    <xdr:to>
      <xdr:col>17</xdr:col>
      <xdr:colOff>0</xdr:colOff>
      <xdr:row>83</xdr:row>
      <xdr:rowOff>0</xdr:rowOff>
    </xdr:to>
    <xdr:graphicFrame macro="">
      <xdr:nvGraphicFramePr>
        <xdr:cNvPr id="291014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ives" refreshedDate="42975.398555902779" createdVersion="1" refreshedVersion="4" recordCount="149" upgradeOnRefresh="1">
  <cacheSource type="worksheet">
    <worksheetSource name="Saisie"/>
  </cacheSource>
  <cacheFields count="31">
    <cacheField name="Nom du groupe" numFmtId="0">
      <sharedItems containsBlank="1"/>
    </cacheField>
    <cacheField name="Date d'arrivée" numFmtId="0">
      <sharedItems containsNonDate="0" containsDate="1" containsString="0" containsBlank="1" minDate="2017-02-22T00:00:00" maxDate="2017-10-21T00:00:00"/>
    </cacheField>
    <cacheField name="Date de départ" numFmtId="0">
      <sharedItems containsNonDate="0" containsDate="1" containsString="0" containsBlank="1" minDate="2017-02-24T00:00:00" maxDate="2017-10-23T00:00:00"/>
    </cacheField>
    <cacheField name="Nbr de nuit(s)" numFmtId="0">
      <sharedItems containsMixedTypes="1" containsNumber="1" containsInteger="1" minValue="1" maxValue="7"/>
    </cacheField>
    <cacheField name="Effectif reçu adlt(s)" numFmtId="0">
      <sharedItems containsString="0" containsBlank="1" containsNumber="1" containsInteger="1" minValue="1" maxValue="49"/>
    </cacheField>
    <cacheField name="Effectif reçu enft(s)" numFmtId="0">
      <sharedItems containsString="0" containsBlank="1" containsNumber="1" containsInteger="1" minValue="1" maxValue="55"/>
    </cacheField>
    <cacheField name="Perte effectif adlt(s)" numFmtId="0">
      <sharedItems containsString="0" containsBlank="1" containsNumber="1" containsInteger="1" minValue="1" maxValue="21"/>
    </cacheField>
    <cacheField name="Perte effectif enft(s)" numFmtId="0">
      <sharedItems containsString="0" containsBlank="1" containsNumber="1" containsInteger="1" minValue="1" maxValue="4"/>
    </cacheField>
    <cacheField name="Perte nuitées" numFmtId="0">
      <sharedItems containsMixedTypes="1" containsNumber="1" containsInteger="1" minValue="1" maxValue="63"/>
    </cacheField>
    <cacheField name="Nbr de pax" numFmtId="0">
      <sharedItems containsSemiMixedTypes="0" containsString="0" containsNumber="1" containsInteger="1" minValue="0" maxValue="61"/>
    </cacheField>
    <cacheField name="Nbr de nuitées" numFmtId="0">
      <sharedItems containsMixedTypes="1" containsNumber="1" containsInteger="1" minValue="0" maxValue="210"/>
    </cacheField>
    <cacheField name="Statut" numFmtId="0">
      <sharedItems containsBlank="1"/>
    </cacheField>
    <cacheField name="Cat" numFmtId="0">
      <sharedItems containsMixedTypes="1" containsNumber="1" containsInteger="1" minValue="0" maxValue="0" count="3">
        <e v="#N/A"/>
        <s v=""/>
        <n v="0" u="1"/>
      </sharedItems>
    </cacheField>
    <cacheField name="Orgn" numFmtId="0">
      <sharedItems containsMixedTypes="1" containsNumber="1" containsInteger="1" minValue="0" maxValue="95" count="40">
        <e v="#N/A"/>
        <s v=""/>
        <n v="0" u="1"/>
        <n v="57" u="1"/>
        <n v="75" u="1"/>
        <n v="13" u="1"/>
        <n v="59" u="1"/>
        <n v="36" u="1"/>
        <n v="61" u="1"/>
        <n v="5" u="1"/>
        <n v="42" u="1"/>
        <n v="91" u="1"/>
        <n v="44" u="1"/>
        <n v="95" u="1"/>
        <n v="2" u="1"/>
        <n v="78" u="1"/>
        <n v="17" u="1"/>
        <n v="18" u="1"/>
        <n v="19" u="1"/>
        <n v="94" u="1"/>
        <n v="58" u="1"/>
        <n v="35" u="1"/>
        <n v="77" u="1"/>
        <n v="60" u="1"/>
        <n v="1" u="1"/>
        <n v="62" u="1"/>
        <n v="8" u="1"/>
        <n v="41" u="1"/>
        <n v="68" u="1"/>
        <n v="93" u="1"/>
        <n v="72" u="1"/>
        <n v="45" u="1"/>
        <n v="27" u="1"/>
        <n v="76" u="1"/>
        <n v="28" u="1"/>
        <n v="80" u="1"/>
        <n v="51" u="1"/>
        <n v="88" u="1"/>
        <n v="67" u="1"/>
        <n v="92" u="1"/>
      </sharedItems>
    </cacheField>
    <cacheField name="Effectif facturé adlt(s)" numFmtId="0">
      <sharedItems containsMixedTypes="1" containsNumber="1" containsInteger="1" minValue="1" maxValue="47"/>
    </cacheField>
    <cacheField name="Effectif facturé enft(s)" numFmtId="0">
      <sharedItems containsMixedTypes="1" containsNumber="1" containsInteger="1" minValue="1" maxValue="55"/>
    </cacheField>
    <cacheField name="Régime type" numFmtId="0">
      <sharedItems containsBlank="1"/>
    </cacheField>
    <cacheField name="Régime nbr" numFmtId="0">
      <sharedItems containsString="0" containsBlank="1" containsNumber="1" containsInteger="1" minValue="1" maxValue="20"/>
    </cacheField>
    <cacheField name="Tarif adlt en €" numFmtId="0">
      <sharedItems containsMixedTypes="1" containsNumber="1" containsInteger="1" minValue="25" maxValue="53"/>
    </cacheField>
    <cacheField name="Tarif enft en €" numFmtId="0">
      <sharedItems containsMixedTypes="1" containsNumber="1" minValue="25" maxValue="48.5"/>
    </cacheField>
    <cacheField name="Régime 2 type" numFmtId="0">
      <sharedItems containsBlank="1"/>
    </cacheField>
    <cacheField name="Régime 2 nbr" numFmtId="0">
      <sharedItems containsString="0" containsBlank="1" containsNumber="1" containsInteger="1" minValue="1" maxValue="1"/>
    </cacheField>
    <cacheField name="Tarif 2 adlt en €" numFmtId="0">
      <sharedItems containsBlank="1" containsMixedTypes="1" containsNumber="1" containsInteger="1" minValue="15" maxValue="53"/>
    </cacheField>
    <cacheField name="Tarif 2 enft en €" numFmtId="0">
      <sharedItems containsBlank="1" containsMixedTypes="1" containsNumber="1" minValue="15" maxValue="48.5"/>
    </cacheField>
    <cacheField name="Gratuité nbr" numFmtId="0">
      <sharedItems containsMixedTypes="1" containsNumber="1" containsInteger="1" minValue="0" maxValue="3"/>
    </cacheField>
    <cacheField name="Coût gratuité en €" numFmtId="0">
      <sharedItems containsMixedTypes="1" containsNumber="1" containsInteger="1" minValue="0" maxValue="424"/>
    </cacheField>
    <cacheField name="Taxe séjour" numFmtId="0">
      <sharedItems containsString="0" containsBlank="1" containsNumber="1" containsInteger="1" minValue="1" maxValue="53"/>
    </cacheField>
    <cacheField name="Coût taxe séjour" numFmtId="0">
      <sharedItems containsMixedTypes="1" containsNumber="1" minValue="0.5" maxValue="87.5"/>
    </cacheField>
    <cacheField name="Montant total en €" numFmtId="0">
      <sharedItems containsMixedTypes="1" containsNumber="1" minValue="0" maxValue="10002"/>
    </cacheField>
    <cacheField name="Perte financière en €" numFmtId="0">
      <sharedItems containsMixedTypes="1" containsNumber="1" minValue="0" maxValue="17600"/>
    </cacheField>
    <cacheField name="Rappel_x000a_Nom du group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ives" refreshedDate="42975.39856076389" createdVersion="1" refreshedVersion="4" recordCount="12" upgradeOnRefresh="1">
  <cacheSource type="worksheet">
    <worksheetSource name="Graphs"/>
  </cacheSource>
  <cacheFields count="13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Nuitées" numFmtId="0">
      <sharedItems containsMixedTypes="1" containsNumber="1" containsInteger="1" minValue="70" maxValue="1055"/>
    </cacheField>
    <cacheField name="Cumul nuitées" numFmtId="0">
      <sharedItems/>
    </cacheField>
    <cacheField name="Moyenne de nuitées" numFmtId="0">
      <sharedItems containsSemiMixedTypes="0" containsString="0" containsNumber="1" containsInteger="1" minValue="420" maxValue="420"/>
    </cacheField>
    <cacheField name="Nuitées réalisées" numFmtId="0">
      <sharedItems containsMixedTypes="1" containsNumber="1" minValue="1.1666666666666667E-2" maxValue="0.17583333333333334"/>
    </cacheField>
    <cacheField name="Cumul nuitées réalisée" numFmtId="0">
      <sharedItems/>
    </cacheField>
    <cacheField name="Taux d'occupation" numFmtId="0">
      <sharedItems containsMixedTypes="1" containsNumber="1" minValue="4.1666666666666664E-2" maxValue="0.56720430107526887"/>
    </cacheField>
    <cacheField name="Taux d'occupation moyen" numFmtId="0">
      <sharedItems containsSemiMixedTypes="0" containsString="0" containsNumber="1" minValue="0.22950866188769414" maxValue="0.22950866188769414"/>
    </cacheField>
    <cacheField name="Taxe séjour" numFmtId="0">
      <sharedItems containsMixedTypes="1" containsNumber="1" minValue="30.5" maxValue="337.5"/>
    </cacheField>
    <cacheField name="Cumul taxe de séjour" numFmtId="0">
      <sharedItems/>
    </cacheField>
    <cacheField name="Chiffre d'affaire" numFmtId="0">
      <sharedItems containsMixedTypes="1" containsNumber="1" minValue="3140" maxValue="47638"/>
    </cacheField>
    <cacheField name="Cumul chiffre d'affaire" numFmtId="0">
      <sharedItems/>
    </cacheField>
    <cacheField name="Moyenne chiffre d'affaire" numFmtId="0">
      <sharedItems containsSemiMixedTypes="0" containsString="0" containsNumber="1" minValue="15234.791666666666" maxValue="15234.7916666666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">
  <r>
    <s v="IEM Les Iris"/>
    <d v="2017-02-22T00:00:00"/>
    <d v="2017-02-24T00:00:00"/>
    <n v="2"/>
    <n v="2"/>
    <m/>
    <m/>
    <m/>
    <s v=""/>
    <n v="2"/>
    <n v="4"/>
    <s v="Convention"/>
    <x v="0"/>
    <x v="0"/>
    <n v="2"/>
    <s v=""/>
    <s v="NPD"/>
    <n v="2"/>
    <n v="29"/>
    <n v="29"/>
    <m/>
    <m/>
    <s v=""/>
    <s v=""/>
    <n v="0"/>
    <n v="0"/>
    <n v="2"/>
    <n v="2"/>
    <n v="116"/>
    <n v="0"/>
    <s v="IEM Les Iris"/>
  </r>
  <r>
    <s v="Lycée Jacques Decour"/>
    <d v="2017-02-26T00:00:00"/>
    <d v="2017-03-01T00:00:00"/>
    <n v="3"/>
    <n v="22"/>
    <m/>
    <n v="1"/>
    <m/>
    <n v="3"/>
    <n v="22"/>
    <n v="66"/>
    <s v="Convention"/>
    <x v="0"/>
    <x v="0"/>
    <n v="21"/>
    <s v=""/>
    <s v="PC HS"/>
    <n v="3"/>
    <n v="48"/>
    <n v="44"/>
    <m/>
    <m/>
    <s v=""/>
    <s v=""/>
    <n v="1"/>
    <n v="144"/>
    <n v="19"/>
    <n v="28.5"/>
    <n v="3024"/>
    <n v="144"/>
    <s v="Lycée Jacques Decour"/>
  </r>
  <r>
    <s v="Université de Liège"/>
    <d v="2017-03-06T00:00:00"/>
    <d v="2017-03-07T00:00:00"/>
    <n v="1"/>
    <n v="28"/>
    <m/>
    <m/>
    <m/>
    <s v=""/>
    <n v="28"/>
    <n v="28"/>
    <s v="Convention"/>
    <x v="0"/>
    <x v="0"/>
    <n v="27"/>
    <s v=""/>
    <s v="DP HS"/>
    <n v="1"/>
    <n v="41"/>
    <n v="37"/>
    <m/>
    <m/>
    <s v=""/>
    <s v=""/>
    <n v="1"/>
    <n v="41"/>
    <n v="24"/>
    <n v="12"/>
    <n v="1107"/>
    <n v="0"/>
    <s v="Université de Liège"/>
  </r>
  <r>
    <s v="Ecole Elementaire Blanguernon"/>
    <d v="2017-03-13T00:00:00"/>
    <d v="2017-03-14T00:00:00"/>
    <n v="1"/>
    <n v="7"/>
    <n v="54"/>
    <m/>
    <m/>
    <s v=""/>
    <n v="61"/>
    <n v="61"/>
    <s v="Convention"/>
    <x v="0"/>
    <x v="0"/>
    <n v="4"/>
    <n v="54"/>
    <s v="PC HS"/>
    <n v="1"/>
    <n v="48"/>
    <n v="44"/>
    <m/>
    <m/>
    <m/>
    <m/>
    <n v="3"/>
    <n v="144"/>
    <m/>
    <s v=""/>
    <n v="2568"/>
    <n v="0"/>
    <s v="Ecole Elementaire Blanguernon"/>
  </r>
  <r>
    <s v="ACSA Ste Adresse"/>
    <d v="2017-03-17T00:00:00"/>
    <d v="2017-03-18T00:00:00"/>
    <n v="1"/>
    <n v="4"/>
    <m/>
    <m/>
    <m/>
    <s v=""/>
    <n v="4"/>
    <n v="4"/>
    <s v="Convention"/>
    <x v="0"/>
    <x v="0"/>
    <n v="4"/>
    <s v=""/>
    <s v="DP"/>
    <n v="1"/>
    <n v="44"/>
    <n v="41"/>
    <m/>
    <m/>
    <s v=""/>
    <s v=""/>
    <n v="0"/>
    <n v="0"/>
    <n v="4"/>
    <n v="2"/>
    <n v="176"/>
    <n v="0"/>
    <s v="ACSA Ste Adresse"/>
  </r>
  <r>
    <s v="Antiopelle Bio Club"/>
    <d v="2017-03-17T00:00:00"/>
    <d v="2017-03-19T00:00:00"/>
    <n v="2"/>
    <n v="30"/>
    <m/>
    <n v="2"/>
    <m/>
    <n v="4"/>
    <n v="30"/>
    <n v="60"/>
    <s v="Convention"/>
    <x v="0"/>
    <x v="0"/>
    <n v="29"/>
    <s v=""/>
    <s v="PC"/>
    <n v="2"/>
    <n v="53"/>
    <n v="48.5"/>
    <m/>
    <m/>
    <s v=""/>
    <s v=""/>
    <n v="1"/>
    <n v="106"/>
    <n v="30"/>
    <n v="30"/>
    <n v="3074"/>
    <n v="212"/>
    <s v="Antiopelle Bio Club"/>
  </r>
  <r>
    <s v="Ecole Fabre d'Eglantine"/>
    <d v="2017-03-20T00:00:00"/>
    <d v="2017-03-22T00:00:00"/>
    <n v="2"/>
    <n v="4"/>
    <n v="38"/>
    <m/>
    <m/>
    <s v=""/>
    <n v="42"/>
    <n v="84"/>
    <s v="Convention"/>
    <x v="0"/>
    <x v="0"/>
    <n v="2"/>
    <n v="38"/>
    <s v="PC"/>
    <n v="2"/>
    <n v="53"/>
    <n v="48.5"/>
    <m/>
    <m/>
    <s v=""/>
    <s v=""/>
    <n v="2"/>
    <n v="212"/>
    <m/>
    <s v=""/>
    <n v="3898"/>
    <n v="0"/>
    <s v="Ecole Fabre d'Eglantine"/>
  </r>
  <r>
    <s v="ASCAP"/>
    <d v="2017-03-24T00:00:00"/>
    <d v="2017-03-26T00:00:00"/>
    <n v="2"/>
    <n v="12"/>
    <m/>
    <m/>
    <m/>
    <s v=""/>
    <n v="12"/>
    <n v="24"/>
    <s v="Convention"/>
    <x v="0"/>
    <x v="0"/>
    <n v="12"/>
    <s v=""/>
    <s v="NPD"/>
    <n v="2"/>
    <n v="29"/>
    <n v="29"/>
    <m/>
    <m/>
    <s v=""/>
    <s v=""/>
    <n v="0"/>
    <n v="0"/>
    <n v="12"/>
    <n v="12"/>
    <n v="696"/>
    <n v="0"/>
    <s v="ASCAP"/>
  </r>
  <r>
    <s v="OCCE Ecole H. Barbusse"/>
    <d v="2017-03-30T00:00:00"/>
    <d v="2017-03-31T00:00:00"/>
    <n v="1"/>
    <n v="7"/>
    <n v="43"/>
    <m/>
    <m/>
    <s v=""/>
    <n v="50"/>
    <n v="50"/>
    <s v="Convention"/>
    <x v="0"/>
    <x v="0"/>
    <n v="5"/>
    <n v="43"/>
    <s v="PC"/>
    <n v="1"/>
    <n v="53"/>
    <n v="48.5"/>
    <m/>
    <m/>
    <s v=""/>
    <s v=""/>
    <n v="2"/>
    <n v="106"/>
    <m/>
    <s v=""/>
    <n v="2350.5"/>
    <n v="0"/>
    <s v="OCCE Ecole H. Barbusse"/>
  </r>
  <r>
    <s v="Ecole de Gentelles"/>
    <d v="2017-04-03T00:00:00"/>
    <d v="2017-04-04T00:00:00"/>
    <n v="1"/>
    <n v="9"/>
    <n v="41"/>
    <m/>
    <n v="2"/>
    <n v="2"/>
    <n v="50"/>
    <n v="50"/>
    <s v="Convention"/>
    <x v="0"/>
    <x v="0"/>
    <n v="7"/>
    <n v="41"/>
    <s v="PC"/>
    <n v="1"/>
    <n v="53"/>
    <n v="48.5"/>
    <m/>
    <m/>
    <s v=""/>
    <s v=""/>
    <n v="2"/>
    <n v="106"/>
    <m/>
    <s v=""/>
    <n v="2359.5"/>
    <n v="97"/>
    <s v="Ecole de Gentelles"/>
  </r>
  <r>
    <s v="Fondation Jeunesse Feu Vert"/>
    <d v="2017-04-04T00:00:00"/>
    <d v="2017-04-06T00:00:00"/>
    <n v="2"/>
    <n v="4"/>
    <n v="13"/>
    <m/>
    <m/>
    <s v=""/>
    <n v="17"/>
    <n v="34"/>
    <s v="Convention"/>
    <x v="0"/>
    <x v="0"/>
    <n v="4"/>
    <n v="13"/>
    <s v="DP"/>
    <n v="2"/>
    <n v="44"/>
    <n v="41"/>
    <m/>
    <m/>
    <s v=""/>
    <s v=""/>
    <n v="0"/>
    <n v="0"/>
    <n v="4"/>
    <n v="4"/>
    <n v="1418"/>
    <n v="0"/>
    <s v="Fondation Jeunesse Feu Vert"/>
  </r>
  <r>
    <s v="AFDAR"/>
    <d v="2017-04-06T00:00:00"/>
    <d v="2017-04-08T00:00:00"/>
    <n v="2"/>
    <n v="36"/>
    <m/>
    <m/>
    <m/>
    <s v=""/>
    <n v="36"/>
    <n v="72"/>
    <s v="Convention"/>
    <x v="0"/>
    <x v="0"/>
    <n v="35"/>
    <s v=""/>
    <s v="DP"/>
    <n v="1"/>
    <n v="44"/>
    <n v="41"/>
    <s v="PC"/>
    <n v="1"/>
    <n v="53"/>
    <n v="48.5"/>
    <n v="1"/>
    <n v="97"/>
    <n v="36"/>
    <n v="36"/>
    <n v="3395"/>
    <n v="0"/>
    <s v="AFDAR"/>
  </r>
  <r>
    <s v="LABROUSSE Valérie"/>
    <d v="2017-04-08T00:00:00"/>
    <d v="2017-04-10T00:00:00"/>
    <n v="2"/>
    <n v="3"/>
    <m/>
    <m/>
    <m/>
    <s v=""/>
    <n v="3"/>
    <n v="6"/>
    <s v="Convention"/>
    <x v="0"/>
    <x v="0"/>
    <n v="3"/>
    <s v=""/>
    <s v="NPD"/>
    <n v="2"/>
    <n v="29"/>
    <n v="29"/>
    <m/>
    <m/>
    <s v=""/>
    <s v=""/>
    <n v="0"/>
    <n v="0"/>
    <n v="3"/>
    <n v="3"/>
    <n v="174"/>
    <n v="0"/>
    <s v="LABROUSSE Valérie"/>
  </r>
  <r>
    <s v="Le Souffle de Thumeries"/>
    <d v="2017-04-08T00:00:00"/>
    <d v="2017-04-09T00:00:00"/>
    <n v="1"/>
    <n v="4"/>
    <m/>
    <m/>
    <m/>
    <s v=""/>
    <n v="4"/>
    <n v="4"/>
    <s v="Convention"/>
    <x v="0"/>
    <x v="0"/>
    <n v="4"/>
    <s v=""/>
    <s v="NPD"/>
    <n v="1"/>
    <n v="29"/>
    <n v="29"/>
    <m/>
    <m/>
    <s v=""/>
    <s v=""/>
    <n v="0"/>
    <n v="0"/>
    <n v="4"/>
    <n v="2"/>
    <n v="116"/>
    <n v="0"/>
    <s v="Le Souffle de Thumeries"/>
  </r>
  <r>
    <s v="Agence de l'Eau Picardie"/>
    <d v="2017-04-09T00:00:00"/>
    <d v="2017-04-14T00:00:00"/>
    <n v="5"/>
    <n v="25"/>
    <n v="10"/>
    <m/>
    <m/>
    <s v=""/>
    <n v="35"/>
    <n v="175"/>
    <s v="Convention"/>
    <x v="0"/>
    <x v="0"/>
    <n v="24"/>
    <n v="10"/>
    <s v="PC"/>
    <n v="4"/>
    <n v="53"/>
    <n v="48.5"/>
    <s v="DP"/>
    <n v="1"/>
    <n v="44"/>
    <n v="41"/>
    <n v="1"/>
    <n v="256"/>
    <n v="35"/>
    <n v="87.5"/>
    <n v="8494"/>
    <n v="0"/>
    <s v="Agence de l'Eau Picardie"/>
  </r>
  <r>
    <s v="Mairie de Bretuil sur Noye"/>
    <d v="2017-04-10T00:00:00"/>
    <d v="2017-04-14T00:00:00"/>
    <n v="4"/>
    <n v="3"/>
    <n v="16"/>
    <m/>
    <m/>
    <s v=""/>
    <n v="19"/>
    <n v="76"/>
    <s v="Convention"/>
    <x v="0"/>
    <x v="0"/>
    <n v="3"/>
    <n v="16"/>
    <s v="PC Rem"/>
    <n v="4"/>
    <n v="41"/>
    <n v="41"/>
    <s v="RS Rem"/>
    <n v="1"/>
    <n v="15"/>
    <n v="15"/>
    <n v="0"/>
    <n v="0"/>
    <m/>
    <s v=""/>
    <n v="3401"/>
    <n v="0"/>
    <s v="Mairie de Bretuil sur Noye"/>
  </r>
  <r>
    <s v="Famille Flambert"/>
    <d v="2017-04-14T00:00:00"/>
    <d v="2017-04-15T00:00:00"/>
    <n v="1"/>
    <n v="18"/>
    <m/>
    <n v="12"/>
    <m/>
    <n v="12"/>
    <n v="18"/>
    <n v="18"/>
    <s v="Convention"/>
    <x v="0"/>
    <x v="0"/>
    <n v="18"/>
    <s v=""/>
    <s v="NPD"/>
    <n v="1"/>
    <n v="29"/>
    <n v="29"/>
    <m/>
    <m/>
    <s v=""/>
    <s v=""/>
    <n v="0"/>
    <n v="0"/>
    <n v="18"/>
    <n v="9"/>
    <n v="522"/>
    <n v="348"/>
    <s v="Famille Flambert"/>
  </r>
  <r>
    <s v="Famille Flambert"/>
    <d v="2017-04-15T00:00:00"/>
    <d v="2017-04-17T00:00:00"/>
    <n v="2"/>
    <n v="24"/>
    <n v="6"/>
    <m/>
    <m/>
    <s v=""/>
    <n v="30"/>
    <n v="60"/>
    <s v="Convention"/>
    <x v="0"/>
    <x v="0"/>
    <n v="23"/>
    <n v="6"/>
    <s v="NPD"/>
    <n v="2"/>
    <n v="29"/>
    <n v="29"/>
    <m/>
    <m/>
    <s v=""/>
    <s v=""/>
    <n v="1"/>
    <n v="58"/>
    <n v="26"/>
    <n v="26"/>
    <n v="1682"/>
    <n v="0"/>
    <s v="Famille Flambert"/>
  </r>
  <r>
    <s v="Collège St Pierre"/>
    <d v="2017-04-19T00:00:00"/>
    <d v="2017-04-21T00:00:00"/>
    <n v="2"/>
    <n v="5"/>
    <n v="47"/>
    <n v="1"/>
    <n v="1"/>
    <n v="4"/>
    <n v="52"/>
    <n v="104"/>
    <s v="Convention"/>
    <x v="0"/>
    <x v="0"/>
    <n v="3"/>
    <n v="47"/>
    <s v="PC"/>
    <n v="2"/>
    <n v="53"/>
    <n v="48.5"/>
    <m/>
    <m/>
    <s v=""/>
    <s v=""/>
    <n v="2"/>
    <n v="212"/>
    <n v="47"/>
    <n v="47"/>
    <n v="4877"/>
    <n v="203"/>
    <s v="Collège St Pierre"/>
  </r>
  <r>
    <s v="Lycée Agricole de Rethel"/>
    <d v="2017-04-24T00:00:00"/>
    <d v="2017-04-25T00:00:00"/>
    <n v="1"/>
    <n v="46"/>
    <n v="12"/>
    <n v="3"/>
    <m/>
    <n v="3"/>
    <n v="58"/>
    <n v="58"/>
    <s v="Convention"/>
    <x v="0"/>
    <x v="0"/>
    <n v="44"/>
    <n v="12"/>
    <s v="DP"/>
    <n v="1"/>
    <n v="44"/>
    <n v="41"/>
    <m/>
    <m/>
    <s v=""/>
    <s v=""/>
    <n v="2"/>
    <n v="88"/>
    <n v="53"/>
    <n v="26.5"/>
    <n v="2428"/>
    <n v="132"/>
    <s v="Lycée Agricole de Rethel"/>
  </r>
  <r>
    <s v="Collège St Michel"/>
    <d v="2017-04-25T00:00:00"/>
    <d v="2017-04-28T00:00:00"/>
    <n v="3"/>
    <n v="7"/>
    <n v="48"/>
    <m/>
    <m/>
    <s v=""/>
    <n v="55"/>
    <n v="165"/>
    <s v="Convention"/>
    <x v="0"/>
    <x v="0"/>
    <n v="5"/>
    <n v="48"/>
    <s v="DP"/>
    <n v="2"/>
    <n v="44"/>
    <n v="41"/>
    <s v="PC"/>
    <n v="1"/>
    <n v="53"/>
    <n v="48.5"/>
    <n v="2"/>
    <n v="282"/>
    <n v="48"/>
    <n v="72"/>
    <n v="6969"/>
    <n v="0"/>
    <s v="Collège St Michel"/>
  </r>
  <r>
    <s v="Amicale Stéphanoise"/>
    <d v="2017-04-29T00:00:00"/>
    <d v="2017-04-30T00:00:00"/>
    <n v="1"/>
    <n v="49"/>
    <n v="2"/>
    <n v="7"/>
    <m/>
    <n v="7"/>
    <n v="51"/>
    <n v="51"/>
    <s v="Convention"/>
    <x v="0"/>
    <x v="0"/>
    <n v="47"/>
    <n v="2"/>
    <s v="PC"/>
    <n v="1"/>
    <n v="53"/>
    <n v="48.5"/>
    <m/>
    <m/>
    <s v=""/>
    <s v=""/>
    <n v="2"/>
    <n v="106"/>
    <n v="49"/>
    <n v="24.5"/>
    <n v="2588"/>
    <n v="371"/>
    <s v="Amicale Stéphanoise"/>
  </r>
  <r>
    <s v="AACAMO"/>
    <d v="2017-05-01T00:00:00"/>
    <d v="2017-05-04T00:00:00"/>
    <n v="3"/>
    <n v="31"/>
    <m/>
    <m/>
    <m/>
    <s v=""/>
    <n v="31"/>
    <n v="93"/>
    <s v="Convention"/>
    <x v="0"/>
    <x v="0"/>
    <n v="30"/>
    <s v=""/>
    <s v="PC"/>
    <n v="3"/>
    <n v="53"/>
    <n v="48.5"/>
    <m/>
    <m/>
    <s v=""/>
    <s v=""/>
    <n v="1"/>
    <n v="159"/>
    <n v="31"/>
    <n v="46.5"/>
    <n v="4770"/>
    <n v="0"/>
    <s v="AACAMO"/>
  </r>
  <r>
    <s v="Ecole Beaucamps le Vieux"/>
    <d v="2017-05-04T00:00:00"/>
    <d v="2017-05-05T00:00:00"/>
    <n v="1"/>
    <n v="8"/>
    <n v="32"/>
    <m/>
    <n v="1"/>
    <n v="1"/>
    <n v="40"/>
    <n v="40"/>
    <s v="Convention"/>
    <x v="0"/>
    <x v="0"/>
    <n v="7"/>
    <n v="32"/>
    <s v="PC"/>
    <n v="1"/>
    <n v="53"/>
    <n v="48.5"/>
    <m/>
    <m/>
    <s v=""/>
    <s v=""/>
    <n v="1"/>
    <n v="53"/>
    <m/>
    <s v=""/>
    <n v="1923"/>
    <n v="48.5"/>
    <s v="Ecole Beaucamps le Vieux"/>
  </r>
  <r>
    <s v="Association Contre-Ut"/>
    <d v="2017-05-06T00:00:00"/>
    <d v="2017-05-07T00:00:00"/>
    <n v="1"/>
    <n v="32"/>
    <n v="14"/>
    <n v="4"/>
    <m/>
    <n v="4"/>
    <n v="46"/>
    <n v="46"/>
    <s v="Convention"/>
    <x v="0"/>
    <x v="0"/>
    <n v="30"/>
    <n v="14"/>
    <s v="PC"/>
    <n v="1"/>
    <n v="53"/>
    <n v="48.5"/>
    <m/>
    <m/>
    <s v=""/>
    <s v=""/>
    <n v="2"/>
    <n v="106"/>
    <n v="40"/>
    <n v="20"/>
    <n v="2269"/>
    <n v="212"/>
    <s v="Association Contre-Ut"/>
  </r>
  <r>
    <s v="Pharmacie Gendron"/>
    <d v="2017-05-07T00:00:00"/>
    <d v="2017-05-08T00:00:00"/>
    <n v="1"/>
    <n v="26"/>
    <n v="8"/>
    <m/>
    <n v="1"/>
    <n v="1"/>
    <n v="34"/>
    <n v="34"/>
    <s v="Convention"/>
    <x v="0"/>
    <x v="0"/>
    <n v="25"/>
    <n v="8"/>
    <s v="DP"/>
    <n v="1"/>
    <n v="44"/>
    <n v="41"/>
    <m/>
    <m/>
    <s v=""/>
    <s v=""/>
    <n v="1"/>
    <n v="44"/>
    <n v="28"/>
    <n v="14"/>
    <n v="1428"/>
    <n v="41"/>
    <s v="Pharmacie Gendron"/>
  </r>
  <r>
    <s v="Ecole Ste Marie"/>
    <d v="2017-05-09T00:00:00"/>
    <d v="2017-05-10T00:00:00"/>
    <n v="1"/>
    <n v="5"/>
    <n v="52"/>
    <m/>
    <n v="1"/>
    <n v="1"/>
    <n v="57"/>
    <n v="57"/>
    <s v="Convention"/>
    <x v="0"/>
    <x v="0"/>
    <n v="3"/>
    <n v="52"/>
    <s v="PC"/>
    <n v="1"/>
    <n v="53"/>
    <n v="48.5"/>
    <m/>
    <m/>
    <s v=""/>
    <s v=""/>
    <n v="2"/>
    <n v="106"/>
    <m/>
    <s v=""/>
    <n v="2681"/>
    <n v="48.5"/>
    <s v="Ecole Ste Marie"/>
  </r>
  <r>
    <s v="SMIOCE"/>
    <d v="2017-05-10T00:00:00"/>
    <d v="2017-05-12T00:00:00"/>
    <n v="2"/>
    <n v="7"/>
    <n v="44"/>
    <m/>
    <m/>
    <s v=""/>
    <n v="51"/>
    <n v="102"/>
    <s v="Convention"/>
    <x v="0"/>
    <x v="0"/>
    <n v="5"/>
    <n v="44"/>
    <s v="PC"/>
    <n v="2"/>
    <n v="53"/>
    <n v="48.5"/>
    <m/>
    <m/>
    <s v=""/>
    <s v=""/>
    <n v="2"/>
    <n v="212"/>
    <m/>
    <s v=""/>
    <n v="4798"/>
    <n v="0"/>
    <s v="SMIOCE"/>
  </r>
  <r>
    <s v="ARPSA"/>
    <d v="2017-05-13T00:00:00"/>
    <d v="2017-05-14T00:00:00"/>
    <n v="1"/>
    <n v="15"/>
    <m/>
    <n v="5"/>
    <m/>
    <n v="5"/>
    <n v="15"/>
    <n v="15"/>
    <s v="Convention"/>
    <x v="0"/>
    <x v="0"/>
    <n v="15"/>
    <s v=""/>
    <s v="PC"/>
    <n v="1"/>
    <n v="53"/>
    <n v="48.5"/>
    <m/>
    <m/>
    <s v=""/>
    <s v=""/>
    <n v="0"/>
    <n v="0"/>
    <n v="15"/>
    <n v="7.5"/>
    <n v="795"/>
    <n v="265"/>
    <s v="ARPSA"/>
  </r>
  <r>
    <s v="Club Photo Ombres et Lumières"/>
    <d v="2017-05-13T00:00:00"/>
    <d v="2017-05-14T00:00:00"/>
    <n v="1"/>
    <n v="20"/>
    <n v="4"/>
    <m/>
    <m/>
    <s v=""/>
    <n v="24"/>
    <n v="24"/>
    <s v="Convention"/>
    <x v="0"/>
    <x v="0"/>
    <n v="19"/>
    <n v="4"/>
    <s v="NPD"/>
    <n v="1"/>
    <n v="29"/>
    <n v="29"/>
    <m/>
    <m/>
    <s v=""/>
    <s v=""/>
    <n v="1"/>
    <n v="29"/>
    <n v="21"/>
    <n v="10.5"/>
    <n v="667"/>
    <n v="0"/>
    <s v="Club Photo Ombres et Lumières"/>
  </r>
  <r>
    <s v="Ligue de l'Enseignement"/>
    <d v="2017-05-15T00:00:00"/>
    <d v="2017-05-19T00:00:00"/>
    <n v="4"/>
    <n v="10"/>
    <n v="37"/>
    <m/>
    <m/>
    <s v=""/>
    <n v="47"/>
    <n v="188"/>
    <s v="Convention"/>
    <x v="0"/>
    <x v="0"/>
    <n v="8"/>
    <n v="37"/>
    <s v="PC"/>
    <n v="4"/>
    <n v="53"/>
    <n v="48.5"/>
    <m/>
    <m/>
    <s v=""/>
    <s v=""/>
    <n v="2"/>
    <n v="424"/>
    <m/>
    <s v=""/>
    <n v="8874"/>
    <n v="0"/>
    <s v="Ligue de l'Enseignement"/>
  </r>
  <r>
    <s v="Ass Mon Village"/>
    <d v="2017-05-19T00:00:00"/>
    <d v="2017-05-20T00:00:00"/>
    <n v="1"/>
    <n v="5"/>
    <m/>
    <n v="5"/>
    <m/>
    <n v="5"/>
    <n v="5"/>
    <n v="5"/>
    <s v="Convention"/>
    <x v="0"/>
    <x v="0"/>
    <n v="5"/>
    <s v=""/>
    <s v="PC"/>
    <n v="1"/>
    <n v="53"/>
    <n v="48.5"/>
    <m/>
    <m/>
    <s v=""/>
    <s v=""/>
    <n v="0"/>
    <n v="0"/>
    <n v="5"/>
    <n v="2.5"/>
    <n v="265"/>
    <n v="265"/>
    <s v="Ass Mon Village"/>
  </r>
  <r>
    <s v="Marche par tous les temps"/>
    <d v="2017-05-19T00:00:00"/>
    <d v="2017-05-21T00:00:00"/>
    <n v="2"/>
    <n v="22"/>
    <n v="1"/>
    <m/>
    <m/>
    <s v=""/>
    <n v="23"/>
    <n v="46"/>
    <s v="Convention"/>
    <x v="0"/>
    <x v="0"/>
    <n v="21"/>
    <n v="1"/>
    <s v="DP"/>
    <n v="1"/>
    <n v="44"/>
    <n v="41"/>
    <s v="NPD"/>
    <n v="1"/>
    <n v="29"/>
    <n v="29"/>
    <n v="1"/>
    <n v="73"/>
    <n v="22"/>
    <n v="22"/>
    <n v="1603"/>
    <n v="0"/>
    <s v="Marche par tous les temps"/>
  </r>
  <r>
    <s v="Ass Mon Village"/>
    <d v="2017-05-20T00:00:00"/>
    <d v="2017-05-21T00:00:00"/>
    <n v="1"/>
    <n v="21"/>
    <m/>
    <n v="4"/>
    <m/>
    <n v="4"/>
    <n v="21"/>
    <n v="21"/>
    <s v="Convention"/>
    <x v="0"/>
    <x v="0"/>
    <n v="20"/>
    <s v=""/>
    <s v="PC"/>
    <n v="1"/>
    <n v="53"/>
    <n v="48.5"/>
    <m/>
    <m/>
    <s v=""/>
    <s v=""/>
    <n v="1"/>
    <n v="53"/>
    <n v="21"/>
    <n v="10.5"/>
    <n v="1060"/>
    <n v="212"/>
    <s v="Ass Mon Village"/>
  </r>
  <r>
    <s v="VST"/>
    <d v="2017-05-22T00:00:00"/>
    <d v="2017-05-25T00:00:00"/>
    <n v="3"/>
    <n v="7"/>
    <n v="48"/>
    <m/>
    <m/>
    <s v=""/>
    <n v="55"/>
    <n v="165"/>
    <s v="Convention"/>
    <x v="0"/>
    <x v="0"/>
    <n v="5"/>
    <n v="48"/>
    <s v="PC"/>
    <n v="2"/>
    <n v="53"/>
    <n v="48.5"/>
    <s v="DP"/>
    <n v="1"/>
    <n v="44"/>
    <n v="41"/>
    <n v="2"/>
    <n v="300"/>
    <m/>
    <s v=""/>
    <n v="7374"/>
    <n v="0"/>
    <s v="VST"/>
  </r>
  <r>
    <s v="Renaissance Marcq en Baroeul"/>
    <d v="2017-05-25T00:00:00"/>
    <d v="2017-05-26T00:00:00"/>
    <n v="1"/>
    <n v="34"/>
    <n v="8"/>
    <m/>
    <m/>
    <s v=""/>
    <n v="42"/>
    <n v="42"/>
    <s v="Convention"/>
    <x v="0"/>
    <x v="0"/>
    <n v="32"/>
    <n v="8"/>
    <s v="NPD"/>
    <n v="1"/>
    <n v="29"/>
    <n v="29"/>
    <m/>
    <m/>
    <s v=""/>
    <s v=""/>
    <n v="2"/>
    <n v="58"/>
    <n v="28"/>
    <n v="14"/>
    <n v="1160"/>
    <n v="0"/>
    <s v="Renaissance Marcq en Baroeul"/>
  </r>
  <r>
    <s v="CELESTE Patrick et Bernadette"/>
    <d v="2017-05-26T00:00:00"/>
    <d v="2017-05-28T00:00:00"/>
    <n v="2"/>
    <n v="2"/>
    <m/>
    <m/>
    <m/>
    <s v=""/>
    <n v="2"/>
    <n v="4"/>
    <s v="Convention"/>
    <x v="0"/>
    <x v="0"/>
    <n v="2"/>
    <s v=""/>
    <s v="NPD"/>
    <n v="2"/>
    <n v="29"/>
    <n v="29"/>
    <m/>
    <m/>
    <s v=""/>
    <s v=""/>
    <n v="0"/>
    <n v="0"/>
    <n v="2"/>
    <n v="2"/>
    <n v="116"/>
    <n v="0"/>
    <s v="CELESTE Patrick et Bernadette"/>
  </r>
  <r>
    <s v="Ecole Jean de la Fontaine"/>
    <d v="2017-05-26T00:00:00"/>
    <d v="2017-05-27T00:00:00"/>
    <n v="1"/>
    <n v="2"/>
    <m/>
    <m/>
    <m/>
    <s v=""/>
    <n v="2"/>
    <n v="2"/>
    <s v="Convention"/>
    <x v="0"/>
    <x v="0"/>
    <n v="2"/>
    <s v=""/>
    <s v="NPD"/>
    <n v="1"/>
    <n v="29"/>
    <n v="29"/>
    <m/>
    <m/>
    <s v=""/>
    <s v=""/>
    <n v="0"/>
    <n v="0"/>
    <n v="2"/>
    <n v="1"/>
    <n v="58"/>
    <n v="0"/>
    <s v="Ecole Jean de la Fontaine"/>
  </r>
  <r>
    <s v="Renaissance Marcq en Baroeul"/>
    <d v="2017-05-26T00:00:00"/>
    <d v="2017-05-27T00:00:00"/>
    <n v="1"/>
    <n v="2"/>
    <m/>
    <m/>
    <m/>
    <s v=""/>
    <n v="2"/>
    <n v="2"/>
    <s v="Convention"/>
    <x v="0"/>
    <x v="0"/>
    <n v="2"/>
    <s v=""/>
    <s v="NPD"/>
    <n v="1"/>
    <n v="29"/>
    <n v="29"/>
    <m/>
    <m/>
    <s v=""/>
    <s v=""/>
    <n v="0"/>
    <n v="0"/>
    <n v="2"/>
    <n v="1"/>
    <n v="58"/>
    <n v="0"/>
    <s v="Renaissance Marcq en Baroeul"/>
  </r>
  <r>
    <s v="SAMI Véronique"/>
    <d v="2017-05-26T00:00:00"/>
    <d v="2017-05-28T00:00:00"/>
    <n v="2"/>
    <n v="4"/>
    <n v="2"/>
    <m/>
    <m/>
    <s v=""/>
    <n v="6"/>
    <n v="12"/>
    <s v="Convention"/>
    <x v="0"/>
    <x v="0"/>
    <n v="4"/>
    <n v="2"/>
    <s v="NPD"/>
    <n v="2"/>
    <n v="29"/>
    <n v="29"/>
    <m/>
    <m/>
    <s v=""/>
    <s v=""/>
    <n v="0"/>
    <n v="0"/>
    <n v="6"/>
    <n v="6"/>
    <n v="348"/>
    <n v="0"/>
    <s v="SAMI Véronique"/>
  </r>
  <r>
    <s v="Collège Gaston Vasseur"/>
    <d v="2017-05-29T00:00:00"/>
    <d v="2017-05-31T00:00:00"/>
    <n v="2"/>
    <n v="8"/>
    <n v="46"/>
    <m/>
    <n v="4"/>
    <n v="8"/>
    <n v="54"/>
    <n v="108"/>
    <s v="Convention"/>
    <x v="0"/>
    <x v="0"/>
    <n v="6"/>
    <n v="46"/>
    <s v="PC"/>
    <n v="2"/>
    <n v="53"/>
    <n v="48.5"/>
    <m/>
    <m/>
    <s v=""/>
    <s v=""/>
    <n v="2"/>
    <n v="212"/>
    <n v="46"/>
    <n v="46"/>
    <n v="5098"/>
    <n v="388"/>
    <s v="Collège Gaston Vasseur"/>
  </r>
  <r>
    <s v="Ecole Ste Marie"/>
    <d v="2017-05-31T00:00:00"/>
    <d v="2017-06-01T00:00:00"/>
    <n v="1"/>
    <n v="5"/>
    <n v="44"/>
    <m/>
    <n v="1"/>
    <n v="1"/>
    <n v="49"/>
    <n v="49"/>
    <s v="Convention"/>
    <x v="0"/>
    <x v="0"/>
    <n v="3"/>
    <n v="44"/>
    <s v="PC"/>
    <n v="1"/>
    <n v="53"/>
    <n v="48.5"/>
    <m/>
    <m/>
    <s v=""/>
    <s v=""/>
    <n v="2"/>
    <n v="106"/>
    <m/>
    <s v=""/>
    <n v="2293"/>
    <n v="48.5"/>
    <s v="Ecole Ste Marie"/>
  </r>
  <r>
    <s v="Ecole Jean de la Fontaine"/>
    <d v="2017-06-01T00:00:00"/>
    <d v="2017-06-02T00:00:00"/>
    <n v="1"/>
    <n v="5"/>
    <n v="28"/>
    <m/>
    <m/>
    <s v=""/>
    <n v="33"/>
    <n v="33"/>
    <s v="Convention"/>
    <x v="0"/>
    <x v="0"/>
    <n v="4"/>
    <n v="28"/>
    <s v="PC"/>
    <n v="1"/>
    <n v="53"/>
    <n v="48.5"/>
    <m/>
    <m/>
    <s v=""/>
    <s v=""/>
    <n v="1"/>
    <n v="53"/>
    <m/>
    <s v=""/>
    <n v="1570"/>
    <n v="0"/>
    <s v="Ecole Jean de la Fontaine"/>
  </r>
  <r>
    <s v="Vitalité St Pierre"/>
    <d v="2017-06-02T00:00:00"/>
    <d v="2017-06-03T00:00:00"/>
    <n v="1"/>
    <n v="3"/>
    <m/>
    <m/>
    <m/>
    <s v=""/>
    <n v="3"/>
    <n v="3"/>
    <s v="Convention"/>
    <x v="0"/>
    <x v="0"/>
    <n v="3"/>
    <s v=""/>
    <s v="NS"/>
    <m/>
    <n v="25"/>
    <n v="25"/>
    <m/>
    <m/>
    <s v=""/>
    <s v=""/>
    <n v="0"/>
    <s v="0"/>
    <n v="3"/>
    <n v="1.5"/>
    <n v="0"/>
    <n v="0"/>
    <s v="Vitalité St Pierre"/>
  </r>
  <r>
    <s v="Le Souffle de Thumeries"/>
    <d v="2017-06-03T00:00:00"/>
    <d v="2017-06-05T00:00:00"/>
    <n v="2"/>
    <n v="23"/>
    <m/>
    <m/>
    <m/>
    <s v=""/>
    <n v="23"/>
    <n v="46"/>
    <s v="Convention"/>
    <x v="0"/>
    <x v="0"/>
    <n v="22"/>
    <s v=""/>
    <s v="PC"/>
    <n v="1"/>
    <n v="53"/>
    <n v="48.5"/>
    <s v="DP"/>
    <n v="1"/>
    <n v="44"/>
    <n v="41"/>
    <n v="1"/>
    <n v="97"/>
    <n v="23"/>
    <n v="23"/>
    <n v="2134"/>
    <n v="0"/>
    <s v="Le Souffle de Thumeries"/>
  </r>
  <r>
    <s v="Vitalité St Pierre"/>
    <d v="2017-06-03T00:00:00"/>
    <d v="2017-06-05T00:00:00"/>
    <n v="2"/>
    <n v="19"/>
    <m/>
    <n v="1"/>
    <m/>
    <n v="2"/>
    <n v="19"/>
    <n v="38"/>
    <s v="Convention"/>
    <x v="0"/>
    <x v="0"/>
    <n v="19"/>
    <s v=""/>
    <s v="PC"/>
    <n v="1"/>
    <n v="53"/>
    <n v="48.5"/>
    <s v="DP"/>
    <n v="1"/>
    <n v="44"/>
    <n v="41"/>
    <n v="0"/>
    <n v="0"/>
    <n v="19"/>
    <n v="19"/>
    <n v="1843"/>
    <n v="97"/>
    <s v="Vitalité St Pierre"/>
  </r>
  <r>
    <s v="LA SEPANRIT"/>
    <d v="2017-06-06T00:00:00"/>
    <d v="2017-06-09T00:00:00"/>
    <n v="3"/>
    <n v="28"/>
    <m/>
    <n v="2"/>
    <m/>
    <n v="6"/>
    <n v="28"/>
    <n v="84"/>
    <s v="Convention"/>
    <x v="0"/>
    <x v="0"/>
    <n v="27"/>
    <s v=""/>
    <s v="DP"/>
    <n v="2"/>
    <n v="44"/>
    <n v="41"/>
    <s v="PC"/>
    <n v="1"/>
    <n v="53"/>
    <n v="48.5"/>
    <n v="1"/>
    <n v="141"/>
    <n v="27"/>
    <n v="40.5"/>
    <n v="3807"/>
    <n v="282"/>
    <s v="LA SEPANRIT"/>
  </r>
  <r>
    <s v="L'Arbre à Voyages"/>
    <d v="2017-06-09T00:00:00"/>
    <d v="2017-06-11T00:00:00"/>
    <n v="2"/>
    <n v="25"/>
    <m/>
    <n v="5"/>
    <m/>
    <n v="10"/>
    <n v="25"/>
    <n v="50"/>
    <s v="Convention"/>
    <x v="0"/>
    <x v="0"/>
    <n v="24"/>
    <s v=""/>
    <s v="NPD"/>
    <n v="2"/>
    <n v="29"/>
    <n v="29"/>
    <m/>
    <m/>
    <s v=""/>
    <s v=""/>
    <n v="1"/>
    <n v="58"/>
    <n v="20"/>
    <n v="20"/>
    <n v="1392"/>
    <n v="290"/>
    <s v="L'Arbre à Voyages"/>
  </r>
  <r>
    <s v="L'Arbre à Voyages"/>
    <d v="2017-06-11T00:00:00"/>
    <d v="2017-06-12T00:00:00"/>
    <n v="1"/>
    <n v="2"/>
    <m/>
    <m/>
    <m/>
    <s v=""/>
    <n v="2"/>
    <n v="2"/>
    <s v="Convention"/>
    <x v="0"/>
    <x v="0"/>
    <n v="2"/>
    <s v=""/>
    <s v="NPD"/>
    <m/>
    <n v="29"/>
    <n v="29"/>
    <m/>
    <m/>
    <s v=""/>
    <s v=""/>
    <n v="0"/>
    <s v="0"/>
    <n v="2"/>
    <n v="1"/>
    <n v="0"/>
    <n v="0"/>
    <s v="L'Arbre à Voyages"/>
  </r>
  <r>
    <s v="Ecole Muille-Villette"/>
    <d v="2017-06-12T00:00:00"/>
    <d v="2017-06-13T00:00:00"/>
    <n v="1"/>
    <n v="6"/>
    <n v="27"/>
    <m/>
    <m/>
    <s v=""/>
    <n v="33"/>
    <n v="33"/>
    <s v="Convention"/>
    <x v="0"/>
    <x v="0"/>
    <n v="5"/>
    <n v="27"/>
    <s v="PC"/>
    <n v="1"/>
    <n v="53"/>
    <n v="48.5"/>
    <m/>
    <m/>
    <s v=""/>
    <s v=""/>
    <n v="1"/>
    <n v="53"/>
    <m/>
    <s v=""/>
    <n v="1574.5"/>
    <n v="0"/>
    <s v="Ecole Muille-Villette"/>
  </r>
  <r>
    <s v="Asso St Rémy"/>
    <d v="2017-06-13T00:00:00"/>
    <d v="2017-06-14T00:00:00"/>
    <n v="1"/>
    <n v="6"/>
    <n v="55"/>
    <m/>
    <m/>
    <s v=""/>
    <n v="61"/>
    <n v="61"/>
    <s v="Convention"/>
    <x v="0"/>
    <x v="0"/>
    <n v="3"/>
    <n v="55"/>
    <s v="PC"/>
    <n v="1"/>
    <n v="53"/>
    <n v="48.5"/>
    <m/>
    <m/>
    <s v=""/>
    <s v=""/>
    <n v="3"/>
    <n v="159"/>
    <m/>
    <s v=""/>
    <n v="2826.5"/>
    <n v="0"/>
    <s v="Asso St Rémy"/>
  </r>
  <r>
    <s v="Ecole Robert Doisneau"/>
    <d v="2017-06-14T00:00:00"/>
    <d v="2017-06-15T00:00:00"/>
    <n v="1"/>
    <n v="7"/>
    <n v="47"/>
    <m/>
    <n v="3"/>
    <n v="3"/>
    <n v="54"/>
    <n v="54"/>
    <s v="Convention"/>
    <x v="0"/>
    <x v="0"/>
    <n v="5"/>
    <n v="47"/>
    <s v="PC"/>
    <n v="1"/>
    <n v="53"/>
    <n v="48.5"/>
    <m/>
    <m/>
    <s v=""/>
    <s v=""/>
    <n v="2"/>
    <n v="106"/>
    <m/>
    <s v=""/>
    <n v="2544.5"/>
    <n v="145.5"/>
    <s v="Ecole Robert Doisneau"/>
  </r>
  <r>
    <s v="RAI Animation"/>
    <d v="2017-06-15T00:00:00"/>
    <d v="2017-06-16T00:00:00"/>
    <n v="1"/>
    <n v="21"/>
    <m/>
    <m/>
    <m/>
    <s v=""/>
    <n v="21"/>
    <n v="21"/>
    <s v="Convention"/>
    <x v="0"/>
    <x v="0"/>
    <n v="20"/>
    <s v=""/>
    <s v="DP"/>
    <n v="1"/>
    <n v="44"/>
    <n v="41"/>
    <m/>
    <m/>
    <s v=""/>
    <s v=""/>
    <n v="1"/>
    <n v="44"/>
    <n v="21"/>
    <n v="10.5"/>
    <n v="880"/>
    <n v="0"/>
    <s v="RAI Animation"/>
  </r>
  <r>
    <s v="SAPHEMO ASBL"/>
    <d v="2017-06-19T00:00:00"/>
    <d v="2017-06-23T00:00:00"/>
    <n v="4"/>
    <n v="34"/>
    <m/>
    <m/>
    <m/>
    <s v=""/>
    <n v="34"/>
    <n v="136"/>
    <s v="Convention"/>
    <x v="0"/>
    <x v="0"/>
    <n v="33"/>
    <s v=""/>
    <s v="DP"/>
    <n v="4"/>
    <n v="44"/>
    <n v="41"/>
    <m/>
    <m/>
    <s v=""/>
    <s v=""/>
    <n v="1"/>
    <n v="176"/>
    <n v="34"/>
    <n v="68"/>
    <n v="5808"/>
    <n v="0"/>
    <s v="SAPHEMO ASBL"/>
  </r>
  <r>
    <s v="TRONCHET Claude"/>
    <d v="2017-06-19T00:00:00"/>
    <d v="2017-06-23T00:00:00"/>
    <n v="4"/>
    <n v="6"/>
    <m/>
    <m/>
    <m/>
    <s v=""/>
    <n v="6"/>
    <n v="24"/>
    <s v="Convention"/>
    <x v="0"/>
    <x v="0"/>
    <n v="6"/>
    <s v=""/>
    <s v="PC"/>
    <n v="4"/>
    <n v="53"/>
    <n v="48.5"/>
    <m/>
    <m/>
    <s v=""/>
    <s v=""/>
    <n v="0"/>
    <n v="0"/>
    <n v="6"/>
    <n v="12"/>
    <n v="1272"/>
    <n v="0"/>
    <s v="TRONCHET Claude"/>
  </r>
  <r>
    <s v="A.S Marcoussis"/>
    <d v="2017-06-24T00:00:00"/>
    <d v="2017-06-25T00:00:00"/>
    <n v="1"/>
    <n v="16"/>
    <m/>
    <m/>
    <m/>
    <s v=""/>
    <n v="16"/>
    <n v="16"/>
    <s v="Convention"/>
    <x v="0"/>
    <x v="0"/>
    <n v="16"/>
    <s v=""/>
    <s v="PC"/>
    <n v="1"/>
    <n v="53"/>
    <n v="48.5"/>
    <m/>
    <m/>
    <s v=""/>
    <s v=""/>
    <n v="0"/>
    <n v="0"/>
    <n v="16"/>
    <n v="8"/>
    <n v="848"/>
    <n v="0"/>
    <s v="A.S Marcoussis"/>
  </r>
  <r>
    <s v="Ass Sports et Loisirs Toulouse-Lautrec"/>
    <d v="2017-06-24T00:00:00"/>
    <d v="2017-06-25T00:00:00"/>
    <n v="1"/>
    <n v="17"/>
    <n v="1"/>
    <m/>
    <m/>
    <s v=""/>
    <n v="18"/>
    <n v="18"/>
    <s v="Convention"/>
    <x v="0"/>
    <x v="0"/>
    <n v="17"/>
    <n v="1"/>
    <s v="PC"/>
    <n v="1"/>
    <n v="53"/>
    <n v="48.5"/>
    <m/>
    <m/>
    <s v=""/>
    <s v=""/>
    <n v="0"/>
    <n v="0"/>
    <n v="17"/>
    <n v="8.5"/>
    <n v="949.5"/>
    <n v="0"/>
    <s v="Ass Sports et Loisirs Toulouse-Lautrec"/>
  </r>
  <r>
    <s v="IEM Les Iris"/>
    <d v="2017-06-26T00:00:00"/>
    <d v="2017-07-01T00:00:00"/>
    <n v="5"/>
    <n v="7"/>
    <n v="10"/>
    <m/>
    <m/>
    <s v=""/>
    <n v="17"/>
    <n v="85"/>
    <s v="Convention"/>
    <x v="0"/>
    <x v="0"/>
    <n v="7"/>
    <n v="10"/>
    <s v="PC"/>
    <n v="5"/>
    <n v="53"/>
    <n v="48.5"/>
    <m/>
    <m/>
    <s v=""/>
    <s v=""/>
    <n v="0"/>
    <n v="0"/>
    <n v="7"/>
    <n v="17.5"/>
    <n v="4280"/>
    <n v="0"/>
    <s v="IEM Les Iris"/>
  </r>
  <r>
    <s v="IME Beau Marais"/>
    <d v="2017-06-26T00:00:00"/>
    <d v="2017-06-29T00:00:00"/>
    <n v="3"/>
    <n v="7"/>
    <n v="13"/>
    <n v="1"/>
    <n v="2"/>
    <n v="9"/>
    <n v="20"/>
    <n v="60"/>
    <s v="Convention"/>
    <x v="0"/>
    <x v="0"/>
    <n v="7"/>
    <n v="13"/>
    <s v="PC"/>
    <n v="3"/>
    <n v="53"/>
    <n v="48.5"/>
    <m/>
    <m/>
    <s v=""/>
    <s v=""/>
    <n v="0"/>
    <n v="0"/>
    <n v="7"/>
    <n v="10.5"/>
    <n v="3004.5"/>
    <n v="450"/>
    <s v="IME Beau Marais"/>
  </r>
  <r>
    <s v="COULON RANDO"/>
    <d v="2017-07-01T00:00:00"/>
    <d v="2017-07-02T00:00:00"/>
    <n v="1"/>
    <n v="20"/>
    <m/>
    <n v="3"/>
    <m/>
    <n v="3"/>
    <n v="20"/>
    <n v="20"/>
    <s v="Convention"/>
    <x v="0"/>
    <x v="0"/>
    <n v="20"/>
    <s v=""/>
    <s v="DP"/>
    <n v="1"/>
    <n v="44"/>
    <n v="41"/>
    <m/>
    <m/>
    <s v=""/>
    <s v=""/>
    <n v="0"/>
    <n v="0"/>
    <n v="18"/>
    <n v="9"/>
    <n v="880"/>
    <n v="132"/>
    <s v="COULON RANDO"/>
  </r>
  <r>
    <s v="Durham County Council"/>
    <d v="2017-07-03T00:00:00"/>
    <d v="2017-07-07T00:00:00"/>
    <n v="4"/>
    <n v="6"/>
    <n v="35"/>
    <m/>
    <m/>
    <s v=""/>
    <n v="41"/>
    <n v="164"/>
    <s v="Convention"/>
    <x v="0"/>
    <x v="0"/>
    <n v="5"/>
    <n v="35"/>
    <s v="DP"/>
    <n v="4"/>
    <n v="44"/>
    <n v="41"/>
    <m/>
    <m/>
    <s v=""/>
    <s v=""/>
    <n v="1"/>
    <n v="176"/>
    <n v="6"/>
    <n v="12"/>
    <n v="6620"/>
    <n v="0"/>
    <s v="Durham County Council"/>
  </r>
  <r>
    <s v="LAURENT Hélène"/>
    <d v="2017-07-08T00:00:00"/>
    <d v="2017-07-09T00:00:00"/>
    <n v="1"/>
    <n v="6"/>
    <m/>
    <m/>
    <m/>
    <s v=""/>
    <n v="6"/>
    <n v="6"/>
    <s v="Convention"/>
    <x v="0"/>
    <x v="0"/>
    <n v="6"/>
    <s v=""/>
    <s v="NPD"/>
    <n v="1"/>
    <n v="29"/>
    <n v="29"/>
    <m/>
    <m/>
    <s v=""/>
    <s v=""/>
    <n v="0"/>
    <n v="0"/>
    <n v="6"/>
    <n v="3"/>
    <n v="174"/>
    <n v="0"/>
    <s v="LAURENT Hélène"/>
  </r>
  <r>
    <s v="Mairie de Frette sur seine"/>
    <d v="2017-07-08T00:00:00"/>
    <d v="2017-07-14T00:00:00"/>
    <n v="6"/>
    <n v="5"/>
    <n v="30"/>
    <m/>
    <m/>
    <s v=""/>
    <n v="35"/>
    <n v="210"/>
    <s v="Convention"/>
    <x v="0"/>
    <x v="0"/>
    <n v="4"/>
    <n v="30"/>
    <s v="PC"/>
    <n v="6"/>
    <n v="53"/>
    <n v="48.5"/>
    <m/>
    <m/>
    <s v=""/>
    <s v=""/>
    <n v="1"/>
    <n v="318"/>
    <n v="5"/>
    <n v="15"/>
    <n v="10002"/>
    <n v="0"/>
    <s v="Mairie de Frette sur seine"/>
  </r>
  <r>
    <s v="MAGIS Philippe - HEROLD Brigitte"/>
    <d v="2017-07-10T00:00:00"/>
    <d v="2017-07-13T00:00:00"/>
    <n v="3"/>
    <n v="2"/>
    <m/>
    <m/>
    <m/>
    <s v=""/>
    <n v="2"/>
    <n v="6"/>
    <s v="Convention"/>
    <x v="0"/>
    <x v="0"/>
    <n v="2"/>
    <s v=""/>
    <s v="DP"/>
    <n v="3"/>
    <n v="44"/>
    <n v="41"/>
    <m/>
    <m/>
    <s v=""/>
    <s v=""/>
    <n v="0"/>
    <n v="0"/>
    <n v="2"/>
    <n v="3"/>
    <n v="264"/>
    <n v="0"/>
    <s v="MAGIS Philippe - HEROLD Brigitte"/>
  </r>
  <r>
    <s v="PINSARD Evelyne - CHESNEAU Thierry"/>
    <d v="2017-07-11T00:00:00"/>
    <d v="2017-07-12T00:00:00"/>
    <n v="1"/>
    <n v="2"/>
    <m/>
    <m/>
    <m/>
    <s v=""/>
    <n v="2"/>
    <n v="2"/>
    <s v="Convention"/>
    <x v="0"/>
    <x v="0"/>
    <n v="2"/>
    <s v=""/>
    <s v="DP"/>
    <n v="1"/>
    <n v="44"/>
    <n v="41"/>
    <m/>
    <m/>
    <s v=""/>
    <s v=""/>
    <n v="0"/>
    <n v="0"/>
    <n v="2"/>
    <n v="1"/>
    <n v="88"/>
    <n v="0"/>
    <s v="PINSARD Evelyne - CHESNEAU Thierry"/>
  </r>
  <r>
    <s v="BAUDARD Véronique et MICHAUX Antoinette"/>
    <d v="2017-07-17T00:00:00"/>
    <d v="2017-07-21T00:00:00"/>
    <n v="4"/>
    <n v="2"/>
    <m/>
    <m/>
    <m/>
    <s v=""/>
    <n v="2"/>
    <n v="8"/>
    <s v="Convention"/>
    <x v="0"/>
    <x v="0"/>
    <n v="2"/>
    <s v=""/>
    <s v="DP"/>
    <n v="4"/>
    <n v="44"/>
    <n v="41"/>
    <m/>
    <m/>
    <s v=""/>
    <s v=""/>
    <n v="0"/>
    <n v="0"/>
    <n v="2"/>
    <n v="4"/>
    <n v="352"/>
    <n v="0"/>
    <s v="BAUDARD Véronique et MICHAUX Antoinette"/>
  </r>
  <r>
    <s v="Mairie de Compiegne"/>
    <d v="2017-07-17T00:00:00"/>
    <d v="2017-07-19T00:00:00"/>
    <n v="2"/>
    <n v="3"/>
    <n v="14"/>
    <m/>
    <m/>
    <s v=""/>
    <n v="17"/>
    <n v="34"/>
    <s v="Convention"/>
    <x v="0"/>
    <x v="0"/>
    <n v="3"/>
    <n v="14"/>
    <s v="PC"/>
    <n v="2"/>
    <n v="53"/>
    <n v="48.5"/>
    <m/>
    <m/>
    <s v=""/>
    <s v=""/>
    <n v="0"/>
    <n v="0"/>
    <n v="3"/>
    <n v="3"/>
    <n v="1676"/>
    <n v="0"/>
    <s v="Mairie de Compiegne"/>
  </r>
  <r>
    <s v="Mairie de Gruson"/>
    <d v="2017-07-17T00:00:00"/>
    <d v="2017-07-21T00:00:00"/>
    <n v="4"/>
    <n v="4"/>
    <n v="20"/>
    <m/>
    <m/>
    <s v=""/>
    <n v="24"/>
    <n v="96"/>
    <s v="Convention"/>
    <x v="0"/>
    <x v="0"/>
    <n v="3"/>
    <n v="20"/>
    <s v="PC"/>
    <n v="4"/>
    <n v="53"/>
    <n v="48.5"/>
    <m/>
    <m/>
    <s v=""/>
    <s v=""/>
    <n v="1"/>
    <n v="212"/>
    <n v="4"/>
    <n v="8"/>
    <n v="4516"/>
    <n v="0"/>
    <s v="Mairie de Gruson"/>
  </r>
  <r>
    <s v="Mairie de Sotteville les Rouen"/>
    <d v="2017-07-24T00:00:00"/>
    <d v="2017-07-25T00:00:00"/>
    <n v="1"/>
    <n v="4"/>
    <n v="8"/>
    <m/>
    <m/>
    <s v=""/>
    <n v="12"/>
    <n v="12"/>
    <s v="Convention"/>
    <x v="0"/>
    <x v="0"/>
    <n v="4"/>
    <n v="8"/>
    <s v="PC"/>
    <n v="1"/>
    <n v="53"/>
    <n v="48.5"/>
    <m/>
    <m/>
    <s v=""/>
    <s v=""/>
    <n v="0"/>
    <n v="0"/>
    <n v="4"/>
    <n v="2"/>
    <n v="600"/>
    <n v="0"/>
    <s v="Mairie de Sotteville les Rouen"/>
  </r>
  <r>
    <s v="Ass Mutuelle La Mayotte"/>
    <d v="2017-07-25T00:00:00"/>
    <d v="2017-07-26T00:00:00"/>
    <n v="1"/>
    <n v="5"/>
    <n v="6"/>
    <m/>
    <m/>
    <s v=""/>
    <n v="11"/>
    <n v="11"/>
    <s v="Convention"/>
    <x v="0"/>
    <x v="0"/>
    <n v="5"/>
    <n v="6"/>
    <s v="PC"/>
    <n v="1"/>
    <n v="53"/>
    <n v="48.5"/>
    <m/>
    <m/>
    <s v=""/>
    <s v=""/>
    <n v="0"/>
    <n v="0"/>
    <n v="5"/>
    <n v="2.5"/>
    <n v="556"/>
    <n v="0"/>
    <s v="Ass Mutuelle La Mayotte"/>
  </r>
  <r>
    <s v="Centre de Loisirs Maternel ANNE FRANCK"/>
    <d v="2017-07-25T00:00:00"/>
    <d v="2017-07-27T00:00:00"/>
    <n v="2"/>
    <n v="4"/>
    <n v="32"/>
    <m/>
    <m/>
    <s v=""/>
    <n v="36"/>
    <n v="72"/>
    <s v="Convention"/>
    <x v="0"/>
    <x v="0"/>
    <n v="3"/>
    <n v="32"/>
    <s v="PC"/>
    <n v="2"/>
    <n v="53"/>
    <n v="48.5"/>
    <m/>
    <m/>
    <s v=""/>
    <s v=""/>
    <n v="1"/>
    <n v="106"/>
    <n v="4"/>
    <n v="4"/>
    <n v="3422"/>
    <n v="0"/>
    <s v="Centre de Loisirs Maternel ANNE FRANCK"/>
  </r>
  <r>
    <s v="LAURAT Sylvère – Floriane – Clélia"/>
    <d v="2017-07-26T00:00:00"/>
    <d v="2017-07-27T00:00:00"/>
    <n v="1"/>
    <n v="3"/>
    <m/>
    <m/>
    <m/>
    <s v=""/>
    <n v="3"/>
    <n v="3"/>
    <s v="Convention"/>
    <x v="0"/>
    <x v="0"/>
    <n v="3"/>
    <s v=""/>
    <s v="NPD"/>
    <n v="1"/>
    <n v="29"/>
    <n v="29"/>
    <m/>
    <m/>
    <s v=""/>
    <s v=""/>
    <n v="0"/>
    <n v="0"/>
    <n v="3"/>
    <n v="1.5"/>
    <n v="87"/>
    <n v="0"/>
    <s v="LAURAT Sylvère – Floriane – Clélia"/>
  </r>
  <r>
    <s v="COACHE Bernadette"/>
    <d v="2017-07-27T00:00:00"/>
    <d v="2017-07-30T00:00:00"/>
    <n v="3"/>
    <n v="10"/>
    <n v="2"/>
    <m/>
    <m/>
    <s v=""/>
    <n v="12"/>
    <n v="36"/>
    <s v="Convention"/>
    <x v="0"/>
    <x v="0"/>
    <n v="10"/>
    <n v="2"/>
    <s v="DP"/>
    <n v="3"/>
    <n v="44"/>
    <n v="41"/>
    <m/>
    <m/>
    <s v=""/>
    <s v=""/>
    <n v="0"/>
    <n v="0"/>
    <n v="10"/>
    <n v="15"/>
    <n v="1566"/>
    <n v="0"/>
    <s v="COACHE Bernadette"/>
  </r>
  <r>
    <s v="A la découverte de Fagnes"/>
    <d v="2017-07-28T00:00:00"/>
    <d v="2017-07-29T00:00:00"/>
    <n v="1"/>
    <n v="4"/>
    <m/>
    <m/>
    <m/>
    <s v=""/>
    <n v="4"/>
    <n v="4"/>
    <s v="Convention"/>
    <x v="0"/>
    <x v="0"/>
    <n v="4"/>
    <s v=""/>
    <s v="DP"/>
    <n v="1"/>
    <n v="44"/>
    <n v="41"/>
    <m/>
    <m/>
    <s v=""/>
    <s v=""/>
    <n v="0"/>
    <n v="0"/>
    <n v="4"/>
    <n v="2"/>
    <n v="176"/>
    <n v="0"/>
    <s v="A la découverte de Fagnes"/>
  </r>
  <r>
    <s v="ARPSA"/>
    <d v="2017-07-29T00:00:00"/>
    <d v="2017-07-30T00:00:00"/>
    <n v="1"/>
    <n v="30"/>
    <m/>
    <m/>
    <m/>
    <s v=""/>
    <n v="30"/>
    <n v="30"/>
    <s v="Convention"/>
    <x v="0"/>
    <x v="0"/>
    <n v="29"/>
    <s v=""/>
    <s v="PC"/>
    <n v="1"/>
    <n v="53"/>
    <n v="48.5"/>
    <m/>
    <m/>
    <s v=""/>
    <s v=""/>
    <n v="1"/>
    <n v="53"/>
    <n v="30"/>
    <n v="15"/>
    <n v="1537"/>
    <n v="0"/>
    <s v="ARPSA"/>
  </r>
  <r>
    <s v="BIDARD Fabienne"/>
    <d v="2017-08-02T00:00:00"/>
    <d v="2017-08-04T00:00:00"/>
    <n v="2"/>
    <n v="4"/>
    <m/>
    <m/>
    <m/>
    <s v=""/>
    <n v="4"/>
    <n v="8"/>
    <s v="Convention"/>
    <x v="0"/>
    <x v="0"/>
    <n v="4"/>
    <s v=""/>
    <s v="NS"/>
    <n v="2"/>
    <n v="25"/>
    <n v="25"/>
    <m/>
    <m/>
    <s v=""/>
    <s v=""/>
    <n v="0"/>
    <n v="0"/>
    <n v="4"/>
    <n v="4"/>
    <n v="200"/>
    <n v="0"/>
    <s v="BIDARD Fabienne"/>
  </r>
  <r>
    <s v="Ass Mutuelle La Mayotte"/>
    <d v="2017-08-08T00:00:00"/>
    <d v="2017-08-09T00:00:00"/>
    <n v="1"/>
    <n v="4"/>
    <n v="4"/>
    <m/>
    <m/>
    <s v=""/>
    <n v="8"/>
    <n v="8"/>
    <s v="Convention"/>
    <x v="0"/>
    <x v="0"/>
    <n v="4"/>
    <n v="4"/>
    <s v="PC"/>
    <n v="1"/>
    <n v="53"/>
    <n v="48.5"/>
    <m/>
    <m/>
    <s v=""/>
    <s v=""/>
    <n v="0"/>
    <n v="0"/>
    <n v="4"/>
    <n v="2"/>
    <n v="406"/>
    <n v="0"/>
    <s v="Ass Mutuelle La Mayotte"/>
  </r>
  <r>
    <s v="Centre de Loisirs Maternel ANNE FRANCK"/>
    <d v="2017-08-09T00:00:00"/>
    <d v="2017-08-11T00:00:00"/>
    <n v="2"/>
    <n v="2"/>
    <n v="10"/>
    <m/>
    <m/>
    <s v=""/>
    <n v="12"/>
    <n v="24"/>
    <s v="Convention"/>
    <x v="0"/>
    <x v="0"/>
    <n v="2"/>
    <n v="10"/>
    <s v="PC"/>
    <n v="2"/>
    <n v="53"/>
    <n v="48.5"/>
    <m/>
    <m/>
    <s v=""/>
    <s v=""/>
    <n v="0"/>
    <n v="0"/>
    <n v="2"/>
    <n v="2"/>
    <n v="1182"/>
    <n v="0"/>
    <s v="Centre de Loisirs Maternel ANNE FRANCK"/>
  </r>
  <r>
    <s v="MUNIER Nathalie"/>
    <d v="2017-08-10T00:00:00"/>
    <d v="2017-08-12T00:00:00"/>
    <n v="2"/>
    <n v="2"/>
    <m/>
    <m/>
    <m/>
    <s v=""/>
    <n v="2"/>
    <n v="4"/>
    <s v="Convention"/>
    <x v="0"/>
    <x v="0"/>
    <n v="2"/>
    <s v=""/>
    <s v="NS"/>
    <n v="2"/>
    <n v="25"/>
    <n v="25"/>
    <m/>
    <m/>
    <s v=""/>
    <s v=""/>
    <n v="0"/>
    <n v="0"/>
    <n v="2"/>
    <n v="2"/>
    <n v="100"/>
    <n v="0"/>
    <s v="MUNIER Nathalie"/>
  </r>
  <r>
    <s v="CHAINTRON Agnès"/>
    <d v="2017-08-12T00:00:00"/>
    <d v="2017-08-13T00:00:00"/>
    <n v="1"/>
    <n v="1"/>
    <n v="2"/>
    <m/>
    <m/>
    <s v=""/>
    <n v="3"/>
    <n v="3"/>
    <s v="Convention"/>
    <x v="0"/>
    <x v="0"/>
    <n v="1"/>
    <n v="2"/>
    <s v="NPD"/>
    <n v="1"/>
    <n v="29"/>
    <n v="29"/>
    <m/>
    <m/>
    <s v=""/>
    <s v=""/>
    <n v="0"/>
    <n v="0"/>
    <n v="1"/>
    <n v="0.5"/>
    <n v="87"/>
    <n v="0"/>
    <s v="CHAINTRON Agnès"/>
  </r>
  <r>
    <s v="BON René"/>
    <d v="2017-08-14T00:00:00"/>
    <d v="2017-08-18T00:00:00"/>
    <n v="4"/>
    <n v="2"/>
    <m/>
    <m/>
    <m/>
    <s v=""/>
    <n v="2"/>
    <n v="8"/>
    <s v="Convention"/>
    <x v="0"/>
    <x v="0"/>
    <n v="2"/>
    <s v=""/>
    <s v="NPD"/>
    <n v="4"/>
    <n v="29"/>
    <n v="29"/>
    <m/>
    <m/>
    <s v=""/>
    <s v=""/>
    <n v="0"/>
    <n v="0"/>
    <n v="2"/>
    <n v="4"/>
    <n v="232"/>
    <n v="0"/>
    <s v="BON René"/>
  </r>
  <r>
    <s v="Taunus Mania"/>
    <d v="2017-08-20T00:00:00"/>
    <d v="2017-08-24T00:00:00"/>
    <n v="4"/>
    <n v="13"/>
    <m/>
    <n v="2"/>
    <m/>
    <n v="8"/>
    <n v="13"/>
    <n v="52"/>
    <s v="Convention"/>
    <x v="0"/>
    <x v="0"/>
    <n v="13"/>
    <s v=""/>
    <s v="DP"/>
    <n v="3"/>
    <n v="44"/>
    <n v="41"/>
    <s v="NPD"/>
    <n v="1"/>
    <n v="29"/>
    <n v="29"/>
    <n v="0"/>
    <n v="0"/>
    <n v="13"/>
    <n v="26"/>
    <n v="2093"/>
    <n v="322"/>
    <s v="Taunus Mania"/>
  </r>
  <r>
    <s v="ALSH HARLY – Léo LAGRANGE Nord IDF"/>
    <d v="2017-08-21T00:00:00"/>
    <d v="2017-08-25T00:00:00"/>
    <n v="4"/>
    <n v="2"/>
    <n v="12"/>
    <m/>
    <m/>
    <s v=""/>
    <n v="14"/>
    <n v="56"/>
    <s v="Convention"/>
    <x v="0"/>
    <x v="0"/>
    <n v="2"/>
    <n v="12"/>
    <m/>
    <m/>
    <s v=""/>
    <s v=""/>
    <m/>
    <m/>
    <s v=""/>
    <s v=""/>
    <n v="0"/>
    <s v="0"/>
    <m/>
    <s v=""/>
    <n v="0"/>
    <n v="0"/>
    <s v="ALSH HARLY – Léo LAGRANGE Nord IDF"/>
  </r>
  <r>
    <s v="LATTE Nicole-GARDEUX Claude"/>
    <d v="2017-08-24T00:00:00"/>
    <d v="2017-08-27T00:00:00"/>
    <n v="3"/>
    <n v="2"/>
    <m/>
    <m/>
    <m/>
    <s v=""/>
    <n v="2"/>
    <n v="6"/>
    <s v="Convention"/>
    <x v="0"/>
    <x v="0"/>
    <n v="2"/>
    <s v=""/>
    <m/>
    <m/>
    <s v=""/>
    <s v=""/>
    <m/>
    <m/>
    <s v=""/>
    <s v=""/>
    <n v="0"/>
    <s v="0"/>
    <m/>
    <s v=""/>
    <n v="0"/>
    <n v="0"/>
    <s v="LATTE Nicole-GARDEUX Claude"/>
  </r>
  <r>
    <s v="La Boutique Pour Tous"/>
    <d v="2017-08-26T00:00:00"/>
    <d v="2017-08-27T00:00:00"/>
    <n v="1"/>
    <n v="48"/>
    <m/>
    <n v="2"/>
    <m/>
    <n v="2"/>
    <n v="48"/>
    <n v="48"/>
    <s v="Convention"/>
    <x v="0"/>
    <x v="0"/>
    <n v="46"/>
    <s v=""/>
    <s v="PC"/>
    <n v="1"/>
    <n v="53"/>
    <n v="48.5"/>
    <m/>
    <m/>
    <s v=""/>
    <s v=""/>
    <n v="2"/>
    <n v="106"/>
    <n v="48"/>
    <n v="24"/>
    <n v="2438"/>
    <n v="106"/>
    <s v="La Boutique Pour Tous"/>
  </r>
  <r>
    <s v="Comité d'entraide de Saint-Aignan"/>
    <d v="2017-08-28T00:00:00"/>
    <d v="2017-09-02T00:00:00"/>
    <n v="5"/>
    <m/>
    <m/>
    <m/>
    <m/>
    <s v=""/>
    <n v="0"/>
    <n v="0"/>
    <s v="Sous-réserve"/>
    <x v="0"/>
    <x v="0"/>
    <s v=""/>
    <s v=""/>
    <m/>
    <m/>
    <s v=""/>
    <s v=""/>
    <m/>
    <m/>
    <s v=""/>
    <s v=""/>
    <s v=""/>
    <s v=""/>
    <m/>
    <s v=""/>
    <n v="0"/>
    <n v="0"/>
    <s v="Comité d'entraide de Saint-Aignan"/>
  </r>
  <r>
    <s v="Au Gré des Sentiers"/>
    <d v="2017-09-02T00:00:00"/>
    <d v="2017-09-08T00:00:00"/>
    <n v="6"/>
    <n v="18"/>
    <m/>
    <n v="1"/>
    <m/>
    <n v="6"/>
    <n v="18"/>
    <n v="108"/>
    <s v="Convention"/>
    <x v="0"/>
    <x v="0"/>
    <n v="18"/>
    <s v=""/>
    <s v="DP"/>
    <n v="6"/>
    <n v="44"/>
    <n v="41"/>
    <m/>
    <m/>
    <s v=""/>
    <s v=""/>
    <n v="0"/>
    <n v="0"/>
    <n v="18"/>
    <n v="54"/>
    <n v="4752"/>
    <n v="264"/>
    <s v="Au Gré des Sentiers"/>
  </r>
  <r>
    <s v="Les Randonneurs du Berry"/>
    <d v="2017-09-02T00:00:00"/>
    <d v="2017-09-09T00:00:00"/>
    <n v="7"/>
    <n v="24"/>
    <m/>
    <m/>
    <m/>
    <s v=""/>
    <n v="24"/>
    <n v="168"/>
    <s v="Convention"/>
    <x v="0"/>
    <x v="0"/>
    <n v="23"/>
    <s v=""/>
    <m/>
    <m/>
    <s v=""/>
    <s v=""/>
    <m/>
    <m/>
    <s v=""/>
    <s v=""/>
    <n v="1"/>
    <s v="0"/>
    <m/>
    <s v=""/>
    <n v="0"/>
    <n v="0"/>
    <s v="Les Randonneurs du Berry"/>
  </r>
  <r>
    <s v="RE-CREATION"/>
    <d v="2017-09-08T00:00:00"/>
    <d v="2017-09-10T00:00:00"/>
    <n v="2"/>
    <m/>
    <m/>
    <m/>
    <m/>
    <s v=""/>
    <n v="0"/>
    <n v="0"/>
    <s v="Dem convention"/>
    <x v="0"/>
    <x v="0"/>
    <s v=""/>
    <s v=""/>
    <m/>
    <m/>
    <s v=""/>
    <s v=""/>
    <m/>
    <m/>
    <s v=""/>
    <s v=""/>
    <s v=""/>
    <s v=""/>
    <m/>
    <s v=""/>
    <n v="0"/>
    <n v="0"/>
    <s v="RE-CREATION"/>
  </r>
  <r>
    <s v="Au Gré des Sentiers"/>
    <d v="2017-09-08T00:00:00"/>
    <d v="2017-09-09T00:00:00"/>
    <n v="1"/>
    <n v="13"/>
    <m/>
    <n v="5"/>
    <m/>
    <n v="5"/>
    <n v="13"/>
    <n v="13"/>
    <s v="Convention"/>
    <x v="0"/>
    <x v="0"/>
    <n v="13"/>
    <s v=""/>
    <s v="DP"/>
    <n v="1"/>
    <n v="44"/>
    <n v="41"/>
    <m/>
    <m/>
    <s v=""/>
    <s v=""/>
    <n v="0"/>
    <n v="0"/>
    <n v="13"/>
    <n v="6.5"/>
    <n v="572"/>
    <n v="220"/>
    <s v="Au Gré des Sentiers"/>
  </r>
  <r>
    <s v="A la découverte de Fagnes"/>
    <d v="2017-09-09T00:00:00"/>
    <d v="2017-09-10T00:00:00"/>
    <n v="1"/>
    <n v="27"/>
    <m/>
    <m/>
    <m/>
    <s v=""/>
    <n v="27"/>
    <n v="27"/>
    <s v="Convention"/>
    <x v="0"/>
    <x v="0"/>
    <n v="26"/>
    <s v=""/>
    <m/>
    <m/>
    <s v=""/>
    <s v=""/>
    <m/>
    <m/>
    <s v=""/>
    <s v=""/>
    <n v="1"/>
    <s v="0"/>
    <m/>
    <s v=""/>
    <n v="0"/>
    <n v="0"/>
    <s v="A la découverte de Fagnes"/>
  </r>
  <r>
    <s v="A la découverte de Fagnes"/>
    <d v="2017-09-10T00:00:00"/>
    <d v="2017-09-11T00:00:00"/>
    <n v="1"/>
    <n v="25"/>
    <m/>
    <m/>
    <m/>
    <s v=""/>
    <n v="25"/>
    <n v="25"/>
    <s v="Convention"/>
    <x v="0"/>
    <x v="0"/>
    <n v="24"/>
    <s v=""/>
    <m/>
    <m/>
    <s v=""/>
    <s v=""/>
    <m/>
    <m/>
    <s v=""/>
    <s v=""/>
    <n v="1"/>
    <s v="0"/>
    <m/>
    <s v=""/>
    <n v="0"/>
    <n v="0"/>
    <s v="A la découverte de Fagnes"/>
  </r>
  <r>
    <s v="La Guinguette de la Fontaine"/>
    <d v="2017-09-11T00:00:00"/>
    <d v="2017-09-13T00:00:00"/>
    <n v="2"/>
    <n v="12"/>
    <m/>
    <m/>
    <m/>
    <s v=""/>
    <n v="12"/>
    <n v="24"/>
    <s v="Convention"/>
    <x v="0"/>
    <x v="0"/>
    <n v="12"/>
    <s v=""/>
    <m/>
    <m/>
    <s v=""/>
    <s v=""/>
    <m/>
    <m/>
    <s v=""/>
    <s v=""/>
    <n v="0"/>
    <s v="0"/>
    <m/>
    <s v=""/>
    <n v="0"/>
    <n v="0"/>
    <s v="La Guinguette de la Fontaine"/>
  </r>
  <r>
    <s v="Caisse d'Epargne Hauts de France"/>
    <d v="2017-09-14T00:00:00"/>
    <d v="2017-09-15T00:00:00"/>
    <n v="1"/>
    <n v="31"/>
    <m/>
    <m/>
    <m/>
    <s v=""/>
    <n v="31"/>
    <n v="31"/>
    <s v="Convention"/>
    <x v="0"/>
    <x v="0"/>
    <n v="30"/>
    <s v=""/>
    <m/>
    <m/>
    <s v=""/>
    <s v=""/>
    <m/>
    <m/>
    <s v=""/>
    <s v=""/>
    <n v="1"/>
    <s v="0"/>
    <m/>
    <s v=""/>
    <n v="0"/>
    <n v="0"/>
    <s v="Caisse d'Epargne Hauts de France"/>
  </r>
  <r>
    <s v="Maillot Danielle"/>
    <d v="2017-09-14T00:00:00"/>
    <d v="2017-09-15T00:00:00"/>
    <n v="1"/>
    <n v="15"/>
    <m/>
    <m/>
    <m/>
    <s v=""/>
    <n v="15"/>
    <n v="15"/>
    <s v="Convention"/>
    <x v="0"/>
    <x v="0"/>
    <n v="15"/>
    <s v=""/>
    <s v="NPD"/>
    <n v="1"/>
    <n v="29"/>
    <n v="29"/>
    <m/>
    <m/>
    <s v=""/>
    <s v=""/>
    <n v="0"/>
    <n v="0"/>
    <n v="15"/>
    <n v="7.5"/>
    <n v="435"/>
    <n v="0"/>
    <s v="Maillot Danielle"/>
  </r>
  <r>
    <s v="ACSA Ste Adresse"/>
    <d v="2017-09-15T00:00:00"/>
    <d v="2017-09-17T00:00:00"/>
    <n v="2"/>
    <n v="25"/>
    <m/>
    <m/>
    <m/>
    <s v=""/>
    <n v="25"/>
    <n v="50"/>
    <s v="Convention"/>
    <x v="0"/>
    <x v="0"/>
    <n v="24"/>
    <s v=""/>
    <m/>
    <m/>
    <s v=""/>
    <s v=""/>
    <m/>
    <m/>
    <s v=""/>
    <s v=""/>
    <n v="1"/>
    <s v="0"/>
    <m/>
    <s v=""/>
    <n v="0"/>
    <n v="0"/>
    <s v="ACSA Ste Adresse"/>
  </r>
  <r>
    <s v="EHPAD Le Village"/>
    <d v="2017-09-18T00:00:00"/>
    <d v="2017-09-22T00:00:00"/>
    <n v="4"/>
    <n v="10"/>
    <m/>
    <m/>
    <m/>
    <s v=""/>
    <n v="10"/>
    <n v="40"/>
    <s v="Convention"/>
    <x v="0"/>
    <x v="0"/>
    <n v="10"/>
    <s v=""/>
    <m/>
    <m/>
    <s v=""/>
    <s v=""/>
    <m/>
    <m/>
    <s v=""/>
    <s v=""/>
    <n v="0"/>
    <s v="0"/>
    <m/>
    <s v=""/>
    <n v="0"/>
    <n v="0"/>
    <s v="EHPAD Le Village"/>
  </r>
  <r>
    <s v="Cove Rando"/>
    <d v="2017-09-22T00:00:00"/>
    <d v="2017-09-24T00:00:00"/>
    <n v="2"/>
    <n v="19"/>
    <m/>
    <n v="1"/>
    <m/>
    <n v="2"/>
    <n v="19"/>
    <n v="38"/>
    <s v="Convention"/>
    <x v="0"/>
    <x v="0"/>
    <n v="19"/>
    <s v=""/>
    <m/>
    <m/>
    <s v=""/>
    <s v=""/>
    <m/>
    <m/>
    <s v=""/>
    <s v=""/>
    <n v="0"/>
    <s v="0"/>
    <m/>
    <s v=""/>
    <n v="0"/>
    <n v="0"/>
    <s v="Cove Rando"/>
  </r>
  <r>
    <s v="ARPHP"/>
    <d v="2017-09-23T00:00:00"/>
    <d v="2017-09-24T00:00:00"/>
    <n v="1"/>
    <n v="30"/>
    <m/>
    <n v="1"/>
    <m/>
    <n v="1"/>
    <n v="30"/>
    <n v="30"/>
    <s v="Convention"/>
    <x v="0"/>
    <x v="0"/>
    <n v="29"/>
    <s v=""/>
    <m/>
    <m/>
    <s v=""/>
    <s v=""/>
    <m/>
    <m/>
    <s v=""/>
    <s v=""/>
    <n v="1"/>
    <s v="0"/>
    <m/>
    <s v=""/>
    <n v="0"/>
    <n v="0"/>
    <s v="ARPHP"/>
  </r>
  <r>
    <s v="Selectour Affaires"/>
    <d v="2017-09-25T00:00:00"/>
    <d v="2017-09-27T00:00:00"/>
    <n v="2"/>
    <m/>
    <m/>
    <m/>
    <m/>
    <s v=""/>
    <n v="0"/>
    <n v="0"/>
    <s v="Dem convention"/>
    <x v="0"/>
    <x v="0"/>
    <s v=""/>
    <s v=""/>
    <m/>
    <m/>
    <s v=""/>
    <s v=""/>
    <m/>
    <m/>
    <s v=""/>
    <s v=""/>
    <s v=""/>
    <s v=""/>
    <m/>
    <s v=""/>
    <n v="0"/>
    <n v="0"/>
    <s v="Selectour Affaires"/>
  </r>
  <r>
    <s v="ARPAL"/>
    <d v="2017-09-26T00:00:00"/>
    <d v="2017-09-27T00:00:00"/>
    <n v="1"/>
    <n v="18"/>
    <m/>
    <m/>
    <m/>
    <s v=""/>
    <n v="18"/>
    <n v="18"/>
    <s v="Convention"/>
    <x v="0"/>
    <x v="0"/>
    <n v="18"/>
    <s v=""/>
    <m/>
    <m/>
    <s v=""/>
    <s v=""/>
    <m/>
    <m/>
    <s v=""/>
    <s v=""/>
    <n v="0"/>
    <s v="0"/>
    <m/>
    <s v=""/>
    <n v="0"/>
    <n v="0"/>
    <s v="ARPAL"/>
  </r>
  <r>
    <s v="Asso Cap'Rando"/>
    <d v="2017-09-30T00:00:00"/>
    <d v="2017-10-06T00:00:00"/>
    <n v="6"/>
    <n v="30"/>
    <m/>
    <m/>
    <m/>
    <s v=""/>
    <n v="30"/>
    <n v="180"/>
    <s v="Convention"/>
    <x v="0"/>
    <x v="0"/>
    <n v="29"/>
    <s v=""/>
    <m/>
    <m/>
    <s v=""/>
    <s v=""/>
    <m/>
    <m/>
    <s v=""/>
    <s v=""/>
    <n v="1"/>
    <s v="0"/>
    <m/>
    <s v=""/>
    <n v="0"/>
    <n v="0"/>
    <s v="Asso Cap'Rando"/>
  </r>
  <r>
    <s v="Chorale A Capella"/>
    <d v="2017-10-07T00:00:00"/>
    <d v="2017-10-08T00:00:00"/>
    <n v="1"/>
    <n v="38"/>
    <m/>
    <m/>
    <m/>
    <s v=""/>
    <n v="38"/>
    <n v="38"/>
    <s v="Convention"/>
    <x v="0"/>
    <x v="0"/>
    <n v="37"/>
    <s v=""/>
    <m/>
    <m/>
    <s v=""/>
    <s v=""/>
    <m/>
    <m/>
    <s v=""/>
    <s v=""/>
    <n v="1"/>
    <s v="0"/>
    <m/>
    <s v=""/>
    <n v="0"/>
    <n v="0"/>
    <s v="Chorale A Capella"/>
  </r>
  <r>
    <s v="Ecole de la Halle"/>
    <d v="2017-10-09T00:00:00"/>
    <d v="2017-10-10T00:00:00"/>
    <n v="1"/>
    <n v="43"/>
    <n v="4"/>
    <m/>
    <m/>
    <s v=""/>
    <n v="47"/>
    <n v="47"/>
    <s v="Convention"/>
    <x v="0"/>
    <x v="0"/>
    <n v="41"/>
    <n v="4"/>
    <m/>
    <m/>
    <s v=""/>
    <s v=""/>
    <m/>
    <m/>
    <s v=""/>
    <s v=""/>
    <n v="2"/>
    <s v="0"/>
    <m/>
    <s v=""/>
    <n v="0"/>
    <n v="0"/>
    <s v="Ecole de la Halle"/>
  </r>
  <r>
    <s v="Déessement Vôtre"/>
    <d v="2017-10-14T00:00:00"/>
    <d v="2017-10-15T00:00:00"/>
    <n v="1"/>
    <n v="21"/>
    <m/>
    <m/>
    <m/>
    <s v=""/>
    <n v="21"/>
    <n v="21"/>
    <s v="Convention"/>
    <x v="0"/>
    <x v="0"/>
    <n v="20"/>
    <s v=""/>
    <m/>
    <m/>
    <s v=""/>
    <s v=""/>
    <m/>
    <m/>
    <s v=""/>
    <s v=""/>
    <n v="1"/>
    <s v="0"/>
    <m/>
    <s v=""/>
    <n v="0"/>
    <n v="0"/>
    <s v="Déessement Vôtre"/>
  </r>
  <r>
    <s v="Lycée Jean Monnet"/>
    <d v="2017-10-17T00:00:00"/>
    <d v="2017-10-19T00:00:00"/>
    <n v="2"/>
    <m/>
    <m/>
    <m/>
    <m/>
    <s v=""/>
    <n v="0"/>
    <n v="0"/>
    <s v="Dem convention"/>
    <x v="0"/>
    <x v="0"/>
    <s v=""/>
    <s v=""/>
    <m/>
    <m/>
    <s v=""/>
    <s v=""/>
    <m/>
    <m/>
    <s v=""/>
    <s v=""/>
    <s v=""/>
    <s v=""/>
    <m/>
    <s v=""/>
    <n v="0"/>
    <n v="0"/>
    <s v="Lycée Jean Monnet"/>
  </r>
  <r>
    <s v="Les Cavaliers St Georges/Maison du Cheval"/>
    <d v="2017-10-20T00:00:00"/>
    <d v="2017-10-22T00:00:00"/>
    <n v="2"/>
    <n v="26"/>
    <m/>
    <m/>
    <m/>
    <s v=""/>
    <n v="26"/>
    <n v="52"/>
    <s v="Convention"/>
    <x v="0"/>
    <x v="0"/>
    <n v="25"/>
    <s v=""/>
    <m/>
    <m/>
    <s v=""/>
    <s v=""/>
    <m/>
    <m/>
    <s v=""/>
    <s v=""/>
    <n v="1"/>
    <s v="0"/>
    <m/>
    <s v=""/>
    <n v="0"/>
    <n v="0"/>
    <s v="Les Cavaliers St Georges/Maison du Cheval"/>
  </r>
  <r>
    <s v="Les Verts Sentiers"/>
    <d v="2017-10-20T00:00:00"/>
    <d v="2017-10-22T00:00:00"/>
    <n v="2"/>
    <n v="10"/>
    <m/>
    <m/>
    <m/>
    <s v=""/>
    <n v="10"/>
    <n v="20"/>
    <s v="Convention"/>
    <x v="0"/>
    <x v="0"/>
    <n v="10"/>
    <s v=""/>
    <m/>
    <m/>
    <s v=""/>
    <s v=""/>
    <m/>
    <m/>
    <s v=""/>
    <s v=""/>
    <n v="0"/>
    <s v="0"/>
    <m/>
    <s v=""/>
    <n v="0"/>
    <n v="0"/>
    <s v="Les Verts Sentiers"/>
  </r>
  <r>
    <s v="Ligue de Tennis de Picardie"/>
    <d v="2017-10-13T00:00:00"/>
    <d v="2017-10-15T00:00:00"/>
    <n v="2"/>
    <m/>
    <m/>
    <m/>
    <m/>
    <s v=""/>
    <n v="0"/>
    <n v="0"/>
    <s v="Sous-réserve"/>
    <x v="0"/>
    <x v="0"/>
    <s v=""/>
    <s v=""/>
    <m/>
    <m/>
    <s v=""/>
    <s v=""/>
    <m/>
    <m/>
    <s v=""/>
    <s v=""/>
    <s v=""/>
    <s v=""/>
    <m/>
    <s v=""/>
    <n v="0"/>
    <n v="0"/>
    <s v="Ligue de Tennis de Picardie"/>
  </r>
  <r>
    <s v="A la découverte de Fagnes"/>
    <d v="2017-10-15T00:00:00"/>
    <d v="2017-10-18T00:00:00"/>
    <n v="3"/>
    <n v="21"/>
    <m/>
    <n v="21"/>
    <m/>
    <n v="63"/>
    <n v="21"/>
    <n v="63"/>
    <s v="Annulé"/>
    <x v="0"/>
    <x v="0"/>
    <n v="20"/>
    <s v=""/>
    <s v="DP"/>
    <n v="20"/>
    <n v="44"/>
    <n v="41"/>
    <m/>
    <m/>
    <s v=""/>
    <s v=""/>
    <n v="0"/>
    <n v="0"/>
    <m/>
    <s v=""/>
    <n v="0"/>
    <n v="17600"/>
    <s v="A la découverte de Fagnes"/>
  </r>
  <r>
    <s v="A.S Marcoussis"/>
    <d v="2017-10-17T00:00:00"/>
    <d v="2017-10-19T00:00:00"/>
    <n v="2"/>
    <n v="10"/>
    <n v="4"/>
    <n v="10"/>
    <n v="4"/>
    <n v="28"/>
    <n v="14"/>
    <n v="28"/>
    <s v="Sans suite"/>
    <x v="0"/>
    <x v="0"/>
    <n v="10"/>
    <n v="4"/>
    <m/>
    <m/>
    <s v=""/>
    <s v=""/>
    <m/>
    <m/>
    <s v=""/>
    <s v=""/>
    <n v="0"/>
    <s v="0"/>
    <m/>
    <s v=""/>
    <n v="0"/>
    <n v="0"/>
    <s v="A.S Marcoussis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m/>
    <x v="1"/>
    <x v="1"/>
    <s v=""/>
    <s v=""/>
    <m/>
    <m/>
    <s v=""/>
    <s v=""/>
    <m/>
    <m/>
    <s v=""/>
    <s v=""/>
    <s v=""/>
    <s v=""/>
    <m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e v="#N/A"/>
    <e v="#N/A"/>
    <n v="420"/>
    <e v="#N/A"/>
    <e v="#N/A"/>
    <e v="#N/A"/>
    <n v="0.22950866188769414"/>
    <e v="#N/A"/>
    <e v="#N/A"/>
    <e v="#N/A"/>
    <e v="#N/A"/>
    <n v="15234.791666666666"/>
  </r>
  <r>
    <x v="1"/>
    <n v="70"/>
    <e v="#N/A"/>
    <n v="420"/>
    <n v="1.1666666666666667E-2"/>
    <e v="#N/A"/>
    <n v="4.1666666666666664E-2"/>
    <n v="0.22950866188769414"/>
    <n v="30.5"/>
    <e v="#N/A"/>
    <n v="3140"/>
    <e v="#N/A"/>
    <n v="15234.791666666666"/>
  </r>
  <r>
    <x v="2"/>
    <n v="311"/>
    <e v="#N/A"/>
    <n v="420"/>
    <n v="5.1833333333333335E-2"/>
    <e v="#N/A"/>
    <n v="0.16720430107526882"/>
    <n v="0.22950866188769414"/>
    <n v="56"/>
    <e v="#N/A"/>
    <n v="13869.5"/>
    <e v="#N/A"/>
    <n v="15234.791666666666"/>
  </r>
  <r>
    <x v="3"/>
    <n v="873"/>
    <e v="#N/A"/>
    <n v="420"/>
    <n v="0.14549999999999999"/>
    <e v="#N/A"/>
    <n v="0.48499999999999999"/>
    <n v="0.22950866188769414"/>
    <n v="337.5"/>
    <e v="#N/A"/>
    <n v="38423.5"/>
    <e v="#N/A"/>
    <n v="15234.791666666666"/>
  </r>
  <r>
    <x v="4"/>
    <n v="1055"/>
    <e v="#N/A"/>
    <n v="420"/>
    <n v="0.17583333333333334"/>
    <e v="#N/A"/>
    <n v="0.56720430107526887"/>
    <n v="0.22950866188769414"/>
    <n v="203.5"/>
    <e v="#N/A"/>
    <n v="47638"/>
    <e v="#N/A"/>
    <n v="15234.791666666666"/>
  </r>
  <r>
    <x v="5"/>
    <n v="764"/>
    <e v="#N/A"/>
    <n v="420"/>
    <n v="0.12733333333333333"/>
    <e v="#N/A"/>
    <n v="0.42444444444444446"/>
    <n v="0.22950866188769414"/>
    <n v="240"/>
    <e v="#N/A"/>
    <n v="34733.5"/>
    <e v="#N/A"/>
    <n v="15234.791666666666"/>
  </r>
  <r>
    <x v="6"/>
    <n v="714"/>
    <e v="#N/A"/>
    <n v="420"/>
    <n v="0.11899999999999999"/>
    <e v="#N/A"/>
    <n v="0.38387096774193546"/>
    <n v="0.22950866188769414"/>
    <n v="100"/>
    <e v="#N/A"/>
    <n v="32516"/>
    <e v="#N/A"/>
    <n v="15234.791666666666"/>
  </r>
  <r>
    <x v="7"/>
    <n v="217"/>
    <e v="#N/A"/>
    <n v="420"/>
    <n v="3.6166666666666666E-2"/>
    <e v="#N/A"/>
    <n v="0.11666666666666667"/>
    <n v="0.22950866188769414"/>
    <n v="64.5"/>
    <e v="#N/A"/>
    <n v="6738"/>
    <e v="#N/A"/>
    <n v="15234.791666666666"/>
  </r>
  <r>
    <x v="8"/>
    <n v="617"/>
    <e v="#N/A"/>
    <n v="420"/>
    <n v="0.10283333333333333"/>
    <e v="#N/A"/>
    <n v="0.34277777777777779"/>
    <n v="0.22950866188769414"/>
    <n v="68"/>
    <e v="#N/A"/>
    <n v="5759"/>
    <e v="#N/A"/>
    <n v="15234.791666666666"/>
  </r>
  <r>
    <x v="9"/>
    <n v="419"/>
    <e v="#N/A"/>
    <n v="420"/>
    <n v="6.9833333333333331E-2"/>
    <e v="#N/A"/>
    <n v="0.22526881720430109"/>
    <n v="0.22950866188769414"/>
    <e v="#N/A"/>
    <e v="#N/A"/>
    <e v="#N/A"/>
    <e v="#N/A"/>
    <n v="15234.791666666666"/>
  </r>
  <r>
    <x v="10"/>
    <e v="#N/A"/>
    <e v="#N/A"/>
    <n v="420"/>
    <e v="#N/A"/>
    <e v="#N/A"/>
    <e v="#N/A"/>
    <n v="0.22950866188769414"/>
    <e v="#N/A"/>
    <e v="#N/A"/>
    <e v="#N/A"/>
    <e v="#N/A"/>
    <n v="15234.791666666666"/>
  </r>
  <r>
    <x v="11"/>
    <e v="#N/A"/>
    <e v="#N/A"/>
    <n v="420"/>
    <e v="#N/A"/>
    <e v="#N/A"/>
    <e v="#N/A"/>
    <n v="0.22950866188769414"/>
    <e v="#N/A"/>
    <e v="#N/A"/>
    <e v="#N/A"/>
    <e v="#N/A"/>
    <n v="15234.79166666666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21:C35" firstHeaderRow="1" firstDataRow="2" firstDataCol="1"/>
  <pivotFields count="13"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dataField="1" compact="0" numFmtId="16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69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1" outline="0" subtotalTop="0" showAll="0" includeNewItemsInFilter="1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mensuel nuitées" fld="1" baseField="0" baseItem="0"/>
    <dataField name="Moyenne mensuelle de nuitées" fld="3" baseField="0" baseItem="0"/>
  </dataFields>
  <formats count="6">
    <format dxfId="2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outline="0" fieldPosition="0">
        <references count="1">
          <reference field="4294967294" count="1" selected="0">
            <x v="0"/>
          </reference>
        </references>
      </pivotArea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40:C54" firstHeaderRow="1" firstDataRow="2" firstDataCol="1"/>
  <pivotFields count="13"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numFmtId="16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numFmtId="169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1" outline="0" subtotalTop="0" showAll="0" includeNewItemsInFilter="1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Taux mensuel d'occupation" fld="6" baseField="0" baseItem="0" numFmtId="169"/>
    <dataField name="Taux mensuel moyen d'occupation" fld="7" baseField="0" baseItem="0" numFmtId="169"/>
  </dataFields>
  <formats count="1">
    <format dxfId="27">
      <pivotArea dataOnly="0" labelOnly="1" outline="0" fieldPosition="0">
        <references count="1">
          <reference field="4294967294" count="1">
            <x v="1"/>
          </reference>
        </references>
      </pivotArea>
    </format>
  </formats>
  <chartFormats count="3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58:C72" firstHeaderRow="1" firstDataRow="2" firstDataCol="1"/>
  <pivotFields count="13"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numFmtId="16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69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numFmtId="171" outline="0" subtotalTop="0" showAll="0" includeNewItemsInFilter="1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Chiffre d'affaire mensuel" fld="10" baseField="0" baseItem="0" numFmtId="171"/>
    <dataField name="Chiffre d'affaire mensuel moyen" fld="12" baseField="0" baseItem="0" numFmtId="171"/>
  </dataFields>
  <formats count="1">
    <format dxfId="28">
      <pivotArea dataOnly="0" labelOnly="1" outline="0" fieldPosition="0">
        <references count="1">
          <reference field="4294967294" count="1">
            <x v="1"/>
          </reference>
        </references>
      </pivotArea>
    </format>
  </formats>
  <chartFormats count="2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1:B4" firstHeaderRow="2" firstDataRow="2" firstDataCol="1"/>
  <pivotFields count="31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4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4">
        <item h="1" x="1"/>
        <item m="1" x="2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1">
    <field x="12"/>
  </rowFields>
  <rowItems count="2">
    <i>
      <x v="2"/>
    </i>
    <i t="grand">
      <x/>
    </i>
  </rowItems>
  <colItems count="1">
    <i/>
  </colItems>
  <dataFields count="1">
    <dataField name="Somme de Nbr de nuitées" fld="10" baseField="1" baseItem="16563"/>
  </dataField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F1:G4" firstHeaderRow="2" firstDataRow="2" firstDataCol="1"/>
  <pivotFields count="31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4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dataField="1" compact="0" outline="0" subtotalTop="0" showAll="0" includeNewItemsInFilter="1">
      <items count="41">
        <item n="02" m="1" x="14"/>
        <item m="1" x="21"/>
        <item m="1" x="10"/>
        <item m="1" x="6"/>
        <item m="1" x="25"/>
        <item m="1" x="35"/>
        <item h="1" x="1"/>
        <item m="1" x="24"/>
        <item m="1" x="2"/>
        <item m="1" x="9"/>
        <item n="08" m="1" x="26"/>
        <item m="1" x="11"/>
        <item m="1" x="38"/>
        <item m="1" x="4"/>
        <item m="1" x="39"/>
        <item m="1" x="31"/>
        <item m="1" x="33"/>
        <item m="1" x="23"/>
        <item m="1" x="15"/>
        <item m="1" x="13"/>
        <item m="1" x="19"/>
        <item m="1" x="34"/>
        <item m="1" x="36"/>
        <item m="1" x="32"/>
        <item m="1" x="8"/>
        <item m="1" x="27"/>
        <item m="1" x="22"/>
        <item m="1" x="3"/>
        <item m="1" x="16"/>
        <item m="1" x="30"/>
        <item m="1" x="29"/>
        <item m="1" x="20"/>
        <item m="1" x="7"/>
        <item m="1" x="12"/>
        <item m="1" x="5"/>
        <item m="1" x="17"/>
        <item m="1" x="28"/>
        <item m="1" x="37"/>
        <item m="1" x="18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1">
    <field x="13"/>
  </rowFields>
  <rowItems count="2">
    <i>
      <x v="39"/>
    </i>
    <i t="grand">
      <x/>
    </i>
  </rowItems>
  <colItems count="1">
    <i/>
  </colItems>
  <dataFields count="1">
    <dataField name="Nombre de Orgn" fld="13" subtotal="count" baseField="0" baseItem="0"/>
  </dataFields>
  <formats count="4">
    <format dxfId="32">
      <pivotArea dataOnly="0" labelOnly="1" outline="0" fieldPosition="0">
        <references count="1">
          <reference field="13" count="0"/>
        </references>
      </pivotArea>
    </format>
    <format dxfId="31">
      <pivotArea dataOnly="0" labelOnly="1" outline="0" fieldPosition="0">
        <references count="1">
          <reference field="13" count="0"/>
        </references>
      </pivotArea>
    </format>
    <format dxfId="30">
      <pivotArea dataOnly="0" labelOnly="1" outline="0" fieldPosition="0">
        <references count="1">
          <reference field="13" count="1">
            <x v="0"/>
          </reference>
        </references>
      </pivotArea>
    </format>
    <format dxfId="29">
      <pivotArea dataOnly="0" labelOnly="1" outline="0" fieldPosition="0">
        <references count="1">
          <reference field="13" count="0"/>
        </references>
      </pivotArea>
    </format>
  </format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Saisie" displayName="Saisie" ref="A1:AE112" headerRowDxfId="111" headerRowBorderDxfId="110" tableBorderDxfId="109">
  <autoFilter ref="A1:AE112"/>
  <tableColumns count="31">
    <tableColumn id="1" name="Nom du groupe" totalsRowLabel="Total" dataDxfId="108" totalsRowDxfId="107"/>
    <tableColumn id="2" name="Date d'arrivée" dataDxfId="106" totalsRowDxfId="105"/>
    <tableColumn id="3" name="Date de départ" dataDxfId="104" totalsRowDxfId="103"/>
    <tableColumn id="4" name="Nbr de nuit(s)" dataDxfId="102">
      <calculatedColumnFormula>IF($B2="","",IF($C2="","",DATEDIF($B2,$C2,"D")))</calculatedColumnFormula>
    </tableColumn>
    <tableColumn id="5" name="Effectif reçu adlt(s)" dataDxfId="101" totalsRowDxfId="100"/>
    <tableColumn id="6" name="Effectif reçu enft(s)" dataDxfId="99" totalsRowDxfId="98"/>
    <tableColumn id="7" name="Perte effectif adlt(s)" dataDxfId="97" totalsRowDxfId="96"/>
    <tableColumn id="8" name="Perte effectif enft(s)" dataDxfId="95" totalsRowDxfId="94"/>
    <tableColumn id="9" name="Perte nuitées" dataDxfId="93" totalsRowDxfId="92">
      <calculatedColumnFormula>IF($G2&amp;$H2="","",IF($E2="","",IF($G2="","0",SUMPRODUCT($G2,$D2))+IF($F2="","0",IF($H2="","0",SUMPRODUCT($H2,$D2)))))</calculatedColumnFormula>
    </tableColumn>
    <tableColumn id="10" name="Nbr de pax" dataDxfId="91" totalsRowDxfId="90">
      <calculatedColumnFormula>IF($E2&amp;$F2="0","",SUM($E2:$F2))</calculatedColumnFormula>
    </tableColumn>
    <tableColumn id="11" name="Nbr de nuitées" dataDxfId="89" totalsRowDxfId="88">
      <calculatedColumnFormula>IF($D2="","",IF($J2="","",$D2*$J2))</calculatedColumnFormula>
    </tableColumn>
    <tableColumn id="12" name="Statut" dataDxfId="87" totalsRowDxfId="86"/>
    <tableColumn id="13" name="Cat" dataDxfId="85" totalsRowDxfId="84">
      <calculatedColumnFormula>IF(Saisie[[#This Row],[Nom du groupe]]="","",VLOOKUP(Saisie[[#This Row],[Nom du groupe]],Données,5,FALSE))</calculatedColumnFormula>
    </tableColumn>
    <tableColumn id="14" name="Orgn" dataDxfId="83" totalsRowDxfId="82">
      <calculatedColumnFormula>IF($A2="","",VLOOKUP($A2,Données,6,FALSE))</calculatedColumnFormula>
    </tableColumn>
    <tableColumn id="15" name="Effectif facturé adlt(s)" dataDxfId="81" totalsRowDxfId="80">
      <calculatedColumnFormula>IF($E2="","",IF($J2&gt;=60,$E2-3,IF($J2&gt;=42,$E2-2,IF($J2&gt;=21,$E2-1,$E2))))</calculatedColumnFormula>
    </tableColumn>
    <tableColumn id="16" name="Effectif facturé enft(s)" dataDxfId="79" totalsRowDxfId="78">
      <calculatedColumnFormula>IF($F2="","",$F2)</calculatedColumnFormula>
    </tableColumn>
    <tableColumn id="17" name="Régime type" dataDxfId="77" totalsRowDxfId="76"/>
    <tableColumn id="18" name="Régime nbr" dataDxfId="75" totalsRowDxfId="74"/>
    <tableColumn id="19" name="Tarif adlt en €" dataDxfId="73" totalsRowDxfId="72">
      <calculatedColumnFormula>IF($Q2="","",VLOOKUP($Q2,Tarifs,2,FALSE))</calculatedColumnFormula>
    </tableColumn>
    <tableColumn id="20" name="Tarif enft en €" dataDxfId="71" totalsRowDxfId="70">
      <calculatedColumnFormula>IF($Q2="","",VLOOKUP($Q2,Tarifs,3,FALSE))</calculatedColumnFormula>
    </tableColumn>
    <tableColumn id="21" name="Régime 2 type" dataDxfId="69" totalsRowDxfId="68"/>
    <tableColumn id="22" name="Régime 2 nbr" dataDxfId="67" totalsRowDxfId="66"/>
    <tableColumn id="23" name="Tarif 2 adlt en €" dataDxfId="65" totalsRowDxfId="64">
      <calculatedColumnFormula>IF($U2="","",VLOOKUP($U2,Tarifs,2,FALSE))</calculatedColumnFormula>
    </tableColumn>
    <tableColumn id="24" name="Tarif 2 enft en €" dataDxfId="63" totalsRowDxfId="62">
      <calculatedColumnFormula>IF($U2="","",VLOOKUP($U2,Tarifs,3,FALSE))</calculatedColumnFormula>
    </tableColumn>
    <tableColumn id="25" name="Gratuité nbr" dataDxfId="61" totalsRowDxfId="60">
      <calculatedColumnFormula>IF($L2="Annulé",0,(IF($E2="","",SUM($E2-$O2))))</calculatedColumnFormula>
    </tableColumn>
    <tableColumn id="26" name="Coût gratuité en €" dataDxfId="59" totalsRowDxfId="58" dataCellStyle="Monétaire">
      <calculatedColumnFormula>IF($Y2="","",IF($Q2="","0",IF($R2="","0",SUMPRODUCT($Y2,$R2,$S2)+IF($U2="","0",IF($V2="","0",SUMPRODUCT($Y2,$V2,$W2))))))</calculatedColumnFormula>
    </tableColumn>
    <tableColumn id="27" name="Taxe séjour" dataDxfId="57" totalsRowDxfId="56"/>
    <tableColumn id="28" name="Coût taxe séjour" dataDxfId="55" totalsRowDxfId="54">
      <calculatedColumnFormula>IF($D2="","",IF($AA2="","",SUMPRODUCT($AA2,$D2,Taxe)))</calculatedColumnFormula>
    </tableColumn>
    <tableColumn id="29" name="Montant total en €" dataDxfId="53" totalsRowDxfId="52">
      <calculatedColumnFormula>IF(L2="Annulé",0,(IF($A2="","",(IF($Q2="","0",IF($R2="","0",SUMPRODUCT($O2,$R2,$S2)+IF($P2="","0",SUMPRODUCT($P2,$R2,$T2))))+IF($U2="","0",IF($V2="","0",SUMPRODUCT($O2,$V2,$W2)+IF($P2="","0",SUMPRODUCT($P2,$V2,$X2))))))))</calculatedColumnFormula>
    </tableColumn>
    <tableColumn id="30" name="Perte financière en €" totalsRowFunction="count" dataDxfId="51" totalsRowDxfId="50">
      <calculatedColumnFormula>IF($A2="","",((IF($G2="","0",IF($Q2="","0",IF($R2="","0",SUMPRODUCT($G2,$R2,$S2))))))+(IF($G2="","0",IF($U2="","0",IF($V2="","0",SUMPRODUCT($G2,$V2,$W2)))))+IF($F2="","0",IF($H2="","0",IF($Q2="","0",IF($R2="","0",SUMPRODUCT($H2,$R2,$T2))))+IF($F2="","0",(IF($H2="","0",IF($U2="","0",SUMPRODUCT($H2,$V2,$X2))))))-IF($AK2="",0,$AK2))</calculatedColumnFormula>
    </tableColumn>
    <tableColumn id="32" name="Rappel_x000a_Nom du groupe" dataDxfId="49">
      <calculatedColumnFormula>IF($A2="","",$A2)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13" name="Graphs" displayName="Graphs" ref="A1:M13" totalsRowShown="0" headerRowDxfId="15" headerRowBorderDxfId="14" tableBorderDxfId="13">
  <autoFilter ref="A1:M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Mois" dataDxfId="12"/>
    <tableColumn id="2" name="Nuitées" dataDxfId="11">
      <calculatedColumnFormula>IF('Bilan annuel réservations'!$C20=0,NA(),'Bilan annuel réservations'!$C20)</calculatedColumnFormula>
    </tableColumn>
    <tableColumn id="3" name="Cumul nuitées" dataDxfId="10"/>
    <tableColumn id="13" name="Moyenne de nuitées" dataDxfId="9" dataCellStyle="Pourcentage">
      <calculatedColumnFormula>'Bilan annuel réservations'!$C$17</calculatedColumnFormula>
    </tableColumn>
    <tableColumn id="4" name="Nuitées réalisées" dataDxfId="8">
      <calculatedColumnFormula>IF('Bilan annuel réservations'!$D20=0,NA(),'Bilan annuel réservations'!$D20)</calculatedColumnFormula>
    </tableColumn>
    <tableColumn id="5" name="Cumul nuitées réalisée" dataDxfId="7"/>
    <tableColumn id="7" name="Taux d'occupation" dataDxfId="6">
      <calculatedColumnFormula>IF('Bilan annuel réservations'!$E20=0,NA(),'Bilan annuel réservations'!$E20)</calculatedColumnFormula>
    </tableColumn>
    <tableColumn id="8" name="Taux d'occupation moyen" dataDxfId="5"/>
    <tableColumn id="9" name="Taxe séjour" dataDxfId="4">
      <calculatedColumnFormula>IF('Bilan annuel réservations'!$F20=0,NA(),'Bilan annuel réservations'!$F20)</calculatedColumnFormula>
    </tableColumn>
    <tableColumn id="10" name="Cumul taxe de séjour" dataDxfId="3"/>
    <tableColumn id="11" name="Chiffre d'affaire" dataDxfId="2">
      <calculatedColumnFormula>IF('Bilan annuel réservations'!$G20=0,NA(),'Bilan annuel réservations'!$G20)</calculatedColumnFormula>
    </tableColumn>
    <tableColumn id="12" name="Cumul chiffre d'affaire" dataDxfId="1"/>
    <tableColumn id="15" name="Moyenne chiffre d'affaire" dataDxfId="0">
      <calculatedColumnFormula>AVERAGE('Bilan annuel réservations'!$G$20:$G$31)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6.v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4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AK150"/>
  <sheetViews>
    <sheetView zoomScale="90" zoomScaleNormal="90" workbookViewId="0">
      <pane ySplit="1" topLeftCell="A2" activePane="bottomLeft" state="frozen"/>
      <selection activeCell="J22" sqref="J22"/>
      <selection pane="bottomLeft" activeCell="K1" sqref="K1"/>
    </sheetView>
  </sheetViews>
  <sheetFormatPr baseColWidth="10" defaultRowHeight="12.75" x14ac:dyDescent="0.2"/>
  <cols>
    <col min="1" max="1" width="15" style="181" customWidth="1"/>
    <col min="2" max="3" width="12.83203125" style="106" customWidth="1"/>
    <col min="4" max="4" width="12.83203125" style="12" customWidth="1"/>
    <col min="5" max="8" width="10.83203125" style="105" customWidth="1"/>
    <col min="9" max="9" width="10.83203125" style="12" customWidth="1"/>
    <col min="10" max="10" width="8.83203125" style="4" customWidth="1"/>
    <col min="11" max="11" width="10.83203125" style="4" customWidth="1"/>
    <col min="12" max="12" width="17.83203125" style="107" customWidth="1"/>
    <col min="13" max="13" width="7.83203125" style="4" customWidth="1"/>
    <col min="14" max="14" width="6.83203125" style="4" customWidth="1"/>
    <col min="15" max="16" width="10.83203125" style="4" customWidth="1"/>
    <col min="17" max="18" width="9.83203125" style="107" customWidth="1"/>
    <col min="19" max="20" width="8.83203125" style="4" customWidth="1"/>
    <col min="21" max="22" width="9.83203125" style="107" customWidth="1"/>
    <col min="23" max="24" width="8.83203125" style="4" customWidth="1"/>
    <col min="25" max="26" width="10.83203125" style="4" customWidth="1"/>
    <col min="27" max="27" width="8.83203125" style="107" customWidth="1"/>
    <col min="28" max="28" width="9.83203125" style="4" customWidth="1"/>
    <col min="29" max="29" width="12" style="65"/>
    <col min="30" max="30" width="12.83203125" style="2" customWidth="1"/>
    <col min="31" max="31" width="26.83203125" style="182" customWidth="1"/>
    <col min="32" max="33" width="12" style="2" customWidth="1"/>
    <col min="34" max="35" width="12" style="2" hidden="1" customWidth="1"/>
    <col min="36" max="36" width="10.83203125" style="4" hidden="1" customWidth="1"/>
    <col min="37" max="37" width="15.83203125" style="4" hidden="1" customWidth="1"/>
    <col min="38" max="16384" width="12" style="2"/>
  </cols>
  <sheetData>
    <row r="1" spans="1:37" ht="56.25" customHeight="1" thickBot="1" x14ac:dyDescent="0.25">
      <c r="A1" s="184" t="s">
        <v>26</v>
      </c>
      <c r="B1" s="185" t="s">
        <v>88</v>
      </c>
      <c r="C1" s="185" t="s">
        <v>87</v>
      </c>
      <c r="D1" s="270" t="s">
        <v>86</v>
      </c>
      <c r="E1" s="183" t="s">
        <v>89</v>
      </c>
      <c r="F1" s="183" t="s">
        <v>90</v>
      </c>
      <c r="G1" s="183" t="s">
        <v>91</v>
      </c>
      <c r="H1" s="183" t="s">
        <v>92</v>
      </c>
      <c r="I1" s="270" t="s">
        <v>93</v>
      </c>
      <c r="J1" s="270" t="s">
        <v>94</v>
      </c>
      <c r="K1" s="270" t="s">
        <v>75</v>
      </c>
      <c r="L1" s="186" t="s">
        <v>29</v>
      </c>
      <c r="M1" s="270" t="s">
        <v>48</v>
      </c>
      <c r="N1" s="270" t="s">
        <v>49</v>
      </c>
      <c r="O1" s="270" t="s">
        <v>95</v>
      </c>
      <c r="P1" s="270" t="s">
        <v>96</v>
      </c>
      <c r="Q1" s="183" t="s">
        <v>97</v>
      </c>
      <c r="R1" s="183" t="s">
        <v>98</v>
      </c>
      <c r="S1" s="270" t="s">
        <v>154</v>
      </c>
      <c r="T1" s="270" t="s">
        <v>155</v>
      </c>
      <c r="U1" s="183" t="s">
        <v>99</v>
      </c>
      <c r="V1" s="183" t="s">
        <v>100</v>
      </c>
      <c r="W1" s="270" t="s">
        <v>156</v>
      </c>
      <c r="X1" s="270" t="s">
        <v>157</v>
      </c>
      <c r="Y1" s="270" t="s">
        <v>101</v>
      </c>
      <c r="Z1" s="270" t="s">
        <v>153</v>
      </c>
      <c r="AA1" s="183" t="s">
        <v>77</v>
      </c>
      <c r="AB1" s="270" t="s">
        <v>102</v>
      </c>
      <c r="AC1" s="270" t="s">
        <v>152</v>
      </c>
      <c r="AD1" s="270" t="s">
        <v>151</v>
      </c>
      <c r="AE1" s="270" t="s">
        <v>137</v>
      </c>
      <c r="AF1" s="270" t="s">
        <v>126</v>
      </c>
      <c r="AG1" s="270" t="s">
        <v>127</v>
      </c>
      <c r="AH1" s="70" t="s">
        <v>128</v>
      </c>
      <c r="AI1" s="70" t="s">
        <v>129</v>
      </c>
      <c r="AJ1" s="70" t="s">
        <v>202</v>
      </c>
      <c r="AK1" s="231" t="s">
        <v>203</v>
      </c>
    </row>
    <row r="2" spans="1:37" x14ac:dyDescent="0.2">
      <c r="A2" s="181" t="s">
        <v>204</v>
      </c>
      <c r="B2" s="106">
        <v>42788</v>
      </c>
      <c r="C2" s="106">
        <v>42790</v>
      </c>
      <c r="D2" s="29">
        <f t="shared" ref="D2:D33" si="0">IF($B2="","",IF($C2="","",DATEDIF($B2,$C2,"D")))</f>
        <v>2</v>
      </c>
      <c r="E2" s="107">
        <v>2</v>
      </c>
      <c r="F2" s="108"/>
      <c r="G2" s="107"/>
      <c r="H2" s="107"/>
      <c r="I2" s="68" t="str">
        <f t="shared" ref="I2:I33" si="1">IF($G2&amp;$H2="","",IF($E2="","",IF($G2="","0",SUMPRODUCT($G2,$D2))+IF($F2="","0",IF($H2="","0",SUMPRODUCT($H2,$D2)))))</f>
        <v/>
      </c>
      <c r="J2" s="68">
        <f t="shared" ref="J2:J33" si="2">IF($E2&amp;$F2="0","",SUM($E2:$F2))</f>
        <v>2</v>
      </c>
      <c r="K2" s="30">
        <f t="shared" ref="K2:K33" si="3">IF($D2="","",IF($J2="","",$D2*$J2))</f>
        <v>4</v>
      </c>
      <c r="L2" s="107" t="s">
        <v>27</v>
      </c>
      <c r="M2" s="44" t="str">
        <f ca="1">IF(Saisie[[#This Row],[Nom du groupe]]="","",VLOOKUP(Saisie[[#This Row],[Nom du groupe]],Données,5,FALSE))</f>
        <v>RAND</v>
      </c>
      <c r="N2" s="45">
        <f t="shared" ref="N2:N33" ca="1" si="4">IF($A2="","",VLOOKUP($A2,Données,6,FALSE))</f>
        <v>59</v>
      </c>
      <c r="O2" s="4">
        <f t="shared" ref="O2:O33" si="5">IF($E2="","",IF($J2&gt;=60,$E2-3,IF($J2&gt;=42,$E2-2,IF($J2&gt;=21,$E2-1,$E2))))</f>
        <v>2</v>
      </c>
      <c r="P2" s="68" t="str">
        <f t="shared" ref="P2:P33" si="6">IF($F2="","",$F2)</f>
        <v/>
      </c>
      <c r="Q2" s="107" t="s">
        <v>72</v>
      </c>
      <c r="R2" s="107">
        <v>2</v>
      </c>
      <c r="S2" s="64">
        <f t="shared" ref="S2:S33" si="7">IF($Q2="","",VLOOKUP($Q2,Tarifs,2,FALSE))</f>
        <v>29</v>
      </c>
      <c r="T2" s="64">
        <f t="shared" ref="T2:T33" si="8">IF($Q2="","",VLOOKUP($Q2,Tarifs,3,FALSE))</f>
        <v>29</v>
      </c>
      <c r="U2" s="109"/>
      <c r="W2" s="64" t="str">
        <f>IF($U2="","",VLOOKUP($U2,Tarifs,2,FALSE))</f>
        <v/>
      </c>
      <c r="X2" s="64" t="str">
        <f>IF($U2="","",VLOOKUP($U2,Tarifs,3,FALSE))</f>
        <v/>
      </c>
      <c r="Y2" s="4">
        <f t="shared" ref="Y2:Y33" si="9">IF($L2="Annulé",0,(IF($E2="","",SUM($E2-$O2))))</f>
        <v>0</v>
      </c>
      <c r="Z2" s="67">
        <f t="shared" ref="Z2:Z33" si="10">IF($Y2="","",IF($Q2="","0",IF($R2="","0",SUMPRODUCT($Y2,$R2,$S2)+IF($U2="","0",IF($V2="","0",SUMPRODUCT($Y2,$V2,$W2))))))</f>
        <v>0</v>
      </c>
      <c r="AA2" s="110">
        <v>2</v>
      </c>
      <c r="AB2" s="64">
        <f t="shared" ref="AB2:AB33" si="11">IF($D2="","",IF($AA2="","",SUMPRODUCT($AA2,$D2,Taxe)))</f>
        <v>2</v>
      </c>
      <c r="AC2" s="66">
        <f t="shared" ref="AC2:AC33" si="12">IF(L2="Annulé",0,(IF($A2="","",(IF($Q2="","0",IF($R2="","0",SUMPRODUCT($O2,$R2,$S2)+IF($P2="","0",SUMPRODUCT($P2,$R2,$T2))))+IF($U2="","0",IF($V2="","0",SUMPRODUCT($O2,$V2,$W2)+IF($P2="","0",SUMPRODUCT($P2,$V2,$X2))))))))</f>
        <v>116</v>
      </c>
      <c r="AD2" s="69">
        <f t="shared" ref="AD2:AD65" si="13">IF($A2="","",((IF($G2="","0",IF($Q2="","0",IF($R2="","0",SUMPRODUCT($G2,$R2,$S2))))))+(IF($G2="","0",IF($U2="","0",IF($V2="","0",SUMPRODUCT($G2,$V2,$W2)))))+IF($F2="","0",IF($H2="","0",IF($Q2="","0",IF($R2="","0",SUMPRODUCT($H2,$R2,$T2))))+IF($F2="","0",(IF($H2="","0",IF($U2="","0",SUMPRODUCT($H2,$V2,$X2))))))-IF($AK2="",0,$AK2))</f>
        <v>0</v>
      </c>
      <c r="AE2" s="182" t="str">
        <f t="shared" ref="AE2:AE33" si="14">IF($A2="","",$A2)</f>
        <v>TEST 1</v>
      </c>
      <c r="AF2" s="230">
        <f ca="1">IF(MONTH($C2)=MONTH($B2),$D2,SUMPRODUCT(--(MONTH(ROW(INDIRECT($B2&amp;":"&amp;$C2)))=MONTH($B2))))</f>
        <v>2</v>
      </c>
      <c r="AG2" s="68">
        <f t="shared" ref="AG2:AG33" ca="1" si="15">IF($D2="","",IF($AF2="","",+$D2-$AF2))</f>
        <v>0</v>
      </c>
      <c r="AH2" s="101">
        <f t="shared" ref="AH2:AH65" ca="1" si="16">IF($AC2="","",IF($AG2=0,$AC2,($AC2/$D2)*$AF2))</f>
        <v>116</v>
      </c>
      <c r="AI2" s="101">
        <f t="shared" ref="AI2:AI65" ca="1" si="17">IF($AC2="","",(IF(AG2=0,0,(AC2/D2)*AG2)))</f>
        <v>0</v>
      </c>
      <c r="AJ2" s="4" t="str">
        <f t="shared" ref="AJ2:AJ65" si="18">IF($L2="Annulé",SUM($E2-$O2),"")</f>
        <v/>
      </c>
      <c r="AK2" s="67" t="str">
        <f t="shared" ref="AK2:AK67" si="19">IF($AJ2="","",IF($Q2="","0",IF($R2="","0",SUMPRODUCT($AJ2,$R2,$S2)+IF($U2="","0",IF($V2="","0",SUMPRODUCT($AJ2,$V2,$W2))))))</f>
        <v/>
      </c>
    </row>
    <row r="3" spans="1:37" x14ac:dyDescent="0.2">
      <c r="A3" s="181" t="s">
        <v>205</v>
      </c>
      <c r="B3" s="106">
        <v>42792</v>
      </c>
      <c r="C3" s="106">
        <v>42795</v>
      </c>
      <c r="D3" s="29">
        <f t="shared" si="0"/>
        <v>3</v>
      </c>
      <c r="E3" s="107">
        <v>22</v>
      </c>
      <c r="F3" s="108"/>
      <c r="G3" s="107">
        <v>1</v>
      </c>
      <c r="H3" s="107"/>
      <c r="I3" s="68">
        <f t="shared" si="1"/>
        <v>3</v>
      </c>
      <c r="J3" s="68">
        <f t="shared" si="2"/>
        <v>22</v>
      </c>
      <c r="K3" s="30">
        <f t="shared" si="3"/>
        <v>66</v>
      </c>
      <c r="L3" s="107" t="s">
        <v>27</v>
      </c>
      <c r="M3" s="44" t="str">
        <f ca="1">IF(Saisie[[#This Row],[Nom du groupe]]="","",VLOOKUP(Saisie[[#This Row],[Nom du groupe]],Données,5,FALSE))</f>
        <v>RAND</v>
      </c>
      <c r="N3" s="45">
        <f t="shared" ca="1" si="4"/>
        <v>91</v>
      </c>
      <c r="O3" s="4">
        <f t="shared" si="5"/>
        <v>21</v>
      </c>
      <c r="P3" s="68" t="str">
        <f t="shared" si="6"/>
        <v/>
      </c>
      <c r="Q3" s="107" t="s">
        <v>142</v>
      </c>
      <c r="R3" s="107">
        <v>3</v>
      </c>
      <c r="S3" s="64">
        <f t="shared" si="7"/>
        <v>48</v>
      </c>
      <c r="T3" s="64">
        <f t="shared" si="8"/>
        <v>44</v>
      </c>
      <c r="U3" s="109"/>
      <c r="W3" s="64" t="str">
        <f>IF($U3="","",VLOOKUP($U3,Tarifs,2,FALSE))</f>
        <v/>
      </c>
      <c r="X3" s="64" t="str">
        <f>IF($U3="","",VLOOKUP($U3,Tarifs,3,FALSE))</f>
        <v/>
      </c>
      <c r="Y3" s="4">
        <f t="shared" si="9"/>
        <v>1</v>
      </c>
      <c r="Z3" s="67">
        <f t="shared" si="10"/>
        <v>144</v>
      </c>
      <c r="AA3" s="110">
        <v>19</v>
      </c>
      <c r="AB3" s="64">
        <f t="shared" si="11"/>
        <v>28.5</v>
      </c>
      <c r="AC3" s="66">
        <f t="shared" si="12"/>
        <v>3024</v>
      </c>
      <c r="AD3" s="69">
        <f t="shared" si="13"/>
        <v>144</v>
      </c>
      <c r="AE3" s="182" t="str">
        <f t="shared" si="14"/>
        <v>TEST 2</v>
      </c>
      <c r="AF3" s="230">
        <f t="shared" ref="AF3:AF66" ca="1" si="20">IF(MONTH($C3)=MONTH($B3),$D3,SUMPRODUCT(--(MONTH(ROW(INDIRECT($B3&amp;":"&amp;$C3)))=MONTH($B3))))</f>
        <v>3</v>
      </c>
      <c r="AG3" s="68">
        <f t="shared" ca="1" si="15"/>
        <v>0</v>
      </c>
      <c r="AH3" s="101">
        <f t="shared" ca="1" si="16"/>
        <v>3024</v>
      </c>
      <c r="AI3" s="101">
        <f t="shared" ca="1" si="17"/>
        <v>0</v>
      </c>
      <c r="AJ3" s="4" t="str">
        <f t="shared" si="18"/>
        <v/>
      </c>
      <c r="AK3" s="67" t="str">
        <f t="shared" si="19"/>
        <v/>
      </c>
    </row>
    <row r="4" spans="1:37" x14ac:dyDescent="0.2">
      <c r="A4" s="181" t="s">
        <v>206</v>
      </c>
      <c r="B4" s="106">
        <v>42800</v>
      </c>
      <c r="C4" s="106">
        <v>42801</v>
      </c>
      <c r="D4" s="29">
        <f t="shared" si="0"/>
        <v>1</v>
      </c>
      <c r="E4" s="107">
        <v>28</v>
      </c>
      <c r="F4" s="108"/>
      <c r="G4" s="107"/>
      <c r="H4" s="107"/>
      <c r="I4" s="68" t="str">
        <f t="shared" si="1"/>
        <v/>
      </c>
      <c r="J4" s="68">
        <f t="shared" si="2"/>
        <v>28</v>
      </c>
      <c r="K4" s="30">
        <f t="shared" si="3"/>
        <v>28</v>
      </c>
      <c r="L4" s="107" t="s">
        <v>27</v>
      </c>
      <c r="M4" s="44" t="str">
        <f ca="1">IF(Saisie[[#This Row],[Nom du groupe]]="","",VLOOKUP(Saisie[[#This Row],[Nom du groupe]],Données,5,FALSE))</f>
        <v>RAND</v>
      </c>
      <c r="N4" s="45">
        <f t="shared" ca="1" si="4"/>
        <v>61</v>
      </c>
      <c r="O4" s="4">
        <f t="shared" si="5"/>
        <v>27</v>
      </c>
      <c r="P4" s="68" t="str">
        <f t="shared" si="6"/>
        <v/>
      </c>
      <c r="Q4" s="107" t="s">
        <v>143</v>
      </c>
      <c r="R4" s="107">
        <v>1</v>
      </c>
      <c r="S4" s="64">
        <f t="shared" si="7"/>
        <v>41</v>
      </c>
      <c r="T4" s="64">
        <f t="shared" si="8"/>
        <v>37</v>
      </c>
      <c r="U4" s="109"/>
      <c r="W4" s="64" t="str">
        <f>IF($U4="","",VLOOKUP($U4,Tarifs,2,FALSE))</f>
        <v/>
      </c>
      <c r="X4" s="64" t="str">
        <f>IF($U4="","",VLOOKUP($U4,Tarifs,3,FALSE))</f>
        <v/>
      </c>
      <c r="Y4" s="4">
        <f t="shared" si="9"/>
        <v>1</v>
      </c>
      <c r="Z4" s="67">
        <f t="shared" si="10"/>
        <v>41</v>
      </c>
      <c r="AA4" s="110">
        <v>24</v>
      </c>
      <c r="AB4" s="64">
        <f t="shared" si="11"/>
        <v>12</v>
      </c>
      <c r="AC4" s="66">
        <f t="shared" si="12"/>
        <v>1107</v>
      </c>
      <c r="AD4" s="69">
        <f t="shared" si="13"/>
        <v>0</v>
      </c>
      <c r="AE4" s="182" t="str">
        <f t="shared" si="14"/>
        <v>TEST 3</v>
      </c>
      <c r="AF4" s="230">
        <f t="shared" ca="1" si="20"/>
        <v>1</v>
      </c>
      <c r="AG4" s="68">
        <f t="shared" ca="1" si="15"/>
        <v>0</v>
      </c>
      <c r="AH4" s="101">
        <f t="shared" ca="1" si="16"/>
        <v>1107</v>
      </c>
      <c r="AI4" s="101">
        <f t="shared" ca="1" si="17"/>
        <v>0</v>
      </c>
      <c r="AJ4" s="4" t="str">
        <f t="shared" si="18"/>
        <v/>
      </c>
      <c r="AK4" s="67" t="str">
        <f t="shared" si="19"/>
        <v/>
      </c>
    </row>
    <row r="5" spans="1:37" ht="12.75" customHeight="1" x14ac:dyDescent="0.2">
      <c r="A5" s="181" t="s">
        <v>207</v>
      </c>
      <c r="B5" s="106">
        <v>42807</v>
      </c>
      <c r="C5" s="106">
        <v>42808</v>
      </c>
      <c r="D5" s="29">
        <f t="shared" si="0"/>
        <v>1</v>
      </c>
      <c r="E5" s="107">
        <v>7</v>
      </c>
      <c r="F5" s="108">
        <v>54</v>
      </c>
      <c r="G5" s="107"/>
      <c r="H5" s="107"/>
      <c r="I5" s="68" t="str">
        <f t="shared" si="1"/>
        <v/>
      </c>
      <c r="J5" s="68">
        <f t="shared" si="2"/>
        <v>61</v>
      </c>
      <c r="K5" s="30">
        <f t="shared" si="3"/>
        <v>61</v>
      </c>
      <c r="L5" s="107" t="s">
        <v>27</v>
      </c>
      <c r="M5" s="44" t="str">
        <f ca="1">IF(Saisie[[#This Row],[Nom du groupe]]="","",VLOOKUP(Saisie[[#This Row],[Nom du groupe]],Données,5,FALSE))</f>
        <v>RAND</v>
      </c>
      <c r="N5" s="45">
        <f t="shared" ca="1" si="4"/>
        <v>76</v>
      </c>
      <c r="O5" s="4">
        <f t="shared" si="5"/>
        <v>4</v>
      </c>
      <c r="P5" s="68">
        <f t="shared" si="6"/>
        <v>54</v>
      </c>
      <c r="Q5" s="107" t="s">
        <v>142</v>
      </c>
      <c r="R5" s="107">
        <v>1</v>
      </c>
      <c r="S5" s="64">
        <f t="shared" si="7"/>
        <v>48</v>
      </c>
      <c r="T5" s="64">
        <f t="shared" si="8"/>
        <v>44</v>
      </c>
      <c r="U5" s="109"/>
      <c r="W5" s="64"/>
      <c r="X5" s="64"/>
      <c r="Y5" s="4">
        <f t="shared" si="9"/>
        <v>3</v>
      </c>
      <c r="Z5" s="67">
        <f t="shared" si="10"/>
        <v>144</v>
      </c>
      <c r="AA5" s="110"/>
      <c r="AB5" s="64" t="str">
        <f t="shared" si="11"/>
        <v/>
      </c>
      <c r="AC5" s="66">
        <f t="shared" si="12"/>
        <v>2568</v>
      </c>
      <c r="AD5" s="69">
        <f t="shared" si="13"/>
        <v>0</v>
      </c>
      <c r="AE5" s="182" t="str">
        <f t="shared" si="14"/>
        <v>TEST 4</v>
      </c>
      <c r="AF5" s="230">
        <f t="shared" ca="1" si="20"/>
        <v>1</v>
      </c>
      <c r="AG5" s="68">
        <f t="shared" ca="1" si="15"/>
        <v>0</v>
      </c>
      <c r="AH5" s="101">
        <f t="shared" ca="1" si="16"/>
        <v>2568</v>
      </c>
      <c r="AI5" s="101">
        <f t="shared" ca="1" si="17"/>
        <v>0</v>
      </c>
      <c r="AJ5" s="4" t="str">
        <f t="shared" si="18"/>
        <v/>
      </c>
      <c r="AK5" s="67" t="str">
        <f t="shared" si="19"/>
        <v/>
      </c>
    </row>
    <row r="6" spans="1:37" x14ac:dyDescent="0.2">
      <c r="A6" s="181" t="s">
        <v>208</v>
      </c>
      <c r="B6" s="106">
        <v>42811</v>
      </c>
      <c r="C6" s="106">
        <v>42812</v>
      </c>
      <c r="D6" s="29">
        <f t="shared" si="0"/>
        <v>1</v>
      </c>
      <c r="E6" s="107">
        <v>4</v>
      </c>
      <c r="F6" s="108"/>
      <c r="G6" s="107"/>
      <c r="H6" s="107"/>
      <c r="I6" s="68" t="str">
        <f t="shared" si="1"/>
        <v/>
      </c>
      <c r="J6" s="68">
        <f t="shared" si="2"/>
        <v>4</v>
      </c>
      <c r="K6" s="30">
        <f t="shared" si="3"/>
        <v>4</v>
      </c>
      <c r="L6" s="107" t="s">
        <v>27</v>
      </c>
      <c r="M6" s="44" t="str">
        <f ca="1">IF(Saisie[[#This Row],[Nom du groupe]]="","",VLOOKUP(Saisie[[#This Row],[Nom du groupe]],Données,5,FALSE))</f>
        <v>ASS</v>
      </c>
      <c r="N6" s="45">
        <f t="shared" ca="1" si="4"/>
        <v>28</v>
      </c>
      <c r="O6" s="4">
        <f t="shared" si="5"/>
        <v>4</v>
      </c>
      <c r="P6" s="68" t="str">
        <f t="shared" si="6"/>
        <v/>
      </c>
      <c r="Q6" s="107" t="s">
        <v>70</v>
      </c>
      <c r="R6" s="107">
        <v>1</v>
      </c>
      <c r="S6" s="64">
        <f t="shared" si="7"/>
        <v>44</v>
      </c>
      <c r="T6" s="64">
        <f t="shared" si="8"/>
        <v>41</v>
      </c>
      <c r="U6" s="109"/>
      <c r="W6" s="64" t="str">
        <f t="shared" ref="W6:W37" si="21">IF($U6="","",VLOOKUP($U6,Tarifs,2,FALSE))</f>
        <v/>
      </c>
      <c r="X6" s="64" t="str">
        <f t="shared" ref="X6:X37" si="22">IF($U6="","",VLOOKUP($U6,Tarifs,3,FALSE))</f>
        <v/>
      </c>
      <c r="Y6" s="4">
        <f t="shared" si="9"/>
        <v>0</v>
      </c>
      <c r="Z6" s="67">
        <f t="shared" si="10"/>
        <v>0</v>
      </c>
      <c r="AA6" s="110">
        <v>4</v>
      </c>
      <c r="AB6" s="64">
        <f t="shared" si="11"/>
        <v>2</v>
      </c>
      <c r="AC6" s="66">
        <f t="shared" si="12"/>
        <v>176</v>
      </c>
      <c r="AD6" s="69">
        <f t="shared" si="13"/>
        <v>0</v>
      </c>
      <c r="AE6" s="182" t="str">
        <f t="shared" si="14"/>
        <v>TEST 5</v>
      </c>
      <c r="AF6" s="230">
        <f t="shared" ca="1" si="20"/>
        <v>1</v>
      </c>
      <c r="AG6" s="68">
        <f t="shared" ca="1" si="15"/>
        <v>0</v>
      </c>
      <c r="AH6" s="101">
        <f t="shared" ca="1" si="16"/>
        <v>176</v>
      </c>
      <c r="AI6" s="101">
        <f t="shared" ca="1" si="17"/>
        <v>0</v>
      </c>
      <c r="AJ6" s="4" t="str">
        <f t="shared" si="18"/>
        <v/>
      </c>
      <c r="AK6" s="67" t="str">
        <f t="shared" si="19"/>
        <v/>
      </c>
    </row>
    <row r="7" spans="1:37" x14ac:dyDescent="0.2">
      <c r="A7" s="181" t="s">
        <v>209</v>
      </c>
      <c r="B7" s="106">
        <v>42811</v>
      </c>
      <c r="C7" s="106">
        <v>42813</v>
      </c>
      <c r="D7" s="29">
        <f t="shared" si="0"/>
        <v>2</v>
      </c>
      <c r="E7" s="107">
        <v>30</v>
      </c>
      <c r="F7" s="108"/>
      <c r="G7" s="107">
        <v>2</v>
      </c>
      <c r="H7" s="107"/>
      <c r="I7" s="68">
        <f t="shared" si="1"/>
        <v>4</v>
      </c>
      <c r="J7" s="68">
        <f t="shared" si="2"/>
        <v>30</v>
      </c>
      <c r="K7" s="30">
        <f t="shared" si="3"/>
        <v>60</v>
      </c>
      <c r="L7" s="107" t="s">
        <v>27</v>
      </c>
      <c r="M7" s="44" t="str">
        <f ca="1">IF(Saisie[[#This Row],[Nom du groupe]]="","",VLOOKUP(Saisie[[#This Row],[Nom du groupe]],Données,5,FALSE))</f>
        <v>ALSH</v>
      </c>
      <c r="N7" s="45">
        <f t="shared" ca="1" si="4"/>
        <v>59</v>
      </c>
      <c r="O7" s="4">
        <f t="shared" si="5"/>
        <v>29</v>
      </c>
      <c r="P7" s="68" t="str">
        <f t="shared" si="6"/>
        <v/>
      </c>
      <c r="Q7" s="107" t="s">
        <v>71</v>
      </c>
      <c r="R7" s="107">
        <v>2</v>
      </c>
      <c r="S7" s="64">
        <f t="shared" si="7"/>
        <v>53</v>
      </c>
      <c r="T7" s="64">
        <f t="shared" si="8"/>
        <v>48.5</v>
      </c>
      <c r="U7" s="109"/>
      <c r="W7" s="64" t="str">
        <f t="shared" si="21"/>
        <v/>
      </c>
      <c r="X7" s="64" t="str">
        <f t="shared" si="22"/>
        <v/>
      </c>
      <c r="Y7" s="4">
        <f t="shared" si="9"/>
        <v>1</v>
      </c>
      <c r="Z7" s="67">
        <f t="shared" si="10"/>
        <v>106</v>
      </c>
      <c r="AA7" s="110">
        <v>30</v>
      </c>
      <c r="AB7" s="64">
        <f t="shared" si="11"/>
        <v>30</v>
      </c>
      <c r="AC7" s="66">
        <f t="shared" si="12"/>
        <v>3074</v>
      </c>
      <c r="AD7" s="69">
        <f t="shared" si="13"/>
        <v>212</v>
      </c>
      <c r="AE7" s="182" t="str">
        <f t="shared" si="14"/>
        <v>TEST 6</v>
      </c>
      <c r="AF7" s="230">
        <f t="shared" ca="1" si="20"/>
        <v>2</v>
      </c>
      <c r="AG7" s="68">
        <f t="shared" ca="1" si="15"/>
        <v>0</v>
      </c>
      <c r="AH7" s="101">
        <f t="shared" ca="1" si="16"/>
        <v>3074</v>
      </c>
      <c r="AI7" s="101">
        <f t="shared" ca="1" si="17"/>
        <v>0</v>
      </c>
      <c r="AJ7" s="4" t="str">
        <f t="shared" si="18"/>
        <v/>
      </c>
      <c r="AK7" s="67" t="str">
        <f t="shared" si="19"/>
        <v/>
      </c>
    </row>
    <row r="8" spans="1:37" x14ac:dyDescent="0.2">
      <c r="A8" s="181" t="s">
        <v>210</v>
      </c>
      <c r="B8" s="106">
        <v>42814</v>
      </c>
      <c r="C8" s="106">
        <v>42816</v>
      </c>
      <c r="D8" s="29">
        <f t="shared" si="0"/>
        <v>2</v>
      </c>
      <c r="E8" s="104">
        <v>4</v>
      </c>
      <c r="F8" s="104">
        <v>38</v>
      </c>
      <c r="G8" s="104"/>
      <c r="H8" s="104"/>
      <c r="I8" s="68" t="str">
        <f t="shared" si="1"/>
        <v/>
      </c>
      <c r="J8" s="68">
        <f t="shared" si="2"/>
        <v>42</v>
      </c>
      <c r="K8" s="30">
        <f t="shared" si="3"/>
        <v>84</v>
      </c>
      <c r="L8" s="107" t="s">
        <v>27</v>
      </c>
      <c r="M8" s="44" t="str">
        <f ca="1">IF(Saisie[[#This Row],[Nom du groupe]]="","",VLOOKUP(Saisie[[#This Row],[Nom du groupe]],Données,5,FALSE))</f>
        <v>ALSH</v>
      </c>
      <c r="N8" s="45">
        <f t="shared" ca="1" si="4"/>
        <v>2</v>
      </c>
      <c r="O8" s="4">
        <f t="shared" si="5"/>
        <v>2</v>
      </c>
      <c r="P8" s="68">
        <f t="shared" si="6"/>
        <v>38</v>
      </c>
      <c r="Q8" s="107" t="s">
        <v>71</v>
      </c>
      <c r="R8" s="107">
        <v>2</v>
      </c>
      <c r="S8" s="64">
        <f t="shared" si="7"/>
        <v>53</v>
      </c>
      <c r="T8" s="64">
        <f t="shared" si="8"/>
        <v>48.5</v>
      </c>
      <c r="U8" s="109"/>
      <c r="W8" s="64" t="str">
        <f t="shared" si="21"/>
        <v/>
      </c>
      <c r="X8" s="64" t="str">
        <f t="shared" si="22"/>
        <v/>
      </c>
      <c r="Y8" s="4">
        <f t="shared" si="9"/>
        <v>2</v>
      </c>
      <c r="Z8" s="67">
        <f t="shared" si="10"/>
        <v>212</v>
      </c>
      <c r="AA8" s="110"/>
      <c r="AB8" s="64" t="str">
        <f t="shared" si="11"/>
        <v/>
      </c>
      <c r="AC8" s="66">
        <f t="shared" si="12"/>
        <v>3898</v>
      </c>
      <c r="AD8" s="69">
        <f t="shared" si="13"/>
        <v>0</v>
      </c>
      <c r="AE8" s="182" t="str">
        <f t="shared" si="14"/>
        <v>TEST 7</v>
      </c>
      <c r="AF8" s="230">
        <f t="shared" ca="1" si="20"/>
        <v>2</v>
      </c>
      <c r="AG8" s="68">
        <f t="shared" ca="1" si="15"/>
        <v>0</v>
      </c>
      <c r="AH8" s="101">
        <f t="shared" ca="1" si="16"/>
        <v>3898</v>
      </c>
      <c r="AI8" s="101">
        <f t="shared" ca="1" si="17"/>
        <v>0</v>
      </c>
      <c r="AJ8" s="4" t="str">
        <f t="shared" si="18"/>
        <v/>
      </c>
      <c r="AK8" s="67" t="str">
        <f t="shared" si="19"/>
        <v/>
      </c>
    </row>
    <row r="9" spans="1:37" x14ac:dyDescent="0.2">
      <c r="A9" s="181" t="s">
        <v>211</v>
      </c>
      <c r="B9" s="106">
        <v>42818</v>
      </c>
      <c r="C9" s="106">
        <v>42820</v>
      </c>
      <c r="D9" s="29">
        <f t="shared" si="0"/>
        <v>2</v>
      </c>
      <c r="E9" s="104">
        <v>12</v>
      </c>
      <c r="F9" s="104"/>
      <c r="G9" s="104"/>
      <c r="H9" s="104"/>
      <c r="I9" s="68" t="str">
        <f t="shared" si="1"/>
        <v/>
      </c>
      <c r="J9" s="68">
        <f t="shared" si="2"/>
        <v>12</v>
      </c>
      <c r="K9" s="30">
        <f t="shared" si="3"/>
        <v>24</v>
      </c>
      <c r="L9" s="107" t="s">
        <v>27</v>
      </c>
      <c r="M9" s="44" t="str">
        <f ca="1">IF(Saisie[[#This Row],[Nom du groupe]]="","",VLOOKUP(Saisie[[#This Row],[Nom du groupe]],Données,5,FALSE))</f>
        <v>RAND</v>
      </c>
      <c r="N9" s="45">
        <f t="shared" ca="1" si="4"/>
        <v>27</v>
      </c>
      <c r="O9" s="4">
        <f t="shared" si="5"/>
        <v>12</v>
      </c>
      <c r="P9" s="68" t="str">
        <f t="shared" si="6"/>
        <v/>
      </c>
      <c r="Q9" s="107" t="s">
        <v>72</v>
      </c>
      <c r="R9" s="107">
        <v>2</v>
      </c>
      <c r="S9" s="64">
        <f t="shared" si="7"/>
        <v>29</v>
      </c>
      <c r="T9" s="64">
        <f t="shared" si="8"/>
        <v>29</v>
      </c>
      <c r="U9" s="109"/>
      <c r="W9" s="64" t="str">
        <f t="shared" si="21"/>
        <v/>
      </c>
      <c r="X9" s="64" t="str">
        <f t="shared" si="22"/>
        <v/>
      </c>
      <c r="Y9" s="4">
        <f t="shared" si="9"/>
        <v>0</v>
      </c>
      <c r="Z9" s="67">
        <f t="shared" si="10"/>
        <v>0</v>
      </c>
      <c r="AA9" s="110">
        <v>12</v>
      </c>
      <c r="AB9" s="64">
        <f t="shared" si="11"/>
        <v>12</v>
      </c>
      <c r="AC9" s="66">
        <f t="shared" si="12"/>
        <v>696</v>
      </c>
      <c r="AD9" s="69">
        <f t="shared" si="13"/>
        <v>0</v>
      </c>
      <c r="AE9" s="182" t="str">
        <f t="shared" si="14"/>
        <v>TEST 8</v>
      </c>
      <c r="AF9" s="230">
        <f t="shared" ca="1" si="20"/>
        <v>2</v>
      </c>
      <c r="AG9" s="68">
        <f t="shared" ca="1" si="15"/>
        <v>0</v>
      </c>
      <c r="AH9" s="101">
        <f t="shared" ca="1" si="16"/>
        <v>696</v>
      </c>
      <c r="AI9" s="101">
        <f t="shared" ca="1" si="17"/>
        <v>0</v>
      </c>
      <c r="AJ9" s="4" t="str">
        <f t="shared" si="18"/>
        <v/>
      </c>
      <c r="AK9" s="67" t="str">
        <f t="shared" si="19"/>
        <v/>
      </c>
    </row>
    <row r="10" spans="1:37" x14ac:dyDescent="0.2">
      <c r="A10" s="181" t="s">
        <v>212</v>
      </c>
      <c r="B10" s="106">
        <v>42824</v>
      </c>
      <c r="C10" s="106">
        <v>42825</v>
      </c>
      <c r="D10" s="29">
        <f t="shared" si="0"/>
        <v>1</v>
      </c>
      <c r="E10" s="104">
        <v>7</v>
      </c>
      <c r="F10" s="104">
        <v>43</v>
      </c>
      <c r="G10" s="104"/>
      <c r="H10" s="104"/>
      <c r="I10" s="68" t="str">
        <f t="shared" si="1"/>
        <v/>
      </c>
      <c r="J10" s="68">
        <f t="shared" si="2"/>
        <v>50</v>
      </c>
      <c r="K10" s="30">
        <f t="shared" si="3"/>
        <v>50</v>
      </c>
      <c r="L10" s="107" t="s">
        <v>27</v>
      </c>
      <c r="M10" s="44" t="str">
        <f ca="1">IF(Saisie[[#This Row],[Nom du groupe]]="","",VLOOKUP(Saisie[[#This Row],[Nom du groupe]],Données,5,FALSE))</f>
        <v>SPT</v>
      </c>
      <c r="N10" s="45">
        <f t="shared" ca="1" si="4"/>
        <v>45</v>
      </c>
      <c r="O10" s="4">
        <f t="shared" si="5"/>
        <v>5</v>
      </c>
      <c r="P10" s="68">
        <f t="shared" si="6"/>
        <v>43</v>
      </c>
      <c r="Q10" s="107" t="s">
        <v>71</v>
      </c>
      <c r="R10" s="107">
        <v>1</v>
      </c>
      <c r="S10" s="64">
        <f t="shared" si="7"/>
        <v>53</v>
      </c>
      <c r="T10" s="64">
        <f t="shared" si="8"/>
        <v>48.5</v>
      </c>
      <c r="U10" s="109"/>
      <c r="W10" s="64" t="str">
        <f t="shared" si="21"/>
        <v/>
      </c>
      <c r="X10" s="64" t="str">
        <f t="shared" si="22"/>
        <v/>
      </c>
      <c r="Y10" s="4">
        <f t="shared" si="9"/>
        <v>2</v>
      </c>
      <c r="Z10" s="67">
        <f t="shared" si="10"/>
        <v>106</v>
      </c>
      <c r="AA10" s="110"/>
      <c r="AB10" s="64" t="str">
        <f t="shared" si="11"/>
        <v/>
      </c>
      <c r="AC10" s="66">
        <f t="shared" si="12"/>
        <v>2350.5</v>
      </c>
      <c r="AD10" s="69">
        <f t="shared" si="13"/>
        <v>0</v>
      </c>
      <c r="AE10" s="182" t="str">
        <f t="shared" si="14"/>
        <v>TEST 9</v>
      </c>
      <c r="AF10" s="230">
        <f t="shared" ca="1" si="20"/>
        <v>1</v>
      </c>
      <c r="AG10" s="68">
        <f t="shared" ca="1" si="15"/>
        <v>0</v>
      </c>
      <c r="AH10" s="101">
        <f t="shared" ca="1" si="16"/>
        <v>2350.5</v>
      </c>
      <c r="AI10" s="101">
        <f t="shared" ca="1" si="17"/>
        <v>0</v>
      </c>
      <c r="AJ10" s="4" t="str">
        <f t="shared" si="18"/>
        <v/>
      </c>
      <c r="AK10" s="67" t="str">
        <f t="shared" si="19"/>
        <v/>
      </c>
    </row>
    <row r="11" spans="1:37" x14ac:dyDescent="0.2">
      <c r="A11" s="181" t="s">
        <v>213</v>
      </c>
      <c r="B11" s="106">
        <v>42828</v>
      </c>
      <c r="C11" s="106">
        <v>42829</v>
      </c>
      <c r="D11" s="29">
        <f t="shared" si="0"/>
        <v>1</v>
      </c>
      <c r="E11" s="104">
        <v>9</v>
      </c>
      <c r="F11" s="104">
        <v>41</v>
      </c>
      <c r="G11" s="104"/>
      <c r="H11" s="104">
        <v>2</v>
      </c>
      <c r="I11" s="68">
        <f t="shared" si="1"/>
        <v>2</v>
      </c>
      <c r="J11" s="68">
        <f t="shared" si="2"/>
        <v>50</v>
      </c>
      <c r="K11" s="30">
        <f t="shared" si="3"/>
        <v>50</v>
      </c>
      <c r="L11" s="107" t="s">
        <v>27</v>
      </c>
      <c r="M11" s="44" t="str">
        <f ca="1">IF(Saisie[[#This Row],[Nom du groupe]]="","",VLOOKUP(Saisie[[#This Row],[Nom du groupe]],Données,5,FALSE))</f>
        <v>RAND</v>
      </c>
      <c r="N11" s="45">
        <f t="shared" ca="1" si="4"/>
        <v>2</v>
      </c>
      <c r="O11" s="4">
        <f t="shared" si="5"/>
        <v>7</v>
      </c>
      <c r="P11" s="68">
        <f t="shared" si="6"/>
        <v>41</v>
      </c>
      <c r="Q11" s="107" t="s">
        <v>71</v>
      </c>
      <c r="R11" s="107">
        <v>1</v>
      </c>
      <c r="S11" s="64">
        <f t="shared" si="7"/>
        <v>53</v>
      </c>
      <c r="T11" s="64">
        <f t="shared" si="8"/>
        <v>48.5</v>
      </c>
      <c r="U11" s="109"/>
      <c r="W11" s="64" t="str">
        <f t="shared" si="21"/>
        <v/>
      </c>
      <c r="X11" s="64" t="str">
        <f t="shared" si="22"/>
        <v/>
      </c>
      <c r="Y11" s="4">
        <f t="shared" si="9"/>
        <v>2</v>
      </c>
      <c r="Z11" s="67">
        <f t="shared" si="10"/>
        <v>106</v>
      </c>
      <c r="AA11" s="110"/>
      <c r="AB11" s="64" t="str">
        <f t="shared" si="11"/>
        <v/>
      </c>
      <c r="AC11" s="66">
        <f t="shared" si="12"/>
        <v>2359.5</v>
      </c>
      <c r="AD11" s="69">
        <f t="shared" si="13"/>
        <v>97</v>
      </c>
      <c r="AE11" s="182" t="str">
        <f t="shared" si="14"/>
        <v>TEST 10</v>
      </c>
      <c r="AF11" s="230">
        <f t="shared" ca="1" si="20"/>
        <v>1</v>
      </c>
      <c r="AG11" s="68">
        <f t="shared" ca="1" si="15"/>
        <v>0</v>
      </c>
      <c r="AH11" s="101">
        <f t="shared" ca="1" si="16"/>
        <v>2359.5</v>
      </c>
      <c r="AI11" s="101">
        <f t="shared" ca="1" si="17"/>
        <v>0</v>
      </c>
      <c r="AJ11" s="4" t="str">
        <f t="shared" si="18"/>
        <v/>
      </c>
      <c r="AK11" s="67" t="str">
        <f t="shared" si="19"/>
        <v/>
      </c>
    </row>
    <row r="12" spans="1:37" ht="12.75" customHeight="1" x14ac:dyDescent="0.2">
      <c r="A12" s="181" t="s">
        <v>214</v>
      </c>
      <c r="B12" s="106">
        <v>42829</v>
      </c>
      <c r="C12" s="106">
        <v>42831</v>
      </c>
      <c r="D12" s="29">
        <f t="shared" si="0"/>
        <v>2</v>
      </c>
      <c r="E12" s="104">
        <v>4</v>
      </c>
      <c r="F12" s="104">
        <v>13</v>
      </c>
      <c r="G12" s="104"/>
      <c r="H12" s="104"/>
      <c r="I12" s="68" t="str">
        <f t="shared" si="1"/>
        <v/>
      </c>
      <c r="J12" s="68">
        <f t="shared" si="2"/>
        <v>17</v>
      </c>
      <c r="K12" s="30">
        <f t="shared" si="3"/>
        <v>34</v>
      </c>
      <c r="L12" s="107" t="s">
        <v>27</v>
      </c>
      <c r="M12" s="44" t="str">
        <f ca="1">IF(Saisie[[#This Row],[Nom du groupe]]="","",VLOOKUP(Saisie[[#This Row],[Nom du groupe]],Données,5,FALSE))</f>
        <v>RAND</v>
      </c>
      <c r="N12" s="45">
        <f t="shared" ca="1" si="4"/>
        <v>2</v>
      </c>
      <c r="O12" s="4">
        <f t="shared" si="5"/>
        <v>4</v>
      </c>
      <c r="P12" s="68">
        <f t="shared" si="6"/>
        <v>13</v>
      </c>
      <c r="Q12" s="107" t="s">
        <v>70</v>
      </c>
      <c r="R12" s="107">
        <v>2</v>
      </c>
      <c r="S12" s="64">
        <f t="shared" si="7"/>
        <v>44</v>
      </c>
      <c r="T12" s="64">
        <f t="shared" si="8"/>
        <v>41</v>
      </c>
      <c r="U12" s="109"/>
      <c r="W12" s="64" t="str">
        <f t="shared" si="21"/>
        <v/>
      </c>
      <c r="X12" s="64" t="str">
        <f t="shared" si="22"/>
        <v/>
      </c>
      <c r="Y12" s="4">
        <f t="shared" si="9"/>
        <v>0</v>
      </c>
      <c r="Z12" s="67">
        <f t="shared" si="10"/>
        <v>0</v>
      </c>
      <c r="AA12" s="110">
        <v>4</v>
      </c>
      <c r="AB12" s="64">
        <f t="shared" si="11"/>
        <v>4</v>
      </c>
      <c r="AC12" s="66">
        <f t="shared" si="12"/>
        <v>1418</v>
      </c>
      <c r="AD12" s="69">
        <f t="shared" si="13"/>
        <v>0</v>
      </c>
      <c r="AE12" s="198" t="str">
        <f t="shared" si="14"/>
        <v>TEST 11</v>
      </c>
      <c r="AF12" s="230">
        <f t="shared" ca="1" si="20"/>
        <v>2</v>
      </c>
      <c r="AG12" s="68">
        <f t="shared" ca="1" si="15"/>
        <v>0</v>
      </c>
      <c r="AH12" s="101">
        <f t="shared" ca="1" si="16"/>
        <v>1418</v>
      </c>
      <c r="AI12" s="101">
        <f t="shared" ca="1" si="17"/>
        <v>0</v>
      </c>
      <c r="AJ12" s="4" t="str">
        <f t="shared" si="18"/>
        <v/>
      </c>
      <c r="AK12" s="67" t="str">
        <f t="shared" si="19"/>
        <v/>
      </c>
    </row>
    <row r="13" spans="1:37" x14ac:dyDescent="0.2">
      <c r="A13" s="181" t="s">
        <v>215</v>
      </c>
      <c r="B13" s="106">
        <v>42831</v>
      </c>
      <c r="C13" s="106">
        <v>42833</v>
      </c>
      <c r="D13" s="29">
        <f t="shared" si="0"/>
        <v>2</v>
      </c>
      <c r="E13" s="104">
        <v>36</v>
      </c>
      <c r="F13" s="104"/>
      <c r="G13" s="104"/>
      <c r="H13" s="104"/>
      <c r="I13" s="68" t="str">
        <f t="shared" si="1"/>
        <v/>
      </c>
      <c r="J13" s="68">
        <f t="shared" si="2"/>
        <v>36</v>
      </c>
      <c r="K13" s="30">
        <f t="shared" si="3"/>
        <v>72</v>
      </c>
      <c r="L13" s="107" t="s">
        <v>27</v>
      </c>
      <c r="M13" s="44" t="str">
        <f ca="1">IF(Saisie[[#This Row],[Nom du groupe]]="","",VLOOKUP(Saisie[[#This Row],[Nom du groupe]],Données,5,FALSE))</f>
        <v>RAND</v>
      </c>
      <c r="N13" s="45">
        <f t="shared" ca="1" si="4"/>
        <v>2</v>
      </c>
      <c r="O13" s="4">
        <f t="shared" si="5"/>
        <v>35</v>
      </c>
      <c r="P13" s="68" t="str">
        <f t="shared" si="6"/>
        <v/>
      </c>
      <c r="Q13" s="107" t="s">
        <v>70</v>
      </c>
      <c r="R13" s="107">
        <v>1</v>
      </c>
      <c r="S13" s="64">
        <f t="shared" si="7"/>
        <v>44</v>
      </c>
      <c r="T13" s="64">
        <f t="shared" si="8"/>
        <v>41</v>
      </c>
      <c r="U13" s="109" t="s">
        <v>71</v>
      </c>
      <c r="V13" s="107">
        <v>1</v>
      </c>
      <c r="W13" s="64">
        <f t="shared" si="21"/>
        <v>53</v>
      </c>
      <c r="X13" s="64">
        <f t="shared" si="22"/>
        <v>48.5</v>
      </c>
      <c r="Y13" s="4">
        <f t="shared" si="9"/>
        <v>1</v>
      </c>
      <c r="Z13" s="67">
        <f t="shared" si="10"/>
        <v>97</v>
      </c>
      <c r="AA13" s="110">
        <v>36</v>
      </c>
      <c r="AB13" s="64">
        <f t="shared" si="11"/>
        <v>36</v>
      </c>
      <c r="AC13" s="66">
        <f t="shared" si="12"/>
        <v>3395</v>
      </c>
      <c r="AD13" s="69">
        <f t="shared" si="13"/>
        <v>0</v>
      </c>
      <c r="AE13" s="182" t="str">
        <f t="shared" si="14"/>
        <v>TEST 12</v>
      </c>
      <c r="AF13" s="230">
        <f t="shared" ca="1" si="20"/>
        <v>2</v>
      </c>
      <c r="AG13" s="68">
        <f t="shared" ca="1" si="15"/>
        <v>0</v>
      </c>
      <c r="AH13" s="101">
        <f t="shared" ca="1" si="16"/>
        <v>3395</v>
      </c>
      <c r="AI13" s="101">
        <f t="shared" ca="1" si="17"/>
        <v>0</v>
      </c>
      <c r="AJ13" s="4" t="str">
        <f t="shared" si="18"/>
        <v/>
      </c>
      <c r="AK13" s="67" t="str">
        <f t="shared" si="19"/>
        <v/>
      </c>
    </row>
    <row r="14" spans="1:37" x14ac:dyDescent="0.2">
      <c r="A14" s="181" t="s">
        <v>216</v>
      </c>
      <c r="B14" s="106">
        <v>42833</v>
      </c>
      <c r="C14" s="106">
        <v>42835</v>
      </c>
      <c r="D14" s="29">
        <f t="shared" si="0"/>
        <v>2</v>
      </c>
      <c r="E14" s="104">
        <v>3</v>
      </c>
      <c r="F14" s="104"/>
      <c r="G14" s="104"/>
      <c r="H14" s="104"/>
      <c r="I14" s="68" t="str">
        <f t="shared" si="1"/>
        <v/>
      </c>
      <c r="J14" s="68">
        <f t="shared" si="2"/>
        <v>3</v>
      </c>
      <c r="K14" s="30">
        <f t="shared" si="3"/>
        <v>6</v>
      </c>
      <c r="L14" s="107" t="s">
        <v>27</v>
      </c>
      <c r="M14" s="44" t="str">
        <f ca="1">IF(Saisie[[#This Row],[Nom du groupe]]="","",VLOOKUP(Saisie[[#This Row],[Nom du groupe]],Données,5,FALSE))</f>
        <v>RAND</v>
      </c>
      <c r="N14" s="45">
        <f t="shared" ca="1" si="4"/>
        <v>78</v>
      </c>
      <c r="O14" s="4">
        <f t="shared" si="5"/>
        <v>3</v>
      </c>
      <c r="P14" s="68" t="str">
        <f t="shared" si="6"/>
        <v/>
      </c>
      <c r="Q14" s="107" t="s">
        <v>72</v>
      </c>
      <c r="R14" s="107">
        <v>2</v>
      </c>
      <c r="S14" s="64">
        <f t="shared" si="7"/>
        <v>29</v>
      </c>
      <c r="T14" s="64">
        <f t="shared" si="8"/>
        <v>29</v>
      </c>
      <c r="U14" s="109"/>
      <c r="W14" s="64" t="str">
        <f t="shared" si="21"/>
        <v/>
      </c>
      <c r="X14" s="64" t="str">
        <f t="shared" si="22"/>
        <v/>
      </c>
      <c r="Y14" s="4">
        <f t="shared" si="9"/>
        <v>0</v>
      </c>
      <c r="Z14" s="67">
        <f t="shared" si="10"/>
        <v>0</v>
      </c>
      <c r="AA14" s="110">
        <v>3</v>
      </c>
      <c r="AB14" s="64">
        <f t="shared" si="11"/>
        <v>3</v>
      </c>
      <c r="AC14" s="66">
        <f t="shared" si="12"/>
        <v>174</v>
      </c>
      <c r="AD14" s="69">
        <f t="shared" si="13"/>
        <v>0</v>
      </c>
      <c r="AE14" s="182" t="str">
        <f t="shared" si="14"/>
        <v>TEST 13</v>
      </c>
      <c r="AF14" s="230">
        <f t="shared" ca="1" si="20"/>
        <v>2</v>
      </c>
      <c r="AG14" s="68">
        <f t="shared" ca="1" si="15"/>
        <v>0</v>
      </c>
      <c r="AH14" s="101">
        <f t="shared" ca="1" si="16"/>
        <v>174</v>
      </c>
      <c r="AI14" s="101">
        <f t="shared" ca="1" si="17"/>
        <v>0</v>
      </c>
      <c r="AJ14" s="4" t="str">
        <f t="shared" si="18"/>
        <v/>
      </c>
      <c r="AK14" s="67" t="str">
        <f t="shared" si="19"/>
        <v/>
      </c>
    </row>
    <row r="15" spans="1:37" x14ac:dyDescent="0.2">
      <c r="A15" s="181" t="s">
        <v>217</v>
      </c>
      <c r="B15" s="106">
        <v>42833</v>
      </c>
      <c r="C15" s="106">
        <v>42834</v>
      </c>
      <c r="D15" s="29">
        <f t="shared" si="0"/>
        <v>1</v>
      </c>
      <c r="E15" s="104">
        <v>4</v>
      </c>
      <c r="F15" s="104"/>
      <c r="G15" s="104"/>
      <c r="H15" s="104"/>
      <c r="I15" s="68" t="str">
        <f t="shared" si="1"/>
        <v/>
      </c>
      <c r="J15" s="68">
        <f t="shared" si="2"/>
        <v>4</v>
      </c>
      <c r="K15" s="30">
        <f t="shared" si="3"/>
        <v>4</v>
      </c>
      <c r="L15" s="107" t="s">
        <v>27</v>
      </c>
      <c r="M15" s="44" t="str">
        <f ca="1">IF(Saisie[[#This Row],[Nom du groupe]]="","",VLOOKUP(Saisie[[#This Row],[Nom du groupe]],Données,5,FALSE))</f>
        <v>RAND</v>
      </c>
      <c r="N15" s="45">
        <f t="shared" ca="1" si="4"/>
        <v>27</v>
      </c>
      <c r="O15" s="4">
        <f t="shared" si="5"/>
        <v>4</v>
      </c>
      <c r="P15" s="68" t="str">
        <f t="shared" si="6"/>
        <v/>
      </c>
      <c r="Q15" s="107" t="s">
        <v>72</v>
      </c>
      <c r="R15" s="107">
        <v>1</v>
      </c>
      <c r="S15" s="64">
        <f t="shared" si="7"/>
        <v>29</v>
      </c>
      <c r="T15" s="64">
        <f t="shared" si="8"/>
        <v>29</v>
      </c>
      <c r="U15" s="109"/>
      <c r="W15" s="64" t="str">
        <f t="shared" si="21"/>
        <v/>
      </c>
      <c r="X15" s="64" t="str">
        <f t="shared" si="22"/>
        <v/>
      </c>
      <c r="Y15" s="4">
        <f t="shared" si="9"/>
        <v>0</v>
      </c>
      <c r="Z15" s="67">
        <f t="shared" si="10"/>
        <v>0</v>
      </c>
      <c r="AA15" s="110">
        <v>4</v>
      </c>
      <c r="AB15" s="64">
        <f t="shared" si="11"/>
        <v>2</v>
      </c>
      <c r="AC15" s="66">
        <f t="shared" si="12"/>
        <v>116</v>
      </c>
      <c r="AD15" s="69">
        <f t="shared" si="13"/>
        <v>0</v>
      </c>
      <c r="AE15" s="182" t="str">
        <f t="shared" si="14"/>
        <v>TEST 14</v>
      </c>
      <c r="AF15" s="230">
        <f t="shared" ca="1" si="20"/>
        <v>1</v>
      </c>
      <c r="AG15" s="68">
        <f t="shared" ca="1" si="15"/>
        <v>0</v>
      </c>
      <c r="AH15" s="101">
        <f ca="1">IF($AC15="","",IF($AG15=0,$AC15,($AC15/$D15)*$AF15))</f>
        <v>116</v>
      </c>
      <c r="AI15" s="101">
        <f ca="1">IF($AC15="","",(IF(AG15=0,0,(AC15/D15)*AG15)))</f>
        <v>0</v>
      </c>
      <c r="AJ15" s="4" t="str">
        <f t="shared" si="18"/>
        <v/>
      </c>
      <c r="AK15" s="67" t="str">
        <f t="shared" si="19"/>
        <v/>
      </c>
    </row>
    <row r="16" spans="1:37" x14ac:dyDescent="0.2">
      <c r="A16" s="181" t="s">
        <v>218</v>
      </c>
      <c r="B16" s="106">
        <v>42834</v>
      </c>
      <c r="C16" s="106">
        <v>42839</v>
      </c>
      <c r="D16" s="29">
        <f t="shared" si="0"/>
        <v>5</v>
      </c>
      <c r="E16" s="104">
        <v>25</v>
      </c>
      <c r="F16" s="104">
        <v>10</v>
      </c>
      <c r="G16" s="104"/>
      <c r="H16" s="104"/>
      <c r="I16" s="68" t="str">
        <f t="shared" si="1"/>
        <v/>
      </c>
      <c r="J16" s="68">
        <f t="shared" si="2"/>
        <v>35</v>
      </c>
      <c r="K16" s="30">
        <f t="shared" si="3"/>
        <v>175</v>
      </c>
      <c r="L16" s="107" t="s">
        <v>27</v>
      </c>
      <c r="M16" s="44" t="str">
        <f ca="1">IF(Saisie[[#This Row],[Nom du groupe]]="","",VLOOKUP(Saisie[[#This Row],[Nom du groupe]],Données,5,FALSE))</f>
        <v>IME</v>
      </c>
      <c r="N16" s="45">
        <f t="shared" ca="1" si="4"/>
        <v>95</v>
      </c>
      <c r="O16" s="4">
        <f t="shared" si="5"/>
        <v>24</v>
      </c>
      <c r="P16" s="68">
        <f t="shared" si="6"/>
        <v>10</v>
      </c>
      <c r="Q16" s="107" t="s">
        <v>71</v>
      </c>
      <c r="R16" s="107">
        <v>4</v>
      </c>
      <c r="S16" s="64">
        <f t="shared" si="7"/>
        <v>53</v>
      </c>
      <c r="T16" s="64">
        <f t="shared" si="8"/>
        <v>48.5</v>
      </c>
      <c r="U16" s="109" t="s">
        <v>70</v>
      </c>
      <c r="V16" s="107">
        <v>1</v>
      </c>
      <c r="W16" s="64">
        <f t="shared" si="21"/>
        <v>44</v>
      </c>
      <c r="X16" s="64">
        <f t="shared" si="22"/>
        <v>41</v>
      </c>
      <c r="Y16" s="4">
        <f t="shared" si="9"/>
        <v>1</v>
      </c>
      <c r="Z16" s="67">
        <f t="shared" si="10"/>
        <v>256</v>
      </c>
      <c r="AA16" s="110">
        <v>35</v>
      </c>
      <c r="AB16" s="64">
        <f t="shared" si="11"/>
        <v>87.5</v>
      </c>
      <c r="AC16" s="66">
        <f t="shared" si="12"/>
        <v>8494</v>
      </c>
      <c r="AD16" s="69">
        <f t="shared" si="13"/>
        <v>0</v>
      </c>
      <c r="AE16" s="182" t="str">
        <f t="shared" si="14"/>
        <v>TEST 15</v>
      </c>
      <c r="AF16" s="230">
        <f t="shared" ca="1" si="20"/>
        <v>5</v>
      </c>
      <c r="AG16" s="68">
        <f t="shared" ca="1" si="15"/>
        <v>0</v>
      </c>
      <c r="AH16" s="101">
        <f t="shared" ca="1" si="16"/>
        <v>8494</v>
      </c>
      <c r="AI16" s="101">
        <f t="shared" ca="1" si="17"/>
        <v>0</v>
      </c>
      <c r="AJ16" s="4" t="str">
        <f t="shared" si="18"/>
        <v/>
      </c>
      <c r="AK16" s="67" t="str">
        <f t="shared" si="19"/>
        <v/>
      </c>
    </row>
    <row r="17" spans="1:37" x14ac:dyDescent="0.2">
      <c r="A17" s="181" t="s">
        <v>219</v>
      </c>
      <c r="B17" s="106">
        <v>42835</v>
      </c>
      <c r="C17" s="106">
        <v>42839</v>
      </c>
      <c r="D17" s="29">
        <f t="shared" si="0"/>
        <v>4</v>
      </c>
      <c r="E17" s="104">
        <v>3</v>
      </c>
      <c r="F17" s="104">
        <v>16</v>
      </c>
      <c r="G17" s="104"/>
      <c r="H17" s="104"/>
      <c r="I17" s="68" t="str">
        <f t="shared" si="1"/>
        <v/>
      </c>
      <c r="J17" s="68">
        <f t="shared" si="2"/>
        <v>19</v>
      </c>
      <c r="K17" s="30">
        <f t="shared" si="3"/>
        <v>76</v>
      </c>
      <c r="L17" s="107" t="s">
        <v>27</v>
      </c>
      <c r="M17" s="44" t="str">
        <f ca="1">IF(Saisie[[#This Row],[Nom du groupe]]="","",VLOOKUP(Saisie[[#This Row],[Nom du groupe]],Données,5,FALSE))</f>
        <v>SPT</v>
      </c>
      <c r="N17" s="45">
        <f t="shared" ca="1" si="4"/>
        <v>93</v>
      </c>
      <c r="O17" s="4">
        <f t="shared" si="5"/>
        <v>3</v>
      </c>
      <c r="P17" s="68">
        <f t="shared" si="6"/>
        <v>16</v>
      </c>
      <c r="Q17" s="107" t="s">
        <v>149</v>
      </c>
      <c r="R17" s="107">
        <v>4</v>
      </c>
      <c r="S17" s="64">
        <f t="shared" si="7"/>
        <v>41</v>
      </c>
      <c r="T17" s="64">
        <f t="shared" si="8"/>
        <v>41</v>
      </c>
      <c r="U17" s="109" t="s">
        <v>150</v>
      </c>
      <c r="V17" s="107">
        <v>1</v>
      </c>
      <c r="W17" s="64">
        <f t="shared" si="21"/>
        <v>15</v>
      </c>
      <c r="X17" s="64">
        <f t="shared" si="22"/>
        <v>15</v>
      </c>
      <c r="Y17" s="4">
        <f t="shared" si="9"/>
        <v>0</v>
      </c>
      <c r="Z17" s="67">
        <f t="shared" si="10"/>
        <v>0</v>
      </c>
      <c r="AA17" s="110"/>
      <c r="AB17" s="64" t="str">
        <f t="shared" si="11"/>
        <v/>
      </c>
      <c r="AC17" s="66">
        <f t="shared" si="12"/>
        <v>3401</v>
      </c>
      <c r="AD17" s="69">
        <f t="shared" si="13"/>
        <v>0</v>
      </c>
      <c r="AE17" s="182" t="str">
        <f t="shared" si="14"/>
        <v>TEST 16</v>
      </c>
      <c r="AF17" s="230">
        <f t="shared" ca="1" si="20"/>
        <v>4</v>
      </c>
      <c r="AG17" s="68">
        <f t="shared" ca="1" si="15"/>
        <v>0</v>
      </c>
      <c r="AH17" s="101">
        <f t="shared" ca="1" si="16"/>
        <v>3401</v>
      </c>
      <c r="AI17" s="101">
        <f t="shared" ca="1" si="17"/>
        <v>0</v>
      </c>
      <c r="AJ17" s="4" t="str">
        <f t="shared" si="18"/>
        <v/>
      </c>
      <c r="AK17" s="67" t="str">
        <f t="shared" si="19"/>
        <v/>
      </c>
    </row>
    <row r="18" spans="1:37" x14ac:dyDescent="0.2">
      <c r="A18" s="181" t="s">
        <v>220</v>
      </c>
      <c r="B18" s="106">
        <v>42839</v>
      </c>
      <c r="C18" s="106">
        <v>42840</v>
      </c>
      <c r="D18" s="29">
        <f t="shared" si="0"/>
        <v>1</v>
      </c>
      <c r="E18" s="104">
        <v>18</v>
      </c>
      <c r="F18" s="104"/>
      <c r="G18" s="104">
        <v>12</v>
      </c>
      <c r="H18" s="104"/>
      <c r="I18" s="68">
        <f t="shared" si="1"/>
        <v>12</v>
      </c>
      <c r="J18" s="68">
        <f t="shared" si="2"/>
        <v>18</v>
      </c>
      <c r="K18" s="30">
        <f t="shared" si="3"/>
        <v>18</v>
      </c>
      <c r="L18" s="107" t="s">
        <v>27</v>
      </c>
      <c r="M18" s="44" t="str">
        <f ca="1">IF(Saisie[[#This Row],[Nom du groupe]]="","",VLOOKUP(Saisie[[#This Row],[Nom du groupe]],Données,5,FALSE))</f>
        <v>RAND</v>
      </c>
      <c r="N18" s="45">
        <f t="shared" ca="1" si="4"/>
        <v>41</v>
      </c>
      <c r="O18" s="4">
        <f t="shared" si="5"/>
        <v>18</v>
      </c>
      <c r="P18" s="68" t="str">
        <f t="shared" si="6"/>
        <v/>
      </c>
      <c r="Q18" s="107" t="s">
        <v>72</v>
      </c>
      <c r="R18" s="107">
        <v>1</v>
      </c>
      <c r="S18" s="64">
        <f t="shared" si="7"/>
        <v>29</v>
      </c>
      <c r="T18" s="64">
        <f t="shared" si="8"/>
        <v>29</v>
      </c>
      <c r="U18" s="109"/>
      <c r="W18" s="64" t="str">
        <f t="shared" si="21"/>
        <v/>
      </c>
      <c r="X18" s="64" t="str">
        <f t="shared" si="22"/>
        <v/>
      </c>
      <c r="Y18" s="4">
        <f t="shared" si="9"/>
        <v>0</v>
      </c>
      <c r="Z18" s="67">
        <f t="shared" si="10"/>
        <v>0</v>
      </c>
      <c r="AA18" s="110">
        <v>18</v>
      </c>
      <c r="AB18" s="64">
        <f t="shared" si="11"/>
        <v>9</v>
      </c>
      <c r="AC18" s="66">
        <f t="shared" si="12"/>
        <v>522</v>
      </c>
      <c r="AD18" s="69">
        <f t="shared" si="13"/>
        <v>348</v>
      </c>
      <c r="AE18" s="182" t="str">
        <f t="shared" si="14"/>
        <v>TEST 17</v>
      </c>
      <c r="AF18" s="230">
        <f t="shared" ca="1" si="20"/>
        <v>1</v>
      </c>
      <c r="AG18" s="68">
        <f t="shared" ca="1" si="15"/>
        <v>0</v>
      </c>
      <c r="AH18" s="101">
        <f t="shared" ca="1" si="16"/>
        <v>522</v>
      </c>
      <c r="AI18" s="101">
        <f t="shared" ca="1" si="17"/>
        <v>0</v>
      </c>
      <c r="AJ18" s="4" t="str">
        <f t="shared" si="18"/>
        <v/>
      </c>
      <c r="AK18" s="67" t="str">
        <f t="shared" si="19"/>
        <v/>
      </c>
    </row>
    <row r="19" spans="1:37" x14ac:dyDescent="0.2">
      <c r="A19" s="181" t="s">
        <v>221</v>
      </c>
      <c r="B19" s="106">
        <v>42840</v>
      </c>
      <c r="C19" s="106">
        <v>42842</v>
      </c>
      <c r="D19" s="29">
        <f t="shared" si="0"/>
        <v>2</v>
      </c>
      <c r="E19" s="104">
        <v>24</v>
      </c>
      <c r="F19" s="104">
        <v>6</v>
      </c>
      <c r="G19" s="104"/>
      <c r="H19" s="104"/>
      <c r="I19" s="68" t="str">
        <f t="shared" si="1"/>
        <v/>
      </c>
      <c r="J19" s="68">
        <f t="shared" si="2"/>
        <v>30</v>
      </c>
      <c r="K19" s="30">
        <f t="shared" si="3"/>
        <v>60</v>
      </c>
      <c r="L19" s="107" t="s">
        <v>27</v>
      </c>
      <c r="M19" s="44" t="str">
        <f ca="1">IF(Saisie[[#This Row],[Nom du groupe]]="","",VLOOKUP(Saisie[[#This Row],[Nom du groupe]],Données,5,FALSE))</f>
        <v>SCO C</v>
      </c>
      <c r="N19" s="45">
        <f t="shared" ca="1" si="4"/>
        <v>2</v>
      </c>
      <c r="O19" s="4">
        <f t="shared" si="5"/>
        <v>23</v>
      </c>
      <c r="P19" s="68">
        <f t="shared" si="6"/>
        <v>6</v>
      </c>
      <c r="Q19" s="107" t="s">
        <v>72</v>
      </c>
      <c r="R19" s="107">
        <v>2</v>
      </c>
      <c r="S19" s="64">
        <f t="shared" si="7"/>
        <v>29</v>
      </c>
      <c r="T19" s="64">
        <f t="shared" si="8"/>
        <v>29</v>
      </c>
      <c r="U19" s="109"/>
      <c r="W19" s="64" t="str">
        <f t="shared" si="21"/>
        <v/>
      </c>
      <c r="X19" s="64" t="str">
        <f t="shared" si="22"/>
        <v/>
      </c>
      <c r="Y19" s="4">
        <f t="shared" si="9"/>
        <v>1</v>
      </c>
      <c r="Z19" s="67">
        <f t="shared" si="10"/>
        <v>58</v>
      </c>
      <c r="AA19" s="110">
        <v>26</v>
      </c>
      <c r="AB19" s="64">
        <f t="shared" si="11"/>
        <v>26</v>
      </c>
      <c r="AC19" s="66">
        <f t="shared" si="12"/>
        <v>1682</v>
      </c>
      <c r="AD19" s="69">
        <f t="shared" si="13"/>
        <v>0</v>
      </c>
      <c r="AE19" s="182" t="str">
        <f t="shared" si="14"/>
        <v>TEST 18</v>
      </c>
      <c r="AF19" s="230">
        <f t="shared" ca="1" si="20"/>
        <v>2</v>
      </c>
      <c r="AG19" s="68">
        <f t="shared" ca="1" si="15"/>
        <v>0</v>
      </c>
      <c r="AH19" s="101">
        <f t="shared" ca="1" si="16"/>
        <v>1682</v>
      </c>
      <c r="AI19" s="101">
        <f t="shared" ca="1" si="17"/>
        <v>0</v>
      </c>
      <c r="AJ19" s="4" t="str">
        <f t="shared" si="18"/>
        <v/>
      </c>
      <c r="AK19" s="67" t="str">
        <f t="shared" si="19"/>
        <v/>
      </c>
    </row>
    <row r="20" spans="1:37" x14ac:dyDescent="0.2">
      <c r="A20" s="181" t="s">
        <v>222</v>
      </c>
      <c r="B20" s="106">
        <v>42844</v>
      </c>
      <c r="C20" s="106">
        <v>42846</v>
      </c>
      <c r="D20" s="29">
        <f t="shared" si="0"/>
        <v>2</v>
      </c>
      <c r="E20" s="104">
        <v>5</v>
      </c>
      <c r="F20" s="104">
        <v>47</v>
      </c>
      <c r="G20" s="104">
        <v>1</v>
      </c>
      <c r="H20" s="104">
        <v>1</v>
      </c>
      <c r="I20" s="68">
        <f t="shared" si="1"/>
        <v>4</v>
      </c>
      <c r="J20" s="68">
        <f t="shared" si="2"/>
        <v>52</v>
      </c>
      <c r="K20" s="30">
        <f t="shared" si="3"/>
        <v>104</v>
      </c>
      <c r="L20" s="107" t="s">
        <v>27</v>
      </c>
      <c r="M20" s="44" t="str">
        <f ca="1">IF(Saisie[[#This Row],[Nom du groupe]]="","",VLOOKUP(Saisie[[#This Row],[Nom du groupe]],Données,5,FALSE))</f>
        <v>ASS</v>
      </c>
      <c r="N20" s="45">
        <f t="shared" ca="1" si="4"/>
        <v>41</v>
      </c>
      <c r="O20" s="4">
        <f t="shared" si="5"/>
        <v>3</v>
      </c>
      <c r="P20" s="68">
        <f t="shared" si="6"/>
        <v>47</v>
      </c>
      <c r="Q20" s="107" t="s">
        <v>71</v>
      </c>
      <c r="R20" s="107">
        <v>2</v>
      </c>
      <c r="S20" s="64">
        <f t="shared" si="7"/>
        <v>53</v>
      </c>
      <c r="T20" s="64">
        <f t="shared" si="8"/>
        <v>48.5</v>
      </c>
      <c r="U20" s="109"/>
      <c r="W20" s="64" t="str">
        <f t="shared" si="21"/>
        <v/>
      </c>
      <c r="X20" s="64" t="str">
        <f t="shared" si="22"/>
        <v/>
      </c>
      <c r="Y20" s="4">
        <f t="shared" si="9"/>
        <v>2</v>
      </c>
      <c r="Z20" s="67">
        <f t="shared" si="10"/>
        <v>212</v>
      </c>
      <c r="AA20" s="110">
        <v>47</v>
      </c>
      <c r="AB20" s="64">
        <f t="shared" si="11"/>
        <v>47</v>
      </c>
      <c r="AC20" s="66">
        <f t="shared" si="12"/>
        <v>4877</v>
      </c>
      <c r="AD20" s="69">
        <f t="shared" si="13"/>
        <v>203</v>
      </c>
      <c r="AE20" s="182" t="str">
        <f t="shared" si="14"/>
        <v>TEST 19</v>
      </c>
      <c r="AF20" s="230">
        <f t="shared" ca="1" si="20"/>
        <v>2</v>
      </c>
      <c r="AG20" s="68">
        <f t="shared" ca="1" si="15"/>
        <v>0</v>
      </c>
      <c r="AH20" s="101">
        <f t="shared" ca="1" si="16"/>
        <v>4877</v>
      </c>
      <c r="AI20" s="101">
        <f t="shared" ca="1" si="17"/>
        <v>0</v>
      </c>
      <c r="AJ20" s="4" t="str">
        <f t="shared" si="18"/>
        <v/>
      </c>
      <c r="AK20" s="67" t="str">
        <f t="shared" si="19"/>
        <v/>
      </c>
    </row>
    <row r="21" spans="1:37" x14ac:dyDescent="0.2">
      <c r="A21" s="181" t="s">
        <v>223</v>
      </c>
      <c r="B21" s="106">
        <v>42849</v>
      </c>
      <c r="C21" s="106">
        <v>42850</v>
      </c>
      <c r="D21" s="29">
        <f t="shared" si="0"/>
        <v>1</v>
      </c>
      <c r="E21" s="104">
        <v>46</v>
      </c>
      <c r="F21" s="104">
        <v>12</v>
      </c>
      <c r="G21" s="104">
        <v>3</v>
      </c>
      <c r="H21" s="104"/>
      <c r="I21" s="68">
        <f t="shared" si="1"/>
        <v>3</v>
      </c>
      <c r="J21" s="68">
        <f t="shared" si="2"/>
        <v>58</v>
      </c>
      <c r="K21" s="30">
        <f t="shared" si="3"/>
        <v>58</v>
      </c>
      <c r="L21" s="107" t="s">
        <v>27</v>
      </c>
      <c r="M21" s="44" t="str">
        <f ca="1">IF(Saisie[[#This Row],[Nom du groupe]]="","",VLOOKUP(Saisie[[#This Row],[Nom du groupe]],Données,5,FALSE))</f>
        <v>RAND</v>
      </c>
      <c r="N21" s="45">
        <f t="shared" ca="1" si="4"/>
        <v>44</v>
      </c>
      <c r="O21" s="4">
        <f t="shared" si="5"/>
        <v>44</v>
      </c>
      <c r="P21" s="68">
        <f t="shared" si="6"/>
        <v>12</v>
      </c>
      <c r="Q21" s="107" t="s">
        <v>70</v>
      </c>
      <c r="R21" s="107">
        <v>1</v>
      </c>
      <c r="S21" s="64">
        <f t="shared" si="7"/>
        <v>44</v>
      </c>
      <c r="T21" s="64">
        <f t="shared" si="8"/>
        <v>41</v>
      </c>
      <c r="U21" s="109"/>
      <c r="W21" s="64" t="str">
        <f t="shared" si="21"/>
        <v/>
      </c>
      <c r="X21" s="64" t="str">
        <f t="shared" si="22"/>
        <v/>
      </c>
      <c r="Y21" s="4">
        <f t="shared" si="9"/>
        <v>2</v>
      </c>
      <c r="Z21" s="67">
        <f t="shared" si="10"/>
        <v>88</v>
      </c>
      <c r="AA21" s="110">
        <v>53</v>
      </c>
      <c r="AB21" s="64">
        <f t="shared" si="11"/>
        <v>26.5</v>
      </c>
      <c r="AC21" s="66">
        <f t="shared" si="12"/>
        <v>2428</v>
      </c>
      <c r="AD21" s="69">
        <f t="shared" si="13"/>
        <v>132</v>
      </c>
      <c r="AE21" s="182" t="str">
        <f t="shared" si="14"/>
        <v>TEST 20</v>
      </c>
      <c r="AF21" s="230">
        <f t="shared" ca="1" si="20"/>
        <v>1</v>
      </c>
      <c r="AG21" s="68">
        <f t="shared" ca="1" si="15"/>
        <v>0</v>
      </c>
      <c r="AH21" s="101">
        <f t="shared" ca="1" si="16"/>
        <v>2428</v>
      </c>
      <c r="AI21" s="101">
        <f t="shared" ca="1" si="17"/>
        <v>0</v>
      </c>
      <c r="AJ21" s="4" t="str">
        <f t="shared" si="18"/>
        <v/>
      </c>
      <c r="AK21" s="67" t="str">
        <f t="shared" si="19"/>
        <v/>
      </c>
    </row>
    <row r="22" spans="1:37" x14ac:dyDescent="0.2">
      <c r="A22" s="181" t="s">
        <v>224</v>
      </c>
      <c r="B22" s="106">
        <v>42850</v>
      </c>
      <c r="C22" s="106">
        <v>42853</v>
      </c>
      <c r="D22" s="29">
        <f t="shared" si="0"/>
        <v>3</v>
      </c>
      <c r="E22" s="104">
        <v>7</v>
      </c>
      <c r="F22" s="104">
        <v>48</v>
      </c>
      <c r="G22" s="104"/>
      <c r="H22" s="104"/>
      <c r="I22" s="68" t="str">
        <f t="shared" si="1"/>
        <v/>
      </c>
      <c r="J22" s="68">
        <f t="shared" si="2"/>
        <v>55</v>
      </c>
      <c r="K22" s="30">
        <f t="shared" si="3"/>
        <v>165</v>
      </c>
      <c r="L22" s="107" t="s">
        <v>27</v>
      </c>
      <c r="M22" s="44" t="str">
        <f ca="1">IF(Saisie[[#This Row],[Nom du groupe]]="","",VLOOKUP(Saisie[[#This Row],[Nom du groupe]],Données,5,FALSE))</f>
        <v>HOT</v>
      </c>
      <c r="N22" s="45">
        <f t="shared" ca="1" si="4"/>
        <v>76</v>
      </c>
      <c r="O22" s="4">
        <f t="shared" si="5"/>
        <v>5</v>
      </c>
      <c r="P22" s="68">
        <f t="shared" si="6"/>
        <v>48</v>
      </c>
      <c r="Q22" s="107" t="s">
        <v>70</v>
      </c>
      <c r="R22" s="107">
        <v>2</v>
      </c>
      <c r="S22" s="64">
        <f t="shared" si="7"/>
        <v>44</v>
      </c>
      <c r="T22" s="64">
        <f t="shared" si="8"/>
        <v>41</v>
      </c>
      <c r="U22" s="109" t="s">
        <v>71</v>
      </c>
      <c r="V22" s="107">
        <v>1</v>
      </c>
      <c r="W22" s="64">
        <f t="shared" si="21"/>
        <v>53</v>
      </c>
      <c r="X22" s="64">
        <f t="shared" si="22"/>
        <v>48.5</v>
      </c>
      <c r="Y22" s="4">
        <f t="shared" si="9"/>
        <v>2</v>
      </c>
      <c r="Z22" s="67">
        <f t="shared" si="10"/>
        <v>282</v>
      </c>
      <c r="AA22" s="110">
        <v>48</v>
      </c>
      <c r="AB22" s="64">
        <f t="shared" si="11"/>
        <v>72</v>
      </c>
      <c r="AC22" s="66">
        <f t="shared" si="12"/>
        <v>6969</v>
      </c>
      <c r="AD22" s="69">
        <f t="shared" si="13"/>
        <v>0</v>
      </c>
      <c r="AE22" s="182" t="str">
        <f t="shared" si="14"/>
        <v>TEST 21</v>
      </c>
      <c r="AF22" s="230">
        <f t="shared" ca="1" si="20"/>
        <v>3</v>
      </c>
      <c r="AG22" s="68">
        <f t="shared" ca="1" si="15"/>
        <v>0</v>
      </c>
      <c r="AH22" s="101">
        <f t="shared" ca="1" si="16"/>
        <v>6969</v>
      </c>
      <c r="AI22" s="101">
        <f t="shared" ca="1" si="17"/>
        <v>0</v>
      </c>
      <c r="AJ22" s="4" t="str">
        <f t="shared" si="18"/>
        <v/>
      </c>
      <c r="AK22" s="67" t="str">
        <f t="shared" si="19"/>
        <v/>
      </c>
    </row>
    <row r="23" spans="1:37" x14ac:dyDescent="0.2">
      <c r="A23" s="181" t="s">
        <v>225</v>
      </c>
      <c r="B23" s="106">
        <v>42854</v>
      </c>
      <c r="C23" s="106">
        <v>42855</v>
      </c>
      <c r="D23" s="29">
        <f t="shared" si="0"/>
        <v>1</v>
      </c>
      <c r="E23" s="104">
        <v>49</v>
      </c>
      <c r="F23" s="104">
        <v>2</v>
      </c>
      <c r="G23" s="104">
        <v>7</v>
      </c>
      <c r="H23" s="104"/>
      <c r="I23" s="68">
        <f t="shared" si="1"/>
        <v>7</v>
      </c>
      <c r="J23" s="68">
        <f t="shared" si="2"/>
        <v>51</v>
      </c>
      <c r="K23" s="30">
        <f t="shared" si="3"/>
        <v>51</v>
      </c>
      <c r="L23" s="107" t="s">
        <v>27</v>
      </c>
      <c r="M23" s="44" t="str">
        <f ca="1">IF(Saisie[[#This Row],[Nom du groupe]]="","",VLOOKUP(Saisie[[#This Row],[Nom du groupe]],Données,5,FALSE))</f>
        <v>HOT</v>
      </c>
      <c r="N23" s="45">
        <f t="shared" ca="1" si="4"/>
        <v>1</v>
      </c>
      <c r="O23" s="4">
        <f t="shared" si="5"/>
        <v>47</v>
      </c>
      <c r="P23" s="68">
        <f t="shared" si="6"/>
        <v>2</v>
      </c>
      <c r="Q23" s="107" t="s">
        <v>71</v>
      </c>
      <c r="R23" s="107">
        <v>1</v>
      </c>
      <c r="S23" s="64">
        <f t="shared" si="7"/>
        <v>53</v>
      </c>
      <c r="T23" s="64">
        <f t="shared" si="8"/>
        <v>48.5</v>
      </c>
      <c r="U23" s="109"/>
      <c r="W23" s="64" t="str">
        <f t="shared" si="21"/>
        <v/>
      </c>
      <c r="X23" s="64" t="str">
        <f t="shared" si="22"/>
        <v/>
      </c>
      <c r="Y23" s="4">
        <f t="shared" si="9"/>
        <v>2</v>
      </c>
      <c r="Z23" s="67">
        <f t="shared" si="10"/>
        <v>106</v>
      </c>
      <c r="AA23" s="110">
        <v>49</v>
      </c>
      <c r="AB23" s="64">
        <f t="shared" si="11"/>
        <v>24.5</v>
      </c>
      <c r="AC23" s="66">
        <f t="shared" si="12"/>
        <v>2588</v>
      </c>
      <c r="AD23" s="69">
        <f t="shared" si="13"/>
        <v>371</v>
      </c>
      <c r="AE23" s="182" t="str">
        <f t="shared" si="14"/>
        <v>TEST 22</v>
      </c>
      <c r="AF23" s="230">
        <f t="shared" ca="1" si="20"/>
        <v>1</v>
      </c>
      <c r="AG23" s="68">
        <f t="shared" ca="1" si="15"/>
        <v>0</v>
      </c>
      <c r="AH23" s="101">
        <f t="shared" ca="1" si="16"/>
        <v>2588</v>
      </c>
      <c r="AI23" s="101">
        <f t="shared" ca="1" si="17"/>
        <v>0</v>
      </c>
      <c r="AJ23" s="4" t="str">
        <f t="shared" si="18"/>
        <v/>
      </c>
      <c r="AK23" s="67" t="str">
        <f t="shared" si="19"/>
        <v/>
      </c>
    </row>
    <row r="24" spans="1:37" x14ac:dyDescent="0.2">
      <c r="A24" s="181" t="s">
        <v>226</v>
      </c>
      <c r="B24" s="106">
        <v>42856</v>
      </c>
      <c r="C24" s="106">
        <v>42859</v>
      </c>
      <c r="D24" s="29">
        <f t="shared" si="0"/>
        <v>3</v>
      </c>
      <c r="E24" s="104">
        <v>31</v>
      </c>
      <c r="F24" s="104"/>
      <c r="G24" s="104"/>
      <c r="H24" s="104"/>
      <c r="I24" s="68" t="str">
        <f t="shared" si="1"/>
        <v/>
      </c>
      <c r="J24" s="68">
        <f t="shared" si="2"/>
        <v>31</v>
      </c>
      <c r="K24" s="30">
        <f t="shared" si="3"/>
        <v>93</v>
      </c>
      <c r="L24" s="107" t="s">
        <v>27</v>
      </c>
      <c r="M24" s="44" t="str">
        <f ca="1">IF(Saisie[[#This Row],[Nom du groupe]]="","",VLOOKUP(Saisie[[#This Row],[Nom du groupe]],Données,5,FALSE))</f>
        <v>HOT</v>
      </c>
      <c r="N24" s="45">
        <f t="shared" ca="1" si="4"/>
        <v>19</v>
      </c>
      <c r="O24" s="4">
        <f t="shared" si="5"/>
        <v>30</v>
      </c>
      <c r="P24" s="68" t="str">
        <f t="shared" si="6"/>
        <v/>
      </c>
      <c r="Q24" s="107" t="s">
        <v>71</v>
      </c>
      <c r="R24" s="107">
        <v>3</v>
      </c>
      <c r="S24" s="64">
        <f t="shared" si="7"/>
        <v>53</v>
      </c>
      <c r="T24" s="64">
        <f t="shared" si="8"/>
        <v>48.5</v>
      </c>
      <c r="U24" s="109"/>
      <c r="W24" s="64" t="str">
        <f t="shared" si="21"/>
        <v/>
      </c>
      <c r="X24" s="64" t="str">
        <f t="shared" si="22"/>
        <v/>
      </c>
      <c r="Y24" s="4">
        <f t="shared" si="9"/>
        <v>1</v>
      </c>
      <c r="Z24" s="67">
        <f t="shared" si="10"/>
        <v>159</v>
      </c>
      <c r="AA24" s="110">
        <v>31</v>
      </c>
      <c r="AB24" s="64">
        <f t="shared" si="11"/>
        <v>46.5</v>
      </c>
      <c r="AC24" s="66">
        <f t="shared" si="12"/>
        <v>4770</v>
      </c>
      <c r="AD24" s="69">
        <f t="shared" si="13"/>
        <v>0</v>
      </c>
      <c r="AE24" s="182" t="str">
        <f t="shared" si="14"/>
        <v>TEST 23</v>
      </c>
      <c r="AF24" s="230">
        <f t="shared" ca="1" si="20"/>
        <v>3</v>
      </c>
      <c r="AG24" s="68">
        <f t="shared" ca="1" si="15"/>
        <v>0</v>
      </c>
      <c r="AH24" s="101">
        <f t="shared" ca="1" si="16"/>
        <v>4770</v>
      </c>
      <c r="AI24" s="101">
        <f t="shared" ca="1" si="17"/>
        <v>0</v>
      </c>
      <c r="AJ24" s="4" t="str">
        <f t="shared" si="18"/>
        <v/>
      </c>
      <c r="AK24" s="67" t="str">
        <f t="shared" si="19"/>
        <v/>
      </c>
    </row>
    <row r="25" spans="1:37" x14ac:dyDescent="0.2">
      <c r="A25" s="181" t="s">
        <v>227</v>
      </c>
      <c r="B25" s="106">
        <v>42859</v>
      </c>
      <c r="C25" s="106">
        <v>42860</v>
      </c>
      <c r="D25" s="29">
        <f t="shared" si="0"/>
        <v>1</v>
      </c>
      <c r="E25" s="104">
        <v>8</v>
      </c>
      <c r="F25" s="104">
        <v>32</v>
      </c>
      <c r="G25" s="104"/>
      <c r="H25" s="104">
        <v>1</v>
      </c>
      <c r="I25" s="68">
        <f t="shared" si="1"/>
        <v>1</v>
      </c>
      <c r="J25" s="68">
        <f t="shared" si="2"/>
        <v>40</v>
      </c>
      <c r="K25" s="30">
        <f t="shared" si="3"/>
        <v>40</v>
      </c>
      <c r="L25" s="107" t="s">
        <v>27</v>
      </c>
      <c r="M25" s="44" t="str">
        <f ca="1">IF(Saisie[[#This Row],[Nom du groupe]]="","",VLOOKUP(Saisie[[#This Row],[Nom du groupe]],Données,5,FALSE))</f>
        <v>SEM</v>
      </c>
      <c r="N25" s="45">
        <f t="shared" ca="1" si="4"/>
        <v>59</v>
      </c>
      <c r="O25" s="4">
        <f t="shared" si="5"/>
        <v>7</v>
      </c>
      <c r="P25" s="68">
        <f t="shared" si="6"/>
        <v>32</v>
      </c>
      <c r="Q25" s="107" t="s">
        <v>71</v>
      </c>
      <c r="R25" s="107">
        <v>1</v>
      </c>
      <c r="S25" s="64">
        <f t="shared" si="7"/>
        <v>53</v>
      </c>
      <c r="T25" s="64">
        <f t="shared" si="8"/>
        <v>48.5</v>
      </c>
      <c r="U25" s="109"/>
      <c r="W25" s="64" t="str">
        <f t="shared" si="21"/>
        <v/>
      </c>
      <c r="X25" s="64" t="str">
        <f t="shared" si="22"/>
        <v/>
      </c>
      <c r="Y25" s="4">
        <f t="shared" si="9"/>
        <v>1</v>
      </c>
      <c r="Z25" s="67">
        <f t="shared" si="10"/>
        <v>53</v>
      </c>
      <c r="AA25" s="110"/>
      <c r="AB25" s="64" t="str">
        <f t="shared" si="11"/>
        <v/>
      </c>
      <c r="AC25" s="66">
        <f t="shared" si="12"/>
        <v>1923</v>
      </c>
      <c r="AD25" s="69">
        <f t="shared" si="13"/>
        <v>48.5</v>
      </c>
      <c r="AE25" s="182" t="str">
        <f t="shared" si="14"/>
        <v>TEST 24</v>
      </c>
      <c r="AF25" s="230">
        <f t="shared" ca="1" si="20"/>
        <v>1</v>
      </c>
      <c r="AG25" s="68">
        <f t="shared" ca="1" si="15"/>
        <v>0</v>
      </c>
      <c r="AH25" s="101">
        <f t="shared" ca="1" si="16"/>
        <v>1923</v>
      </c>
      <c r="AI25" s="101">
        <f t="shared" ca="1" si="17"/>
        <v>0</v>
      </c>
      <c r="AJ25" s="4" t="str">
        <f t="shared" si="18"/>
        <v/>
      </c>
      <c r="AK25" s="67" t="str">
        <f t="shared" si="19"/>
        <v/>
      </c>
    </row>
    <row r="26" spans="1:37" x14ac:dyDescent="0.2">
      <c r="A26" s="181" t="s">
        <v>228</v>
      </c>
      <c r="B26" s="106">
        <v>42861</v>
      </c>
      <c r="C26" s="106">
        <v>42862</v>
      </c>
      <c r="D26" s="29">
        <f t="shared" si="0"/>
        <v>1</v>
      </c>
      <c r="E26" s="104">
        <v>32</v>
      </c>
      <c r="F26" s="104">
        <v>14</v>
      </c>
      <c r="G26" s="104">
        <v>4</v>
      </c>
      <c r="H26" s="104"/>
      <c r="I26" s="68">
        <f t="shared" si="1"/>
        <v>4</v>
      </c>
      <c r="J26" s="68">
        <f t="shared" si="2"/>
        <v>46</v>
      </c>
      <c r="K26" s="30">
        <f t="shared" si="3"/>
        <v>46</v>
      </c>
      <c r="L26" s="107" t="s">
        <v>27</v>
      </c>
      <c r="M26" s="44" t="str">
        <f ca="1">IF(Saisie[[#This Row],[Nom du groupe]]="","",VLOOKUP(Saisie[[#This Row],[Nom du groupe]],Données,5,FALSE))</f>
        <v>HOT</v>
      </c>
      <c r="N26" s="45">
        <f t="shared" ca="1" si="4"/>
        <v>75</v>
      </c>
      <c r="O26" s="4">
        <f t="shared" si="5"/>
        <v>30</v>
      </c>
      <c r="P26" s="68">
        <f t="shared" si="6"/>
        <v>14</v>
      </c>
      <c r="Q26" s="107" t="s">
        <v>71</v>
      </c>
      <c r="R26" s="107">
        <v>1</v>
      </c>
      <c r="S26" s="64">
        <f t="shared" si="7"/>
        <v>53</v>
      </c>
      <c r="T26" s="64">
        <f t="shared" si="8"/>
        <v>48.5</v>
      </c>
      <c r="U26" s="109"/>
      <c r="W26" s="64" t="str">
        <f t="shared" si="21"/>
        <v/>
      </c>
      <c r="X26" s="64" t="str">
        <f t="shared" si="22"/>
        <v/>
      </c>
      <c r="Y26" s="4">
        <f t="shared" si="9"/>
        <v>2</v>
      </c>
      <c r="Z26" s="67">
        <f t="shared" si="10"/>
        <v>106</v>
      </c>
      <c r="AA26" s="110">
        <v>40</v>
      </c>
      <c r="AB26" s="64">
        <f t="shared" si="11"/>
        <v>20</v>
      </c>
      <c r="AC26" s="66">
        <f t="shared" si="12"/>
        <v>2269</v>
      </c>
      <c r="AD26" s="69">
        <f t="shared" si="13"/>
        <v>212</v>
      </c>
      <c r="AE26" s="182" t="str">
        <f t="shared" si="14"/>
        <v>TEST 25</v>
      </c>
      <c r="AF26" s="230">
        <f t="shared" ca="1" si="20"/>
        <v>1</v>
      </c>
      <c r="AG26" s="68">
        <f t="shared" ca="1" si="15"/>
        <v>0</v>
      </c>
      <c r="AH26" s="101">
        <f t="shared" ca="1" si="16"/>
        <v>2269</v>
      </c>
      <c r="AI26" s="101">
        <f t="shared" ca="1" si="17"/>
        <v>0</v>
      </c>
      <c r="AJ26" s="4" t="str">
        <f t="shared" si="18"/>
        <v/>
      </c>
      <c r="AK26" s="67" t="str">
        <f t="shared" si="19"/>
        <v/>
      </c>
    </row>
    <row r="27" spans="1:37" x14ac:dyDescent="0.2">
      <c r="A27" s="181" t="s">
        <v>229</v>
      </c>
      <c r="B27" s="106">
        <v>42862</v>
      </c>
      <c r="C27" s="106">
        <v>42863</v>
      </c>
      <c r="D27" s="29">
        <f t="shared" si="0"/>
        <v>1</v>
      </c>
      <c r="E27" s="104">
        <v>26</v>
      </c>
      <c r="F27" s="104">
        <v>8</v>
      </c>
      <c r="G27" s="104"/>
      <c r="H27" s="104">
        <v>1</v>
      </c>
      <c r="I27" s="68">
        <f t="shared" si="1"/>
        <v>1</v>
      </c>
      <c r="J27" s="68">
        <f t="shared" si="2"/>
        <v>34</v>
      </c>
      <c r="K27" s="30">
        <f t="shared" si="3"/>
        <v>34</v>
      </c>
      <c r="L27" s="107" t="s">
        <v>27</v>
      </c>
      <c r="M27" s="44" t="str">
        <f ca="1">IF(Saisie[[#This Row],[Nom du groupe]]="","",VLOOKUP(Saisie[[#This Row],[Nom du groupe]],Données,5,FALSE))</f>
        <v>ALSH</v>
      </c>
      <c r="N27" s="45">
        <f t="shared" ca="1" si="4"/>
        <v>80</v>
      </c>
      <c r="O27" s="4">
        <f t="shared" si="5"/>
        <v>25</v>
      </c>
      <c r="P27" s="68">
        <f t="shared" si="6"/>
        <v>8</v>
      </c>
      <c r="Q27" s="107" t="s">
        <v>70</v>
      </c>
      <c r="R27" s="107">
        <v>1</v>
      </c>
      <c r="S27" s="64">
        <f t="shared" si="7"/>
        <v>44</v>
      </c>
      <c r="T27" s="64">
        <f t="shared" si="8"/>
        <v>41</v>
      </c>
      <c r="U27" s="109"/>
      <c r="W27" s="64" t="str">
        <f t="shared" si="21"/>
        <v/>
      </c>
      <c r="X27" s="64" t="str">
        <f t="shared" si="22"/>
        <v/>
      </c>
      <c r="Y27" s="4">
        <f t="shared" si="9"/>
        <v>1</v>
      </c>
      <c r="Z27" s="67">
        <f t="shared" si="10"/>
        <v>44</v>
      </c>
      <c r="AA27" s="110">
        <v>28</v>
      </c>
      <c r="AB27" s="64">
        <f t="shared" si="11"/>
        <v>14</v>
      </c>
      <c r="AC27" s="66">
        <f t="shared" si="12"/>
        <v>1428</v>
      </c>
      <c r="AD27" s="69">
        <f t="shared" si="13"/>
        <v>41</v>
      </c>
      <c r="AE27" s="182" t="str">
        <f t="shared" si="14"/>
        <v>TEST 26</v>
      </c>
      <c r="AF27" s="230">
        <f t="shared" ca="1" si="20"/>
        <v>1</v>
      </c>
      <c r="AG27" s="68">
        <f t="shared" ca="1" si="15"/>
        <v>0</v>
      </c>
      <c r="AH27" s="101">
        <f t="shared" ca="1" si="16"/>
        <v>1428</v>
      </c>
      <c r="AI27" s="101">
        <f t="shared" ca="1" si="17"/>
        <v>0</v>
      </c>
      <c r="AJ27" s="4" t="str">
        <f t="shared" si="18"/>
        <v/>
      </c>
      <c r="AK27" s="67" t="str">
        <f t="shared" si="19"/>
        <v/>
      </c>
    </row>
    <row r="28" spans="1:37" x14ac:dyDescent="0.2">
      <c r="A28" s="181" t="s">
        <v>230</v>
      </c>
      <c r="B28" s="106">
        <v>42864</v>
      </c>
      <c r="C28" s="106">
        <v>42865</v>
      </c>
      <c r="D28" s="29">
        <f t="shared" si="0"/>
        <v>1</v>
      </c>
      <c r="E28" s="104">
        <v>5</v>
      </c>
      <c r="F28" s="104">
        <v>52</v>
      </c>
      <c r="G28" s="104"/>
      <c r="H28" s="104">
        <v>1</v>
      </c>
      <c r="I28" s="68">
        <f t="shared" si="1"/>
        <v>1</v>
      </c>
      <c r="J28" s="68">
        <f t="shared" si="2"/>
        <v>57</v>
      </c>
      <c r="K28" s="30">
        <f t="shared" si="3"/>
        <v>57</v>
      </c>
      <c r="L28" s="107" t="s">
        <v>27</v>
      </c>
      <c r="M28" s="44" t="str">
        <f ca="1">IF(Saisie[[#This Row],[Nom du groupe]]="","",VLOOKUP(Saisie[[#This Row],[Nom du groupe]],Données,5,FALSE))</f>
        <v>HOT</v>
      </c>
      <c r="N28" s="45">
        <f t="shared" ca="1" si="4"/>
        <v>80</v>
      </c>
      <c r="O28" s="4">
        <f t="shared" si="5"/>
        <v>3</v>
      </c>
      <c r="P28" s="68">
        <f t="shared" si="6"/>
        <v>52</v>
      </c>
      <c r="Q28" s="107" t="s">
        <v>71</v>
      </c>
      <c r="R28" s="107">
        <v>1</v>
      </c>
      <c r="S28" s="64">
        <f t="shared" si="7"/>
        <v>53</v>
      </c>
      <c r="T28" s="64">
        <f t="shared" si="8"/>
        <v>48.5</v>
      </c>
      <c r="U28" s="109"/>
      <c r="W28" s="64" t="str">
        <f t="shared" si="21"/>
        <v/>
      </c>
      <c r="X28" s="64" t="str">
        <f t="shared" si="22"/>
        <v/>
      </c>
      <c r="Y28" s="4">
        <f t="shared" si="9"/>
        <v>2</v>
      </c>
      <c r="Z28" s="67">
        <f t="shared" si="10"/>
        <v>106</v>
      </c>
      <c r="AA28" s="110"/>
      <c r="AB28" s="64" t="str">
        <f t="shared" si="11"/>
        <v/>
      </c>
      <c r="AC28" s="66">
        <f t="shared" si="12"/>
        <v>2681</v>
      </c>
      <c r="AD28" s="69">
        <f t="shared" si="13"/>
        <v>48.5</v>
      </c>
      <c r="AE28" s="182" t="str">
        <f t="shared" si="14"/>
        <v>TEST 27</v>
      </c>
      <c r="AF28" s="230">
        <f t="shared" ca="1" si="20"/>
        <v>1</v>
      </c>
      <c r="AG28" s="68">
        <f t="shared" ca="1" si="15"/>
        <v>0</v>
      </c>
      <c r="AH28" s="101">
        <f t="shared" ca="1" si="16"/>
        <v>2681</v>
      </c>
      <c r="AI28" s="101">
        <f t="shared" ca="1" si="17"/>
        <v>0</v>
      </c>
      <c r="AJ28" s="4" t="str">
        <f t="shared" si="18"/>
        <v/>
      </c>
      <c r="AK28" s="67" t="str">
        <f t="shared" si="19"/>
        <v/>
      </c>
    </row>
    <row r="29" spans="1:37" x14ac:dyDescent="0.2">
      <c r="A29" s="181" t="s">
        <v>231</v>
      </c>
      <c r="B29" s="106">
        <v>42865</v>
      </c>
      <c r="C29" s="106">
        <v>42867</v>
      </c>
      <c r="D29" s="29">
        <f t="shared" si="0"/>
        <v>2</v>
      </c>
      <c r="E29" s="104">
        <v>7</v>
      </c>
      <c r="F29" s="104">
        <v>44</v>
      </c>
      <c r="G29" s="104"/>
      <c r="H29" s="104"/>
      <c r="I29" s="68" t="str">
        <f t="shared" si="1"/>
        <v/>
      </c>
      <c r="J29" s="68">
        <f t="shared" si="2"/>
        <v>51</v>
      </c>
      <c r="K29" s="30">
        <f t="shared" si="3"/>
        <v>102</v>
      </c>
      <c r="L29" s="107" t="s">
        <v>27</v>
      </c>
      <c r="M29" s="44" t="str">
        <f ca="1">IF(Saisie[[#This Row],[Nom du groupe]]="","",VLOOKUP(Saisie[[#This Row],[Nom du groupe]],Données,5,FALSE))</f>
        <v>ASS</v>
      </c>
      <c r="N29" s="45">
        <f t="shared" ca="1" si="4"/>
        <v>2</v>
      </c>
      <c r="O29" s="4">
        <f t="shared" si="5"/>
        <v>5</v>
      </c>
      <c r="P29" s="68">
        <f t="shared" si="6"/>
        <v>44</v>
      </c>
      <c r="Q29" s="107" t="s">
        <v>71</v>
      </c>
      <c r="R29" s="107">
        <v>2</v>
      </c>
      <c r="S29" s="64">
        <f t="shared" si="7"/>
        <v>53</v>
      </c>
      <c r="T29" s="64">
        <f t="shared" si="8"/>
        <v>48.5</v>
      </c>
      <c r="U29" s="109"/>
      <c r="W29" s="64" t="str">
        <f t="shared" si="21"/>
        <v/>
      </c>
      <c r="X29" s="64" t="str">
        <f t="shared" si="22"/>
        <v/>
      </c>
      <c r="Y29" s="4">
        <f t="shared" si="9"/>
        <v>2</v>
      </c>
      <c r="Z29" s="67">
        <f t="shared" si="10"/>
        <v>212</v>
      </c>
      <c r="AA29" s="110"/>
      <c r="AB29" s="64" t="str">
        <f t="shared" si="11"/>
        <v/>
      </c>
      <c r="AC29" s="66">
        <f t="shared" si="12"/>
        <v>4798</v>
      </c>
      <c r="AD29" s="69">
        <f t="shared" si="13"/>
        <v>0</v>
      </c>
      <c r="AE29" s="182" t="str">
        <f t="shared" si="14"/>
        <v>TEST 28</v>
      </c>
      <c r="AF29" s="230">
        <f t="shared" ca="1" si="20"/>
        <v>2</v>
      </c>
      <c r="AG29" s="68">
        <f t="shared" ca="1" si="15"/>
        <v>0</v>
      </c>
      <c r="AH29" s="101">
        <f t="shared" ca="1" si="16"/>
        <v>4798</v>
      </c>
      <c r="AI29" s="101">
        <f t="shared" ca="1" si="17"/>
        <v>0</v>
      </c>
      <c r="AJ29" s="4" t="str">
        <f t="shared" si="18"/>
        <v/>
      </c>
      <c r="AK29" s="67" t="str">
        <f t="shared" si="19"/>
        <v/>
      </c>
    </row>
    <row r="30" spans="1:37" x14ac:dyDescent="0.2">
      <c r="A30" s="181" t="s">
        <v>232</v>
      </c>
      <c r="B30" s="106">
        <v>42868</v>
      </c>
      <c r="C30" s="106">
        <v>42869</v>
      </c>
      <c r="D30" s="29">
        <f t="shared" si="0"/>
        <v>1</v>
      </c>
      <c r="E30" s="104">
        <v>15</v>
      </c>
      <c r="F30" s="104"/>
      <c r="G30" s="104">
        <v>5</v>
      </c>
      <c r="H30" s="104"/>
      <c r="I30" s="68">
        <f t="shared" si="1"/>
        <v>5</v>
      </c>
      <c r="J30" s="68">
        <f t="shared" si="2"/>
        <v>15</v>
      </c>
      <c r="K30" s="30">
        <f t="shared" si="3"/>
        <v>15</v>
      </c>
      <c r="L30" s="107" t="s">
        <v>27</v>
      </c>
      <c r="M30" s="44" t="str">
        <f ca="1">IF(Saisie[[#This Row],[Nom du groupe]]="","",VLOOKUP(Saisie[[#This Row],[Nom du groupe]],Données,5,FALSE))</f>
        <v>ASS</v>
      </c>
      <c r="N30" s="45">
        <f t="shared" ca="1" si="4"/>
        <v>77</v>
      </c>
      <c r="O30" s="4">
        <f t="shared" si="5"/>
        <v>15</v>
      </c>
      <c r="P30" s="68" t="str">
        <f t="shared" si="6"/>
        <v/>
      </c>
      <c r="Q30" s="107" t="s">
        <v>71</v>
      </c>
      <c r="R30" s="107">
        <v>1</v>
      </c>
      <c r="S30" s="64">
        <f t="shared" si="7"/>
        <v>53</v>
      </c>
      <c r="T30" s="64">
        <f t="shared" si="8"/>
        <v>48.5</v>
      </c>
      <c r="U30" s="109"/>
      <c r="W30" s="64" t="str">
        <f t="shared" si="21"/>
        <v/>
      </c>
      <c r="X30" s="64" t="str">
        <f t="shared" si="22"/>
        <v/>
      </c>
      <c r="Y30" s="4">
        <f t="shared" si="9"/>
        <v>0</v>
      </c>
      <c r="Z30" s="67">
        <f t="shared" si="10"/>
        <v>0</v>
      </c>
      <c r="AA30" s="110">
        <v>15</v>
      </c>
      <c r="AB30" s="64">
        <f t="shared" si="11"/>
        <v>7.5</v>
      </c>
      <c r="AC30" s="66">
        <f t="shared" si="12"/>
        <v>795</v>
      </c>
      <c r="AD30" s="69">
        <f t="shared" si="13"/>
        <v>265</v>
      </c>
      <c r="AE30" s="182" t="str">
        <f t="shared" si="14"/>
        <v>TEST 29</v>
      </c>
      <c r="AF30" s="230">
        <f t="shared" ca="1" si="20"/>
        <v>1</v>
      </c>
      <c r="AG30" s="68">
        <f t="shared" ca="1" si="15"/>
        <v>0</v>
      </c>
      <c r="AH30" s="101">
        <f t="shared" ca="1" si="16"/>
        <v>795</v>
      </c>
      <c r="AI30" s="101">
        <f t="shared" ca="1" si="17"/>
        <v>0</v>
      </c>
      <c r="AJ30" s="4" t="str">
        <f t="shared" si="18"/>
        <v/>
      </c>
      <c r="AK30" s="67" t="str">
        <f t="shared" si="19"/>
        <v/>
      </c>
    </row>
    <row r="31" spans="1:37" x14ac:dyDescent="0.2">
      <c r="A31" s="181" t="s">
        <v>233</v>
      </c>
      <c r="B31" s="106">
        <v>42868</v>
      </c>
      <c r="C31" s="106">
        <v>42869</v>
      </c>
      <c r="D31" s="29">
        <f t="shared" si="0"/>
        <v>1</v>
      </c>
      <c r="E31" s="104">
        <v>20</v>
      </c>
      <c r="F31" s="104">
        <v>4</v>
      </c>
      <c r="G31" s="104"/>
      <c r="H31" s="104"/>
      <c r="I31" s="68" t="str">
        <f t="shared" si="1"/>
        <v/>
      </c>
      <c r="J31" s="68">
        <f t="shared" si="2"/>
        <v>24</v>
      </c>
      <c r="K31" s="30">
        <f t="shared" si="3"/>
        <v>24</v>
      </c>
      <c r="L31" s="107" t="s">
        <v>27</v>
      </c>
      <c r="M31" s="44" t="str">
        <f ca="1">IF(Saisie[[#This Row],[Nom du groupe]]="","",VLOOKUP(Saisie[[#This Row],[Nom du groupe]],Données,5,FALSE))</f>
        <v>FAM</v>
      </c>
      <c r="N31" s="45">
        <f t="shared" ca="1" si="4"/>
        <v>78</v>
      </c>
      <c r="O31" s="4">
        <f t="shared" si="5"/>
        <v>19</v>
      </c>
      <c r="P31" s="68">
        <f t="shared" si="6"/>
        <v>4</v>
      </c>
      <c r="Q31" s="107" t="s">
        <v>72</v>
      </c>
      <c r="R31" s="107">
        <v>1</v>
      </c>
      <c r="S31" s="64">
        <f t="shared" si="7"/>
        <v>29</v>
      </c>
      <c r="T31" s="64">
        <f t="shared" si="8"/>
        <v>29</v>
      </c>
      <c r="U31" s="109"/>
      <c r="W31" s="64" t="str">
        <f t="shared" si="21"/>
        <v/>
      </c>
      <c r="X31" s="64" t="str">
        <f t="shared" si="22"/>
        <v/>
      </c>
      <c r="Y31" s="4">
        <f t="shared" si="9"/>
        <v>1</v>
      </c>
      <c r="Z31" s="67">
        <f t="shared" si="10"/>
        <v>29</v>
      </c>
      <c r="AA31" s="110">
        <v>21</v>
      </c>
      <c r="AB31" s="64">
        <f t="shared" si="11"/>
        <v>10.5</v>
      </c>
      <c r="AC31" s="66">
        <f t="shared" si="12"/>
        <v>667</v>
      </c>
      <c r="AD31" s="69">
        <f t="shared" si="13"/>
        <v>0</v>
      </c>
      <c r="AE31" s="182" t="str">
        <f t="shared" si="14"/>
        <v>TEST 30</v>
      </c>
      <c r="AF31" s="230">
        <f t="shared" ca="1" si="20"/>
        <v>1</v>
      </c>
      <c r="AG31" s="68">
        <f t="shared" ca="1" si="15"/>
        <v>0</v>
      </c>
      <c r="AH31" s="101">
        <f t="shared" ca="1" si="16"/>
        <v>667</v>
      </c>
      <c r="AI31" s="101">
        <f t="shared" ca="1" si="17"/>
        <v>0</v>
      </c>
      <c r="AJ31" s="4" t="str">
        <f t="shared" si="18"/>
        <v/>
      </c>
      <c r="AK31" s="67" t="str">
        <f t="shared" si="19"/>
        <v/>
      </c>
    </row>
    <row r="32" spans="1:37" x14ac:dyDescent="0.2">
      <c r="A32" s="181" t="s">
        <v>234</v>
      </c>
      <c r="B32" s="106">
        <v>42870</v>
      </c>
      <c r="C32" s="106">
        <v>42874</v>
      </c>
      <c r="D32" s="29">
        <f t="shared" si="0"/>
        <v>4</v>
      </c>
      <c r="E32" s="104">
        <v>10</v>
      </c>
      <c r="F32" s="104">
        <v>37</v>
      </c>
      <c r="G32" s="104"/>
      <c r="H32" s="104"/>
      <c r="I32" s="68" t="str">
        <f t="shared" si="1"/>
        <v/>
      </c>
      <c r="J32" s="68">
        <f t="shared" si="2"/>
        <v>47</v>
      </c>
      <c r="K32" s="30">
        <f t="shared" si="3"/>
        <v>188</v>
      </c>
      <c r="L32" s="107" t="s">
        <v>27</v>
      </c>
      <c r="M32" s="44" t="str">
        <f ca="1">IF(Saisie[[#This Row],[Nom du groupe]]="","",VLOOKUP(Saisie[[#This Row],[Nom du groupe]],Données,5,FALSE))</f>
        <v>SCO C</v>
      </c>
      <c r="N32" s="45">
        <f t="shared" ca="1" si="4"/>
        <v>80</v>
      </c>
      <c r="O32" s="4">
        <f t="shared" si="5"/>
        <v>8</v>
      </c>
      <c r="P32" s="68">
        <f t="shared" si="6"/>
        <v>37</v>
      </c>
      <c r="Q32" s="107" t="s">
        <v>71</v>
      </c>
      <c r="R32" s="107">
        <v>4</v>
      </c>
      <c r="S32" s="64">
        <f t="shared" si="7"/>
        <v>53</v>
      </c>
      <c r="T32" s="64">
        <f t="shared" si="8"/>
        <v>48.5</v>
      </c>
      <c r="U32" s="109"/>
      <c r="W32" s="64" t="str">
        <f t="shared" si="21"/>
        <v/>
      </c>
      <c r="X32" s="64" t="str">
        <f t="shared" si="22"/>
        <v/>
      </c>
      <c r="Y32" s="4">
        <f t="shared" si="9"/>
        <v>2</v>
      </c>
      <c r="Z32" s="67">
        <f t="shared" si="10"/>
        <v>424</v>
      </c>
      <c r="AA32" s="110"/>
      <c r="AB32" s="64" t="str">
        <f t="shared" si="11"/>
        <v/>
      </c>
      <c r="AC32" s="66">
        <f t="shared" si="12"/>
        <v>8874</v>
      </c>
      <c r="AD32" s="69">
        <f t="shared" si="13"/>
        <v>0</v>
      </c>
      <c r="AE32" s="182" t="str">
        <f t="shared" si="14"/>
        <v>TEST 31</v>
      </c>
      <c r="AF32" s="230">
        <f t="shared" ca="1" si="20"/>
        <v>4</v>
      </c>
      <c r="AG32" s="68">
        <f t="shared" ca="1" si="15"/>
        <v>0</v>
      </c>
      <c r="AH32" s="101">
        <f t="shared" ca="1" si="16"/>
        <v>8874</v>
      </c>
      <c r="AI32" s="101">
        <f t="shared" ca="1" si="17"/>
        <v>0</v>
      </c>
      <c r="AJ32" s="4" t="str">
        <f t="shared" si="18"/>
        <v/>
      </c>
      <c r="AK32" s="67" t="str">
        <f t="shared" si="19"/>
        <v/>
      </c>
    </row>
    <row r="33" spans="1:37" x14ac:dyDescent="0.2">
      <c r="A33" s="181" t="s">
        <v>235</v>
      </c>
      <c r="B33" s="106">
        <v>42874</v>
      </c>
      <c r="C33" s="106">
        <v>42875</v>
      </c>
      <c r="D33" s="29">
        <f t="shared" si="0"/>
        <v>1</v>
      </c>
      <c r="E33" s="104">
        <v>5</v>
      </c>
      <c r="F33" s="104"/>
      <c r="G33" s="104">
        <v>5</v>
      </c>
      <c r="H33" s="104"/>
      <c r="I33" s="68">
        <f t="shared" si="1"/>
        <v>5</v>
      </c>
      <c r="J33" s="68">
        <f t="shared" si="2"/>
        <v>5</v>
      </c>
      <c r="K33" s="30">
        <f t="shared" si="3"/>
        <v>5</v>
      </c>
      <c r="L33" s="107" t="s">
        <v>27</v>
      </c>
      <c r="M33" s="44" t="str">
        <f ca="1">IF(Saisie[[#This Row],[Nom du groupe]]="","",VLOOKUP(Saisie[[#This Row],[Nom du groupe]],Données,5,FALSE))</f>
        <v>SCO C</v>
      </c>
      <c r="N33" s="45" t="str">
        <f t="shared" ca="1" si="4"/>
        <v>BEL</v>
      </c>
      <c r="O33" s="4">
        <f t="shared" si="5"/>
        <v>5</v>
      </c>
      <c r="P33" s="68" t="str">
        <f t="shared" si="6"/>
        <v/>
      </c>
      <c r="Q33" s="107" t="s">
        <v>71</v>
      </c>
      <c r="R33" s="107">
        <v>1</v>
      </c>
      <c r="S33" s="64">
        <f t="shared" si="7"/>
        <v>53</v>
      </c>
      <c r="T33" s="64">
        <f t="shared" si="8"/>
        <v>48.5</v>
      </c>
      <c r="U33" s="109"/>
      <c r="W33" s="64" t="str">
        <f t="shared" si="21"/>
        <v/>
      </c>
      <c r="X33" s="64" t="str">
        <f t="shared" si="22"/>
        <v/>
      </c>
      <c r="Y33" s="4">
        <f t="shared" si="9"/>
        <v>0</v>
      </c>
      <c r="Z33" s="67">
        <f t="shared" si="10"/>
        <v>0</v>
      </c>
      <c r="AA33" s="110">
        <v>5</v>
      </c>
      <c r="AB33" s="64">
        <f t="shared" si="11"/>
        <v>2.5</v>
      </c>
      <c r="AC33" s="66">
        <f t="shared" si="12"/>
        <v>265</v>
      </c>
      <c r="AD33" s="69">
        <f t="shared" si="13"/>
        <v>265</v>
      </c>
      <c r="AE33" s="182" t="str">
        <f t="shared" si="14"/>
        <v>TEST 32</v>
      </c>
      <c r="AF33" s="230">
        <f t="shared" ca="1" si="20"/>
        <v>1</v>
      </c>
      <c r="AG33" s="68">
        <f t="shared" ca="1" si="15"/>
        <v>0</v>
      </c>
      <c r="AH33" s="101">
        <f t="shared" ca="1" si="16"/>
        <v>265</v>
      </c>
      <c r="AI33" s="101">
        <f t="shared" ca="1" si="17"/>
        <v>0</v>
      </c>
      <c r="AJ33" s="4" t="str">
        <f t="shared" si="18"/>
        <v/>
      </c>
      <c r="AK33" s="67" t="str">
        <f t="shared" si="19"/>
        <v/>
      </c>
    </row>
    <row r="34" spans="1:37" x14ac:dyDescent="0.2">
      <c r="A34" s="181" t="s">
        <v>236</v>
      </c>
      <c r="B34" s="106">
        <v>42874</v>
      </c>
      <c r="C34" s="106">
        <v>42876</v>
      </c>
      <c r="D34" s="29">
        <f t="shared" ref="D34:D65" si="23">IF($B34="","",IF($C34="","",DATEDIF($B34,$C34,"D")))</f>
        <v>2</v>
      </c>
      <c r="E34" s="104">
        <v>22</v>
      </c>
      <c r="F34" s="104">
        <v>1</v>
      </c>
      <c r="G34" s="104"/>
      <c r="H34" s="104"/>
      <c r="I34" s="68" t="str">
        <f t="shared" ref="I34:I65" si="24">IF($G34&amp;$H34="","",IF($E34="","",IF($G34="","0",SUMPRODUCT($G34,$D34))+IF($F34="","0",IF($H34="","0",SUMPRODUCT($H34,$D34)))))</f>
        <v/>
      </c>
      <c r="J34" s="68">
        <f t="shared" ref="J34:J65" si="25">IF($E34&amp;$F34="0","",SUM($E34:$F34))</f>
        <v>23</v>
      </c>
      <c r="K34" s="30">
        <f t="shared" ref="K34:K65" si="26">IF($D34="","",IF($J34="","",$D34*$J34))</f>
        <v>46</v>
      </c>
      <c r="L34" s="107" t="s">
        <v>27</v>
      </c>
      <c r="M34" s="44" t="str">
        <f ca="1">IF(Saisie[[#This Row],[Nom du groupe]]="","",VLOOKUP(Saisie[[#This Row],[Nom du groupe]],Données,5,FALSE))</f>
        <v>SCO C</v>
      </c>
      <c r="N34" s="45" t="str">
        <f t="shared" ref="N34:N65" ca="1" si="27">IF($A34="","",VLOOKUP($A34,Données,6,FALSE))</f>
        <v>BEL</v>
      </c>
      <c r="O34" s="4">
        <f t="shared" ref="O34:O65" si="28">IF($E34="","",IF($J34&gt;=60,$E34-3,IF($J34&gt;=42,$E34-2,IF($J34&gt;=21,$E34-1,$E34))))</f>
        <v>21</v>
      </c>
      <c r="P34" s="68">
        <f t="shared" ref="P34:P65" si="29">IF($F34="","",$F34)</f>
        <v>1</v>
      </c>
      <c r="Q34" s="107" t="s">
        <v>70</v>
      </c>
      <c r="R34" s="107">
        <v>1</v>
      </c>
      <c r="S34" s="64">
        <f t="shared" ref="S34:S65" si="30">IF($Q34="","",VLOOKUP($Q34,Tarifs,2,FALSE))</f>
        <v>44</v>
      </c>
      <c r="T34" s="64">
        <f t="shared" ref="T34:T65" si="31">IF($Q34="","",VLOOKUP($Q34,Tarifs,3,FALSE))</f>
        <v>41</v>
      </c>
      <c r="U34" s="109" t="s">
        <v>72</v>
      </c>
      <c r="V34" s="107">
        <v>1</v>
      </c>
      <c r="W34" s="64">
        <f t="shared" si="21"/>
        <v>29</v>
      </c>
      <c r="X34" s="64">
        <f t="shared" si="22"/>
        <v>29</v>
      </c>
      <c r="Y34" s="4">
        <f t="shared" ref="Y34:Y65" si="32">IF($L34="Annulé",0,(IF($E34="","",SUM($E34-$O34))))</f>
        <v>1</v>
      </c>
      <c r="Z34" s="67">
        <f t="shared" ref="Z34:Z65" si="33">IF($Y34="","",IF($Q34="","0",IF($R34="","0",SUMPRODUCT($Y34,$R34,$S34)+IF($U34="","0",IF($V34="","0",SUMPRODUCT($Y34,$V34,$W34))))))</f>
        <v>73</v>
      </c>
      <c r="AA34" s="110">
        <v>22</v>
      </c>
      <c r="AB34" s="64">
        <f t="shared" ref="AB34:AB65" si="34">IF($D34="","",IF($AA34="","",SUMPRODUCT($AA34,$D34,Taxe)))</f>
        <v>22</v>
      </c>
      <c r="AC34" s="66">
        <f t="shared" ref="AC34:AC65" si="35">IF(L34="Annulé",0,(IF($A34="","",(IF($Q34="","0",IF($R34="","0",SUMPRODUCT($O34,$R34,$S34)+IF($P34="","0",SUMPRODUCT($P34,$R34,$T34))))+IF($U34="","0",IF($V34="","0",SUMPRODUCT($O34,$V34,$W34)+IF($P34="","0",SUMPRODUCT($P34,$V34,$X34))))))))</f>
        <v>1603</v>
      </c>
      <c r="AD34" s="69">
        <f t="shared" si="13"/>
        <v>0</v>
      </c>
      <c r="AE34" s="182" t="str">
        <f t="shared" ref="AE34:AE65" si="36">IF($A34="","",$A34)</f>
        <v>TEST 33</v>
      </c>
      <c r="AF34" s="230">
        <f t="shared" ca="1" si="20"/>
        <v>2</v>
      </c>
      <c r="AG34" s="68">
        <f t="shared" ref="AG34:AG65" ca="1" si="37">IF($D34="","",IF($AF34="","",+$D34-$AF34))</f>
        <v>0</v>
      </c>
      <c r="AH34" s="101">
        <f t="shared" ca="1" si="16"/>
        <v>1603</v>
      </c>
      <c r="AI34" s="101">
        <f t="shared" ca="1" si="17"/>
        <v>0</v>
      </c>
      <c r="AJ34" s="4" t="str">
        <f t="shared" si="18"/>
        <v/>
      </c>
      <c r="AK34" s="67" t="str">
        <f t="shared" si="19"/>
        <v/>
      </c>
    </row>
    <row r="35" spans="1:37" x14ac:dyDescent="0.2">
      <c r="A35" s="181" t="s">
        <v>237</v>
      </c>
      <c r="B35" s="106">
        <v>42875</v>
      </c>
      <c r="C35" s="106">
        <v>42876</v>
      </c>
      <c r="D35" s="29">
        <f t="shared" si="23"/>
        <v>1</v>
      </c>
      <c r="E35" s="104">
        <v>21</v>
      </c>
      <c r="F35" s="104"/>
      <c r="G35" s="104">
        <v>4</v>
      </c>
      <c r="H35" s="104"/>
      <c r="I35" s="68">
        <f t="shared" si="24"/>
        <v>4</v>
      </c>
      <c r="J35" s="68">
        <f t="shared" si="25"/>
        <v>21</v>
      </c>
      <c r="K35" s="30">
        <f t="shared" si="26"/>
        <v>21</v>
      </c>
      <c r="L35" s="107" t="s">
        <v>27</v>
      </c>
      <c r="M35" s="44" t="str">
        <f ca="1">IF(Saisie[[#This Row],[Nom du groupe]]="","",VLOOKUP(Saisie[[#This Row],[Nom du groupe]],Données,5,FALSE))</f>
        <v>ASS</v>
      </c>
      <c r="N35" s="45">
        <f t="shared" ca="1" si="27"/>
        <v>58</v>
      </c>
      <c r="O35" s="4">
        <f t="shared" si="28"/>
        <v>20</v>
      </c>
      <c r="P35" s="68" t="str">
        <f t="shared" si="29"/>
        <v/>
      </c>
      <c r="Q35" s="107" t="s">
        <v>71</v>
      </c>
      <c r="R35" s="107">
        <v>1</v>
      </c>
      <c r="S35" s="64">
        <f t="shared" si="30"/>
        <v>53</v>
      </c>
      <c r="T35" s="64">
        <f t="shared" si="31"/>
        <v>48.5</v>
      </c>
      <c r="U35" s="109"/>
      <c r="W35" s="64" t="str">
        <f t="shared" si="21"/>
        <v/>
      </c>
      <c r="X35" s="64" t="str">
        <f t="shared" si="22"/>
        <v/>
      </c>
      <c r="Y35" s="4">
        <f t="shared" si="32"/>
        <v>1</v>
      </c>
      <c r="Z35" s="67">
        <f t="shared" si="33"/>
        <v>53</v>
      </c>
      <c r="AA35" s="110">
        <v>21</v>
      </c>
      <c r="AB35" s="64">
        <f t="shared" si="34"/>
        <v>10.5</v>
      </c>
      <c r="AC35" s="66">
        <f t="shared" si="35"/>
        <v>1060</v>
      </c>
      <c r="AD35" s="69">
        <f t="shared" si="13"/>
        <v>212</v>
      </c>
      <c r="AE35" s="182" t="str">
        <f t="shared" si="36"/>
        <v>TEST 34</v>
      </c>
      <c r="AF35" s="230">
        <f t="shared" ca="1" si="20"/>
        <v>1</v>
      </c>
      <c r="AG35" s="68">
        <f t="shared" ca="1" si="37"/>
        <v>0</v>
      </c>
      <c r="AH35" s="101">
        <f t="shared" ca="1" si="16"/>
        <v>1060</v>
      </c>
      <c r="AI35" s="101">
        <f t="shared" ca="1" si="17"/>
        <v>0</v>
      </c>
      <c r="AJ35" s="4" t="str">
        <f t="shared" si="18"/>
        <v/>
      </c>
      <c r="AK35" s="67" t="str">
        <f t="shared" si="19"/>
        <v/>
      </c>
    </row>
    <row r="36" spans="1:37" x14ac:dyDescent="0.2">
      <c r="A36" s="181" t="s">
        <v>238</v>
      </c>
      <c r="B36" s="106">
        <v>42877</v>
      </c>
      <c r="C36" s="106">
        <v>42880</v>
      </c>
      <c r="D36" s="29">
        <f t="shared" si="23"/>
        <v>3</v>
      </c>
      <c r="E36" s="104">
        <v>7</v>
      </c>
      <c r="F36" s="104">
        <v>48</v>
      </c>
      <c r="G36" s="104"/>
      <c r="H36" s="104"/>
      <c r="I36" s="68" t="str">
        <f t="shared" si="24"/>
        <v/>
      </c>
      <c r="J36" s="68">
        <f t="shared" si="25"/>
        <v>55</v>
      </c>
      <c r="K36" s="30">
        <f t="shared" si="26"/>
        <v>165</v>
      </c>
      <c r="L36" s="107" t="s">
        <v>27</v>
      </c>
      <c r="M36" s="44" t="str">
        <f ca="1">IF(Saisie[[#This Row],[Nom du groupe]]="","",VLOOKUP(Saisie[[#This Row],[Nom du groupe]],Données,5,FALSE))</f>
        <v>RAND</v>
      </c>
      <c r="N36" s="45">
        <f t="shared" ca="1" si="27"/>
        <v>77</v>
      </c>
      <c r="O36" s="4">
        <f t="shared" si="28"/>
        <v>5</v>
      </c>
      <c r="P36" s="68">
        <f t="shared" si="29"/>
        <v>48</v>
      </c>
      <c r="Q36" s="107" t="s">
        <v>71</v>
      </c>
      <c r="R36" s="107">
        <v>2</v>
      </c>
      <c r="S36" s="64">
        <f t="shared" si="30"/>
        <v>53</v>
      </c>
      <c r="T36" s="64">
        <f t="shared" si="31"/>
        <v>48.5</v>
      </c>
      <c r="U36" s="109" t="s">
        <v>70</v>
      </c>
      <c r="V36" s="107">
        <v>1</v>
      </c>
      <c r="W36" s="64">
        <f t="shared" si="21"/>
        <v>44</v>
      </c>
      <c r="X36" s="64">
        <f t="shared" si="22"/>
        <v>41</v>
      </c>
      <c r="Y36" s="4">
        <f t="shared" si="32"/>
        <v>2</v>
      </c>
      <c r="Z36" s="67">
        <f t="shared" si="33"/>
        <v>300</v>
      </c>
      <c r="AA36" s="110"/>
      <c r="AB36" s="64" t="str">
        <f t="shared" si="34"/>
        <v/>
      </c>
      <c r="AC36" s="66">
        <f t="shared" si="35"/>
        <v>7374</v>
      </c>
      <c r="AD36" s="69">
        <f t="shared" si="13"/>
        <v>0</v>
      </c>
      <c r="AE36" s="182" t="str">
        <f t="shared" si="36"/>
        <v>TEST 35</v>
      </c>
      <c r="AF36" s="230">
        <f t="shared" ca="1" si="20"/>
        <v>3</v>
      </c>
      <c r="AG36" s="68">
        <f t="shared" ca="1" si="37"/>
        <v>0</v>
      </c>
      <c r="AH36" s="101">
        <f t="shared" ca="1" si="16"/>
        <v>7374</v>
      </c>
      <c r="AI36" s="101">
        <f t="shared" ca="1" si="17"/>
        <v>0</v>
      </c>
      <c r="AJ36" s="4" t="str">
        <f t="shared" si="18"/>
        <v/>
      </c>
      <c r="AK36" s="67" t="str">
        <f t="shared" si="19"/>
        <v/>
      </c>
    </row>
    <row r="37" spans="1:37" x14ac:dyDescent="0.2">
      <c r="A37" s="181" t="s">
        <v>239</v>
      </c>
      <c r="B37" s="106">
        <v>42880</v>
      </c>
      <c r="C37" s="106">
        <v>42881</v>
      </c>
      <c r="D37" s="29">
        <f t="shared" si="23"/>
        <v>1</v>
      </c>
      <c r="E37" s="104">
        <v>34</v>
      </c>
      <c r="F37" s="104">
        <v>8</v>
      </c>
      <c r="G37" s="104"/>
      <c r="H37" s="104"/>
      <c r="I37" s="68" t="str">
        <f t="shared" si="24"/>
        <v/>
      </c>
      <c r="J37" s="68">
        <f t="shared" si="25"/>
        <v>42</v>
      </c>
      <c r="K37" s="30">
        <f t="shared" si="26"/>
        <v>42</v>
      </c>
      <c r="L37" s="107" t="s">
        <v>27</v>
      </c>
      <c r="M37" s="44" t="str">
        <f ca="1">IF(Saisie[[#This Row],[Nom du groupe]]="","",VLOOKUP(Saisie[[#This Row],[Nom du groupe]],Données,5,FALSE))</f>
        <v>RAND</v>
      </c>
      <c r="N37" s="45">
        <f t="shared" ca="1" si="27"/>
        <v>93</v>
      </c>
      <c r="O37" s="4">
        <f t="shared" si="28"/>
        <v>32</v>
      </c>
      <c r="P37" s="68">
        <f t="shared" si="29"/>
        <v>8</v>
      </c>
      <c r="Q37" s="107" t="s">
        <v>72</v>
      </c>
      <c r="R37" s="107">
        <v>1</v>
      </c>
      <c r="S37" s="64">
        <f t="shared" si="30"/>
        <v>29</v>
      </c>
      <c r="T37" s="64">
        <f t="shared" si="31"/>
        <v>29</v>
      </c>
      <c r="U37" s="109"/>
      <c r="W37" s="64" t="str">
        <f t="shared" si="21"/>
        <v/>
      </c>
      <c r="X37" s="64" t="str">
        <f t="shared" si="22"/>
        <v/>
      </c>
      <c r="Y37" s="4">
        <f t="shared" si="32"/>
        <v>2</v>
      </c>
      <c r="Z37" s="67">
        <f t="shared" si="33"/>
        <v>58</v>
      </c>
      <c r="AA37" s="110">
        <v>28</v>
      </c>
      <c r="AB37" s="64">
        <f t="shared" si="34"/>
        <v>14</v>
      </c>
      <c r="AC37" s="66">
        <f t="shared" si="35"/>
        <v>1160</v>
      </c>
      <c r="AD37" s="69">
        <f t="shared" si="13"/>
        <v>0</v>
      </c>
      <c r="AE37" s="182" t="str">
        <f t="shared" si="36"/>
        <v>TEST 36</v>
      </c>
      <c r="AF37" s="230">
        <f t="shared" ca="1" si="20"/>
        <v>1</v>
      </c>
      <c r="AG37" s="68">
        <f t="shared" ca="1" si="37"/>
        <v>0</v>
      </c>
      <c r="AH37" s="101">
        <f t="shared" ca="1" si="16"/>
        <v>1160</v>
      </c>
      <c r="AI37" s="101">
        <f t="shared" ca="1" si="17"/>
        <v>0</v>
      </c>
      <c r="AJ37" s="4" t="str">
        <f t="shared" si="18"/>
        <v/>
      </c>
      <c r="AK37" s="67" t="str">
        <f t="shared" si="19"/>
        <v/>
      </c>
    </row>
    <row r="38" spans="1:37" x14ac:dyDescent="0.2">
      <c r="A38" s="181" t="s">
        <v>240</v>
      </c>
      <c r="B38" s="106">
        <v>42881</v>
      </c>
      <c r="C38" s="106">
        <v>42883</v>
      </c>
      <c r="D38" s="29">
        <f t="shared" si="23"/>
        <v>2</v>
      </c>
      <c r="E38" s="104">
        <v>2</v>
      </c>
      <c r="F38" s="104"/>
      <c r="G38" s="104"/>
      <c r="H38" s="104"/>
      <c r="I38" s="68" t="str">
        <f t="shared" si="24"/>
        <v/>
      </c>
      <c r="J38" s="68">
        <f t="shared" si="25"/>
        <v>2</v>
      </c>
      <c r="K38" s="30">
        <f t="shared" si="26"/>
        <v>4</v>
      </c>
      <c r="L38" s="107" t="s">
        <v>27</v>
      </c>
      <c r="M38" s="44" t="str">
        <f ca="1">IF(Saisie[[#This Row],[Nom du groupe]]="","",VLOOKUP(Saisie[[#This Row],[Nom du groupe]],Données,5,FALSE))</f>
        <v>ASS</v>
      </c>
      <c r="N38" s="45">
        <f t="shared" ca="1" si="27"/>
        <v>80</v>
      </c>
      <c r="O38" s="4">
        <f t="shared" si="28"/>
        <v>2</v>
      </c>
      <c r="P38" s="68" t="str">
        <f t="shared" si="29"/>
        <v/>
      </c>
      <c r="Q38" s="107" t="s">
        <v>72</v>
      </c>
      <c r="R38" s="107">
        <v>2</v>
      </c>
      <c r="S38" s="64">
        <f t="shared" si="30"/>
        <v>29</v>
      </c>
      <c r="T38" s="64">
        <f t="shared" si="31"/>
        <v>29</v>
      </c>
      <c r="U38" s="109"/>
      <c r="W38" s="64" t="str">
        <f t="shared" ref="W38:W69" si="38">IF($U38="","",VLOOKUP($U38,Tarifs,2,FALSE))</f>
        <v/>
      </c>
      <c r="X38" s="64" t="str">
        <f t="shared" ref="X38:X69" si="39">IF($U38="","",VLOOKUP($U38,Tarifs,3,FALSE))</f>
        <v/>
      </c>
      <c r="Y38" s="4">
        <f t="shared" si="32"/>
        <v>0</v>
      </c>
      <c r="Z38" s="67">
        <f t="shared" si="33"/>
        <v>0</v>
      </c>
      <c r="AA38" s="110">
        <v>2</v>
      </c>
      <c r="AB38" s="64">
        <f t="shared" si="34"/>
        <v>2</v>
      </c>
      <c r="AC38" s="66">
        <f t="shared" si="35"/>
        <v>116</v>
      </c>
      <c r="AD38" s="69">
        <f t="shared" si="13"/>
        <v>0</v>
      </c>
      <c r="AE38" s="182" t="str">
        <f t="shared" si="36"/>
        <v>TEST 37</v>
      </c>
      <c r="AF38" s="230">
        <f t="shared" ca="1" si="20"/>
        <v>2</v>
      </c>
      <c r="AG38" s="68">
        <f t="shared" ca="1" si="37"/>
        <v>0</v>
      </c>
      <c r="AH38" s="101">
        <f t="shared" ca="1" si="16"/>
        <v>116</v>
      </c>
      <c r="AI38" s="101">
        <f t="shared" ca="1" si="17"/>
        <v>0</v>
      </c>
      <c r="AJ38" s="4" t="str">
        <f t="shared" si="18"/>
        <v/>
      </c>
      <c r="AK38" s="67" t="str">
        <f t="shared" si="19"/>
        <v/>
      </c>
    </row>
    <row r="39" spans="1:37" x14ac:dyDescent="0.2">
      <c r="A39" s="181" t="s">
        <v>241</v>
      </c>
      <c r="B39" s="106">
        <v>42881</v>
      </c>
      <c r="C39" s="106">
        <v>42882</v>
      </c>
      <c r="D39" s="29">
        <f t="shared" si="23"/>
        <v>1</v>
      </c>
      <c r="E39" s="104">
        <v>2</v>
      </c>
      <c r="F39" s="104"/>
      <c r="G39" s="104"/>
      <c r="H39" s="104"/>
      <c r="I39" s="68" t="str">
        <f t="shared" si="24"/>
        <v/>
      </c>
      <c r="J39" s="68">
        <f t="shared" si="25"/>
        <v>2</v>
      </c>
      <c r="K39" s="30">
        <f t="shared" si="26"/>
        <v>2</v>
      </c>
      <c r="L39" s="107" t="s">
        <v>27</v>
      </c>
      <c r="M39" s="44" t="str">
        <f ca="1">IF(Saisie[[#This Row],[Nom du groupe]]="","",VLOOKUP(Saisie[[#This Row],[Nom du groupe]],Données,5,FALSE))</f>
        <v>SCO C</v>
      </c>
      <c r="N39" s="45" t="str">
        <f t="shared" ca="1" si="27"/>
        <v>GB</v>
      </c>
      <c r="O39" s="4">
        <f t="shared" si="28"/>
        <v>2</v>
      </c>
      <c r="P39" s="68" t="str">
        <f t="shared" si="29"/>
        <v/>
      </c>
      <c r="Q39" s="107" t="s">
        <v>72</v>
      </c>
      <c r="R39" s="107">
        <v>1</v>
      </c>
      <c r="S39" s="64">
        <f t="shared" si="30"/>
        <v>29</v>
      </c>
      <c r="T39" s="64">
        <f t="shared" si="31"/>
        <v>29</v>
      </c>
      <c r="U39" s="109"/>
      <c r="W39" s="64" t="str">
        <f t="shared" si="38"/>
        <v/>
      </c>
      <c r="X39" s="64" t="str">
        <f t="shared" si="39"/>
        <v/>
      </c>
      <c r="Y39" s="4">
        <f t="shared" si="32"/>
        <v>0</v>
      </c>
      <c r="Z39" s="67">
        <f t="shared" si="33"/>
        <v>0</v>
      </c>
      <c r="AA39" s="110">
        <v>2</v>
      </c>
      <c r="AB39" s="64">
        <f t="shared" si="34"/>
        <v>1</v>
      </c>
      <c r="AC39" s="66">
        <f t="shared" si="35"/>
        <v>58</v>
      </c>
      <c r="AD39" s="69">
        <f t="shared" si="13"/>
        <v>0</v>
      </c>
      <c r="AE39" s="182" t="str">
        <f t="shared" si="36"/>
        <v>TEST 38</v>
      </c>
      <c r="AF39" s="230">
        <f t="shared" ca="1" si="20"/>
        <v>1</v>
      </c>
      <c r="AG39" s="68">
        <f t="shared" ca="1" si="37"/>
        <v>0</v>
      </c>
      <c r="AH39" s="101">
        <f t="shared" ca="1" si="16"/>
        <v>58</v>
      </c>
      <c r="AI39" s="101">
        <f t="shared" ca="1" si="17"/>
        <v>0</v>
      </c>
      <c r="AJ39" s="4" t="str">
        <f t="shared" si="18"/>
        <v/>
      </c>
      <c r="AK39" s="67" t="str">
        <f t="shared" si="19"/>
        <v/>
      </c>
    </row>
    <row r="40" spans="1:37" x14ac:dyDescent="0.2">
      <c r="A40" s="181" t="s">
        <v>242</v>
      </c>
      <c r="B40" s="106">
        <v>42881</v>
      </c>
      <c r="C40" s="106">
        <v>42882</v>
      </c>
      <c r="D40" s="29">
        <f t="shared" si="23"/>
        <v>1</v>
      </c>
      <c r="E40" s="104">
        <v>2</v>
      </c>
      <c r="F40" s="104"/>
      <c r="G40" s="104"/>
      <c r="H40" s="104"/>
      <c r="I40" s="68" t="str">
        <f t="shared" si="24"/>
        <v/>
      </c>
      <c r="J40" s="68">
        <f t="shared" si="25"/>
        <v>2</v>
      </c>
      <c r="K40" s="30">
        <f t="shared" si="26"/>
        <v>2</v>
      </c>
      <c r="L40" s="107" t="s">
        <v>27</v>
      </c>
      <c r="M40" s="44" t="str">
        <f ca="1">IF(Saisie[[#This Row],[Nom du groupe]]="","",VLOOKUP(Saisie[[#This Row],[Nom du groupe]],Données,5,FALSE))</f>
        <v>SCO P</v>
      </c>
      <c r="N40" s="45">
        <f t="shared" ca="1" si="27"/>
        <v>80</v>
      </c>
      <c r="O40" s="4">
        <f t="shared" si="28"/>
        <v>2</v>
      </c>
      <c r="P40" s="68" t="str">
        <f t="shared" si="29"/>
        <v/>
      </c>
      <c r="Q40" s="107" t="s">
        <v>72</v>
      </c>
      <c r="R40" s="107">
        <v>1</v>
      </c>
      <c r="S40" s="64">
        <f t="shared" si="30"/>
        <v>29</v>
      </c>
      <c r="T40" s="64">
        <f t="shared" si="31"/>
        <v>29</v>
      </c>
      <c r="U40" s="109"/>
      <c r="W40" s="64" t="str">
        <f t="shared" si="38"/>
        <v/>
      </c>
      <c r="X40" s="64" t="str">
        <f t="shared" si="39"/>
        <v/>
      </c>
      <c r="Y40" s="4">
        <f t="shared" si="32"/>
        <v>0</v>
      </c>
      <c r="Z40" s="67">
        <f t="shared" si="33"/>
        <v>0</v>
      </c>
      <c r="AA40" s="110">
        <v>2</v>
      </c>
      <c r="AB40" s="64">
        <f t="shared" si="34"/>
        <v>1</v>
      </c>
      <c r="AC40" s="66">
        <f t="shared" si="35"/>
        <v>58</v>
      </c>
      <c r="AD40" s="69">
        <f t="shared" si="13"/>
        <v>0</v>
      </c>
      <c r="AE40" s="182" t="str">
        <f t="shared" si="36"/>
        <v>TEST 39</v>
      </c>
      <c r="AF40" s="230">
        <f t="shared" ca="1" si="20"/>
        <v>1</v>
      </c>
      <c r="AG40" s="68">
        <f t="shared" ca="1" si="37"/>
        <v>0</v>
      </c>
      <c r="AH40" s="101">
        <f t="shared" ca="1" si="16"/>
        <v>58</v>
      </c>
      <c r="AI40" s="101">
        <f t="shared" ca="1" si="17"/>
        <v>0</v>
      </c>
      <c r="AJ40" s="4" t="str">
        <f t="shared" si="18"/>
        <v/>
      </c>
      <c r="AK40" s="67" t="str">
        <f t="shared" si="19"/>
        <v/>
      </c>
    </row>
    <row r="41" spans="1:37" x14ac:dyDescent="0.2">
      <c r="A41" s="181" t="s">
        <v>243</v>
      </c>
      <c r="B41" s="106">
        <v>42881</v>
      </c>
      <c r="C41" s="106">
        <v>42883</v>
      </c>
      <c r="D41" s="29">
        <f t="shared" si="23"/>
        <v>2</v>
      </c>
      <c r="E41" s="104">
        <v>4</v>
      </c>
      <c r="F41" s="104">
        <v>2</v>
      </c>
      <c r="G41" s="104"/>
      <c r="H41" s="104"/>
      <c r="I41" s="68" t="str">
        <f t="shared" si="24"/>
        <v/>
      </c>
      <c r="J41" s="68">
        <f t="shared" si="25"/>
        <v>6</v>
      </c>
      <c r="K41" s="30">
        <f t="shared" si="26"/>
        <v>12</v>
      </c>
      <c r="L41" s="107" t="s">
        <v>27</v>
      </c>
      <c r="M41" s="44" t="str">
        <f ca="1">IF(Saisie[[#This Row],[Nom du groupe]]="","",VLOOKUP(Saisie[[#This Row],[Nom du groupe]],Données,5,FALSE))</f>
        <v>SCO P</v>
      </c>
      <c r="N41" s="45">
        <f t="shared" ca="1" si="27"/>
        <v>80</v>
      </c>
      <c r="O41" s="4">
        <f t="shared" si="28"/>
        <v>4</v>
      </c>
      <c r="P41" s="68">
        <f t="shared" si="29"/>
        <v>2</v>
      </c>
      <c r="Q41" s="107" t="s">
        <v>72</v>
      </c>
      <c r="R41" s="107">
        <v>2</v>
      </c>
      <c r="S41" s="64">
        <f t="shared" si="30"/>
        <v>29</v>
      </c>
      <c r="T41" s="64">
        <f t="shared" si="31"/>
        <v>29</v>
      </c>
      <c r="U41" s="109"/>
      <c r="W41" s="64" t="str">
        <f t="shared" si="38"/>
        <v/>
      </c>
      <c r="X41" s="64" t="str">
        <f t="shared" si="39"/>
        <v/>
      </c>
      <c r="Y41" s="4">
        <f t="shared" si="32"/>
        <v>0</v>
      </c>
      <c r="Z41" s="67">
        <f t="shared" si="33"/>
        <v>0</v>
      </c>
      <c r="AA41" s="110">
        <v>6</v>
      </c>
      <c r="AB41" s="64">
        <f t="shared" si="34"/>
        <v>6</v>
      </c>
      <c r="AC41" s="66">
        <f t="shared" si="35"/>
        <v>348</v>
      </c>
      <c r="AD41" s="69">
        <f t="shared" si="13"/>
        <v>0</v>
      </c>
      <c r="AE41" s="182" t="str">
        <f t="shared" si="36"/>
        <v>TEST 40</v>
      </c>
      <c r="AF41" s="230">
        <f t="shared" ca="1" si="20"/>
        <v>2</v>
      </c>
      <c r="AG41" s="68">
        <f t="shared" ca="1" si="37"/>
        <v>0</v>
      </c>
      <c r="AH41" s="101">
        <f t="shared" ca="1" si="16"/>
        <v>348</v>
      </c>
      <c r="AI41" s="101">
        <f t="shared" ca="1" si="17"/>
        <v>0</v>
      </c>
      <c r="AJ41" s="4" t="str">
        <f t="shared" si="18"/>
        <v/>
      </c>
      <c r="AK41" s="67" t="str">
        <f t="shared" si="19"/>
        <v/>
      </c>
    </row>
    <row r="42" spans="1:37" x14ac:dyDescent="0.2">
      <c r="A42" s="181" t="s">
        <v>244</v>
      </c>
      <c r="B42" s="106">
        <v>42884</v>
      </c>
      <c r="C42" s="106">
        <v>42886</v>
      </c>
      <c r="D42" s="29">
        <f t="shared" si="23"/>
        <v>2</v>
      </c>
      <c r="E42" s="104">
        <v>8</v>
      </c>
      <c r="F42" s="104">
        <v>46</v>
      </c>
      <c r="G42" s="104"/>
      <c r="H42" s="104">
        <v>4</v>
      </c>
      <c r="I42" s="68">
        <f t="shared" si="24"/>
        <v>8</v>
      </c>
      <c r="J42" s="68">
        <f t="shared" si="25"/>
        <v>54</v>
      </c>
      <c r="K42" s="30">
        <f t="shared" si="26"/>
        <v>108</v>
      </c>
      <c r="L42" s="107" t="s">
        <v>27</v>
      </c>
      <c r="M42" s="44" t="str">
        <f ca="1">IF(Saisie[[#This Row],[Nom du groupe]]="","",VLOOKUP(Saisie[[#This Row],[Nom du groupe]],Données,5,FALSE))</f>
        <v>SCO P</v>
      </c>
      <c r="N42" s="45">
        <f t="shared" ca="1" si="27"/>
        <v>80</v>
      </c>
      <c r="O42" s="4">
        <f t="shared" si="28"/>
        <v>6</v>
      </c>
      <c r="P42" s="68">
        <f t="shared" si="29"/>
        <v>46</v>
      </c>
      <c r="Q42" s="107" t="s">
        <v>71</v>
      </c>
      <c r="R42" s="107">
        <v>2</v>
      </c>
      <c r="S42" s="64">
        <f t="shared" si="30"/>
        <v>53</v>
      </c>
      <c r="T42" s="64">
        <f t="shared" si="31"/>
        <v>48.5</v>
      </c>
      <c r="U42" s="109"/>
      <c r="W42" s="64" t="str">
        <f t="shared" si="38"/>
        <v/>
      </c>
      <c r="X42" s="64" t="str">
        <f t="shared" si="39"/>
        <v/>
      </c>
      <c r="Y42" s="4">
        <f t="shared" si="32"/>
        <v>2</v>
      </c>
      <c r="Z42" s="67">
        <f t="shared" si="33"/>
        <v>212</v>
      </c>
      <c r="AA42" s="110">
        <v>46</v>
      </c>
      <c r="AB42" s="64">
        <f t="shared" si="34"/>
        <v>46</v>
      </c>
      <c r="AC42" s="66">
        <f t="shared" si="35"/>
        <v>5098</v>
      </c>
      <c r="AD42" s="69">
        <f t="shared" si="13"/>
        <v>388</v>
      </c>
      <c r="AE42" s="182" t="str">
        <f t="shared" si="36"/>
        <v>TEST 41</v>
      </c>
      <c r="AF42" s="230">
        <f t="shared" ca="1" si="20"/>
        <v>2</v>
      </c>
      <c r="AG42" s="68">
        <f t="shared" ca="1" si="37"/>
        <v>0</v>
      </c>
      <c r="AH42" s="101">
        <f t="shared" ca="1" si="16"/>
        <v>5098</v>
      </c>
      <c r="AI42" s="101">
        <f t="shared" ca="1" si="17"/>
        <v>0</v>
      </c>
      <c r="AJ42" s="4" t="str">
        <f t="shared" si="18"/>
        <v/>
      </c>
      <c r="AK42" s="67" t="str">
        <f t="shared" si="19"/>
        <v/>
      </c>
    </row>
    <row r="43" spans="1:37" x14ac:dyDescent="0.2">
      <c r="A43" s="181" t="s">
        <v>245</v>
      </c>
      <c r="B43" s="106">
        <v>42886</v>
      </c>
      <c r="C43" s="106">
        <v>42887</v>
      </c>
      <c r="D43" s="29">
        <f t="shared" si="23"/>
        <v>1</v>
      </c>
      <c r="E43" s="104">
        <v>5</v>
      </c>
      <c r="F43" s="104">
        <v>44</v>
      </c>
      <c r="G43" s="104"/>
      <c r="H43" s="104">
        <v>1</v>
      </c>
      <c r="I43" s="68">
        <f t="shared" si="24"/>
        <v>1</v>
      </c>
      <c r="J43" s="68">
        <f t="shared" si="25"/>
        <v>49</v>
      </c>
      <c r="K43" s="30">
        <f t="shared" si="26"/>
        <v>49</v>
      </c>
      <c r="L43" s="107" t="s">
        <v>27</v>
      </c>
      <c r="M43" s="44" t="str">
        <f ca="1">IF(Saisie[[#This Row],[Nom du groupe]]="","",VLOOKUP(Saisie[[#This Row],[Nom du groupe]],Données,5,FALSE))</f>
        <v>SCO P</v>
      </c>
      <c r="N43" s="45">
        <f t="shared" ca="1" si="27"/>
        <v>92</v>
      </c>
      <c r="O43" s="4">
        <f t="shared" si="28"/>
        <v>3</v>
      </c>
      <c r="P43" s="68">
        <f t="shared" si="29"/>
        <v>44</v>
      </c>
      <c r="Q43" s="107" t="s">
        <v>71</v>
      </c>
      <c r="R43" s="107">
        <v>1</v>
      </c>
      <c r="S43" s="64">
        <f t="shared" si="30"/>
        <v>53</v>
      </c>
      <c r="T43" s="64">
        <f t="shared" si="31"/>
        <v>48.5</v>
      </c>
      <c r="U43" s="109"/>
      <c r="W43" s="64" t="str">
        <f t="shared" si="38"/>
        <v/>
      </c>
      <c r="X43" s="64" t="str">
        <f t="shared" si="39"/>
        <v/>
      </c>
      <c r="Y43" s="4">
        <f t="shared" si="32"/>
        <v>2</v>
      </c>
      <c r="Z43" s="67">
        <f t="shared" si="33"/>
        <v>106</v>
      </c>
      <c r="AA43" s="110"/>
      <c r="AB43" s="64" t="str">
        <f t="shared" si="34"/>
        <v/>
      </c>
      <c r="AC43" s="66">
        <f t="shared" si="35"/>
        <v>2293</v>
      </c>
      <c r="AD43" s="69">
        <f t="shared" si="13"/>
        <v>48.5</v>
      </c>
      <c r="AE43" s="182" t="str">
        <f t="shared" si="36"/>
        <v>TEST 42</v>
      </c>
      <c r="AF43" s="230">
        <f t="shared" ca="1" si="20"/>
        <v>1</v>
      </c>
      <c r="AG43" s="68">
        <f t="shared" ca="1" si="37"/>
        <v>0</v>
      </c>
      <c r="AH43" s="101">
        <f t="shared" ca="1" si="16"/>
        <v>2293</v>
      </c>
      <c r="AI43" s="101">
        <f t="shared" ca="1" si="17"/>
        <v>0</v>
      </c>
      <c r="AJ43" s="4" t="str">
        <f t="shared" si="18"/>
        <v/>
      </c>
      <c r="AK43" s="67" t="str">
        <f t="shared" si="19"/>
        <v/>
      </c>
    </row>
    <row r="44" spans="1:37" x14ac:dyDescent="0.2">
      <c r="A44" s="181" t="s">
        <v>246</v>
      </c>
      <c r="B44" s="261">
        <v>42887</v>
      </c>
      <c r="C44" s="106">
        <v>42888</v>
      </c>
      <c r="D44" s="29">
        <f t="shared" si="23"/>
        <v>1</v>
      </c>
      <c r="E44" s="104">
        <v>5</v>
      </c>
      <c r="F44" s="104">
        <v>28</v>
      </c>
      <c r="G44" s="104"/>
      <c r="H44" s="104"/>
      <c r="I44" s="68" t="str">
        <f t="shared" si="24"/>
        <v/>
      </c>
      <c r="J44" s="68">
        <f t="shared" si="25"/>
        <v>33</v>
      </c>
      <c r="K44" s="30">
        <f t="shared" si="26"/>
        <v>33</v>
      </c>
      <c r="L44" s="107" t="s">
        <v>27</v>
      </c>
      <c r="M44" s="44" t="str">
        <f ca="1">IF(Saisie[[#This Row],[Nom du groupe]]="","",VLOOKUP(Saisie[[#This Row],[Nom du groupe]],Données,5,FALSE))</f>
        <v>SCO P</v>
      </c>
      <c r="N44" s="45">
        <f t="shared" ca="1" si="27"/>
        <v>60</v>
      </c>
      <c r="O44" s="4">
        <f t="shared" si="28"/>
        <v>4</v>
      </c>
      <c r="P44" s="68">
        <f t="shared" si="29"/>
        <v>28</v>
      </c>
      <c r="Q44" s="107" t="s">
        <v>71</v>
      </c>
      <c r="R44" s="107">
        <v>1</v>
      </c>
      <c r="S44" s="64">
        <f t="shared" si="30"/>
        <v>53</v>
      </c>
      <c r="T44" s="64">
        <f t="shared" si="31"/>
        <v>48.5</v>
      </c>
      <c r="U44" s="109"/>
      <c r="W44" s="64" t="str">
        <f t="shared" si="38"/>
        <v/>
      </c>
      <c r="X44" s="64" t="str">
        <f t="shared" si="39"/>
        <v/>
      </c>
      <c r="Y44" s="4">
        <f t="shared" si="32"/>
        <v>1</v>
      </c>
      <c r="Z44" s="67">
        <f t="shared" si="33"/>
        <v>53</v>
      </c>
      <c r="AA44" s="110"/>
      <c r="AB44" s="64" t="str">
        <f t="shared" si="34"/>
        <v/>
      </c>
      <c r="AC44" s="66">
        <f t="shared" si="35"/>
        <v>1570</v>
      </c>
      <c r="AD44" s="69">
        <f t="shared" si="13"/>
        <v>0</v>
      </c>
      <c r="AE44" s="182" t="str">
        <f t="shared" si="36"/>
        <v>TEST 43</v>
      </c>
      <c r="AF44" s="230">
        <f t="shared" ca="1" si="20"/>
        <v>1</v>
      </c>
      <c r="AG44" s="68">
        <f t="shared" ca="1" si="37"/>
        <v>0</v>
      </c>
      <c r="AH44" s="101">
        <f t="shared" ca="1" si="16"/>
        <v>1570</v>
      </c>
      <c r="AI44" s="101">
        <f t="shared" ca="1" si="17"/>
        <v>0</v>
      </c>
      <c r="AJ44" s="4" t="str">
        <f t="shared" si="18"/>
        <v/>
      </c>
      <c r="AK44" s="67" t="str">
        <f t="shared" si="19"/>
        <v/>
      </c>
    </row>
    <row r="45" spans="1:37" x14ac:dyDescent="0.2">
      <c r="A45" s="181" t="s">
        <v>247</v>
      </c>
      <c r="B45" s="106">
        <v>42888</v>
      </c>
      <c r="C45" s="106">
        <v>42889</v>
      </c>
      <c r="D45" s="29">
        <f t="shared" si="23"/>
        <v>1</v>
      </c>
      <c r="E45" s="104">
        <v>3</v>
      </c>
      <c r="F45" s="104"/>
      <c r="G45" s="104"/>
      <c r="H45" s="104"/>
      <c r="I45" s="68" t="str">
        <f t="shared" si="24"/>
        <v/>
      </c>
      <c r="J45" s="68">
        <f t="shared" si="25"/>
        <v>3</v>
      </c>
      <c r="K45" s="30">
        <f t="shared" si="26"/>
        <v>3</v>
      </c>
      <c r="L45" s="107" t="s">
        <v>27</v>
      </c>
      <c r="M45" s="44" t="str">
        <f ca="1">IF(Saisie[[#This Row],[Nom du groupe]]="","",VLOOKUP(Saisie[[#This Row],[Nom du groupe]],Données,5,FALSE))</f>
        <v>SCO P</v>
      </c>
      <c r="N45" s="45">
        <f t="shared" ca="1" si="27"/>
        <v>78</v>
      </c>
      <c r="O45" s="4">
        <f t="shared" si="28"/>
        <v>3</v>
      </c>
      <c r="P45" s="68" t="str">
        <f t="shared" si="29"/>
        <v/>
      </c>
      <c r="Q45" s="107" t="s">
        <v>73</v>
      </c>
      <c r="S45" s="64">
        <f t="shared" si="30"/>
        <v>25</v>
      </c>
      <c r="T45" s="64">
        <f t="shared" si="31"/>
        <v>25</v>
      </c>
      <c r="U45" s="109"/>
      <c r="W45" s="64" t="str">
        <f t="shared" si="38"/>
        <v/>
      </c>
      <c r="X45" s="64" t="str">
        <f t="shared" si="39"/>
        <v/>
      </c>
      <c r="Y45" s="4">
        <f t="shared" si="32"/>
        <v>0</v>
      </c>
      <c r="Z45" s="67" t="str">
        <f t="shared" si="33"/>
        <v>0</v>
      </c>
      <c r="AA45" s="110">
        <v>3</v>
      </c>
      <c r="AB45" s="64">
        <f t="shared" si="34"/>
        <v>1.5</v>
      </c>
      <c r="AC45" s="66">
        <f t="shared" si="35"/>
        <v>0</v>
      </c>
      <c r="AD45" s="69">
        <f t="shared" si="13"/>
        <v>0</v>
      </c>
      <c r="AE45" s="182" t="str">
        <f t="shared" si="36"/>
        <v>TEST 44</v>
      </c>
      <c r="AF45" s="230">
        <f t="shared" ca="1" si="20"/>
        <v>1</v>
      </c>
      <c r="AG45" s="68">
        <f t="shared" ca="1" si="37"/>
        <v>0</v>
      </c>
      <c r="AH45" s="101">
        <f t="shared" ca="1" si="16"/>
        <v>0</v>
      </c>
      <c r="AI45" s="101">
        <f t="shared" ca="1" si="17"/>
        <v>0</v>
      </c>
      <c r="AJ45" s="4" t="str">
        <f t="shared" si="18"/>
        <v/>
      </c>
      <c r="AK45" s="67" t="str">
        <f t="shared" si="19"/>
        <v/>
      </c>
    </row>
    <row r="46" spans="1:37" x14ac:dyDescent="0.2">
      <c r="A46" s="181" t="s">
        <v>248</v>
      </c>
      <c r="B46" s="106">
        <v>42889</v>
      </c>
      <c r="C46" s="106">
        <v>42891</v>
      </c>
      <c r="D46" s="29">
        <f t="shared" si="23"/>
        <v>2</v>
      </c>
      <c r="E46" s="104">
        <v>23</v>
      </c>
      <c r="F46" s="104"/>
      <c r="G46" s="104"/>
      <c r="H46" s="104"/>
      <c r="I46" s="68" t="str">
        <f t="shared" si="24"/>
        <v/>
      </c>
      <c r="J46" s="68">
        <f t="shared" si="25"/>
        <v>23</v>
      </c>
      <c r="K46" s="30">
        <f t="shared" si="26"/>
        <v>46</v>
      </c>
      <c r="L46" s="107" t="s">
        <v>27</v>
      </c>
      <c r="M46" s="44" t="str">
        <f ca="1">IF(Saisie[[#This Row],[Nom du groupe]]="","",VLOOKUP(Saisie[[#This Row],[Nom du groupe]],Données,5,FALSE))</f>
        <v>SCO P</v>
      </c>
      <c r="N46" s="45">
        <f t="shared" ca="1" si="27"/>
        <v>80</v>
      </c>
      <c r="O46" s="4">
        <f t="shared" si="28"/>
        <v>22</v>
      </c>
      <c r="P46" s="68" t="str">
        <f t="shared" si="29"/>
        <v/>
      </c>
      <c r="Q46" s="107" t="s">
        <v>71</v>
      </c>
      <c r="R46" s="107">
        <v>1</v>
      </c>
      <c r="S46" s="64">
        <f t="shared" si="30"/>
        <v>53</v>
      </c>
      <c r="T46" s="64">
        <f t="shared" si="31"/>
        <v>48.5</v>
      </c>
      <c r="U46" s="109" t="s">
        <v>70</v>
      </c>
      <c r="V46" s="107">
        <v>1</v>
      </c>
      <c r="W46" s="64">
        <f t="shared" si="38"/>
        <v>44</v>
      </c>
      <c r="X46" s="64">
        <f t="shared" si="39"/>
        <v>41</v>
      </c>
      <c r="Y46" s="4">
        <f t="shared" si="32"/>
        <v>1</v>
      </c>
      <c r="Z46" s="67">
        <f t="shared" si="33"/>
        <v>97</v>
      </c>
      <c r="AA46" s="110">
        <v>23</v>
      </c>
      <c r="AB46" s="64">
        <f t="shared" si="34"/>
        <v>23</v>
      </c>
      <c r="AC46" s="66">
        <f t="shared" si="35"/>
        <v>2134</v>
      </c>
      <c r="AD46" s="69">
        <f t="shared" si="13"/>
        <v>0</v>
      </c>
      <c r="AE46" s="182" t="str">
        <f t="shared" si="36"/>
        <v>TEST 45</v>
      </c>
      <c r="AF46" s="230">
        <f t="shared" ca="1" si="20"/>
        <v>2</v>
      </c>
      <c r="AG46" s="68">
        <f t="shared" ca="1" si="37"/>
        <v>0</v>
      </c>
      <c r="AH46" s="101">
        <f t="shared" ca="1" si="16"/>
        <v>2134</v>
      </c>
      <c r="AI46" s="101">
        <f t="shared" ca="1" si="17"/>
        <v>0</v>
      </c>
      <c r="AJ46" s="4" t="str">
        <f t="shared" si="18"/>
        <v/>
      </c>
      <c r="AK46" s="67" t="str">
        <f t="shared" si="19"/>
        <v/>
      </c>
    </row>
    <row r="47" spans="1:37" x14ac:dyDescent="0.2">
      <c r="A47" s="181" t="s">
        <v>249</v>
      </c>
      <c r="B47" s="106">
        <v>42889</v>
      </c>
      <c r="C47" s="106">
        <v>42891</v>
      </c>
      <c r="D47" s="29">
        <f t="shared" si="23"/>
        <v>2</v>
      </c>
      <c r="E47" s="104">
        <v>19</v>
      </c>
      <c r="F47" s="104"/>
      <c r="G47" s="104">
        <v>1</v>
      </c>
      <c r="H47" s="104"/>
      <c r="I47" s="68">
        <f t="shared" si="24"/>
        <v>2</v>
      </c>
      <c r="J47" s="68">
        <f t="shared" si="25"/>
        <v>19</v>
      </c>
      <c r="K47" s="30">
        <f t="shared" si="26"/>
        <v>38</v>
      </c>
      <c r="L47" s="107" t="s">
        <v>27</v>
      </c>
      <c r="M47" s="44" t="str">
        <f ca="1">IF(Saisie[[#This Row],[Nom du groupe]]="","",VLOOKUP(Saisie[[#This Row],[Nom du groupe]],Données,5,FALSE))</f>
        <v>SCO P</v>
      </c>
      <c r="N47" s="45">
        <f t="shared" ca="1" si="27"/>
        <v>80</v>
      </c>
      <c r="O47" s="4">
        <f t="shared" si="28"/>
        <v>19</v>
      </c>
      <c r="P47" s="68" t="str">
        <f t="shared" si="29"/>
        <v/>
      </c>
      <c r="Q47" s="107" t="s">
        <v>71</v>
      </c>
      <c r="R47" s="107">
        <v>1</v>
      </c>
      <c r="S47" s="64">
        <f t="shared" si="30"/>
        <v>53</v>
      </c>
      <c r="T47" s="64">
        <f t="shared" si="31"/>
        <v>48.5</v>
      </c>
      <c r="U47" s="109" t="s">
        <v>70</v>
      </c>
      <c r="V47" s="107">
        <v>1</v>
      </c>
      <c r="W47" s="64">
        <f t="shared" si="38"/>
        <v>44</v>
      </c>
      <c r="X47" s="64">
        <f t="shared" si="39"/>
        <v>41</v>
      </c>
      <c r="Y47" s="4">
        <f t="shared" si="32"/>
        <v>0</v>
      </c>
      <c r="Z47" s="67">
        <f t="shared" si="33"/>
        <v>0</v>
      </c>
      <c r="AA47" s="110">
        <v>19</v>
      </c>
      <c r="AB47" s="64">
        <f t="shared" si="34"/>
        <v>19</v>
      </c>
      <c r="AC47" s="66">
        <f t="shared" si="35"/>
        <v>1843</v>
      </c>
      <c r="AD47" s="69">
        <f t="shared" si="13"/>
        <v>97</v>
      </c>
      <c r="AE47" s="182" t="str">
        <f t="shared" si="36"/>
        <v>TEST 46</v>
      </c>
      <c r="AF47" s="230">
        <f t="shared" ca="1" si="20"/>
        <v>2</v>
      </c>
      <c r="AG47" s="68">
        <f t="shared" ca="1" si="37"/>
        <v>0</v>
      </c>
      <c r="AH47" s="101">
        <f t="shared" ca="1" si="16"/>
        <v>1843</v>
      </c>
      <c r="AI47" s="101">
        <f t="shared" ca="1" si="17"/>
        <v>0</v>
      </c>
      <c r="AJ47" s="4" t="str">
        <f t="shared" si="18"/>
        <v/>
      </c>
      <c r="AK47" s="67" t="str">
        <f t="shared" si="19"/>
        <v/>
      </c>
    </row>
    <row r="48" spans="1:37" x14ac:dyDescent="0.2">
      <c r="A48" s="181" t="s">
        <v>250</v>
      </c>
      <c r="B48" s="106">
        <v>42892</v>
      </c>
      <c r="C48" s="106">
        <v>42895</v>
      </c>
      <c r="D48" s="29">
        <f t="shared" si="23"/>
        <v>3</v>
      </c>
      <c r="E48" s="104">
        <v>28</v>
      </c>
      <c r="F48" s="104"/>
      <c r="G48" s="104">
        <v>2</v>
      </c>
      <c r="H48" s="104"/>
      <c r="I48" s="68">
        <f t="shared" si="24"/>
        <v>6</v>
      </c>
      <c r="J48" s="68">
        <f t="shared" si="25"/>
        <v>28</v>
      </c>
      <c r="K48" s="30">
        <f t="shared" si="26"/>
        <v>84</v>
      </c>
      <c r="L48" s="107" t="s">
        <v>27</v>
      </c>
      <c r="M48" s="44" t="str">
        <f ca="1">IF(Saisie[[#This Row],[Nom du groupe]]="","",VLOOKUP(Saisie[[#This Row],[Nom du groupe]],Données,5,FALSE))</f>
        <v>SCO P</v>
      </c>
      <c r="N48" s="45">
        <f t="shared" ca="1" si="27"/>
        <v>59</v>
      </c>
      <c r="O48" s="4">
        <f t="shared" si="28"/>
        <v>27</v>
      </c>
      <c r="P48" s="68" t="str">
        <f t="shared" si="29"/>
        <v/>
      </c>
      <c r="Q48" s="107" t="s">
        <v>70</v>
      </c>
      <c r="R48" s="107">
        <v>2</v>
      </c>
      <c r="S48" s="64">
        <f t="shared" si="30"/>
        <v>44</v>
      </c>
      <c r="T48" s="64">
        <f t="shared" si="31"/>
        <v>41</v>
      </c>
      <c r="U48" s="109" t="s">
        <v>71</v>
      </c>
      <c r="V48" s="107">
        <v>1</v>
      </c>
      <c r="W48" s="64">
        <f t="shared" si="38"/>
        <v>53</v>
      </c>
      <c r="X48" s="64">
        <f t="shared" si="39"/>
        <v>48.5</v>
      </c>
      <c r="Y48" s="4">
        <f t="shared" si="32"/>
        <v>1</v>
      </c>
      <c r="Z48" s="67">
        <f t="shared" si="33"/>
        <v>141</v>
      </c>
      <c r="AA48" s="110">
        <v>27</v>
      </c>
      <c r="AB48" s="64">
        <f t="shared" si="34"/>
        <v>40.5</v>
      </c>
      <c r="AC48" s="66">
        <f t="shared" si="35"/>
        <v>3807</v>
      </c>
      <c r="AD48" s="69">
        <f t="shared" si="13"/>
        <v>282</v>
      </c>
      <c r="AE48" s="182" t="str">
        <f t="shared" si="36"/>
        <v>TEST 47</v>
      </c>
      <c r="AF48" s="230">
        <f t="shared" ca="1" si="20"/>
        <v>3</v>
      </c>
      <c r="AG48" s="68">
        <f t="shared" ca="1" si="37"/>
        <v>0</v>
      </c>
      <c r="AH48" s="101">
        <f t="shared" ca="1" si="16"/>
        <v>3807</v>
      </c>
      <c r="AI48" s="101">
        <f t="shared" ca="1" si="17"/>
        <v>0</v>
      </c>
      <c r="AJ48" s="4" t="str">
        <f t="shared" si="18"/>
        <v/>
      </c>
      <c r="AK48" s="67" t="str">
        <f t="shared" si="19"/>
        <v/>
      </c>
    </row>
    <row r="49" spans="1:37" x14ac:dyDescent="0.2">
      <c r="A49" s="181" t="s">
        <v>251</v>
      </c>
      <c r="B49" s="106">
        <v>42895</v>
      </c>
      <c r="C49" s="106">
        <v>42897</v>
      </c>
      <c r="D49" s="29">
        <f t="shared" si="23"/>
        <v>2</v>
      </c>
      <c r="E49" s="104">
        <v>25</v>
      </c>
      <c r="F49" s="104"/>
      <c r="G49" s="104">
        <v>5</v>
      </c>
      <c r="H49" s="104"/>
      <c r="I49" s="68">
        <f t="shared" si="24"/>
        <v>10</v>
      </c>
      <c r="J49" s="68">
        <f t="shared" si="25"/>
        <v>25</v>
      </c>
      <c r="K49" s="30">
        <f t="shared" si="26"/>
        <v>50</v>
      </c>
      <c r="L49" s="107" t="s">
        <v>27</v>
      </c>
      <c r="M49" s="44" t="str">
        <f ca="1">IF(Saisie[[#This Row],[Nom du groupe]]="","",VLOOKUP(Saisie[[#This Row],[Nom du groupe]],Données,5,FALSE))</f>
        <v>IME</v>
      </c>
      <c r="N49" s="45">
        <f t="shared" ca="1" si="27"/>
        <v>51</v>
      </c>
      <c r="O49" s="4">
        <f t="shared" si="28"/>
        <v>24</v>
      </c>
      <c r="P49" s="68" t="str">
        <f t="shared" si="29"/>
        <v/>
      </c>
      <c r="Q49" s="107" t="s">
        <v>72</v>
      </c>
      <c r="R49" s="107">
        <v>2</v>
      </c>
      <c r="S49" s="64">
        <f t="shared" si="30"/>
        <v>29</v>
      </c>
      <c r="T49" s="64">
        <f t="shared" si="31"/>
        <v>29</v>
      </c>
      <c r="U49" s="109"/>
      <c r="W49" s="64" t="str">
        <f t="shared" si="38"/>
        <v/>
      </c>
      <c r="X49" s="64" t="str">
        <f t="shared" si="39"/>
        <v/>
      </c>
      <c r="Y49" s="4">
        <f t="shared" si="32"/>
        <v>1</v>
      </c>
      <c r="Z49" s="67">
        <f t="shared" si="33"/>
        <v>58</v>
      </c>
      <c r="AA49" s="110">
        <v>20</v>
      </c>
      <c r="AB49" s="64">
        <f t="shared" si="34"/>
        <v>20</v>
      </c>
      <c r="AC49" s="66">
        <f t="shared" si="35"/>
        <v>1392</v>
      </c>
      <c r="AD49" s="69">
        <f t="shared" si="13"/>
        <v>290</v>
      </c>
      <c r="AE49" s="182" t="str">
        <f t="shared" si="36"/>
        <v>TEST 48</v>
      </c>
      <c r="AF49" s="230">
        <f t="shared" ca="1" si="20"/>
        <v>2</v>
      </c>
      <c r="AG49" s="68">
        <f t="shared" ca="1" si="37"/>
        <v>0</v>
      </c>
      <c r="AH49" s="101">
        <f t="shared" ca="1" si="16"/>
        <v>1392</v>
      </c>
      <c r="AI49" s="101">
        <f t="shared" ca="1" si="17"/>
        <v>0</v>
      </c>
      <c r="AJ49" s="4" t="str">
        <f t="shared" si="18"/>
        <v/>
      </c>
      <c r="AK49" s="67" t="str">
        <f t="shared" si="19"/>
        <v/>
      </c>
    </row>
    <row r="50" spans="1:37" x14ac:dyDescent="0.2">
      <c r="A50" s="181" t="s">
        <v>252</v>
      </c>
      <c r="B50" s="106">
        <v>42897</v>
      </c>
      <c r="C50" s="106">
        <v>42898</v>
      </c>
      <c r="D50" s="29">
        <f t="shared" si="23"/>
        <v>1</v>
      </c>
      <c r="E50" s="104">
        <v>2</v>
      </c>
      <c r="F50" s="104"/>
      <c r="G50" s="104"/>
      <c r="H50" s="104"/>
      <c r="I50" s="68" t="str">
        <f t="shared" si="24"/>
        <v/>
      </c>
      <c r="J50" s="68">
        <f t="shared" si="25"/>
        <v>2</v>
      </c>
      <c r="K50" s="30">
        <f t="shared" si="26"/>
        <v>2</v>
      </c>
      <c r="L50" s="107" t="s">
        <v>27</v>
      </c>
      <c r="M50" s="44" t="str">
        <f ca="1">IF(Saisie[[#This Row],[Nom du groupe]]="","",VLOOKUP(Saisie[[#This Row],[Nom du groupe]],Données,5,FALSE))</f>
        <v>FAM</v>
      </c>
      <c r="N50" s="45">
        <f t="shared" ca="1" si="27"/>
        <v>51</v>
      </c>
      <c r="O50" s="4">
        <f t="shared" si="28"/>
        <v>2</v>
      </c>
      <c r="P50" s="68" t="str">
        <f t="shared" si="29"/>
        <v/>
      </c>
      <c r="Q50" s="107" t="s">
        <v>72</v>
      </c>
      <c r="S50" s="64">
        <f t="shared" si="30"/>
        <v>29</v>
      </c>
      <c r="T50" s="64">
        <f t="shared" si="31"/>
        <v>29</v>
      </c>
      <c r="U50" s="109"/>
      <c r="W50" s="64" t="str">
        <f t="shared" si="38"/>
        <v/>
      </c>
      <c r="X50" s="64" t="str">
        <f t="shared" si="39"/>
        <v/>
      </c>
      <c r="Y50" s="4">
        <f t="shared" si="32"/>
        <v>0</v>
      </c>
      <c r="Z50" s="67" t="str">
        <f t="shared" si="33"/>
        <v>0</v>
      </c>
      <c r="AA50" s="110">
        <v>2</v>
      </c>
      <c r="AB50" s="64">
        <f t="shared" si="34"/>
        <v>1</v>
      </c>
      <c r="AC50" s="66">
        <f t="shared" si="35"/>
        <v>0</v>
      </c>
      <c r="AD50" s="69">
        <f t="shared" si="13"/>
        <v>0</v>
      </c>
      <c r="AE50" s="182" t="str">
        <f t="shared" si="36"/>
        <v>TEST 49</v>
      </c>
      <c r="AF50" s="230">
        <f t="shared" ca="1" si="20"/>
        <v>1</v>
      </c>
      <c r="AG50" s="68">
        <f t="shared" ca="1" si="37"/>
        <v>0</v>
      </c>
      <c r="AH50" s="101">
        <f t="shared" ca="1" si="16"/>
        <v>0</v>
      </c>
      <c r="AI50" s="101">
        <f t="shared" ca="1" si="17"/>
        <v>0</v>
      </c>
      <c r="AJ50" s="4" t="str">
        <f t="shared" si="18"/>
        <v/>
      </c>
      <c r="AK50" s="67" t="str">
        <f t="shared" si="19"/>
        <v/>
      </c>
    </row>
    <row r="51" spans="1:37" x14ac:dyDescent="0.2">
      <c r="A51" s="181" t="s">
        <v>253</v>
      </c>
      <c r="B51" s="106">
        <v>42898</v>
      </c>
      <c r="C51" s="106">
        <v>42899</v>
      </c>
      <c r="D51" s="29">
        <f t="shared" si="23"/>
        <v>1</v>
      </c>
      <c r="E51" s="104">
        <v>6</v>
      </c>
      <c r="F51" s="104">
        <v>27</v>
      </c>
      <c r="G51" s="104"/>
      <c r="H51" s="104"/>
      <c r="I51" s="68" t="str">
        <f t="shared" si="24"/>
        <v/>
      </c>
      <c r="J51" s="68">
        <f t="shared" si="25"/>
        <v>33</v>
      </c>
      <c r="K51" s="30">
        <f t="shared" si="26"/>
        <v>33</v>
      </c>
      <c r="L51" s="107" t="s">
        <v>27</v>
      </c>
      <c r="M51" s="44" t="str">
        <f ca="1">IF(Saisie[[#This Row],[Nom du groupe]]="","",VLOOKUP(Saisie[[#This Row],[Nom du groupe]],Données,5,FALSE))</f>
        <v>ALSH</v>
      </c>
      <c r="N51" s="45">
        <f t="shared" ca="1" si="27"/>
        <v>94</v>
      </c>
      <c r="O51" s="4">
        <f t="shared" si="28"/>
        <v>5</v>
      </c>
      <c r="P51" s="68">
        <f t="shared" si="29"/>
        <v>27</v>
      </c>
      <c r="Q51" s="107" t="s">
        <v>71</v>
      </c>
      <c r="R51" s="107">
        <v>1</v>
      </c>
      <c r="S51" s="64">
        <f t="shared" si="30"/>
        <v>53</v>
      </c>
      <c r="T51" s="64">
        <f t="shared" si="31"/>
        <v>48.5</v>
      </c>
      <c r="U51" s="109"/>
      <c r="W51" s="64" t="str">
        <f t="shared" si="38"/>
        <v/>
      </c>
      <c r="X51" s="64" t="str">
        <f t="shared" si="39"/>
        <v/>
      </c>
      <c r="Y51" s="4">
        <f t="shared" si="32"/>
        <v>1</v>
      </c>
      <c r="Z51" s="67">
        <f t="shared" si="33"/>
        <v>53</v>
      </c>
      <c r="AA51" s="110"/>
      <c r="AB51" s="64" t="str">
        <f t="shared" si="34"/>
        <v/>
      </c>
      <c r="AC51" s="66">
        <f t="shared" si="35"/>
        <v>1574.5</v>
      </c>
      <c r="AD51" s="69">
        <f t="shared" si="13"/>
        <v>0</v>
      </c>
      <c r="AE51" s="182" t="str">
        <f t="shared" si="36"/>
        <v>TEST 50</v>
      </c>
      <c r="AF51" s="230">
        <f t="shared" ca="1" si="20"/>
        <v>1</v>
      </c>
      <c r="AG51" s="68">
        <f t="shared" ca="1" si="37"/>
        <v>0</v>
      </c>
      <c r="AH51" s="101">
        <f t="shared" ca="1" si="16"/>
        <v>1574.5</v>
      </c>
      <c r="AI51" s="101">
        <f t="shared" ca="1" si="17"/>
        <v>0</v>
      </c>
      <c r="AJ51" s="4" t="str">
        <f t="shared" si="18"/>
        <v/>
      </c>
      <c r="AK51" s="67" t="str">
        <f t="shared" si="19"/>
        <v/>
      </c>
    </row>
    <row r="52" spans="1:37" x14ac:dyDescent="0.2">
      <c r="A52" s="181" t="s">
        <v>254</v>
      </c>
      <c r="B52" s="106">
        <v>42899</v>
      </c>
      <c r="C52" s="106">
        <v>42900</v>
      </c>
      <c r="D52" s="29">
        <f t="shared" si="23"/>
        <v>1</v>
      </c>
      <c r="E52" s="104">
        <v>6</v>
      </c>
      <c r="F52" s="104">
        <v>55</v>
      </c>
      <c r="G52" s="104"/>
      <c r="H52" s="104"/>
      <c r="I52" s="68" t="str">
        <f t="shared" si="24"/>
        <v/>
      </c>
      <c r="J52" s="68">
        <f t="shared" si="25"/>
        <v>61</v>
      </c>
      <c r="K52" s="30">
        <f t="shared" si="26"/>
        <v>61</v>
      </c>
      <c r="L52" s="107" t="s">
        <v>27</v>
      </c>
      <c r="M52" s="44" t="str">
        <f ca="1">IF(Saisie[[#This Row],[Nom du groupe]]="","",VLOOKUP(Saisie[[#This Row],[Nom du groupe]],Données,5,FALSE))</f>
        <v>IME</v>
      </c>
      <c r="N52" s="45">
        <f t="shared" ca="1" si="27"/>
        <v>67</v>
      </c>
      <c r="O52" s="4">
        <f t="shared" si="28"/>
        <v>3</v>
      </c>
      <c r="P52" s="68">
        <f t="shared" si="29"/>
        <v>55</v>
      </c>
      <c r="Q52" s="107" t="s">
        <v>71</v>
      </c>
      <c r="R52" s="107">
        <v>1</v>
      </c>
      <c r="S52" s="64">
        <f t="shared" si="30"/>
        <v>53</v>
      </c>
      <c r="T52" s="64">
        <f t="shared" si="31"/>
        <v>48.5</v>
      </c>
      <c r="U52" s="109"/>
      <c r="W52" s="64" t="str">
        <f t="shared" si="38"/>
        <v/>
      </c>
      <c r="X52" s="64" t="str">
        <f t="shared" si="39"/>
        <v/>
      </c>
      <c r="Y52" s="4">
        <f t="shared" si="32"/>
        <v>3</v>
      </c>
      <c r="Z52" s="67">
        <f t="shared" si="33"/>
        <v>159</v>
      </c>
      <c r="AA52" s="110"/>
      <c r="AB52" s="64" t="str">
        <f t="shared" si="34"/>
        <v/>
      </c>
      <c r="AC52" s="66">
        <f t="shared" si="35"/>
        <v>2826.5</v>
      </c>
      <c r="AD52" s="69">
        <f t="shared" si="13"/>
        <v>0</v>
      </c>
      <c r="AE52" s="182" t="str">
        <f t="shared" si="36"/>
        <v>TEST 51</v>
      </c>
      <c r="AF52" s="230">
        <f t="shared" ca="1" si="20"/>
        <v>1</v>
      </c>
      <c r="AG52" s="68">
        <f t="shared" ca="1" si="37"/>
        <v>0</v>
      </c>
      <c r="AH52" s="101">
        <f t="shared" ca="1" si="16"/>
        <v>2826.5</v>
      </c>
      <c r="AI52" s="101">
        <f t="shared" ca="1" si="17"/>
        <v>0</v>
      </c>
      <c r="AJ52" s="4" t="str">
        <f t="shared" si="18"/>
        <v/>
      </c>
      <c r="AK52" s="67" t="str">
        <f t="shared" si="19"/>
        <v/>
      </c>
    </row>
    <row r="53" spans="1:37" x14ac:dyDescent="0.2">
      <c r="A53" s="181" t="s">
        <v>255</v>
      </c>
      <c r="B53" s="106">
        <v>42900</v>
      </c>
      <c r="C53" s="106">
        <v>42901</v>
      </c>
      <c r="D53" s="29">
        <f t="shared" si="23"/>
        <v>1</v>
      </c>
      <c r="E53" s="104">
        <v>7</v>
      </c>
      <c r="F53" s="104">
        <v>47</v>
      </c>
      <c r="G53" s="104"/>
      <c r="H53" s="104">
        <v>3</v>
      </c>
      <c r="I53" s="68">
        <f t="shared" si="24"/>
        <v>3</v>
      </c>
      <c r="J53" s="68">
        <f t="shared" si="25"/>
        <v>54</v>
      </c>
      <c r="K53" s="30">
        <f t="shared" si="26"/>
        <v>54</v>
      </c>
      <c r="L53" s="107" t="s">
        <v>27</v>
      </c>
      <c r="M53" s="44" t="str">
        <f ca="1">IF(Saisie[[#This Row],[Nom du groupe]]="","",VLOOKUP(Saisie[[#This Row],[Nom du groupe]],Données,5,FALSE))</f>
        <v>IME</v>
      </c>
      <c r="N53" s="45">
        <f t="shared" ca="1" si="27"/>
        <v>62</v>
      </c>
      <c r="O53" s="4">
        <f t="shared" si="28"/>
        <v>5</v>
      </c>
      <c r="P53" s="68">
        <f t="shared" si="29"/>
        <v>47</v>
      </c>
      <c r="Q53" s="107" t="s">
        <v>71</v>
      </c>
      <c r="R53" s="107">
        <v>1</v>
      </c>
      <c r="S53" s="64">
        <f t="shared" si="30"/>
        <v>53</v>
      </c>
      <c r="T53" s="64">
        <f t="shared" si="31"/>
        <v>48.5</v>
      </c>
      <c r="U53" s="109"/>
      <c r="W53" s="64" t="str">
        <f t="shared" si="38"/>
        <v/>
      </c>
      <c r="X53" s="64" t="str">
        <f t="shared" si="39"/>
        <v/>
      </c>
      <c r="Y53" s="4">
        <f t="shared" si="32"/>
        <v>2</v>
      </c>
      <c r="Z53" s="67">
        <f t="shared" si="33"/>
        <v>106</v>
      </c>
      <c r="AA53" s="110"/>
      <c r="AB53" s="64" t="str">
        <f t="shared" si="34"/>
        <v/>
      </c>
      <c r="AC53" s="66">
        <f t="shared" si="35"/>
        <v>2544.5</v>
      </c>
      <c r="AD53" s="69">
        <f t="shared" si="13"/>
        <v>145.5</v>
      </c>
      <c r="AE53" s="182" t="str">
        <f t="shared" si="36"/>
        <v>TEST 52</v>
      </c>
      <c r="AF53" s="230">
        <f t="shared" ca="1" si="20"/>
        <v>1</v>
      </c>
      <c r="AG53" s="68">
        <f t="shared" ca="1" si="37"/>
        <v>0</v>
      </c>
      <c r="AH53" s="101">
        <f t="shared" ca="1" si="16"/>
        <v>2544.5</v>
      </c>
      <c r="AI53" s="101">
        <f t="shared" ca="1" si="17"/>
        <v>0</v>
      </c>
      <c r="AJ53" s="4" t="str">
        <f t="shared" si="18"/>
        <v/>
      </c>
      <c r="AK53" s="67" t="str">
        <f t="shared" si="19"/>
        <v/>
      </c>
    </row>
    <row r="54" spans="1:37" x14ac:dyDescent="0.2">
      <c r="A54" s="181" t="s">
        <v>256</v>
      </c>
      <c r="B54" s="106">
        <v>42901</v>
      </c>
      <c r="C54" s="106">
        <v>42902</v>
      </c>
      <c r="D54" s="29">
        <f t="shared" si="23"/>
        <v>1</v>
      </c>
      <c r="E54" s="104">
        <v>21</v>
      </c>
      <c r="F54" s="104"/>
      <c r="G54" s="104"/>
      <c r="H54" s="104"/>
      <c r="I54" s="68" t="str">
        <f t="shared" si="24"/>
        <v/>
      </c>
      <c r="J54" s="68">
        <f t="shared" si="25"/>
        <v>21</v>
      </c>
      <c r="K54" s="30">
        <f t="shared" si="26"/>
        <v>21</v>
      </c>
      <c r="L54" s="107" t="s">
        <v>27</v>
      </c>
      <c r="M54" s="44" t="str">
        <f ca="1">IF(Saisie[[#This Row],[Nom du groupe]]="","",VLOOKUP(Saisie[[#This Row],[Nom du groupe]],Données,5,FALSE))</f>
        <v>ASS</v>
      </c>
      <c r="N54" s="45">
        <f t="shared" ca="1" si="27"/>
        <v>58</v>
      </c>
      <c r="O54" s="4">
        <f t="shared" si="28"/>
        <v>20</v>
      </c>
      <c r="P54" s="68" t="str">
        <f t="shared" si="29"/>
        <v/>
      </c>
      <c r="Q54" s="107" t="s">
        <v>70</v>
      </c>
      <c r="R54" s="107">
        <v>1</v>
      </c>
      <c r="S54" s="64">
        <f t="shared" si="30"/>
        <v>44</v>
      </c>
      <c r="T54" s="64">
        <f t="shared" si="31"/>
        <v>41</v>
      </c>
      <c r="U54" s="109"/>
      <c r="W54" s="64" t="str">
        <f t="shared" si="38"/>
        <v/>
      </c>
      <c r="X54" s="64" t="str">
        <f t="shared" si="39"/>
        <v/>
      </c>
      <c r="Y54" s="4">
        <f t="shared" si="32"/>
        <v>1</v>
      </c>
      <c r="Z54" s="67">
        <f t="shared" si="33"/>
        <v>44</v>
      </c>
      <c r="AA54" s="110">
        <v>21</v>
      </c>
      <c r="AB54" s="64">
        <f t="shared" si="34"/>
        <v>10.5</v>
      </c>
      <c r="AC54" s="66">
        <f t="shared" si="35"/>
        <v>880</v>
      </c>
      <c r="AD54" s="69">
        <f t="shared" si="13"/>
        <v>0</v>
      </c>
      <c r="AE54" s="182" t="str">
        <f t="shared" si="36"/>
        <v>TEST 53</v>
      </c>
      <c r="AF54" s="230">
        <f t="shared" ca="1" si="20"/>
        <v>1</v>
      </c>
      <c r="AG54" s="68">
        <f t="shared" ca="1" si="37"/>
        <v>0</v>
      </c>
      <c r="AH54" s="101">
        <f t="shared" ca="1" si="16"/>
        <v>880</v>
      </c>
      <c r="AI54" s="101">
        <f t="shared" ca="1" si="17"/>
        <v>0</v>
      </c>
      <c r="AJ54" s="4" t="str">
        <f t="shared" si="18"/>
        <v/>
      </c>
      <c r="AK54" s="67" t="str">
        <f t="shared" si="19"/>
        <v/>
      </c>
    </row>
    <row r="55" spans="1:37" x14ac:dyDescent="0.2">
      <c r="A55" s="181" t="s">
        <v>257</v>
      </c>
      <c r="B55" s="106">
        <v>42905</v>
      </c>
      <c r="C55" s="106">
        <v>42909</v>
      </c>
      <c r="D55" s="29">
        <f t="shared" si="23"/>
        <v>4</v>
      </c>
      <c r="E55" s="104">
        <v>34</v>
      </c>
      <c r="F55" s="104"/>
      <c r="G55" s="104"/>
      <c r="H55" s="104"/>
      <c r="I55" s="68" t="str">
        <f t="shared" si="24"/>
        <v/>
      </c>
      <c r="J55" s="68">
        <f t="shared" si="25"/>
        <v>34</v>
      </c>
      <c r="K55" s="30">
        <f t="shared" si="26"/>
        <v>136</v>
      </c>
      <c r="L55" s="107" t="s">
        <v>27</v>
      </c>
      <c r="M55" s="44" t="str">
        <f ca="1">IF(Saisie[[#This Row],[Nom du groupe]]="","",VLOOKUP(Saisie[[#This Row],[Nom du groupe]],Données,5,FALSE))</f>
        <v>ASS</v>
      </c>
      <c r="N55" s="45">
        <f t="shared" ca="1" si="27"/>
        <v>2</v>
      </c>
      <c r="O55" s="4">
        <f t="shared" si="28"/>
        <v>33</v>
      </c>
      <c r="P55" s="68" t="str">
        <f t="shared" si="29"/>
        <v/>
      </c>
      <c r="Q55" s="107" t="s">
        <v>70</v>
      </c>
      <c r="R55" s="107">
        <v>4</v>
      </c>
      <c r="S55" s="64">
        <f t="shared" si="30"/>
        <v>44</v>
      </c>
      <c r="T55" s="64">
        <f t="shared" si="31"/>
        <v>41</v>
      </c>
      <c r="U55" s="109"/>
      <c r="W55" s="64" t="str">
        <f t="shared" si="38"/>
        <v/>
      </c>
      <c r="X55" s="64" t="str">
        <f t="shared" si="39"/>
        <v/>
      </c>
      <c r="Y55" s="4">
        <f t="shared" si="32"/>
        <v>1</v>
      </c>
      <c r="Z55" s="67">
        <f t="shared" si="33"/>
        <v>176</v>
      </c>
      <c r="AA55" s="110">
        <v>34</v>
      </c>
      <c r="AB55" s="64">
        <f t="shared" si="34"/>
        <v>68</v>
      </c>
      <c r="AC55" s="66">
        <f t="shared" si="35"/>
        <v>5808</v>
      </c>
      <c r="AD55" s="69">
        <f t="shared" si="13"/>
        <v>0</v>
      </c>
      <c r="AE55" s="182" t="str">
        <f t="shared" si="36"/>
        <v>TEST 54</v>
      </c>
      <c r="AF55" s="230">
        <f t="shared" ca="1" si="20"/>
        <v>4</v>
      </c>
      <c r="AG55" s="68">
        <f t="shared" ca="1" si="37"/>
        <v>0</v>
      </c>
      <c r="AH55" s="101">
        <f t="shared" ca="1" si="16"/>
        <v>5808</v>
      </c>
      <c r="AI55" s="101">
        <f t="shared" ca="1" si="17"/>
        <v>0</v>
      </c>
      <c r="AJ55" s="4" t="str">
        <f t="shared" si="18"/>
        <v/>
      </c>
      <c r="AK55" s="67" t="str">
        <f t="shared" si="19"/>
        <v/>
      </c>
    </row>
    <row r="56" spans="1:37" x14ac:dyDescent="0.2">
      <c r="A56" s="181" t="s">
        <v>258</v>
      </c>
      <c r="B56" s="106">
        <v>42905</v>
      </c>
      <c r="C56" s="106">
        <v>42909</v>
      </c>
      <c r="D56" s="29">
        <f t="shared" si="23"/>
        <v>4</v>
      </c>
      <c r="E56" s="104">
        <v>6</v>
      </c>
      <c r="F56" s="104"/>
      <c r="G56" s="104"/>
      <c r="H56" s="104"/>
      <c r="I56" s="68" t="str">
        <f t="shared" si="24"/>
        <v/>
      </c>
      <c r="J56" s="68">
        <f t="shared" si="25"/>
        <v>6</v>
      </c>
      <c r="K56" s="30">
        <f t="shared" si="26"/>
        <v>24</v>
      </c>
      <c r="L56" s="107" t="s">
        <v>27</v>
      </c>
      <c r="M56" s="44" t="str">
        <f ca="1">IF(Saisie[[#This Row],[Nom du groupe]]="","",VLOOKUP(Saisie[[#This Row],[Nom du groupe]],Données,5,FALSE))</f>
        <v>ASS</v>
      </c>
      <c r="N56" s="45">
        <f t="shared" ca="1" si="27"/>
        <v>17</v>
      </c>
      <c r="O56" s="4">
        <f t="shared" si="28"/>
        <v>6</v>
      </c>
      <c r="P56" s="68" t="str">
        <f t="shared" si="29"/>
        <v/>
      </c>
      <c r="Q56" s="107" t="s">
        <v>71</v>
      </c>
      <c r="R56" s="107">
        <v>4</v>
      </c>
      <c r="S56" s="64">
        <f t="shared" si="30"/>
        <v>53</v>
      </c>
      <c r="T56" s="64">
        <f t="shared" si="31"/>
        <v>48.5</v>
      </c>
      <c r="U56" s="109"/>
      <c r="W56" s="64" t="str">
        <f t="shared" si="38"/>
        <v/>
      </c>
      <c r="X56" s="64" t="str">
        <f t="shared" si="39"/>
        <v/>
      </c>
      <c r="Y56" s="4">
        <f t="shared" si="32"/>
        <v>0</v>
      </c>
      <c r="Z56" s="67">
        <f t="shared" si="33"/>
        <v>0</v>
      </c>
      <c r="AA56" s="110">
        <v>6</v>
      </c>
      <c r="AB56" s="64">
        <f t="shared" si="34"/>
        <v>12</v>
      </c>
      <c r="AC56" s="66">
        <f t="shared" si="35"/>
        <v>1272</v>
      </c>
      <c r="AD56" s="69">
        <f t="shared" si="13"/>
        <v>0</v>
      </c>
      <c r="AE56" s="182" t="str">
        <f t="shared" si="36"/>
        <v>TEST 55</v>
      </c>
      <c r="AF56" s="230">
        <f t="shared" ca="1" si="20"/>
        <v>4</v>
      </c>
      <c r="AG56" s="68">
        <f t="shared" ca="1" si="37"/>
        <v>0</v>
      </c>
      <c r="AH56" s="101">
        <f t="shared" ca="1" si="16"/>
        <v>1272</v>
      </c>
      <c r="AI56" s="101">
        <f t="shared" ca="1" si="17"/>
        <v>0</v>
      </c>
      <c r="AJ56" s="4" t="str">
        <f t="shared" si="18"/>
        <v/>
      </c>
      <c r="AK56" s="67" t="str">
        <f t="shared" si="19"/>
        <v/>
      </c>
    </row>
    <row r="57" spans="1:37" x14ac:dyDescent="0.2">
      <c r="A57" s="181" t="s">
        <v>259</v>
      </c>
      <c r="B57" s="106">
        <v>42910</v>
      </c>
      <c r="C57" s="106">
        <v>42911</v>
      </c>
      <c r="D57" s="29">
        <f t="shared" si="23"/>
        <v>1</v>
      </c>
      <c r="E57" s="104">
        <v>16</v>
      </c>
      <c r="F57" s="104"/>
      <c r="G57" s="104"/>
      <c r="H57" s="104"/>
      <c r="I57" s="68" t="str">
        <f t="shared" si="24"/>
        <v/>
      </c>
      <c r="J57" s="68">
        <f t="shared" si="25"/>
        <v>16</v>
      </c>
      <c r="K57" s="30">
        <f t="shared" si="26"/>
        <v>16</v>
      </c>
      <c r="L57" s="107" t="s">
        <v>27</v>
      </c>
      <c r="M57" s="44" t="str">
        <f ca="1">IF(Saisie[[#This Row],[Nom du groupe]]="","",VLOOKUP(Saisie[[#This Row],[Nom du groupe]],Données,5,FALSE))</f>
        <v>HOT</v>
      </c>
      <c r="N57" s="45">
        <f t="shared" ca="1" si="27"/>
        <v>2</v>
      </c>
      <c r="O57" s="4">
        <f t="shared" si="28"/>
        <v>16</v>
      </c>
      <c r="P57" s="68" t="str">
        <f t="shared" si="29"/>
        <v/>
      </c>
      <c r="Q57" s="107" t="s">
        <v>71</v>
      </c>
      <c r="R57" s="107">
        <v>1</v>
      </c>
      <c r="S57" s="64">
        <f t="shared" si="30"/>
        <v>53</v>
      </c>
      <c r="T57" s="64">
        <f t="shared" si="31"/>
        <v>48.5</v>
      </c>
      <c r="U57" s="109"/>
      <c r="W57" s="64" t="str">
        <f t="shared" si="38"/>
        <v/>
      </c>
      <c r="X57" s="64" t="str">
        <f t="shared" si="39"/>
        <v/>
      </c>
      <c r="Y57" s="4">
        <f t="shared" si="32"/>
        <v>0</v>
      </c>
      <c r="Z57" s="67">
        <f t="shared" si="33"/>
        <v>0</v>
      </c>
      <c r="AA57" s="110">
        <v>16</v>
      </c>
      <c r="AB57" s="64">
        <f t="shared" si="34"/>
        <v>8</v>
      </c>
      <c r="AC57" s="66">
        <f t="shared" si="35"/>
        <v>848</v>
      </c>
      <c r="AD57" s="69">
        <f t="shared" si="13"/>
        <v>0</v>
      </c>
      <c r="AE57" s="182" t="str">
        <f t="shared" si="36"/>
        <v>TEST 56</v>
      </c>
      <c r="AF57" s="230">
        <f t="shared" ca="1" si="20"/>
        <v>1</v>
      </c>
      <c r="AG57" s="68">
        <f t="shared" ca="1" si="37"/>
        <v>0</v>
      </c>
      <c r="AH57" s="101">
        <f t="shared" ca="1" si="16"/>
        <v>848</v>
      </c>
      <c r="AI57" s="101">
        <f t="shared" ca="1" si="17"/>
        <v>0</v>
      </c>
      <c r="AJ57" s="4" t="str">
        <f t="shared" si="18"/>
        <v/>
      </c>
      <c r="AK57" s="67" t="str">
        <f t="shared" si="19"/>
        <v/>
      </c>
    </row>
    <row r="58" spans="1:37" x14ac:dyDescent="0.2">
      <c r="A58" s="181" t="s">
        <v>260</v>
      </c>
      <c r="B58" s="106">
        <v>42910</v>
      </c>
      <c r="C58" s="106">
        <v>42911</v>
      </c>
      <c r="D58" s="29">
        <f t="shared" si="23"/>
        <v>1</v>
      </c>
      <c r="E58" s="104">
        <v>17</v>
      </c>
      <c r="F58" s="104">
        <v>1</v>
      </c>
      <c r="G58" s="104"/>
      <c r="H58" s="104"/>
      <c r="I58" s="68" t="str">
        <f t="shared" si="24"/>
        <v/>
      </c>
      <c r="J58" s="68">
        <f t="shared" si="25"/>
        <v>18</v>
      </c>
      <c r="K58" s="30">
        <f t="shared" si="26"/>
        <v>18</v>
      </c>
      <c r="L58" s="107" t="s">
        <v>27</v>
      </c>
      <c r="M58" s="44" t="str">
        <f ca="1">IF(Saisie[[#This Row],[Nom du groupe]]="","",VLOOKUP(Saisie[[#This Row],[Nom du groupe]],Données,5,FALSE))</f>
        <v>SPT</v>
      </c>
      <c r="N58" s="45">
        <f t="shared" ca="1" si="27"/>
        <v>91</v>
      </c>
      <c r="O58" s="4">
        <f t="shared" si="28"/>
        <v>17</v>
      </c>
      <c r="P58" s="68">
        <f t="shared" si="29"/>
        <v>1</v>
      </c>
      <c r="Q58" s="107" t="s">
        <v>71</v>
      </c>
      <c r="R58" s="107">
        <v>1</v>
      </c>
      <c r="S58" s="64">
        <f t="shared" si="30"/>
        <v>53</v>
      </c>
      <c r="T58" s="64">
        <f t="shared" si="31"/>
        <v>48.5</v>
      </c>
      <c r="U58" s="109"/>
      <c r="W58" s="64" t="str">
        <f t="shared" si="38"/>
        <v/>
      </c>
      <c r="X58" s="64" t="str">
        <f t="shared" si="39"/>
        <v/>
      </c>
      <c r="Y58" s="4">
        <f t="shared" si="32"/>
        <v>0</v>
      </c>
      <c r="Z58" s="67">
        <f t="shared" si="33"/>
        <v>0</v>
      </c>
      <c r="AA58" s="110">
        <v>17</v>
      </c>
      <c r="AB58" s="64">
        <f t="shared" si="34"/>
        <v>8.5</v>
      </c>
      <c r="AC58" s="66">
        <f t="shared" si="35"/>
        <v>949.5</v>
      </c>
      <c r="AD58" s="69">
        <f t="shared" si="13"/>
        <v>0</v>
      </c>
      <c r="AE58" s="182" t="str">
        <f t="shared" si="36"/>
        <v>TEST 57</v>
      </c>
      <c r="AF58" s="230">
        <f t="shared" ca="1" si="20"/>
        <v>1</v>
      </c>
      <c r="AG58" s="68">
        <f t="shared" ca="1" si="37"/>
        <v>0</v>
      </c>
      <c r="AH58" s="101">
        <f t="shared" ca="1" si="16"/>
        <v>949.5</v>
      </c>
      <c r="AI58" s="101">
        <f t="shared" ca="1" si="17"/>
        <v>0</v>
      </c>
      <c r="AJ58" s="4" t="str">
        <f t="shared" si="18"/>
        <v/>
      </c>
      <c r="AK58" s="67" t="str">
        <f t="shared" si="19"/>
        <v/>
      </c>
    </row>
    <row r="59" spans="1:37" x14ac:dyDescent="0.2">
      <c r="A59" s="181" t="s">
        <v>261</v>
      </c>
      <c r="B59" s="106">
        <v>42912</v>
      </c>
      <c r="C59" s="106">
        <v>42917</v>
      </c>
      <c r="D59" s="29">
        <f t="shared" si="23"/>
        <v>5</v>
      </c>
      <c r="E59" s="104">
        <v>7</v>
      </c>
      <c r="F59" s="104">
        <v>10</v>
      </c>
      <c r="G59" s="104"/>
      <c r="H59" s="104"/>
      <c r="I59" s="68" t="str">
        <f t="shared" si="24"/>
        <v/>
      </c>
      <c r="J59" s="68">
        <f t="shared" si="25"/>
        <v>17</v>
      </c>
      <c r="K59" s="30">
        <f t="shared" si="26"/>
        <v>85</v>
      </c>
      <c r="L59" s="107" t="s">
        <v>27</v>
      </c>
      <c r="M59" s="44" t="str">
        <f ca="1">IF(Saisie[[#This Row],[Nom du groupe]]="","",VLOOKUP(Saisie[[#This Row],[Nom du groupe]],Données,5,FALSE))</f>
        <v>HOT</v>
      </c>
      <c r="N59" s="45">
        <f t="shared" ca="1" si="27"/>
        <v>95</v>
      </c>
      <c r="O59" s="4">
        <f t="shared" si="28"/>
        <v>7</v>
      </c>
      <c r="P59" s="68">
        <f t="shared" si="29"/>
        <v>10</v>
      </c>
      <c r="Q59" s="107" t="s">
        <v>71</v>
      </c>
      <c r="R59" s="107">
        <v>5</v>
      </c>
      <c r="S59" s="64">
        <f t="shared" si="30"/>
        <v>53</v>
      </c>
      <c r="T59" s="64">
        <f t="shared" si="31"/>
        <v>48.5</v>
      </c>
      <c r="U59" s="109"/>
      <c r="W59" s="64" t="str">
        <f t="shared" si="38"/>
        <v/>
      </c>
      <c r="X59" s="64" t="str">
        <f t="shared" si="39"/>
        <v/>
      </c>
      <c r="Y59" s="4">
        <f t="shared" si="32"/>
        <v>0</v>
      </c>
      <c r="Z59" s="67">
        <f t="shared" si="33"/>
        <v>0</v>
      </c>
      <c r="AA59" s="110">
        <v>7</v>
      </c>
      <c r="AB59" s="64">
        <f t="shared" si="34"/>
        <v>17.5</v>
      </c>
      <c r="AC59" s="66">
        <f t="shared" si="35"/>
        <v>4280</v>
      </c>
      <c r="AD59" s="69">
        <f t="shared" si="13"/>
        <v>0</v>
      </c>
      <c r="AE59" s="182" t="str">
        <f t="shared" si="36"/>
        <v>TEST 58</v>
      </c>
      <c r="AF59" s="230">
        <f t="shared" ca="1" si="20"/>
        <v>5</v>
      </c>
      <c r="AG59" s="68">
        <f t="shared" ca="1" si="37"/>
        <v>0</v>
      </c>
      <c r="AH59" s="101">
        <f t="shared" ca="1" si="16"/>
        <v>4280</v>
      </c>
      <c r="AI59" s="101">
        <f t="shared" ca="1" si="17"/>
        <v>0</v>
      </c>
      <c r="AJ59" s="4" t="str">
        <f t="shared" si="18"/>
        <v/>
      </c>
      <c r="AK59" s="67" t="str">
        <f t="shared" si="19"/>
        <v/>
      </c>
    </row>
    <row r="60" spans="1:37" x14ac:dyDescent="0.2">
      <c r="A60" s="181" t="s">
        <v>262</v>
      </c>
      <c r="B60" s="106">
        <v>42912</v>
      </c>
      <c r="C60" s="106">
        <v>42915</v>
      </c>
      <c r="D60" s="29">
        <f t="shared" si="23"/>
        <v>3</v>
      </c>
      <c r="E60" s="104">
        <v>7</v>
      </c>
      <c r="F60" s="104">
        <v>13</v>
      </c>
      <c r="G60" s="104">
        <v>1</v>
      </c>
      <c r="H60" s="104">
        <v>2</v>
      </c>
      <c r="I60" s="68">
        <f t="shared" si="24"/>
        <v>9</v>
      </c>
      <c r="J60" s="68">
        <f t="shared" si="25"/>
        <v>20</v>
      </c>
      <c r="K60" s="30">
        <f t="shared" si="26"/>
        <v>60</v>
      </c>
      <c r="L60" s="107" t="s">
        <v>27</v>
      </c>
      <c r="M60" s="44" t="str">
        <f ca="1">IF(Saisie[[#This Row],[Nom du groupe]]="","",VLOOKUP(Saisie[[#This Row],[Nom du groupe]],Données,5,FALSE))</f>
        <v>HOT</v>
      </c>
      <c r="N60" s="45">
        <f t="shared" ca="1" si="27"/>
        <v>76</v>
      </c>
      <c r="O60" s="4">
        <f t="shared" si="28"/>
        <v>7</v>
      </c>
      <c r="P60" s="68">
        <f t="shared" si="29"/>
        <v>13</v>
      </c>
      <c r="Q60" s="107" t="s">
        <v>71</v>
      </c>
      <c r="R60" s="107">
        <v>3</v>
      </c>
      <c r="S60" s="64">
        <f t="shared" si="30"/>
        <v>53</v>
      </c>
      <c r="T60" s="64">
        <f t="shared" si="31"/>
        <v>48.5</v>
      </c>
      <c r="U60" s="109"/>
      <c r="W60" s="64" t="str">
        <f t="shared" si="38"/>
        <v/>
      </c>
      <c r="X60" s="64" t="str">
        <f t="shared" si="39"/>
        <v/>
      </c>
      <c r="Y60" s="4">
        <f t="shared" si="32"/>
        <v>0</v>
      </c>
      <c r="Z60" s="67">
        <f t="shared" si="33"/>
        <v>0</v>
      </c>
      <c r="AA60" s="110">
        <v>7</v>
      </c>
      <c r="AB60" s="64">
        <f t="shared" si="34"/>
        <v>10.5</v>
      </c>
      <c r="AC60" s="66">
        <f t="shared" si="35"/>
        <v>3004.5</v>
      </c>
      <c r="AD60" s="69">
        <f t="shared" si="13"/>
        <v>450</v>
      </c>
      <c r="AE60" s="182" t="str">
        <f t="shared" si="36"/>
        <v>TEST 59</v>
      </c>
      <c r="AF60" s="230">
        <f t="shared" ca="1" si="20"/>
        <v>3</v>
      </c>
      <c r="AG60" s="68">
        <f t="shared" ca="1" si="37"/>
        <v>0</v>
      </c>
      <c r="AH60" s="101">
        <f t="shared" ca="1" si="16"/>
        <v>3004.5</v>
      </c>
      <c r="AI60" s="101">
        <f t="shared" ca="1" si="17"/>
        <v>0</v>
      </c>
      <c r="AJ60" s="4" t="str">
        <f t="shared" si="18"/>
        <v/>
      </c>
      <c r="AK60" s="67" t="str">
        <f t="shared" si="19"/>
        <v/>
      </c>
    </row>
    <row r="61" spans="1:37" x14ac:dyDescent="0.2">
      <c r="A61" s="181" t="s">
        <v>263</v>
      </c>
      <c r="B61" s="106">
        <v>42917</v>
      </c>
      <c r="C61" s="106">
        <v>42918</v>
      </c>
      <c r="D61" s="29">
        <f t="shared" si="23"/>
        <v>1</v>
      </c>
      <c r="E61" s="104">
        <v>20</v>
      </c>
      <c r="F61" s="104"/>
      <c r="G61" s="104">
        <v>3</v>
      </c>
      <c r="H61" s="104"/>
      <c r="I61" s="68">
        <f t="shared" si="24"/>
        <v>3</v>
      </c>
      <c r="J61" s="68">
        <f t="shared" si="25"/>
        <v>20</v>
      </c>
      <c r="K61" s="30">
        <f t="shared" si="26"/>
        <v>20</v>
      </c>
      <c r="L61" s="107" t="s">
        <v>27</v>
      </c>
      <c r="M61" s="44" t="str">
        <f ca="1">IF(Saisie[[#This Row],[Nom du groupe]]="","",VLOOKUP(Saisie[[#This Row],[Nom du groupe]],Données,5,FALSE))</f>
        <v>HOT</v>
      </c>
      <c r="N61" s="45">
        <f t="shared" ca="1" si="27"/>
        <v>78</v>
      </c>
      <c r="O61" s="4">
        <f t="shared" si="28"/>
        <v>20</v>
      </c>
      <c r="P61" s="68" t="str">
        <f t="shared" si="29"/>
        <v/>
      </c>
      <c r="Q61" s="107" t="s">
        <v>70</v>
      </c>
      <c r="R61" s="107">
        <v>1</v>
      </c>
      <c r="S61" s="64">
        <f t="shared" si="30"/>
        <v>44</v>
      </c>
      <c r="T61" s="64">
        <f t="shared" si="31"/>
        <v>41</v>
      </c>
      <c r="U61" s="109"/>
      <c r="W61" s="64" t="str">
        <f t="shared" si="38"/>
        <v/>
      </c>
      <c r="X61" s="64" t="str">
        <f t="shared" si="39"/>
        <v/>
      </c>
      <c r="Y61" s="4">
        <f t="shared" si="32"/>
        <v>0</v>
      </c>
      <c r="Z61" s="67">
        <f t="shared" si="33"/>
        <v>0</v>
      </c>
      <c r="AA61" s="110">
        <v>18</v>
      </c>
      <c r="AB61" s="64">
        <f t="shared" si="34"/>
        <v>9</v>
      </c>
      <c r="AC61" s="66">
        <f t="shared" si="35"/>
        <v>880</v>
      </c>
      <c r="AD61" s="69">
        <f t="shared" si="13"/>
        <v>132</v>
      </c>
      <c r="AE61" s="182" t="str">
        <f t="shared" si="36"/>
        <v>TEST 60</v>
      </c>
      <c r="AF61" s="230">
        <f t="shared" ca="1" si="20"/>
        <v>1</v>
      </c>
      <c r="AG61" s="68">
        <f t="shared" ca="1" si="37"/>
        <v>0</v>
      </c>
      <c r="AH61" s="101">
        <f t="shared" ca="1" si="16"/>
        <v>880</v>
      </c>
      <c r="AI61" s="101">
        <f t="shared" ca="1" si="17"/>
        <v>0</v>
      </c>
      <c r="AJ61" s="4" t="str">
        <f t="shared" si="18"/>
        <v/>
      </c>
      <c r="AK61" s="67" t="str">
        <f t="shared" si="19"/>
        <v/>
      </c>
    </row>
    <row r="62" spans="1:37" x14ac:dyDescent="0.2">
      <c r="A62" s="181" t="s">
        <v>264</v>
      </c>
      <c r="B62" s="106">
        <v>42919</v>
      </c>
      <c r="C62" s="106">
        <v>42923</v>
      </c>
      <c r="D62" s="29">
        <f t="shared" si="23"/>
        <v>4</v>
      </c>
      <c r="E62" s="104">
        <v>6</v>
      </c>
      <c r="F62" s="104">
        <v>35</v>
      </c>
      <c r="G62" s="104"/>
      <c r="H62" s="104"/>
      <c r="I62" s="68" t="str">
        <f t="shared" si="24"/>
        <v/>
      </c>
      <c r="J62" s="68">
        <f t="shared" si="25"/>
        <v>41</v>
      </c>
      <c r="K62" s="30">
        <f t="shared" si="26"/>
        <v>164</v>
      </c>
      <c r="L62" s="107" t="s">
        <v>27</v>
      </c>
      <c r="M62" s="44" t="str">
        <f ca="1">IF(Saisie[[#This Row],[Nom du groupe]]="","",VLOOKUP(Saisie[[#This Row],[Nom du groupe]],Données,5,FALSE))</f>
        <v>RAND</v>
      </c>
      <c r="N62" s="45">
        <f t="shared" ca="1" si="27"/>
        <v>59</v>
      </c>
      <c r="O62" s="4">
        <f t="shared" si="28"/>
        <v>5</v>
      </c>
      <c r="P62" s="68">
        <f t="shared" si="29"/>
        <v>35</v>
      </c>
      <c r="Q62" s="107" t="s">
        <v>70</v>
      </c>
      <c r="R62" s="107">
        <v>4</v>
      </c>
      <c r="S62" s="64">
        <f t="shared" si="30"/>
        <v>44</v>
      </c>
      <c r="T62" s="64">
        <f t="shared" si="31"/>
        <v>41</v>
      </c>
      <c r="U62" s="109"/>
      <c r="W62" s="64" t="str">
        <f t="shared" si="38"/>
        <v/>
      </c>
      <c r="X62" s="64" t="str">
        <f t="shared" si="39"/>
        <v/>
      </c>
      <c r="Y62" s="4">
        <f t="shared" si="32"/>
        <v>1</v>
      </c>
      <c r="Z62" s="67">
        <f t="shared" si="33"/>
        <v>176</v>
      </c>
      <c r="AA62" s="110">
        <v>6</v>
      </c>
      <c r="AB62" s="64">
        <f t="shared" si="34"/>
        <v>12</v>
      </c>
      <c r="AC62" s="66">
        <f t="shared" si="35"/>
        <v>6620</v>
      </c>
      <c r="AD62" s="69">
        <f t="shared" si="13"/>
        <v>0</v>
      </c>
      <c r="AE62" s="182" t="str">
        <f t="shared" si="36"/>
        <v>TEST 61</v>
      </c>
      <c r="AF62" s="230">
        <f t="shared" ca="1" si="20"/>
        <v>4</v>
      </c>
      <c r="AG62" s="68">
        <f t="shared" ca="1" si="37"/>
        <v>0</v>
      </c>
      <c r="AH62" s="101">
        <f t="shared" ca="1" si="16"/>
        <v>6620</v>
      </c>
      <c r="AI62" s="101">
        <f t="shared" ca="1" si="17"/>
        <v>0</v>
      </c>
      <c r="AJ62" s="4" t="str">
        <f t="shared" si="18"/>
        <v/>
      </c>
      <c r="AK62" s="67" t="str">
        <f t="shared" si="19"/>
        <v/>
      </c>
    </row>
    <row r="63" spans="1:37" x14ac:dyDescent="0.2">
      <c r="A63" s="181" t="s">
        <v>265</v>
      </c>
      <c r="B63" s="106">
        <v>42924</v>
      </c>
      <c r="C63" s="106">
        <v>42925</v>
      </c>
      <c r="D63" s="29">
        <f t="shared" si="23"/>
        <v>1</v>
      </c>
      <c r="E63" s="104">
        <v>6</v>
      </c>
      <c r="F63" s="104"/>
      <c r="G63" s="104"/>
      <c r="H63" s="104"/>
      <c r="I63" s="68" t="str">
        <f t="shared" si="24"/>
        <v/>
      </c>
      <c r="J63" s="68">
        <f t="shared" si="25"/>
        <v>6</v>
      </c>
      <c r="K63" s="30">
        <f t="shared" si="26"/>
        <v>6</v>
      </c>
      <c r="L63" s="107" t="s">
        <v>27</v>
      </c>
      <c r="M63" s="44" t="str">
        <f ca="1">IF(Saisie[[#This Row],[Nom du groupe]]="","",VLOOKUP(Saisie[[#This Row],[Nom du groupe]],Données,5,FALSE))</f>
        <v>SPT</v>
      </c>
      <c r="N63" s="45">
        <f t="shared" ca="1" si="27"/>
        <v>18</v>
      </c>
      <c r="O63" s="4">
        <f t="shared" si="28"/>
        <v>6</v>
      </c>
      <c r="P63" s="68" t="str">
        <f t="shared" si="29"/>
        <v/>
      </c>
      <c r="Q63" s="107" t="s">
        <v>72</v>
      </c>
      <c r="R63" s="107">
        <v>1</v>
      </c>
      <c r="S63" s="64">
        <f t="shared" si="30"/>
        <v>29</v>
      </c>
      <c r="T63" s="64">
        <f t="shared" si="31"/>
        <v>29</v>
      </c>
      <c r="U63" s="109"/>
      <c r="W63" s="64" t="str">
        <f t="shared" si="38"/>
        <v/>
      </c>
      <c r="X63" s="64" t="str">
        <f t="shared" si="39"/>
        <v/>
      </c>
      <c r="Y63" s="4">
        <f t="shared" si="32"/>
        <v>0</v>
      </c>
      <c r="Z63" s="67">
        <f t="shared" si="33"/>
        <v>0</v>
      </c>
      <c r="AA63" s="110">
        <v>6</v>
      </c>
      <c r="AB63" s="64">
        <f t="shared" si="34"/>
        <v>3</v>
      </c>
      <c r="AC63" s="66">
        <f t="shared" si="35"/>
        <v>174</v>
      </c>
      <c r="AD63" s="69">
        <f t="shared" si="13"/>
        <v>0</v>
      </c>
      <c r="AE63" s="182" t="str">
        <f t="shared" si="36"/>
        <v>TEST 62</v>
      </c>
      <c r="AF63" s="230">
        <f t="shared" ca="1" si="20"/>
        <v>1</v>
      </c>
      <c r="AG63" s="68">
        <f t="shared" ca="1" si="37"/>
        <v>0</v>
      </c>
      <c r="AH63" s="101">
        <f t="shared" ca="1" si="16"/>
        <v>174</v>
      </c>
      <c r="AI63" s="101">
        <f t="shared" ca="1" si="17"/>
        <v>0</v>
      </c>
      <c r="AJ63" s="4" t="str">
        <f t="shared" si="18"/>
        <v/>
      </c>
      <c r="AK63" s="67" t="str">
        <f t="shared" si="19"/>
        <v/>
      </c>
    </row>
    <row r="64" spans="1:37" x14ac:dyDescent="0.2">
      <c r="A64" s="181" t="s">
        <v>266</v>
      </c>
      <c r="B64" s="106">
        <v>42924</v>
      </c>
      <c r="C64" s="106">
        <v>42930</v>
      </c>
      <c r="D64" s="29">
        <f t="shared" si="23"/>
        <v>6</v>
      </c>
      <c r="E64" s="104">
        <v>5</v>
      </c>
      <c r="F64" s="104">
        <v>30</v>
      </c>
      <c r="G64" s="104"/>
      <c r="H64" s="104"/>
      <c r="I64" s="68" t="str">
        <f t="shared" si="24"/>
        <v/>
      </c>
      <c r="J64" s="68">
        <f t="shared" si="25"/>
        <v>35</v>
      </c>
      <c r="K64" s="30">
        <f t="shared" si="26"/>
        <v>210</v>
      </c>
      <c r="L64" s="107" t="s">
        <v>27</v>
      </c>
      <c r="M64" s="44" t="str">
        <f ca="1">IF(Saisie[[#This Row],[Nom du groupe]]="","",VLOOKUP(Saisie[[#This Row],[Nom du groupe]],Données,5,FALSE))</f>
        <v>RAND</v>
      </c>
      <c r="N64" s="45">
        <f t="shared" ca="1" si="27"/>
        <v>36</v>
      </c>
      <c r="O64" s="4">
        <f t="shared" si="28"/>
        <v>4</v>
      </c>
      <c r="P64" s="68">
        <f t="shared" si="29"/>
        <v>30</v>
      </c>
      <c r="Q64" s="107" t="s">
        <v>71</v>
      </c>
      <c r="R64" s="107">
        <v>6</v>
      </c>
      <c r="S64" s="64">
        <f t="shared" si="30"/>
        <v>53</v>
      </c>
      <c r="T64" s="64">
        <f t="shared" si="31"/>
        <v>48.5</v>
      </c>
      <c r="U64" s="109"/>
      <c r="W64" s="64" t="str">
        <f t="shared" si="38"/>
        <v/>
      </c>
      <c r="X64" s="64" t="str">
        <f t="shared" si="39"/>
        <v/>
      </c>
      <c r="Y64" s="4">
        <f t="shared" si="32"/>
        <v>1</v>
      </c>
      <c r="Z64" s="67">
        <f t="shared" si="33"/>
        <v>318</v>
      </c>
      <c r="AA64" s="110">
        <v>5</v>
      </c>
      <c r="AB64" s="64">
        <f t="shared" si="34"/>
        <v>15</v>
      </c>
      <c r="AC64" s="66">
        <f t="shared" si="35"/>
        <v>10002</v>
      </c>
      <c r="AD64" s="69">
        <f t="shared" si="13"/>
        <v>0</v>
      </c>
      <c r="AE64" s="182" t="str">
        <f t="shared" si="36"/>
        <v>TEST 63</v>
      </c>
      <c r="AF64" s="230">
        <f t="shared" ca="1" si="20"/>
        <v>6</v>
      </c>
      <c r="AG64" s="68">
        <f t="shared" ca="1" si="37"/>
        <v>0</v>
      </c>
      <c r="AH64" s="101">
        <f t="shared" ca="1" si="16"/>
        <v>10002</v>
      </c>
      <c r="AI64" s="101">
        <f t="shared" ca="1" si="17"/>
        <v>0</v>
      </c>
      <c r="AJ64" s="4" t="str">
        <f t="shared" si="18"/>
        <v/>
      </c>
      <c r="AK64" s="67" t="str">
        <f t="shared" si="19"/>
        <v/>
      </c>
    </row>
    <row r="65" spans="1:37" x14ac:dyDescent="0.2">
      <c r="A65" s="181" t="s">
        <v>267</v>
      </c>
      <c r="B65" s="106">
        <v>42926</v>
      </c>
      <c r="C65" s="106">
        <v>42929</v>
      </c>
      <c r="D65" s="29">
        <f t="shared" si="23"/>
        <v>3</v>
      </c>
      <c r="E65" s="105">
        <v>2</v>
      </c>
      <c r="I65" s="68" t="str">
        <f t="shared" si="24"/>
        <v/>
      </c>
      <c r="J65" s="68">
        <f t="shared" si="25"/>
        <v>2</v>
      </c>
      <c r="K65" s="30">
        <f t="shared" si="26"/>
        <v>6</v>
      </c>
      <c r="L65" s="107" t="s">
        <v>27</v>
      </c>
      <c r="M65" s="44" t="str">
        <f ca="1">IF(Saisie[[#This Row],[Nom du groupe]]="","",VLOOKUP(Saisie[[#This Row],[Nom du groupe]],Données,5,FALSE))</f>
        <v>RAND</v>
      </c>
      <c r="N65" s="45">
        <f t="shared" ca="1" si="27"/>
        <v>93</v>
      </c>
      <c r="O65" s="4">
        <f t="shared" si="28"/>
        <v>2</v>
      </c>
      <c r="P65" s="68" t="str">
        <f t="shared" si="29"/>
        <v/>
      </c>
      <c r="Q65" s="107" t="s">
        <v>70</v>
      </c>
      <c r="R65" s="107">
        <v>3</v>
      </c>
      <c r="S65" s="64">
        <f t="shared" si="30"/>
        <v>44</v>
      </c>
      <c r="T65" s="64">
        <f t="shared" si="31"/>
        <v>41</v>
      </c>
      <c r="U65" s="109"/>
      <c r="W65" s="64" t="str">
        <f t="shared" si="38"/>
        <v/>
      </c>
      <c r="X65" s="64" t="str">
        <f t="shared" si="39"/>
        <v/>
      </c>
      <c r="Y65" s="4">
        <f t="shared" si="32"/>
        <v>0</v>
      </c>
      <c r="Z65" s="67">
        <f t="shared" si="33"/>
        <v>0</v>
      </c>
      <c r="AA65" s="110">
        <v>2</v>
      </c>
      <c r="AB65" s="64">
        <f t="shared" si="34"/>
        <v>3</v>
      </c>
      <c r="AC65" s="66">
        <f t="shared" si="35"/>
        <v>264</v>
      </c>
      <c r="AD65" s="69">
        <f t="shared" si="13"/>
        <v>0</v>
      </c>
      <c r="AE65" s="182" t="str">
        <f t="shared" si="36"/>
        <v>TEST 64</v>
      </c>
      <c r="AF65" s="230">
        <f t="shared" ca="1" si="20"/>
        <v>3</v>
      </c>
      <c r="AG65" s="68">
        <f t="shared" ca="1" si="37"/>
        <v>0</v>
      </c>
      <c r="AH65" s="101">
        <f t="shared" ca="1" si="16"/>
        <v>264</v>
      </c>
      <c r="AI65" s="101">
        <f t="shared" ca="1" si="17"/>
        <v>0</v>
      </c>
      <c r="AJ65" s="4" t="str">
        <f t="shared" si="18"/>
        <v/>
      </c>
      <c r="AK65" s="67" t="str">
        <f t="shared" si="19"/>
        <v/>
      </c>
    </row>
    <row r="66" spans="1:37" x14ac:dyDescent="0.2">
      <c r="A66" s="181" t="s">
        <v>268</v>
      </c>
      <c r="B66" s="106">
        <v>42927</v>
      </c>
      <c r="C66" s="106">
        <v>42928</v>
      </c>
      <c r="D66" s="29">
        <f t="shared" ref="D66:D97" si="40">IF($B66="","",IF($C66="","",DATEDIF($B66,$C66,"D")))</f>
        <v>1</v>
      </c>
      <c r="E66" s="105">
        <v>2</v>
      </c>
      <c r="I66" s="68" t="str">
        <f t="shared" ref="I66:I97" si="41">IF($G66&amp;$H66="","",IF($E66="","",IF($G66="","0",SUMPRODUCT($G66,$D66))+IF($F66="","0",IF($H66="","0",SUMPRODUCT($H66,$D66)))))</f>
        <v/>
      </c>
      <c r="J66" s="68">
        <f t="shared" ref="J66:J97" si="42">IF($E66&amp;$F66="0","",SUM($E66:$F66))</f>
        <v>2</v>
      </c>
      <c r="K66" s="30">
        <f t="shared" ref="K66:K97" si="43">IF($D66="","",IF($J66="","",$D66*$J66))</f>
        <v>2</v>
      </c>
      <c r="L66" s="107" t="s">
        <v>27</v>
      </c>
      <c r="M66" s="44" t="str">
        <f ca="1">IF(Saisie[[#This Row],[Nom du groupe]]="","",VLOOKUP(Saisie[[#This Row],[Nom du groupe]],Données,5,FALSE))</f>
        <v>SCO P</v>
      </c>
      <c r="N66" s="45">
        <f t="shared" ref="N66:N97" ca="1" si="44">IF($A66="","",VLOOKUP($A66,Données,6,FALSE))</f>
        <v>57</v>
      </c>
      <c r="O66" s="4">
        <f t="shared" ref="O66:O97" si="45">IF($E66="","",IF($J66&gt;=60,$E66-3,IF($J66&gt;=42,$E66-2,IF($J66&gt;=21,$E66-1,$E66))))</f>
        <v>2</v>
      </c>
      <c r="P66" s="68" t="str">
        <f t="shared" ref="P66:P97" si="46">IF($F66="","",$F66)</f>
        <v/>
      </c>
      <c r="Q66" s="107" t="s">
        <v>70</v>
      </c>
      <c r="R66" s="107">
        <v>1</v>
      </c>
      <c r="S66" s="64">
        <f t="shared" ref="S66:S97" si="47">IF($Q66="","",VLOOKUP($Q66,Tarifs,2,FALSE))</f>
        <v>44</v>
      </c>
      <c r="T66" s="64">
        <f t="shared" ref="T66:T97" si="48">IF($Q66="","",VLOOKUP($Q66,Tarifs,3,FALSE))</f>
        <v>41</v>
      </c>
      <c r="U66" s="109"/>
      <c r="W66" s="64" t="str">
        <f t="shared" si="38"/>
        <v/>
      </c>
      <c r="X66" s="64" t="str">
        <f t="shared" si="39"/>
        <v/>
      </c>
      <c r="Y66" s="4">
        <f t="shared" ref="Y66:Y97" si="49">IF($L66="Annulé",0,(IF($E66="","",SUM($E66-$O66))))</f>
        <v>0</v>
      </c>
      <c r="Z66" s="67">
        <f t="shared" ref="Z66:Z97" si="50">IF($Y66="","",IF($Q66="","0",IF($R66="","0",SUMPRODUCT($Y66,$R66,$S66)+IF($U66="","0",IF($V66="","0",SUMPRODUCT($Y66,$V66,$W66))))))</f>
        <v>0</v>
      </c>
      <c r="AA66" s="110">
        <v>2</v>
      </c>
      <c r="AB66" s="64">
        <f t="shared" ref="AB66:AB97" si="51">IF($D66="","",IF($AA66="","",SUMPRODUCT($AA66,$D66,Taxe)))</f>
        <v>1</v>
      </c>
      <c r="AC66" s="66">
        <f t="shared" ref="AC66:AC97" si="52">IF(L66="Annulé",0,(IF($A66="","",(IF($Q66="","0",IF($R66="","0",SUMPRODUCT($O66,$R66,$S66)+IF($P66="","0",SUMPRODUCT($P66,$R66,$T66))))+IF($U66="","0",IF($V66="","0",SUMPRODUCT($O66,$V66,$W66)+IF($P66="","0",SUMPRODUCT($P66,$V66,$X66))))))))</f>
        <v>88</v>
      </c>
      <c r="AD66" s="69">
        <f t="shared" ref="AD66:AD111" si="53">IF($A66="","",((IF($G66="","0",IF($Q66="","0",IF($R66="","0",SUMPRODUCT($G66,$R66,$S66))))))+(IF($G66="","0",IF($U66="","0",IF($V66="","0",SUMPRODUCT($G66,$V66,$W66)))))+IF($F66="","0",IF($H66="","0",IF($Q66="","0",IF($R66="","0",SUMPRODUCT($H66,$R66,$T66))))+IF($F66="","0",(IF($H66="","0",IF($U66="","0",SUMPRODUCT($H66,$V66,$X66))))))-IF($AK66="",0,$AK66))</f>
        <v>0</v>
      </c>
      <c r="AE66" s="182" t="str">
        <f t="shared" ref="AE66:AE97" si="54">IF($A66="","",$A66)</f>
        <v>TEST 65</v>
      </c>
      <c r="AF66" s="230">
        <f t="shared" ca="1" si="20"/>
        <v>1</v>
      </c>
      <c r="AG66" s="68">
        <f t="shared" ref="AG66:AG97" ca="1" si="55">IF($D66="","",IF($AF66="","",+$D66-$AF66))</f>
        <v>0</v>
      </c>
      <c r="AH66" s="101">
        <f t="shared" ref="AH66:AH129" ca="1" si="56">IF($AC66="","",IF($AG66=0,$AC66,($AC66/$D66)*$AF66))</f>
        <v>88</v>
      </c>
      <c r="AI66" s="101">
        <f t="shared" ref="AI66:AI129" ca="1" si="57">IF($AC66="","",(IF(AG66=0,0,(AC66/D66)*AG66)))</f>
        <v>0</v>
      </c>
      <c r="AJ66" s="4" t="str">
        <f t="shared" ref="AJ66:AJ110" si="58">IF($L66="Annulé",SUM($E66-$O66),"")</f>
        <v/>
      </c>
      <c r="AK66" s="67" t="str">
        <f t="shared" si="19"/>
        <v/>
      </c>
    </row>
    <row r="67" spans="1:37" x14ac:dyDescent="0.2">
      <c r="A67" s="181" t="s">
        <v>269</v>
      </c>
      <c r="B67" s="106">
        <v>42933</v>
      </c>
      <c r="C67" s="106">
        <v>42937</v>
      </c>
      <c r="D67" s="29">
        <f t="shared" si="40"/>
        <v>4</v>
      </c>
      <c r="E67" s="104">
        <v>2</v>
      </c>
      <c r="F67" s="104"/>
      <c r="G67" s="104"/>
      <c r="H67" s="104"/>
      <c r="I67" s="68" t="str">
        <f t="shared" si="41"/>
        <v/>
      </c>
      <c r="J67" s="68">
        <f t="shared" si="42"/>
        <v>2</v>
      </c>
      <c r="K67" s="30">
        <f t="shared" si="43"/>
        <v>8</v>
      </c>
      <c r="L67" s="107" t="s">
        <v>27</v>
      </c>
      <c r="M67" s="44" t="str">
        <f ca="1">IF(Saisie[[#This Row],[Nom du groupe]]="","",VLOOKUP(Saisie[[#This Row],[Nom du groupe]],Données,5,FALSE))</f>
        <v>SPT</v>
      </c>
      <c r="N67" s="45">
        <f t="shared" ca="1" si="44"/>
        <v>80</v>
      </c>
      <c r="O67" s="4">
        <f t="shared" si="45"/>
        <v>2</v>
      </c>
      <c r="P67" s="68" t="str">
        <f t="shared" si="46"/>
        <v/>
      </c>
      <c r="Q67" s="107" t="s">
        <v>70</v>
      </c>
      <c r="R67" s="107">
        <v>4</v>
      </c>
      <c r="S67" s="64">
        <f t="shared" si="47"/>
        <v>44</v>
      </c>
      <c r="T67" s="64">
        <f t="shared" si="48"/>
        <v>41</v>
      </c>
      <c r="U67" s="109"/>
      <c r="W67" s="64" t="str">
        <f t="shared" si="38"/>
        <v/>
      </c>
      <c r="X67" s="64" t="str">
        <f t="shared" si="39"/>
        <v/>
      </c>
      <c r="Y67" s="4">
        <f t="shared" si="49"/>
        <v>0</v>
      </c>
      <c r="Z67" s="67">
        <f t="shared" si="50"/>
        <v>0</v>
      </c>
      <c r="AA67" s="110">
        <v>2</v>
      </c>
      <c r="AB67" s="64">
        <f t="shared" si="51"/>
        <v>4</v>
      </c>
      <c r="AC67" s="66">
        <f t="shared" si="52"/>
        <v>352</v>
      </c>
      <c r="AD67" s="69">
        <f t="shared" si="53"/>
        <v>0</v>
      </c>
      <c r="AE67" s="182" t="str">
        <f t="shared" si="54"/>
        <v>TEST 66</v>
      </c>
      <c r="AF67" s="230">
        <f t="shared" ref="AF67:AF130" ca="1" si="59">IF(MONTH($C67)=MONTH($B67),$D67,SUMPRODUCT(--(MONTH(ROW(INDIRECT($B67&amp;":"&amp;$C67)))=MONTH($B67))))</f>
        <v>4</v>
      </c>
      <c r="AG67" s="68">
        <f t="shared" ca="1" si="55"/>
        <v>0</v>
      </c>
      <c r="AH67" s="101">
        <f t="shared" ca="1" si="56"/>
        <v>352</v>
      </c>
      <c r="AI67" s="101">
        <f t="shared" ca="1" si="57"/>
        <v>0</v>
      </c>
      <c r="AJ67" s="4" t="str">
        <f t="shared" si="58"/>
        <v/>
      </c>
      <c r="AK67" s="67" t="str">
        <f t="shared" si="19"/>
        <v/>
      </c>
    </row>
    <row r="68" spans="1:37" x14ac:dyDescent="0.2">
      <c r="A68" s="181" t="s">
        <v>270</v>
      </c>
      <c r="B68" s="106">
        <v>42933</v>
      </c>
      <c r="C68" s="106">
        <v>42935</v>
      </c>
      <c r="D68" s="29">
        <f t="shared" si="40"/>
        <v>2</v>
      </c>
      <c r="E68" s="104">
        <v>3</v>
      </c>
      <c r="F68" s="104">
        <v>14</v>
      </c>
      <c r="G68" s="104"/>
      <c r="H68" s="104"/>
      <c r="I68" s="68" t="str">
        <f t="shared" si="41"/>
        <v/>
      </c>
      <c r="J68" s="68">
        <f t="shared" si="42"/>
        <v>17</v>
      </c>
      <c r="K68" s="30">
        <f t="shared" si="43"/>
        <v>34</v>
      </c>
      <c r="L68" s="107" t="s">
        <v>27</v>
      </c>
      <c r="M68" s="44" t="str">
        <f ca="1">IF(Saisie[[#This Row],[Nom du groupe]]="","",VLOOKUP(Saisie[[#This Row],[Nom du groupe]],Données,5,FALSE))</f>
        <v>SCO L</v>
      </c>
      <c r="N68" s="45">
        <f t="shared" ca="1" si="44"/>
        <v>8</v>
      </c>
      <c r="O68" s="4">
        <f t="shared" si="45"/>
        <v>3</v>
      </c>
      <c r="P68" s="68">
        <f t="shared" si="46"/>
        <v>14</v>
      </c>
      <c r="Q68" s="107" t="s">
        <v>71</v>
      </c>
      <c r="R68" s="107">
        <v>2</v>
      </c>
      <c r="S68" s="64">
        <f t="shared" si="47"/>
        <v>53</v>
      </c>
      <c r="T68" s="64">
        <f t="shared" si="48"/>
        <v>48.5</v>
      </c>
      <c r="U68" s="109"/>
      <c r="W68" s="64" t="str">
        <f t="shared" si="38"/>
        <v/>
      </c>
      <c r="X68" s="64" t="str">
        <f t="shared" si="39"/>
        <v/>
      </c>
      <c r="Y68" s="4">
        <f t="shared" si="49"/>
        <v>0</v>
      </c>
      <c r="Z68" s="67">
        <f t="shared" si="50"/>
        <v>0</v>
      </c>
      <c r="AA68" s="110">
        <v>3</v>
      </c>
      <c r="AB68" s="64">
        <f t="shared" si="51"/>
        <v>3</v>
      </c>
      <c r="AC68" s="66">
        <f t="shared" si="52"/>
        <v>1676</v>
      </c>
      <c r="AD68" s="69">
        <f t="shared" si="53"/>
        <v>0</v>
      </c>
      <c r="AE68" s="182" t="str">
        <f t="shared" si="54"/>
        <v>TEST 67</v>
      </c>
      <c r="AF68" s="230">
        <f t="shared" ca="1" si="59"/>
        <v>2</v>
      </c>
      <c r="AG68" s="68">
        <f t="shared" ca="1" si="55"/>
        <v>0</v>
      </c>
      <c r="AH68" s="101">
        <f t="shared" ca="1" si="56"/>
        <v>1676</v>
      </c>
      <c r="AI68" s="101">
        <f t="shared" ca="1" si="57"/>
        <v>0</v>
      </c>
      <c r="AJ68" s="4" t="str">
        <f t="shared" si="58"/>
        <v/>
      </c>
      <c r="AK68" s="67" t="str">
        <f t="shared" ref="AK68:AK111" si="60">IF($AJ68="","",IF($Q68="","0",IF($R68="","0",SUMPRODUCT($AJ68,$R68,$S68)+IF($U68="","0",IF($V68="","0",SUMPRODUCT($AJ68,$V68,$W68))))))</f>
        <v/>
      </c>
    </row>
    <row r="69" spans="1:37" x14ac:dyDescent="0.2">
      <c r="A69" s="181" t="s">
        <v>271</v>
      </c>
      <c r="B69" s="106">
        <v>42933</v>
      </c>
      <c r="C69" s="106">
        <v>42937</v>
      </c>
      <c r="D69" s="29">
        <f t="shared" si="40"/>
        <v>4</v>
      </c>
      <c r="E69" s="104">
        <v>4</v>
      </c>
      <c r="F69" s="104">
        <v>20</v>
      </c>
      <c r="G69" s="104"/>
      <c r="H69" s="104"/>
      <c r="I69" s="68" t="str">
        <f t="shared" si="41"/>
        <v/>
      </c>
      <c r="J69" s="68">
        <f t="shared" si="42"/>
        <v>24</v>
      </c>
      <c r="K69" s="30">
        <f t="shared" si="43"/>
        <v>96</v>
      </c>
      <c r="L69" s="107" t="s">
        <v>27</v>
      </c>
      <c r="M69" s="44" t="str">
        <f ca="1">IF(Saisie[[#This Row],[Nom du groupe]]="","",VLOOKUP(Saisie[[#This Row],[Nom du groupe]],Données,5,FALSE))</f>
        <v>SCO L</v>
      </c>
      <c r="N69" s="45">
        <f t="shared" ca="1" si="44"/>
        <v>75</v>
      </c>
      <c r="O69" s="4">
        <f t="shared" si="45"/>
        <v>3</v>
      </c>
      <c r="P69" s="68">
        <f t="shared" si="46"/>
        <v>20</v>
      </c>
      <c r="Q69" s="107" t="s">
        <v>71</v>
      </c>
      <c r="R69" s="107">
        <v>4</v>
      </c>
      <c r="S69" s="64">
        <f t="shared" si="47"/>
        <v>53</v>
      </c>
      <c r="T69" s="64">
        <f t="shared" si="48"/>
        <v>48.5</v>
      </c>
      <c r="U69" s="109"/>
      <c r="W69" s="64" t="str">
        <f t="shared" si="38"/>
        <v/>
      </c>
      <c r="X69" s="64" t="str">
        <f t="shared" si="39"/>
        <v/>
      </c>
      <c r="Y69" s="4">
        <f t="shared" si="49"/>
        <v>1</v>
      </c>
      <c r="Z69" s="67">
        <f t="shared" si="50"/>
        <v>212</v>
      </c>
      <c r="AA69" s="110">
        <v>4</v>
      </c>
      <c r="AB69" s="64">
        <f t="shared" si="51"/>
        <v>8</v>
      </c>
      <c r="AC69" s="66">
        <f t="shared" si="52"/>
        <v>4516</v>
      </c>
      <c r="AD69" s="69">
        <f t="shared" si="53"/>
        <v>0</v>
      </c>
      <c r="AE69" s="182" t="str">
        <f t="shared" si="54"/>
        <v>TEST 68</v>
      </c>
      <c r="AF69" s="230">
        <f t="shared" ca="1" si="59"/>
        <v>4</v>
      </c>
      <c r="AG69" s="68">
        <f t="shared" ca="1" si="55"/>
        <v>0</v>
      </c>
      <c r="AH69" s="101">
        <f t="shared" ca="1" si="56"/>
        <v>4516</v>
      </c>
      <c r="AI69" s="101">
        <f t="shared" ca="1" si="57"/>
        <v>0</v>
      </c>
      <c r="AJ69" s="4" t="str">
        <f t="shared" si="58"/>
        <v/>
      </c>
      <c r="AK69" s="67" t="str">
        <f t="shared" si="60"/>
        <v/>
      </c>
    </row>
    <row r="70" spans="1:37" x14ac:dyDescent="0.2">
      <c r="A70" s="181" t="s">
        <v>272</v>
      </c>
      <c r="B70" s="106">
        <v>42940</v>
      </c>
      <c r="C70" s="106">
        <v>42941</v>
      </c>
      <c r="D70" s="29">
        <f t="shared" si="40"/>
        <v>1</v>
      </c>
      <c r="E70" s="104">
        <v>4</v>
      </c>
      <c r="F70" s="104">
        <v>8</v>
      </c>
      <c r="G70" s="104"/>
      <c r="H70" s="104"/>
      <c r="I70" s="68" t="str">
        <f t="shared" si="41"/>
        <v/>
      </c>
      <c r="J70" s="68">
        <f t="shared" si="42"/>
        <v>12</v>
      </c>
      <c r="K70" s="30">
        <f t="shared" si="43"/>
        <v>12</v>
      </c>
      <c r="L70" s="107" t="s">
        <v>27</v>
      </c>
      <c r="M70" s="44">
        <f ca="1">IF(Saisie[[#This Row],[Nom du groupe]]="","",VLOOKUP(Saisie[[#This Row],[Nom du groupe]],Données,5,FALSE))</f>
        <v>0</v>
      </c>
      <c r="N70" s="45">
        <f t="shared" ca="1" si="44"/>
        <v>0</v>
      </c>
      <c r="O70" s="4">
        <f t="shared" si="45"/>
        <v>4</v>
      </c>
      <c r="P70" s="68">
        <f t="shared" si="46"/>
        <v>8</v>
      </c>
      <c r="Q70" s="107" t="s">
        <v>71</v>
      </c>
      <c r="R70" s="107">
        <v>1</v>
      </c>
      <c r="S70" s="64">
        <f t="shared" si="47"/>
        <v>53</v>
      </c>
      <c r="T70" s="64">
        <f t="shared" si="48"/>
        <v>48.5</v>
      </c>
      <c r="U70" s="109"/>
      <c r="W70" s="64" t="str">
        <f t="shared" ref="W70:W101" si="61">IF($U70="","",VLOOKUP($U70,Tarifs,2,FALSE))</f>
        <v/>
      </c>
      <c r="X70" s="64" t="str">
        <f t="shared" ref="X70:X101" si="62">IF($U70="","",VLOOKUP($U70,Tarifs,3,FALSE))</f>
        <v/>
      </c>
      <c r="Y70" s="4">
        <f t="shared" si="49"/>
        <v>0</v>
      </c>
      <c r="Z70" s="67">
        <f t="shared" si="50"/>
        <v>0</v>
      </c>
      <c r="AA70" s="110">
        <v>4</v>
      </c>
      <c r="AB70" s="64">
        <f t="shared" si="51"/>
        <v>2</v>
      </c>
      <c r="AC70" s="66">
        <f t="shared" si="52"/>
        <v>600</v>
      </c>
      <c r="AD70" s="69">
        <f t="shared" si="53"/>
        <v>0</v>
      </c>
      <c r="AE70" s="182" t="str">
        <f t="shared" si="54"/>
        <v>TEST 69</v>
      </c>
      <c r="AF70" s="230">
        <f t="shared" ca="1" si="59"/>
        <v>1</v>
      </c>
      <c r="AG70" s="68">
        <f t="shared" ca="1" si="55"/>
        <v>0</v>
      </c>
      <c r="AH70" s="101">
        <f t="shared" ca="1" si="56"/>
        <v>600</v>
      </c>
      <c r="AI70" s="101">
        <f t="shared" ca="1" si="57"/>
        <v>0</v>
      </c>
      <c r="AJ70" s="4" t="str">
        <f t="shared" si="58"/>
        <v/>
      </c>
      <c r="AK70" s="67" t="str">
        <f t="shared" si="60"/>
        <v/>
      </c>
    </row>
    <row r="71" spans="1:37" x14ac:dyDescent="0.2">
      <c r="A71" s="181" t="s">
        <v>273</v>
      </c>
      <c r="B71" s="106">
        <v>42941</v>
      </c>
      <c r="C71" s="106">
        <v>42942</v>
      </c>
      <c r="D71" s="29">
        <f t="shared" si="40"/>
        <v>1</v>
      </c>
      <c r="E71" s="104">
        <v>5</v>
      </c>
      <c r="F71" s="104">
        <v>6</v>
      </c>
      <c r="G71" s="104"/>
      <c r="H71" s="104"/>
      <c r="I71" s="68" t="str">
        <f t="shared" si="41"/>
        <v/>
      </c>
      <c r="J71" s="68">
        <f t="shared" si="42"/>
        <v>11</v>
      </c>
      <c r="K71" s="30">
        <f t="shared" si="43"/>
        <v>11</v>
      </c>
      <c r="L71" s="107" t="s">
        <v>27</v>
      </c>
      <c r="M71" s="44" t="str">
        <f ca="1">IF(Saisie[[#This Row],[Nom du groupe]]="","",VLOOKUP(Saisie[[#This Row],[Nom du groupe]],Données,5,FALSE))</f>
        <v>HOT</v>
      </c>
      <c r="N71" s="45">
        <f t="shared" ca="1" si="44"/>
        <v>60</v>
      </c>
      <c r="O71" s="4">
        <f t="shared" si="45"/>
        <v>5</v>
      </c>
      <c r="P71" s="68">
        <f t="shared" si="46"/>
        <v>6</v>
      </c>
      <c r="Q71" s="107" t="s">
        <v>71</v>
      </c>
      <c r="R71" s="107">
        <v>1</v>
      </c>
      <c r="S71" s="64">
        <f t="shared" si="47"/>
        <v>53</v>
      </c>
      <c r="T71" s="64">
        <f t="shared" si="48"/>
        <v>48.5</v>
      </c>
      <c r="U71" s="109"/>
      <c r="W71" s="64" t="str">
        <f t="shared" si="61"/>
        <v/>
      </c>
      <c r="X71" s="64" t="str">
        <f t="shared" si="62"/>
        <v/>
      </c>
      <c r="Y71" s="4">
        <f t="shared" si="49"/>
        <v>0</v>
      </c>
      <c r="Z71" s="67">
        <f t="shared" si="50"/>
        <v>0</v>
      </c>
      <c r="AA71" s="110">
        <v>5</v>
      </c>
      <c r="AB71" s="64">
        <f t="shared" si="51"/>
        <v>2.5</v>
      </c>
      <c r="AC71" s="66">
        <f t="shared" si="52"/>
        <v>556</v>
      </c>
      <c r="AD71" s="69">
        <f t="shared" si="53"/>
        <v>0</v>
      </c>
      <c r="AE71" s="182" t="str">
        <f t="shared" si="54"/>
        <v>TEST 70</v>
      </c>
      <c r="AF71" s="230">
        <f t="shared" ca="1" si="59"/>
        <v>1</v>
      </c>
      <c r="AG71" s="68">
        <f t="shared" ca="1" si="55"/>
        <v>0</v>
      </c>
      <c r="AH71" s="101">
        <f t="shared" ca="1" si="56"/>
        <v>556</v>
      </c>
      <c r="AI71" s="101">
        <f t="shared" ca="1" si="57"/>
        <v>0</v>
      </c>
      <c r="AJ71" s="4" t="str">
        <f t="shared" si="58"/>
        <v/>
      </c>
      <c r="AK71" s="67" t="str">
        <f t="shared" si="60"/>
        <v/>
      </c>
    </row>
    <row r="72" spans="1:37" x14ac:dyDescent="0.2">
      <c r="A72" s="181" t="s">
        <v>274</v>
      </c>
      <c r="B72" s="106">
        <v>42941</v>
      </c>
      <c r="C72" s="106">
        <v>42943</v>
      </c>
      <c r="D72" s="29">
        <f t="shared" si="40"/>
        <v>2</v>
      </c>
      <c r="E72" s="104">
        <v>4</v>
      </c>
      <c r="F72" s="104">
        <v>32</v>
      </c>
      <c r="G72" s="104"/>
      <c r="H72" s="104"/>
      <c r="I72" s="68" t="str">
        <f t="shared" si="41"/>
        <v/>
      </c>
      <c r="J72" s="68">
        <f t="shared" si="42"/>
        <v>36</v>
      </c>
      <c r="K72" s="30">
        <f t="shared" si="43"/>
        <v>72</v>
      </c>
      <c r="L72" s="107" t="s">
        <v>27</v>
      </c>
      <c r="M72" s="44" t="str">
        <f ca="1">IF(Saisie[[#This Row],[Nom du groupe]]="","",VLOOKUP(Saisie[[#This Row],[Nom du groupe]],Données,5,FALSE))</f>
        <v>RAND</v>
      </c>
      <c r="N72" s="45">
        <f t="shared" ca="1" si="44"/>
        <v>13</v>
      </c>
      <c r="O72" s="4">
        <f t="shared" si="45"/>
        <v>3</v>
      </c>
      <c r="P72" s="68">
        <f t="shared" si="46"/>
        <v>32</v>
      </c>
      <c r="Q72" s="107" t="s">
        <v>71</v>
      </c>
      <c r="R72" s="107">
        <v>2</v>
      </c>
      <c r="S72" s="64">
        <f t="shared" si="47"/>
        <v>53</v>
      </c>
      <c r="T72" s="64">
        <f t="shared" si="48"/>
        <v>48.5</v>
      </c>
      <c r="U72" s="109"/>
      <c r="W72" s="64" t="str">
        <f t="shared" si="61"/>
        <v/>
      </c>
      <c r="X72" s="64" t="str">
        <f t="shared" si="62"/>
        <v/>
      </c>
      <c r="Y72" s="4">
        <f t="shared" si="49"/>
        <v>1</v>
      </c>
      <c r="Z72" s="67">
        <f t="shared" si="50"/>
        <v>106</v>
      </c>
      <c r="AA72" s="110">
        <v>4</v>
      </c>
      <c r="AB72" s="64">
        <f t="shared" si="51"/>
        <v>4</v>
      </c>
      <c r="AC72" s="66">
        <f t="shared" si="52"/>
        <v>3422</v>
      </c>
      <c r="AD72" s="69">
        <f t="shared" si="53"/>
        <v>0</v>
      </c>
      <c r="AE72" s="182" t="str">
        <f t="shared" si="54"/>
        <v>TEST 71</v>
      </c>
      <c r="AF72" s="230">
        <f t="shared" ca="1" si="59"/>
        <v>2</v>
      </c>
      <c r="AG72" s="68">
        <f t="shared" ca="1" si="55"/>
        <v>0</v>
      </c>
      <c r="AH72" s="101">
        <f t="shared" ca="1" si="56"/>
        <v>3422</v>
      </c>
      <c r="AI72" s="101">
        <f t="shared" ca="1" si="57"/>
        <v>0</v>
      </c>
      <c r="AJ72" s="4" t="str">
        <f t="shared" si="58"/>
        <v/>
      </c>
      <c r="AK72" s="67" t="str">
        <f t="shared" si="60"/>
        <v/>
      </c>
    </row>
    <row r="73" spans="1:37" x14ac:dyDescent="0.2">
      <c r="A73" s="181" t="s">
        <v>275</v>
      </c>
      <c r="B73" s="106">
        <v>42942</v>
      </c>
      <c r="C73" s="106">
        <v>42943</v>
      </c>
      <c r="D73" s="29">
        <f t="shared" si="40"/>
        <v>1</v>
      </c>
      <c r="E73" s="105">
        <v>3</v>
      </c>
      <c r="I73" s="68" t="str">
        <f t="shared" si="41"/>
        <v/>
      </c>
      <c r="J73" s="68">
        <f t="shared" si="42"/>
        <v>3</v>
      </c>
      <c r="K73" s="30">
        <f t="shared" si="43"/>
        <v>3</v>
      </c>
      <c r="L73" s="107" t="s">
        <v>27</v>
      </c>
      <c r="M73" s="44" t="str">
        <f ca="1">IF(Saisie[[#This Row],[Nom du groupe]]="","",VLOOKUP(Saisie[[#This Row],[Nom du groupe]],Données,5,FALSE))</f>
        <v>SPT</v>
      </c>
      <c r="N73" s="45">
        <f t="shared" ca="1" si="44"/>
        <v>60</v>
      </c>
      <c r="O73" s="4">
        <f t="shared" si="45"/>
        <v>3</v>
      </c>
      <c r="P73" s="68" t="str">
        <f t="shared" si="46"/>
        <v/>
      </c>
      <c r="Q73" s="107" t="s">
        <v>72</v>
      </c>
      <c r="R73" s="107">
        <v>1</v>
      </c>
      <c r="S73" s="64">
        <f t="shared" si="47"/>
        <v>29</v>
      </c>
      <c r="T73" s="64">
        <f t="shared" si="48"/>
        <v>29</v>
      </c>
      <c r="U73" s="109"/>
      <c r="W73" s="64" t="str">
        <f t="shared" si="61"/>
        <v/>
      </c>
      <c r="X73" s="64" t="str">
        <f t="shared" si="62"/>
        <v/>
      </c>
      <c r="Y73" s="4">
        <f t="shared" si="49"/>
        <v>0</v>
      </c>
      <c r="Z73" s="67">
        <f t="shared" si="50"/>
        <v>0</v>
      </c>
      <c r="AA73" s="110">
        <v>3</v>
      </c>
      <c r="AB73" s="64">
        <f t="shared" si="51"/>
        <v>1.5</v>
      </c>
      <c r="AC73" s="66">
        <f t="shared" si="52"/>
        <v>87</v>
      </c>
      <c r="AD73" s="69">
        <f t="shared" si="53"/>
        <v>0</v>
      </c>
      <c r="AE73" s="182" t="str">
        <f t="shared" si="54"/>
        <v>TEST 72</v>
      </c>
      <c r="AF73" s="230">
        <f t="shared" ca="1" si="59"/>
        <v>1</v>
      </c>
      <c r="AG73" s="68">
        <f t="shared" ca="1" si="55"/>
        <v>0</v>
      </c>
      <c r="AH73" s="101">
        <f t="shared" ca="1" si="56"/>
        <v>87</v>
      </c>
      <c r="AI73" s="101">
        <f t="shared" ca="1" si="57"/>
        <v>0</v>
      </c>
      <c r="AJ73" s="4" t="str">
        <f t="shared" si="58"/>
        <v/>
      </c>
      <c r="AK73" s="67" t="str">
        <f t="shared" si="60"/>
        <v/>
      </c>
    </row>
    <row r="74" spans="1:37" x14ac:dyDescent="0.2">
      <c r="A74" s="181" t="s">
        <v>276</v>
      </c>
      <c r="B74" s="106">
        <v>42943</v>
      </c>
      <c r="C74" s="106">
        <v>42946</v>
      </c>
      <c r="D74" s="29">
        <f t="shared" si="40"/>
        <v>3</v>
      </c>
      <c r="E74" s="104">
        <v>10</v>
      </c>
      <c r="F74" s="104">
        <v>2</v>
      </c>
      <c r="G74" s="104"/>
      <c r="H74" s="104"/>
      <c r="I74" s="68" t="str">
        <f t="shared" si="41"/>
        <v/>
      </c>
      <c r="J74" s="68">
        <f t="shared" si="42"/>
        <v>12</v>
      </c>
      <c r="K74" s="30">
        <f t="shared" si="43"/>
        <v>36</v>
      </c>
      <c r="L74" s="107" t="s">
        <v>27</v>
      </c>
      <c r="M74" s="44" t="str">
        <f ca="1">IF(Saisie[[#This Row],[Nom du groupe]]="","",VLOOKUP(Saisie[[#This Row],[Nom du groupe]],Données,5,FALSE))</f>
        <v>ALSH</v>
      </c>
      <c r="N74" s="45">
        <f t="shared" ca="1" si="44"/>
        <v>60</v>
      </c>
      <c r="O74" s="4">
        <f t="shared" si="45"/>
        <v>10</v>
      </c>
      <c r="P74" s="68">
        <f t="shared" si="46"/>
        <v>2</v>
      </c>
      <c r="Q74" s="107" t="s">
        <v>70</v>
      </c>
      <c r="R74" s="107">
        <v>3</v>
      </c>
      <c r="S74" s="64">
        <f t="shared" si="47"/>
        <v>44</v>
      </c>
      <c r="T74" s="64">
        <f t="shared" si="48"/>
        <v>41</v>
      </c>
      <c r="U74" s="109"/>
      <c r="W74" s="64" t="str">
        <f t="shared" si="61"/>
        <v/>
      </c>
      <c r="X74" s="64" t="str">
        <f t="shared" si="62"/>
        <v/>
      </c>
      <c r="Y74" s="4">
        <f t="shared" si="49"/>
        <v>0</v>
      </c>
      <c r="Z74" s="67">
        <f t="shared" si="50"/>
        <v>0</v>
      </c>
      <c r="AA74" s="110">
        <v>10</v>
      </c>
      <c r="AB74" s="64">
        <f t="shared" si="51"/>
        <v>15</v>
      </c>
      <c r="AC74" s="66">
        <f t="shared" si="52"/>
        <v>1566</v>
      </c>
      <c r="AD74" s="69">
        <f t="shared" si="53"/>
        <v>0</v>
      </c>
      <c r="AE74" s="182" t="str">
        <f t="shared" si="54"/>
        <v>TEST 73</v>
      </c>
      <c r="AF74" s="230">
        <f t="shared" ca="1" si="59"/>
        <v>3</v>
      </c>
      <c r="AG74" s="68">
        <f t="shared" ca="1" si="55"/>
        <v>0</v>
      </c>
      <c r="AH74" s="101">
        <f t="shared" ca="1" si="56"/>
        <v>1566</v>
      </c>
      <c r="AI74" s="101">
        <f t="shared" ca="1" si="57"/>
        <v>0</v>
      </c>
      <c r="AJ74" s="4" t="str">
        <f t="shared" si="58"/>
        <v/>
      </c>
      <c r="AK74" s="67" t="str">
        <f t="shared" si="60"/>
        <v/>
      </c>
    </row>
    <row r="75" spans="1:37" x14ac:dyDescent="0.2">
      <c r="A75" s="181" t="s">
        <v>277</v>
      </c>
      <c r="B75" s="106">
        <v>42944</v>
      </c>
      <c r="C75" s="106">
        <v>42945</v>
      </c>
      <c r="D75" s="29">
        <f t="shared" si="40"/>
        <v>1</v>
      </c>
      <c r="E75" s="104">
        <v>4</v>
      </c>
      <c r="F75" s="104"/>
      <c r="G75" s="104"/>
      <c r="H75" s="104"/>
      <c r="I75" s="68" t="str">
        <f t="shared" si="41"/>
        <v/>
      </c>
      <c r="J75" s="68">
        <f t="shared" si="42"/>
        <v>4</v>
      </c>
      <c r="K75" s="30">
        <f t="shared" si="43"/>
        <v>4</v>
      </c>
      <c r="L75" s="107" t="s">
        <v>27</v>
      </c>
      <c r="M75" s="44" t="str">
        <f ca="1">IF(Saisie[[#This Row],[Nom du groupe]]="","",VLOOKUP(Saisie[[#This Row],[Nom du groupe]],Données,5,FALSE))</f>
        <v>ALSH</v>
      </c>
      <c r="N75" s="45">
        <f t="shared" ca="1" si="44"/>
        <v>95</v>
      </c>
      <c r="O75" s="4">
        <f t="shared" si="45"/>
        <v>4</v>
      </c>
      <c r="P75" s="68" t="str">
        <f t="shared" si="46"/>
        <v/>
      </c>
      <c r="Q75" s="107" t="s">
        <v>70</v>
      </c>
      <c r="R75" s="107">
        <v>1</v>
      </c>
      <c r="S75" s="64">
        <f t="shared" si="47"/>
        <v>44</v>
      </c>
      <c r="T75" s="64">
        <f t="shared" si="48"/>
        <v>41</v>
      </c>
      <c r="U75" s="109"/>
      <c r="W75" s="64" t="str">
        <f t="shared" si="61"/>
        <v/>
      </c>
      <c r="X75" s="64" t="str">
        <f t="shared" si="62"/>
        <v/>
      </c>
      <c r="Y75" s="4">
        <f t="shared" si="49"/>
        <v>0</v>
      </c>
      <c r="Z75" s="67">
        <f t="shared" si="50"/>
        <v>0</v>
      </c>
      <c r="AA75" s="110">
        <v>4</v>
      </c>
      <c r="AB75" s="64">
        <f t="shared" si="51"/>
        <v>2</v>
      </c>
      <c r="AC75" s="66">
        <f t="shared" si="52"/>
        <v>176</v>
      </c>
      <c r="AD75" s="69">
        <f t="shared" si="53"/>
        <v>0</v>
      </c>
      <c r="AE75" s="182" t="str">
        <f t="shared" si="54"/>
        <v>TEST 74</v>
      </c>
      <c r="AF75" s="230">
        <f t="shared" ca="1" si="59"/>
        <v>1</v>
      </c>
      <c r="AG75" s="68">
        <f t="shared" ca="1" si="55"/>
        <v>0</v>
      </c>
      <c r="AH75" s="101">
        <f t="shared" ca="1" si="56"/>
        <v>176</v>
      </c>
      <c r="AI75" s="101">
        <f t="shared" ca="1" si="57"/>
        <v>0</v>
      </c>
      <c r="AJ75" s="4" t="str">
        <f t="shared" si="58"/>
        <v/>
      </c>
      <c r="AK75" s="67" t="str">
        <f t="shared" si="60"/>
        <v/>
      </c>
    </row>
    <row r="76" spans="1:37" x14ac:dyDescent="0.2">
      <c r="A76" s="181" t="s">
        <v>278</v>
      </c>
      <c r="B76" s="106">
        <v>42945</v>
      </c>
      <c r="C76" s="106">
        <v>42946</v>
      </c>
      <c r="D76" s="29">
        <f t="shared" si="40"/>
        <v>1</v>
      </c>
      <c r="E76" s="104">
        <v>30</v>
      </c>
      <c r="F76" s="104"/>
      <c r="G76" s="104"/>
      <c r="H76" s="104"/>
      <c r="I76" s="68" t="str">
        <f t="shared" si="41"/>
        <v/>
      </c>
      <c r="J76" s="68">
        <f t="shared" si="42"/>
        <v>30</v>
      </c>
      <c r="K76" s="30">
        <f t="shared" si="43"/>
        <v>30</v>
      </c>
      <c r="L76" s="107" t="s">
        <v>27</v>
      </c>
      <c r="M76" s="44" t="str">
        <f ca="1">IF(Saisie[[#This Row],[Nom du groupe]]="","",VLOOKUP(Saisie[[#This Row],[Nom du groupe]],Données,5,FALSE))</f>
        <v>ALSH</v>
      </c>
      <c r="N76" s="45">
        <f t="shared" ca="1" si="44"/>
        <v>59</v>
      </c>
      <c r="O76" s="4">
        <f t="shared" si="45"/>
        <v>29</v>
      </c>
      <c r="P76" s="68" t="str">
        <f t="shared" si="46"/>
        <v/>
      </c>
      <c r="Q76" s="107" t="s">
        <v>71</v>
      </c>
      <c r="R76" s="107">
        <v>1</v>
      </c>
      <c r="S76" s="64">
        <f t="shared" si="47"/>
        <v>53</v>
      </c>
      <c r="T76" s="64">
        <f t="shared" si="48"/>
        <v>48.5</v>
      </c>
      <c r="U76" s="109"/>
      <c r="W76" s="64" t="str">
        <f t="shared" si="61"/>
        <v/>
      </c>
      <c r="X76" s="64" t="str">
        <f t="shared" si="62"/>
        <v/>
      </c>
      <c r="Y76" s="4">
        <f t="shared" si="49"/>
        <v>1</v>
      </c>
      <c r="Z76" s="67">
        <f t="shared" si="50"/>
        <v>53</v>
      </c>
      <c r="AA76" s="110">
        <v>30</v>
      </c>
      <c r="AB76" s="64">
        <f t="shared" si="51"/>
        <v>15</v>
      </c>
      <c r="AC76" s="66">
        <f t="shared" si="52"/>
        <v>1537</v>
      </c>
      <c r="AD76" s="69">
        <f t="shared" si="53"/>
        <v>0</v>
      </c>
      <c r="AE76" s="182" t="str">
        <f t="shared" si="54"/>
        <v>TEST 75</v>
      </c>
      <c r="AF76" s="230">
        <f t="shared" ca="1" si="59"/>
        <v>1</v>
      </c>
      <c r="AG76" s="68">
        <f t="shared" ca="1" si="55"/>
        <v>0</v>
      </c>
      <c r="AH76" s="101">
        <f t="shared" ca="1" si="56"/>
        <v>1537</v>
      </c>
      <c r="AI76" s="101">
        <f t="shared" ca="1" si="57"/>
        <v>0</v>
      </c>
      <c r="AJ76" s="4" t="str">
        <f t="shared" si="58"/>
        <v/>
      </c>
      <c r="AK76" s="67" t="str">
        <f t="shared" si="60"/>
        <v/>
      </c>
    </row>
    <row r="77" spans="1:37" x14ac:dyDescent="0.2">
      <c r="A77" s="181" t="s">
        <v>279</v>
      </c>
      <c r="B77" s="106">
        <v>42949</v>
      </c>
      <c r="C77" s="106">
        <v>42951</v>
      </c>
      <c r="D77" s="29">
        <f t="shared" si="40"/>
        <v>2</v>
      </c>
      <c r="E77" s="105">
        <v>4</v>
      </c>
      <c r="I77" s="68" t="str">
        <f t="shared" si="41"/>
        <v/>
      </c>
      <c r="J77" s="68">
        <f t="shared" si="42"/>
        <v>4</v>
      </c>
      <c r="K77" s="30">
        <f t="shared" si="43"/>
        <v>8</v>
      </c>
      <c r="L77" s="107" t="s">
        <v>27</v>
      </c>
      <c r="M77" s="44" t="str">
        <f ca="1">IF(Saisie[[#This Row],[Nom du groupe]]="","",VLOOKUP(Saisie[[#This Row],[Nom du groupe]],Données,5,FALSE))</f>
        <v>SPT</v>
      </c>
      <c r="N77" s="45">
        <f t="shared" ca="1" si="44"/>
        <v>76</v>
      </c>
      <c r="O77" s="4">
        <f t="shared" si="45"/>
        <v>4</v>
      </c>
      <c r="P77" s="68" t="str">
        <f t="shared" si="46"/>
        <v/>
      </c>
      <c r="Q77" s="107" t="s">
        <v>73</v>
      </c>
      <c r="R77" s="107">
        <v>2</v>
      </c>
      <c r="S77" s="64">
        <f t="shared" si="47"/>
        <v>25</v>
      </c>
      <c r="T77" s="64">
        <f t="shared" si="48"/>
        <v>25</v>
      </c>
      <c r="U77" s="109"/>
      <c r="W77" s="64" t="str">
        <f t="shared" si="61"/>
        <v/>
      </c>
      <c r="X77" s="64" t="str">
        <f t="shared" si="62"/>
        <v/>
      </c>
      <c r="Y77" s="4">
        <f t="shared" si="49"/>
        <v>0</v>
      </c>
      <c r="Z77" s="67">
        <f t="shared" si="50"/>
        <v>0</v>
      </c>
      <c r="AA77" s="110">
        <v>4</v>
      </c>
      <c r="AB77" s="64">
        <f t="shared" si="51"/>
        <v>4</v>
      </c>
      <c r="AC77" s="66">
        <f t="shared" si="52"/>
        <v>200</v>
      </c>
      <c r="AD77" s="69">
        <f t="shared" si="53"/>
        <v>0</v>
      </c>
      <c r="AE77" s="182" t="str">
        <f t="shared" si="54"/>
        <v>TEST 76</v>
      </c>
      <c r="AF77" s="230">
        <f t="shared" ca="1" si="59"/>
        <v>2</v>
      </c>
      <c r="AG77" s="68">
        <f t="shared" ca="1" si="55"/>
        <v>0</v>
      </c>
      <c r="AH77" s="101">
        <f t="shared" ca="1" si="56"/>
        <v>200</v>
      </c>
      <c r="AI77" s="101">
        <f t="shared" ca="1" si="57"/>
        <v>0</v>
      </c>
      <c r="AJ77" s="4" t="str">
        <f t="shared" si="58"/>
        <v/>
      </c>
      <c r="AK77" s="67" t="str">
        <f t="shared" si="60"/>
        <v/>
      </c>
    </row>
    <row r="78" spans="1:37" x14ac:dyDescent="0.2">
      <c r="A78" s="181" t="s">
        <v>280</v>
      </c>
      <c r="B78" s="106">
        <v>42955</v>
      </c>
      <c r="C78" s="106">
        <v>42956</v>
      </c>
      <c r="D78" s="29">
        <f t="shared" si="40"/>
        <v>1</v>
      </c>
      <c r="E78" s="104">
        <v>4</v>
      </c>
      <c r="F78" s="104">
        <v>4</v>
      </c>
      <c r="G78" s="104"/>
      <c r="H78" s="104"/>
      <c r="I78" s="68" t="str">
        <f t="shared" si="41"/>
        <v/>
      </c>
      <c r="J78" s="68">
        <f t="shared" si="42"/>
        <v>8</v>
      </c>
      <c r="K78" s="30">
        <f t="shared" si="43"/>
        <v>8</v>
      </c>
      <c r="L78" s="107" t="s">
        <v>27</v>
      </c>
      <c r="M78" s="44" t="str">
        <f ca="1">IF(Saisie[[#This Row],[Nom du groupe]]="","",VLOOKUP(Saisie[[#This Row],[Nom du groupe]],Données,5,FALSE))</f>
        <v>RAND</v>
      </c>
      <c r="N78" s="45">
        <f t="shared" ca="1" si="44"/>
        <v>76</v>
      </c>
      <c r="O78" s="4">
        <f t="shared" si="45"/>
        <v>4</v>
      </c>
      <c r="P78" s="68">
        <f t="shared" si="46"/>
        <v>4</v>
      </c>
      <c r="Q78" s="107" t="s">
        <v>71</v>
      </c>
      <c r="R78" s="107">
        <v>1</v>
      </c>
      <c r="S78" s="64">
        <f t="shared" si="47"/>
        <v>53</v>
      </c>
      <c r="T78" s="64">
        <f t="shared" si="48"/>
        <v>48.5</v>
      </c>
      <c r="U78" s="109"/>
      <c r="W78" s="64" t="str">
        <f t="shared" si="61"/>
        <v/>
      </c>
      <c r="X78" s="64" t="str">
        <f t="shared" si="62"/>
        <v/>
      </c>
      <c r="Y78" s="4">
        <f t="shared" si="49"/>
        <v>0</v>
      </c>
      <c r="Z78" s="67">
        <f t="shared" si="50"/>
        <v>0</v>
      </c>
      <c r="AA78" s="110">
        <v>4</v>
      </c>
      <c r="AB78" s="64">
        <f t="shared" si="51"/>
        <v>2</v>
      </c>
      <c r="AC78" s="66">
        <f t="shared" si="52"/>
        <v>406</v>
      </c>
      <c r="AD78" s="69">
        <f t="shared" si="53"/>
        <v>0</v>
      </c>
      <c r="AE78" s="182" t="str">
        <f t="shared" si="54"/>
        <v>TEST 77</v>
      </c>
      <c r="AF78" s="230">
        <f t="shared" ca="1" si="59"/>
        <v>1</v>
      </c>
      <c r="AG78" s="68">
        <f t="shared" ca="1" si="55"/>
        <v>0</v>
      </c>
      <c r="AH78" s="101">
        <f t="shared" ca="1" si="56"/>
        <v>406</v>
      </c>
      <c r="AI78" s="101">
        <f t="shared" ca="1" si="57"/>
        <v>0</v>
      </c>
      <c r="AJ78" s="4" t="str">
        <f t="shared" si="58"/>
        <v/>
      </c>
      <c r="AK78" s="67" t="str">
        <f t="shared" si="60"/>
        <v/>
      </c>
    </row>
    <row r="79" spans="1:37" x14ac:dyDescent="0.2">
      <c r="A79" s="181" t="s">
        <v>281</v>
      </c>
      <c r="B79" s="106">
        <v>42956</v>
      </c>
      <c r="C79" s="106">
        <v>42958</v>
      </c>
      <c r="D79" s="29">
        <f t="shared" si="40"/>
        <v>2</v>
      </c>
      <c r="E79" s="104">
        <v>2</v>
      </c>
      <c r="F79" s="104">
        <v>10</v>
      </c>
      <c r="G79" s="104"/>
      <c r="H79" s="104"/>
      <c r="I79" s="68" t="str">
        <f t="shared" si="41"/>
        <v/>
      </c>
      <c r="J79" s="68">
        <f t="shared" si="42"/>
        <v>12</v>
      </c>
      <c r="K79" s="30">
        <f t="shared" si="43"/>
        <v>24</v>
      </c>
      <c r="L79" s="107" t="s">
        <v>27</v>
      </c>
      <c r="M79" s="44" t="str">
        <f ca="1">IF(Saisie[[#This Row],[Nom du groupe]]="","",VLOOKUP(Saisie[[#This Row],[Nom du groupe]],Données,5,FALSE))</f>
        <v>HOT</v>
      </c>
      <c r="N79" s="45">
        <f t="shared" ca="1" si="44"/>
        <v>88</v>
      </c>
      <c r="O79" s="4">
        <f t="shared" si="45"/>
        <v>2</v>
      </c>
      <c r="P79" s="68">
        <f t="shared" si="46"/>
        <v>10</v>
      </c>
      <c r="Q79" s="107" t="s">
        <v>71</v>
      </c>
      <c r="R79" s="107">
        <v>2</v>
      </c>
      <c r="S79" s="64">
        <f t="shared" si="47"/>
        <v>53</v>
      </c>
      <c r="T79" s="64">
        <f t="shared" si="48"/>
        <v>48.5</v>
      </c>
      <c r="U79" s="109"/>
      <c r="W79" s="64" t="str">
        <f t="shared" si="61"/>
        <v/>
      </c>
      <c r="X79" s="64" t="str">
        <f t="shared" si="62"/>
        <v/>
      </c>
      <c r="Y79" s="4">
        <f t="shared" si="49"/>
        <v>0</v>
      </c>
      <c r="Z79" s="67">
        <f t="shared" si="50"/>
        <v>0</v>
      </c>
      <c r="AA79" s="110">
        <v>2</v>
      </c>
      <c r="AB79" s="64">
        <f t="shared" si="51"/>
        <v>2</v>
      </c>
      <c r="AC79" s="66">
        <f t="shared" si="52"/>
        <v>1182</v>
      </c>
      <c r="AD79" s="69">
        <f t="shared" si="53"/>
        <v>0</v>
      </c>
      <c r="AE79" s="182" t="str">
        <f t="shared" si="54"/>
        <v>TEST 78</v>
      </c>
      <c r="AF79" s="230">
        <f t="shared" ca="1" si="59"/>
        <v>2</v>
      </c>
      <c r="AG79" s="68">
        <f t="shared" ca="1" si="55"/>
        <v>0</v>
      </c>
      <c r="AH79" s="101">
        <f t="shared" ca="1" si="56"/>
        <v>1182</v>
      </c>
      <c r="AI79" s="101">
        <f t="shared" ca="1" si="57"/>
        <v>0</v>
      </c>
      <c r="AJ79" s="4" t="str">
        <f t="shared" si="58"/>
        <v/>
      </c>
      <c r="AK79" s="67" t="str">
        <f t="shared" si="60"/>
        <v/>
      </c>
    </row>
    <row r="80" spans="1:37" x14ac:dyDescent="0.2">
      <c r="A80" s="181" t="s">
        <v>282</v>
      </c>
      <c r="B80" s="106">
        <v>42957</v>
      </c>
      <c r="C80" s="106">
        <v>42959</v>
      </c>
      <c r="D80" s="29">
        <f t="shared" si="40"/>
        <v>2</v>
      </c>
      <c r="E80" s="105">
        <v>2</v>
      </c>
      <c r="I80" s="68" t="str">
        <f t="shared" si="41"/>
        <v/>
      </c>
      <c r="J80" s="68">
        <f t="shared" si="42"/>
        <v>2</v>
      </c>
      <c r="K80" s="30">
        <f t="shared" si="43"/>
        <v>4</v>
      </c>
      <c r="L80" s="107" t="s">
        <v>27</v>
      </c>
      <c r="M80" s="44" t="str">
        <f ca="1">IF(Saisie[[#This Row],[Nom du groupe]]="","",VLOOKUP(Saisie[[#This Row],[Nom du groupe]],Données,5,FALSE))</f>
        <v>SCO P</v>
      </c>
      <c r="N80" s="45">
        <f t="shared" ca="1" si="44"/>
        <v>95</v>
      </c>
      <c r="O80" s="4">
        <f t="shared" si="45"/>
        <v>2</v>
      </c>
      <c r="P80" s="68" t="str">
        <f t="shared" si="46"/>
        <v/>
      </c>
      <c r="Q80" s="107" t="s">
        <v>73</v>
      </c>
      <c r="R80" s="107">
        <v>2</v>
      </c>
      <c r="S80" s="64">
        <f t="shared" si="47"/>
        <v>25</v>
      </c>
      <c r="T80" s="64">
        <f t="shared" si="48"/>
        <v>25</v>
      </c>
      <c r="U80" s="109"/>
      <c r="W80" s="64" t="str">
        <f t="shared" si="61"/>
        <v/>
      </c>
      <c r="X80" s="64" t="str">
        <f t="shared" si="62"/>
        <v/>
      </c>
      <c r="Y80" s="4">
        <f t="shared" si="49"/>
        <v>0</v>
      </c>
      <c r="Z80" s="67">
        <f t="shared" si="50"/>
        <v>0</v>
      </c>
      <c r="AA80" s="110">
        <v>2</v>
      </c>
      <c r="AB80" s="64">
        <f t="shared" si="51"/>
        <v>2</v>
      </c>
      <c r="AC80" s="66">
        <f t="shared" si="52"/>
        <v>100</v>
      </c>
      <c r="AD80" s="69">
        <f t="shared" si="53"/>
        <v>0</v>
      </c>
      <c r="AE80" s="182" t="str">
        <f t="shared" si="54"/>
        <v>TEST 79</v>
      </c>
      <c r="AF80" s="230">
        <f t="shared" ca="1" si="59"/>
        <v>2</v>
      </c>
      <c r="AG80" s="68">
        <f t="shared" ca="1" si="55"/>
        <v>0</v>
      </c>
      <c r="AH80" s="101">
        <f t="shared" ca="1" si="56"/>
        <v>100</v>
      </c>
      <c r="AI80" s="101">
        <f t="shared" ca="1" si="57"/>
        <v>0</v>
      </c>
      <c r="AJ80" s="4" t="str">
        <f t="shared" si="58"/>
        <v/>
      </c>
      <c r="AK80" s="67" t="str">
        <f t="shared" si="60"/>
        <v/>
      </c>
    </row>
    <row r="81" spans="1:37" x14ac:dyDescent="0.2">
      <c r="A81" s="181" t="s">
        <v>283</v>
      </c>
      <c r="B81" s="106">
        <v>42959</v>
      </c>
      <c r="C81" s="106">
        <v>42960</v>
      </c>
      <c r="D81" s="29">
        <f t="shared" si="40"/>
        <v>1</v>
      </c>
      <c r="E81" s="105">
        <v>1</v>
      </c>
      <c r="F81" s="105">
        <v>2</v>
      </c>
      <c r="I81" s="68" t="str">
        <f t="shared" si="41"/>
        <v/>
      </c>
      <c r="J81" s="68">
        <f t="shared" si="42"/>
        <v>3</v>
      </c>
      <c r="K81" s="30">
        <f t="shared" si="43"/>
        <v>3</v>
      </c>
      <c r="L81" s="107" t="s">
        <v>27</v>
      </c>
      <c r="M81" s="44" t="str">
        <f ca="1">IF(Saisie[[#This Row],[Nom du groupe]]="","",VLOOKUP(Saisie[[#This Row],[Nom du groupe]],Données,5,FALSE))</f>
        <v>ASS</v>
      </c>
      <c r="N81" s="45">
        <f t="shared" ca="1" si="44"/>
        <v>78</v>
      </c>
      <c r="O81" s="4">
        <f t="shared" si="45"/>
        <v>1</v>
      </c>
      <c r="P81" s="68">
        <f t="shared" si="46"/>
        <v>2</v>
      </c>
      <c r="Q81" s="107" t="s">
        <v>72</v>
      </c>
      <c r="R81" s="107">
        <v>1</v>
      </c>
      <c r="S81" s="64">
        <f t="shared" si="47"/>
        <v>29</v>
      </c>
      <c r="T81" s="64">
        <f t="shared" si="48"/>
        <v>29</v>
      </c>
      <c r="U81" s="109"/>
      <c r="W81" s="64" t="str">
        <f t="shared" si="61"/>
        <v/>
      </c>
      <c r="X81" s="64" t="str">
        <f t="shared" si="62"/>
        <v/>
      </c>
      <c r="Y81" s="4">
        <f t="shared" si="49"/>
        <v>0</v>
      </c>
      <c r="Z81" s="67">
        <f t="shared" si="50"/>
        <v>0</v>
      </c>
      <c r="AA81" s="110">
        <v>1</v>
      </c>
      <c r="AB81" s="64">
        <f t="shared" si="51"/>
        <v>0.5</v>
      </c>
      <c r="AC81" s="66">
        <f t="shared" si="52"/>
        <v>87</v>
      </c>
      <c r="AD81" s="69">
        <f t="shared" si="53"/>
        <v>0</v>
      </c>
      <c r="AE81" s="182" t="str">
        <f t="shared" si="54"/>
        <v>TEST 80</v>
      </c>
      <c r="AF81" s="230">
        <f t="shared" ca="1" si="59"/>
        <v>1</v>
      </c>
      <c r="AG81" s="68">
        <f t="shared" ca="1" si="55"/>
        <v>0</v>
      </c>
      <c r="AH81" s="101">
        <f t="shared" ca="1" si="56"/>
        <v>87</v>
      </c>
      <c r="AI81" s="101">
        <f t="shared" ca="1" si="57"/>
        <v>0</v>
      </c>
      <c r="AJ81" s="4" t="str">
        <f t="shared" si="58"/>
        <v/>
      </c>
      <c r="AK81" s="67" t="str">
        <f t="shared" si="60"/>
        <v/>
      </c>
    </row>
    <row r="82" spans="1:37" x14ac:dyDescent="0.2">
      <c r="A82" s="181" t="s">
        <v>284</v>
      </c>
      <c r="B82" s="106">
        <v>42961</v>
      </c>
      <c r="C82" s="106">
        <v>42965</v>
      </c>
      <c r="D82" s="29">
        <f t="shared" si="40"/>
        <v>4</v>
      </c>
      <c r="E82" s="105">
        <v>2</v>
      </c>
      <c r="I82" s="68" t="str">
        <f t="shared" si="41"/>
        <v/>
      </c>
      <c r="J82" s="68">
        <f t="shared" si="42"/>
        <v>2</v>
      </c>
      <c r="K82" s="30">
        <f t="shared" si="43"/>
        <v>8</v>
      </c>
      <c r="L82" s="107" t="s">
        <v>27</v>
      </c>
      <c r="M82" s="44" t="str">
        <f ca="1">IF(Saisie[[#This Row],[Nom du groupe]]="","",VLOOKUP(Saisie[[#This Row],[Nom du groupe]],Données,5,FALSE))</f>
        <v>HOT</v>
      </c>
      <c r="N82" s="45">
        <f t="shared" ca="1" si="44"/>
        <v>45</v>
      </c>
      <c r="O82" s="4">
        <f t="shared" si="45"/>
        <v>2</v>
      </c>
      <c r="P82" s="68" t="str">
        <f t="shared" si="46"/>
        <v/>
      </c>
      <c r="Q82" s="107" t="s">
        <v>72</v>
      </c>
      <c r="R82" s="107">
        <v>4</v>
      </c>
      <c r="S82" s="64">
        <f t="shared" si="47"/>
        <v>29</v>
      </c>
      <c r="T82" s="64">
        <f t="shared" si="48"/>
        <v>29</v>
      </c>
      <c r="U82" s="109"/>
      <c r="W82" s="64" t="str">
        <f t="shared" si="61"/>
        <v/>
      </c>
      <c r="X82" s="64" t="str">
        <f t="shared" si="62"/>
        <v/>
      </c>
      <c r="Y82" s="4">
        <f t="shared" si="49"/>
        <v>0</v>
      </c>
      <c r="Z82" s="67">
        <f t="shared" si="50"/>
        <v>0</v>
      </c>
      <c r="AA82" s="110">
        <v>2</v>
      </c>
      <c r="AB82" s="64">
        <f t="shared" si="51"/>
        <v>4</v>
      </c>
      <c r="AC82" s="66">
        <f t="shared" si="52"/>
        <v>232</v>
      </c>
      <c r="AD82" s="69">
        <f t="shared" si="53"/>
        <v>0</v>
      </c>
      <c r="AE82" s="182" t="str">
        <f t="shared" si="54"/>
        <v>TEST 81</v>
      </c>
      <c r="AF82" s="230">
        <f t="shared" ca="1" si="59"/>
        <v>4</v>
      </c>
      <c r="AG82" s="68">
        <f t="shared" ca="1" si="55"/>
        <v>0</v>
      </c>
      <c r="AH82" s="101">
        <f t="shared" ca="1" si="56"/>
        <v>232</v>
      </c>
      <c r="AI82" s="101">
        <f t="shared" ca="1" si="57"/>
        <v>0</v>
      </c>
      <c r="AJ82" s="4" t="str">
        <f t="shared" si="58"/>
        <v/>
      </c>
      <c r="AK82" s="67" t="str">
        <f t="shared" si="60"/>
        <v/>
      </c>
    </row>
    <row r="83" spans="1:37" x14ac:dyDescent="0.2">
      <c r="A83" s="181" t="s">
        <v>285</v>
      </c>
      <c r="B83" s="106">
        <v>42967</v>
      </c>
      <c r="C83" s="106">
        <v>42971</v>
      </c>
      <c r="D83" s="29">
        <f t="shared" si="40"/>
        <v>4</v>
      </c>
      <c r="E83" s="104">
        <v>13</v>
      </c>
      <c r="F83" s="104"/>
      <c r="G83" s="104">
        <v>2</v>
      </c>
      <c r="H83" s="104"/>
      <c r="I83" s="68">
        <f t="shared" si="41"/>
        <v>8</v>
      </c>
      <c r="J83" s="68">
        <f t="shared" si="42"/>
        <v>13</v>
      </c>
      <c r="K83" s="30">
        <f t="shared" si="43"/>
        <v>52</v>
      </c>
      <c r="L83" s="107" t="s">
        <v>27</v>
      </c>
      <c r="M83" s="44" t="str">
        <f ca="1">IF(Saisie[[#This Row],[Nom du groupe]]="","",VLOOKUP(Saisie[[#This Row],[Nom du groupe]],Données,5,FALSE))</f>
        <v>ASS</v>
      </c>
      <c r="N83" s="45">
        <f t="shared" ca="1" si="44"/>
        <v>61</v>
      </c>
      <c r="O83" s="4">
        <f t="shared" si="45"/>
        <v>13</v>
      </c>
      <c r="P83" s="68" t="str">
        <f t="shared" si="46"/>
        <v/>
      </c>
      <c r="Q83" s="107" t="s">
        <v>70</v>
      </c>
      <c r="R83" s="107">
        <v>3</v>
      </c>
      <c r="S83" s="64">
        <f t="shared" si="47"/>
        <v>44</v>
      </c>
      <c r="T83" s="64">
        <f t="shared" si="48"/>
        <v>41</v>
      </c>
      <c r="U83" s="109" t="s">
        <v>72</v>
      </c>
      <c r="V83" s="107">
        <v>1</v>
      </c>
      <c r="W83" s="64">
        <f t="shared" si="61"/>
        <v>29</v>
      </c>
      <c r="X83" s="64">
        <f t="shared" si="62"/>
        <v>29</v>
      </c>
      <c r="Y83" s="4">
        <f t="shared" si="49"/>
        <v>0</v>
      </c>
      <c r="Z83" s="67">
        <f t="shared" si="50"/>
        <v>0</v>
      </c>
      <c r="AA83" s="110">
        <v>13</v>
      </c>
      <c r="AB83" s="64">
        <f t="shared" si="51"/>
        <v>26</v>
      </c>
      <c r="AC83" s="66">
        <f t="shared" si="52"/>
        <v>2093</v>
      </c>
      <c r="AD83" s="69">
        <f t="shared" si="53"/>
        <v>322</v>
      </c>
      <c r="AE83" s="182" t="str">
        <f t="shared" si="54"/>
        <v>TEST 82</v>
      </c>
      <c r="AF83" s="230">
        <f t="shared" ca="1" si="59"/>
        <v>4</v>
      </c>
      <c r="AG83" s="68">
        <f t="shared" ca="1" si="55"/>
        <v>0</v>
      </c>
      <c r="AH83" s="101">
        <f t="shared" ca="1" si="56"/>
        <v>2093</v>
      </c>
      <c r="AI83" s="101">
        <f t="shared" ca="1" si="57"/>
        <v>0</v>
      </c>
      <c r="AJ83" s="4" t="str">
        <f t="shared" si="58"/>
        <v/>
      </c>
      <c r="AK83" s="67" t="str">
        <f t="shared" si="60"/>
        <v/>
      </c>
    </row>
    <row r="84" spans="1:37" x14ac:dyDescent="0.2">
      <c r="A84" s="181" t="s">
        <v>286</v>
      </c>
      <c r="B84" s="106">
        <v>42968</v>
      </c>
      <c r="C84" s="106">
        <v>42972</v>
      </c>
      <c r="D84" s="29">
        <f t="shared" si="40"/>
        <v>4</v>
      </c>
      <c r="E84" s="104">
        <v>2</v>
      </c>
      <c r="F84" s="104">
        <v>12</v>
      </c>
      <c r="G84" s="104"/>
      <c r="H84" s="104"/>
      <c r="I84" s="68" t="str">
        <f t="shared" si="41"/>
        <v/>
      </c>
      <c r="J84" s="68">
        <f t="shared" si="42"/>
        <v>14</v>
      </c>
      <c r="K84" s="30">
        <f t="shared" si="43"/>
        <v>56</v>
      </c>
      <c r="L84" s="107" t="s">
        <v>27</v>
      </c>
      <c r="M84" s="44">
        <f ca="1">IF(Saisie[[#This Row],[Nom du groupe]]="","",VLOOKUP(Saisie[[#This Row],[Nom du groupe]],Données,5,FALSE))</f>
        <v>0</v>
      </c>
      <c r="N84" s="45">
        <f t="shared" ca="1" si="44"/>
        <v>0</v>
      </c>
      <c r="O84" s="4">
        <f t="shared" si="45"/>
        <v>2</v>
      </c>
      <c r="P84" s="68">
        <f t="shared" si="46"/>
        <v>12</v>
      </c>
      <c r="S84" s="64" t="str">
        <f t="shared" si="47"/>
        <v/>
      </c>
      <c r="T84" s="64" t="str">
        <f t="shared" si="48"/>
        <v/>
      </c>
      <c r="U84" s="109"/>
      <c r="W84" s="64" t="str">
        <f t="shared" si="61"/>
        <v/>
      </c>
      <c r="X84" s="64" t="str">
        <f t="shared" si="62"/>
        <v/>
      </c>
      <c r="Y84" s="4">
        <f t="shared" si="49"/>
        <v>0</v>
      </c>
      <c r="Z84" s="229" t="str">
        <f t="shared" si="50"/>
        <v>0</v>
      </c>
      <c r="AA84" s="110"/>
      <c r="AB84" s="64" t="str">
        <f t="shared" si="51"/>
        <v/>
      </c>
      <c r="AC84" s="66">
        <f t="shared" si="52"/>
        <v>0</v>
      </c>
      <c r="AD84" s="69">
        <f t="shared" si="53"/>
        <v>0</v>
      </c>
      <c r="AE84" s="182" t="str">
        <f t="shared" si="54"/>
        <v>TEST 83</v>
      </c>
      <c r="AF84" s="230">
        <f t="shared" ca="1" si="59"/>
        <v>4</v>
      </c>
      <c r="AG84" s="68">
        <f t="shared" ca="1" si="55"/>
        <v>0</v>
      </c>
      <c r="AH84" s="101">
        <f t="shared" ca="1" si="56"/>
        <v>0</v>
      </c>
      <c r="AI84" s="101">
        <f t="shared" ca="1" si="57"/>
        <v>0</v>
      </c>
      <c r="AJ84" s="4" t="str">
        <f t="shared" si="58"/>
        <v/>
      </c>
      <c r="AK84" s="67" t="str">
        <f t="shared" si="60"/>
        <v/>
      </c>
    </row>
    <row r="85" spans="1:37" x14ac:dyDescent="0.2">
      <c r="A85" s="181" t="s">
        <v>287</v>
      </c>
      <c r="B85" s="106">
        <v>42971</v>
      </c>
      <c r="C85" s="106">
        <v>42974</v>
      </c>
      <c r="D85" s="29">
        <f t="shared" si="40"/>
        <v>3</v>
      </c>
      <c r="E85" s="104">
        <v>2</v>
      </c>
      <c r="F85" s="104"/>
      <c r="G85" s="104"/>
      <c r="H85" s="104"/>
      <c r="I85" s="68" t="str">
        <f t="shared" si="41"/>
        <v/>
      </c>
      <c r="J85" s="68">
        <f t="shared" si="42"/>
        <v>2</v>
      </c>
      <c r="K85" s="30">
        <f t="shared" si="43"/>
        <v>6</v>
      </c>
      <c r="L85" s="107" t="s">
        <v>27</v>
      </c>
      <c r="M85" s="44" t="str">
        <f ca="1">IF(Saisie[[#This Row],[Nom du groupe]]="","",VLOOKUP(Saisie[[#This Row],[Nom du groupe]],Données,5,FALSE))</f>
        <v>ASS</v>
      </c>
      <c r="N85" s="45">
        <f t="shared" ca="1" si="44"/>
        <v>59</v>
      </c>
      <c r="O85" s="4">
        <f t="shared" si="45"/>
        <v>2</v>
      </c>
      <c r="P85" s="68" t="str">
        <f t="shared" si="46"/>
        <v/>
      </c>
      <c r="S85" s="64" t="str">
        <f t="shared" si="47"/>
        <v/>
      </c>
      <c r="T85" s="64" t="str">
        <f t="shared" si="48"/>
        <v/>
      </c>
      <c r="U85" s="109"/>
      <c r="W85" s="64" t="str">
        <f t="shared" si="61"/>
        <v/>
      </c>
      <c r="X85" s="64" t="str">
        <f t="shared" si="62"/>
        <v/>
      </c>
      <c r="Y85" s="4">
        <f t="shared" si="49"/>
        <v>0</v>
      </c>
      <c r="Z85" s="67" t="str">
        <f t="shared" si="50"/>
        <v>0</v>
      </c>
      <c r="AA85" s="110"/>
      <c r="AB85" s="64" t="str">
        <f t="shared" si="51"/>
        <v/>
      </c>
      <c r="AC85" s="66">
        <f t="shared" si="52"/>
        <v>0</v>
      </c>
      <c r="AD85" s="69">
        <f t="shared" si="53"/>
        <v>0</v>
      </c>
      <c r="AE85" s="182" t="str">
        <f t="shared" si="54"/>
        <v>TEST 84</v>
      </c>
      <c r="AF85" s="230">
        <f t="shared" ca="1" si="59"/>
        <v>3</v>
      </c>
      <c r="AG85" s="68">
        <f t="shared" ca="1" si="55"/>
        <v>0</v>
      </c>
      <c r="AH85" s="101">
        <f t="shared" ca="1" si="56"/>
        <v>0</v>
      </c>
      <c r="AI85" s="101">
        <f t="shared" ca="1" si="57"/>
        <v>0</v>
      </c>
      <c r="AJ85" s="4" t="str">
        <f t="shared" si="58"/>
        <v/>
      </c>
      <c r="AK85" s="67" t="str">
        <f t="shared" si="60"/>
        <v/>
      </c>
    </row>
    <row r="86" spans="1:37" x14ac:dyDescent="0.2">
      <c r="A86" s="181" t="s">
        <v>288</v>
      </c>
      <c r="B86" s="106">
        <v>42973</v>
      </c>
      <c r="C86" s="106">
        <v>42974</v>
      </c>
      <c r="D86" s="29">
        <f t="shared" si="40"/>
        <v>1</v>
      </c>
      <c r="E86" s="104">
        <v>48</v>
      </c>
      <c r="F86" s="104"/>
      <c r="G86" s="104">
        <v>2</v>
      </c>
      <c r="H86" s="104"/>
      <c r="I86" s="68">
        <f t="shared" si="41"/>
        <v>2</v>
      </c>
      <c r="J86" s="68">
        <f t="shared" si="42"/>
        <v>48</v>
      </c>
      <c r="K86" s="30">
        <f t="shared" si="43"/>
        <v>48</v>
      </c>
      <c r="L86" s="107" t="s">
        <v>27</v>
      </c>
      <c r="M86" s="44" t="str">
        <f ca="1">IF(Saisie[[#This Row],[Nom du groupe]]="","",VLOOKUP(Saisie[[#This Row],[Nom du groupe]],Données,5,FALSE))</f>
        <v>SPT</v>
      </c>
      <c r="N86" s="45">
        <f t="shared" ca="1" si="44"/>
        <v>59</v>
      </c>
      <c r="O86" s="4">
        <f t="shared" si="45"/>
        <v>46</v>
      </c>
      <c r="P86" s="68" t="str">
        <f t="shared" si="46"/>
        <v/>
      </c>
      <c r="Q86" s="107" t="s">
        <v>71</v>
      </c>
      <c r="R86" s="107">
        <v>1</v>
      </c>
      <c r="S86" s="64">
        <f t="shared" si="47"/>
        <v>53</v>
      </c>
      <c r="T86" s="64">
        <f t="shared" si="48"/>
        <v>48.5</v>
      </c>
      <c r="U86" s="109"/>
      <c r="W86" s="64" t="str">
        <f t="shared" si="61"/>
        <v/>
      </c>
      <c r="X86" s="64" t="str">
        <f t="shared" si="62"/>
        <v/>
      </c>
      <c r="Y86" s="4">
        <f t="shared" si="49"/>
        <v>2</v>
      </c>
      <c r="Z86" s="67">
        <f t="shared" si="50"/>
        <v>106</v>
      </c>
      <c r="AA86" s="110">
        <v>48</v>
      </c>
      <c r="AB86" s="64">
        <f t="shared" si="51"/>
        <v>24</v>
      </c>
      <c r="AC86" s="66">
        <f t="shared" si="52"/>
        <v>2438</v>
      </c>
      <c r="AD86" s="69">
        <f t="shared" si="53"/>
        <v>106</v>
      </c>
      <c r="AE86" s="182" t="str">
        <f t="shared" si="54"/>
        <v>TEST 85</v>
      </c>
      <c r="AF86" s="230">
        <f t="shared" ca="1" si="59"/>
        <v>1</v>
      </c>
      <c r="AG86" s="68">
        <f t="shared" ca="1" si="55"/>
        <v>0</v>
      </c>
      <c r="AH86" s="101">
        <f t="shared" ca="1" si="56"/>
        <v>2438</v>
      </c>
      <c r="AI86" s="101">
        <f t="shared" ca="1" si="57"/>
        <v>0</v>
      </c>
      <c r="AJ86" s="4" t="str">
        <f t="shared" si="58"/>
        <v/>
      </c>
      <c r="AK86" s="67" t="str">
        <f t="shared" si="60"/>
        <v/>
      </c>
    </row>
    <row r="87" spans="1:37" x14ac:dyDescent="0.2">
      <c r="A87" s="181" t="s">
        <v>289</v>
      </c>
      <c r="B87" s="106">
        <v>42975</v>
      </c>
      <c r="C87" s="106">
        <v>42980</v>
      </c>
      <c r="D87" s="29">
        <f t="shared" si="40"/>
        <v>5</v>
      </c>
      <c r="E87" s="104"/>
      <c r="F87" s="104"/>
      <c r="G87" s="104"/>
      <c r="H87" s="104"/>
      <c r="I87" s="68" t="str">
        <f t="shared" si="41"/>
        <v/>
      </c>
      <c r="J87" s="68">
        <f t="shared" si="42"/>
        <v>0</v>
      </c>
      <c r="K87" s="30">
        <f t="shared" si="43"/>
        <v>0</v>
      </c>
      <c r="L87" s="107" t="s">
        <v>28</v>
      </c>
      <c r="M87" s="44" t="str">
        <f ca="1">IF(Saisie[[#This Row],[Nom du groupe]]="","",VLOOKUP(Saisie[[#This Row],[Nom du groupe]],Données,5,FALSE))</f>
        <v>SPT</v>
      </c>
      <c r="N87" s="45">
        <f t="shared" ca="1" si="44"/>
        <v>59</v>
      </c>
      <c r="O87" s="4" t="str">
        <f t="shared" si="45"/>
        <v/>
      </c>
      <c r="P87" s="68" t="str">
        <f t="shared" si="46"/>
        <v/>
      </c>
      <c r="S87" s="64" t="str">
        <f t="shared" si="47"/>
        <v/>
      </c>
      <c r="T87" s="64" t="str">
        <f t="shared" si="48"/>
        <v/>
      </c>
      <c r="U87" s="109"/>
      <c r="W87" s="64" t="str">
        <f t="shared" si="61"/>
        <v/>
      </c>
      <c r="X87" s="64" t="str">
        <f t="shared" si="62"/>
        <v/>
      </c>
      <c r="Y87" s="4" t="str">
        <f t="shared" si="49"/>
        <v/>
      </c>
      <c r="Z87" s="67" t="str">
        <f t="shared" si="50"/>
        <v/>
      </c>
      <c r="AA87" s="110"/>
      <c r="AB87" s="64" t="str">
        <f t="shared" si="51"/>
        <v/>
      </c>
      <c r="AC87" s="66">
        <f t="shared" si="52"/>
        <v>0</v>
      </c>
      <c r="AD87" s="69">
        <f t="shared" si="53"/>
        <v>0</v>
      </c>
      <c r="AE87" s="182" t="str">
        <f t="shared" si="54"/>
        <v>TEST 86</v>
      </c>
      <c r="AF87" s="230">
        <f t="shared" ca="1" si="59"/>
        <v>4</v>
      </c>
      <c r="AG87" s="68">
        <f t="shared" ca="1" si="55"/>
        <v>1</v>
      </c>
      <c r="AH87" s="101">
        <f t="shared" ca="1" si="56"/>
        <v>0</v>
      </c>
      <c r="AI87" s="101">
        <f t="shared" ca="1" si="57"/>
        <v>0</v>
      </c>
      <c r="AJ87" s="4" t="str">
        <f t="shared" si="58"/>
        <v/>
      </c>
      <c r="AK87" s="67" t="str">
        <f t="shared" si="60"/>
        <v/>
      </c>
    </row>
    <row r="88" spans="1:37" x14ac:dyDescent="0.2">
      <c r="A88" s="181" t="s">
        <v>290</v>
      </c>
      <c r="B88" s="106">
        <v>42980</v>
      </c>
      <c r="C88" s="106">
        <v>42986</v>
      </c>
      <c r="D88" s="29">
        <f t="shared" si="40"/>
        <v>6</v>
      </c>
      <c r="E88" s="104">
        <v>18</v>
      </c>
      <c r="F88" s="104"/>
      <c r="G88" s="104">
        <v>1</v>
      </c>
      <c r="H88" s="104"/>
      <c r="I88" s="68">
        <f t="shared" si="41"/>
        <v>6</v>
      </c>
      <c r="J88" s="68">
        <f t="shared" si="42"/>
        <v>18</v>
      </c>
      <c r="K88" s="30">
        <f t="shared" si="43"/>
        <v>108</v>
      </c>
      <c r="L88" s="107" t="s">
        <v>27</v>
      </c>
      <c r="M88" s="44" t="str">
        <f ca="1">IF(Saisie[[#This Row],[Nom du groupe]]="","",VLOOKUP(Saisie[[#This Row],[Nom du groupe]],Données,5,FALSE))</f>
        <v>HOT</v>
      </c>
      <c r="N88" s="45">
        <f t="shared" ca="1" si="44"/>
        <v>95</v>
      </c>
      <c r="O88" s="4">
        <f t="shared" si="45"/>
        <v>18</v>
      </c>
      <c r="P88" s="68" t="str">
        <f t="shared" si="46"/>
        <v/>
      </c>
      <c r="Q88" s="107" t="s">
        <v>70</v>
      </c>
      <c r="R88" s="107">
        <v>6</v>
      </c>
      <c r="S88" s="64">
        <f t="shared" si="47"/>
        <v>44</v>
      </c>
      <c r="T88" s="64">
        <f t="shared" si="48"/>
        <v>41</v>
      </c>
      <c r="U88" s="109"/>
      <c r="W88" s="64" t="str">
        <f t="shared" si="61"/>
        <v/>
      </c>
      <c r="X88" s="64" t="str">
        <f t="shared" si="62"/>
        <v/>
      </c>
      <c r="Y88" s="4">
        <f t="shared" si="49"/>
        <v>0</v>
      </c>
      <c r="Z88" s="67">
        <f t="shared" si="50"/>
        <v>0</v>
      </c>
      <c r="AA88" s="110">
        <v>18</v>
      </c>
      <c r="AB88" s="64">
        <f t="shared" si="51"/>
        <v>54</v>
      </c>
      <c r="AC88" s="66">
        <f t="shared" si="52"/>
        <v>4752</v>
      </c>
      <c r="AD88" s="69">
        <f t="shared" si="53"/>
        <v>264</v>
      </c>
      <c r="AE88" s="182" t="str">
        <f t="shared" si="54"/>
        <v>TEST 87</v>
      </c>
      <c r="AF88" s="230">
        <f t="shared" ca="1" si="59"/>
        <v>6</v>
      </c>
      <c r="AG88" s="68">
        <f t="shared" ca="1" si="55"/>
        <v>0</v>
      </c>
      <c r="AH88" s="101">
        <f t="shared" ca="1" si="56"/>
        <v>4752</v>
      </c>
      <c r="AI88" s="101">
        <f t="shared" ca="1" si="57"/>
        <v>0</v>
      </c>
      <c r="AJ88" s="4" t="str">
        <f t="shared" si="58"/>
        <v/>
      </c>
      <c r="AK88" s="67" t="str">
        <f t="shared" si="60"/>
        <v/>
      </c>
    </row>
    <row r="89" spans="1:37" x14ac:dyDescent="0.2">
      <c r="A89" s="181" t="s">
        <v>291</v>
      </c>
      <c r="B89" s="106">
        <v>42980</v>
      </c>
      <c r="C89" s="106">
        <v>42987</v>
      </c>
      <c r="D89" s="29">
        <f t="shared" si="40"/>
        <v>7</v>
      </c>
      <c r="E89" s="104">
        <v>24</v>
      </c>
      <c r="F89" s="104"/>
      <c r="G89" s="104"/>
      <c r="H89" s="104"/>
      <c r="I89" s="68" t="str">
        <f t="shared" si="41"/>
        <v/>
      </c>
      <c r="J89" s="68">
        <f t="shared" si="42"/>
        <v>24</v>
      </c>
      <c r="K89" s="30">
        <f t="shared" si="43"/>
        <v>168</v>
      </c>
      <c r="L89" s="107" t="s">
        <v>27</v>
      </c>
      <c r="M89" s="44" t="str">
        <f ca="1">IF(Saisie[[#This Row],[Nom du groupe]]="","",VLOOKUP(Saisie[[#This Row],[Nom du groupe]],Données,5,FALSE))</f>
        <v>IME</v>
      </c>
      <c r="N89" s="45" t="str">
        <f t="shared" ca="1" si="44"/>
        <v>BEL</v>
      </c>
      <c r="O89" s="4">
        <f t="shared" si="45"/>
        <v>23</v>
      </c>
      <c r="P89" s="68" t="str">
        <f t="shared" si="46"/>
        <v/>
      </c>
      <c r="S89" s="64" t="str">
        <f t="shared" si="47"/>
        <v/>
      </c>
      <c r="T89" s="64" t="str">
        <f t="shared" si="48"/>
        <v/>
      </c>
      <c r="U89" s="109"/>
      <c r="W89" s="64" t="str">
        <f t="shared" si="61"/>
        <v/>
      </c>
      <c r="X89" s="64" t="str">
        <f t="shared" si="62"/>
        <v/>
      </c>
      <c r="Y89" s="4">
        <f t="shared" si="49"/>
        <v>1</v>
      </c>
      <c r="Z89" s="67" t="str">
        <f t="shared" si="50"/>
        <v>0</v>
      </c>
      <c r="AA89" s="110"/>
      <c r="AB89" s="64" t="str">
        <f t="shared" si="51"/>
        <v/>
      </c>
      <c r="AC89" s="66">
        <f t="shared" si="52"/>
        <v>0</v>
      </c>
      <c r="AD89" s="69">
        <f t="shared" si="53"/>
        <v>0</v>
      </c>
      <c r="AE89" s="182" t="str">
        <f t="shared" si="54"/>
        <v>TEST 88</v>
      </c>
      <c r="AF89" s="230">
        <f t="shared" ca="1" si="59"/>
        <v>7</v>
      </c>
      <c r="AG89" s="68">
        <f t="shared" ca="1" si="55"/>
        <v>0</v>
      </c>
      <c r="AH89" s="101">
        <f t="shared" ca="1" si="56"/>
        <v>0</v>
      </c>
      <c r="AI89" s="101">
        <f t="shared" ca="1" si="57"/>
        <v>0</v>
      </c>
      <c r="AJ89" s="4" t="str">
        <f t="shared" si="58"/>
        <v/>
      </c>
      <c r="AK89" s="67" t="str">
        <f t="shared" si="60"/>
        <v/>
      </c>
    </row>
    <row r="90" spans="1:37" x14ac:dyDescent="0.2">
      <c r="A90" s="181" t="s">
        <v>292</v>
      </c>
      <c r="B90" s="106">
        <v>42986</v>
      </c>
      <c r="C90" s="106">
        <v>42988</v>
      </c>
      <c r="D90" s="29">
        <f t="shared" si="40"/>
        <v>2</v>
      </c>
      <c r="I90" s="68" t="str">
        <f t="shared" si="41"/>
        <v/>
      </c>
      <c r="J90" s="68">
        <f t="shared" si="42"/>
        <v>0</v>
      </c>
      <c r="K90" s="30">
        <f t="shared" si="43"/>
        <v>0</v>
      </c>
      <c r="L90" s="107" t="s">
        <v>51</v>
      </c>
      <c r="M90" s="44">
        <f ca="1">IF(Saisie[[#This Row],[Nom du groupe]]="","",VLOOKUP(Saisie[[#This Row],[Nom du groupe]],Données,5,FALSE))</f>
        <v>0</v>
      </c>
      <c r="N90" s="45">
        <f t="shared" ca="1" si="44"/>
        <v>0</v>
      </c>
      <c r="O90" s="4" t="str">
        <f t="shared" si="45"/>
        <v/>
      </c>
      <c r="P90" s="68" t="str">
        <f t="shared" si="46"/>
        <v/>
      </c>
      <c r="S90" s="64" t="str">
        <f t="shared" si="47"/>
        <v/>
      </c>
      <c r="T90" s="64" t="str">
        <f t="shared" si="48"/>
        <v/>
      </c>
      <c r="U90" s="109"/>
      <c r="W90" s="64" t="str">
        <f t="shared" si="61"/>
        <v/>
      </c>
      <c r="X90" s="64" t="str">
        <f t="shared" si="62"/>
        <v/>
      </c>
      <c r="Y90" s="4" t="str">
        <f t="shared" si="49"/>
        <v/>
      </c>
      <c r="Z90" s="67" t="str">
        <f t="shared" si="50"/>
        <v/>
      </c>
      <c r="AA90" s="110"/>
      <c r="AB90" s="64" t="str">
        <f t="shared" si="51"/>
        <v/>
      </c>
      <c r="AC90" s="66">
        <f t="shared" si="52"/>
        <v>0</v>
      </c>
      <c r="AD90" s="69">
        <f t="shared" si="53"/>
        <v>0</v>
      </c>
      <c r="AE90" s="182" t="str">
        <f t="shared" si="54"/>
        <v>TEST 89</v>
      </c>
      <c r="AF90" s="230">
        <f t="shared" ca="1" si="59"/>
        <v>2</v>
      </c>
      <c r="AG90" s="68">
        <f t="shared" ca="1" si="55"/>
        <v>0</v>
      </c>
      <c r="AH90" s="101">
        <f t="shared" ca="1" si="56"/>
        <v>0</v>
      </c>
      <c r="AI90" s="101">
        <f t="shared" ca="1" si="57"/>
        <v>0</v>
      </c>
      <c r="AJ90" s="4" t="str">
        <f t="shared" si="58"/>
        <v/>
      </c>
      <c r="AK90" s="67" t="str">
        <f t="shared" si="60"/>
        <v/>
      </c>
    </row>
    <row r="91" spans="1:37" x14ac:dyDescent="0.2">
      <c r="A91" s="181" t="s">
        <v>293</v>
      </c>
      <c r="B91" s="106">
        <v>42986</v>
      </c>
      <c r="C91" s="106">
        <v>42987</v>
      </c>
      <c r="D91" s="29">
        <f t="shared" si="40"/>
        <v>1</v>
      </c>
      <c r="E91" s="105">
        <v>13</v>
      </c>
      <c r="G91" s="105">
        <v>5</v>
      </c>
      <c r="I91" s="68">
        <f t="shared" si="41"/>
        <v>5</v>
      </c>
      <c r="J91" s="68">
        <f t="shared" si="42"/>
        <v>13</v>
      </c>
      <c r="K91" s="30">
        <f t="shared" si="43"/>
        <v>13</v>
      </c>
      <c r="L91" s="107" t="s">
        <v>27</v>
      </c>
      <c r="M91" s="44" t="str">
        <f ca="1">IF(Saisie[[#This Row],[Nom du groupe]]="","",VLOOKUP(Saisie[[#This Row],[Nom du groupe]],Données,5,FALSE))</f>
        <v>SCO P</v>
      </c>
      <c r="N91" s="45">
        <f t="shared" ca="1" si="44"/>
        <v>60</v>
      </c>
      <c r="O91" s="4">
        <f t="shared" si="45"/>
        <v>13</v>
      </c>
      <c r="P91" s="68" t="str">
        <f t="shared" si="46"/>
        <v/>
      </c>
      <c r="Q91" s="107" t="s">
        <v>70</v>
      </c>
      <c r="R91" s="107">
        <v>1</v>
      </c>
      <c r="S91" s="64">
        <f t="shared" si="47"/>
        <v>44</v>
      </c>
      <c r="T91" s="64">
        <f t="shared" si="48"/>
        <v>41</v>
      </c>
      <c r="U91" s="109"/>
      <c r="W91" s="64" t="str">
        <f t="shared" si="61"/>
        <v/>
      </c>
      <c r="X91" s="64" t="str">
        <f t="shared" si="62"/>
        <v/>
      </c>
      <c r="Y91" s="4">
        <f t="shared" si="49"/>
        <v>0</v>
      </c>
      <c r="Z91" s="67">
        <f t="shared" si="50"/>
        <v>0</v>
      </c>
      <c r="AA91" s="110">
        <v>13</v>
      </c>
      <c r="AB91" s="64">
        <f t="shared" si="51"/>
        <v>6.5</v>
      </c>
      <c r="AC91" s="66">
        <f t="shared" si="52"/>
        <v>572</v>
      </c>
      <c r="AD91" s="69">
        <f t="shared" si="53"/>
        <v>220</v>
      </c>
      <c r="AE91" s="182" t="str">
        <f t="shared" si="54"/>
        <v>TEST 90</v>
      </c>
      <c r="AF91" s="230">
        <f t="shared" ca="1" si="59"/>
        <v>1</v>
      </c>
      <c r="AG91" s="68">
        <f t="shared" ca="1" si="55"/>
        <v>0</v>
      </c>
      <c r="AH91" s="101">
        <f t="shared" ca="1" si="56"/>
        <v>572</v>
      </c>
      <c r="AI91" s="101">
        <f t="shared" ca="1" si="57"/>
        <v>0</v>
      </c>
      <c r="AJ91" s="4" t="str">
        <f t="shared" si="58"/>
        <v/>
      </c>
      <c r="AK91" s="67" t="str">
        <f t="shared" si="60"/>
        <v/>
      </c>
    </row>
    <row r="92" spans="1:37" x14ac:dyDescent="0.2">
      <c r="A92" s="181" t="s">
        <v>294</v>
      </c>
      <c r="B92" s="106">
        <v>42987</v>
      </c>
      <c r="C92" s="106">
        <v>42988</v>
      </c>
      <c r="D92" s="29">
        <f t="shared" si="40"/>
        <v>1</v>
      </c>
      <c r="E92" s="104">
        <v>27</v>
      </c>
      <c r="F92" s="104"/>
      <c r="G92" s="104"/>
      <c r="H92" s="104"/>
      <c r="I92" s="68" t="str">
        <f t="shared" si="41"/>
        <v/>
      </c>
      <c r="J92" s="68">
        <f t="shared" si="42"/>
        <v>27</v>
      </c>
      <c r="K92" s="30">
        <f t="shared" si="43"/>
        <v>27</v>
      </c>
      <c r="L92" s="107" t="s">
        <v>27</v>
      </c>
      <c r="M92" s="44" t="str">
        <f ca="1">IF(Saisie[[#This Row],[Nom du groupe]]="","",VLOOKUP(Saisie[[#This Row],[Nom du groupe]],Données,5,FALSE))</f>
        <v>ASS</v>
      </c>
      <c r="N92" s="45">
        <f t="shared" ca="1" si="44"/>
        <v>68</v>
      </c>
      <c r="O92" s="4">
        <f t="shared" si="45"/>
        <v>26</v>
      </c>
      <c r="P92" s="68" t="str">
        <f t="shared" si="46"/>
        <v/>
      </c>
      <c r="S92" s="64" t="str">
        <f t="shared" si="47"/>
        <v/>
      </c>
      <c r="T92" s="64" t="str">
        <f t="shared" si="48"/>
        <v/>
      </c>
      <c r="U92" s="109"/>
      <c r="W92" s="64" t="str">
        <f t="shared" si="61"/>
        <v/>
      </c>
      <c r="X92" s="64" t="str">
        <f t="shared" si="62"/>
        <v/>
      </c>
      <c r="Y92" s="4">
        <f t="shared" si="49"/>
        <v>1</v>
      </c>
      <c r="Z92" s="67" t="str">
        <f t="shared" si="50"/>
        <v>0</v>
      </c>
      <c r="AA92" s="110"/>
      <c r="AB92" s="64" t="str">
        <f t="shared" si="51"/>
        <v/>
      </c>
      <c r="AC92" s="66">
        <f t="shared" si="52"/>
        <v>0</v>
      </c>
      <c r="AD92" s="69">
        <f t="shared" si="53"/>
        <v>0</v>
      </c>
      <c r="AE92" s="182" t="str">
        <f t="shared" si="54"/>
        <v>TEST 91</v>
      </c>
      <c r="AF92" s="230">
        <f t="shared" ca="1" si="59"/>
        <v>1</v>
      </c>
      <c r="AG92" s="68">
        <f t="shared" ca="1" si="55"/>
        <v>0</v>
      </c>
      <c r="AH92" s="101">
        <f t="shared" ca="1" si="56"/>
        <v>0</v>
      </c>
      <c r="AI92" s="101">
        <f t="shared" ca="1" si="57"/>
        <v>0</v>
      </c>
      <c r="AJ92" s="4" t="str">
        <f t="shared" si="58"/>
        <v/>
      </c>
      <c r="AK92" s="67" t="str">
        <f t="shared" si="60"/>
        <v/>
      </c>
    </row>
    <row r="93" spans="1:37" x14ac:dyDescent="0.2">
      <c r="A93" s="181" t="s">
        <v>295</v>
      </c>
      <c r="B93" s="106">
        <v>42988</v>
      </c>
      <c r="C93" s="106">
        <v>42989</v>
      </c>
      <c r="D93" s="29">
        <f t="shared" si="40"/>
        <v>1</v>
      </c>
      <c r="E93" s="104">
        <v>25</v>
      </c>
      <c r="F93" s="104"/>
      <c r="G93" s="104"/>
      <c r="H93" s="104"/>
      <c r="I93" s="68" t="str">
        <f t="shared" si="41"/>
        <v/>
      </c>
      <c r="J93" s="68">
        <f t="shared" si="42"/>
        <v>25</v>
      </c>
      <c r="K93" s="30">
        <f t="shared" si="43"/>
        <v>25</v>
      </c>
      <c r="L93" s="107" t="s">
        <v>27</v>
      </c>
      <c r="M93" s="44" t="str">
        <f ca="1">IF(Saisie[[#This Row],[Nom du groupe]]="","",VLOOKUP(Saisie[[#This Row],[Nom du groupe]],Données,5,FALSE))</f>
        <v>RAND</v>
      </c>
      <c r="N93" s="45">
        <f t="shared" ca="1" si="44"/>
        <v>72</v>
      </c>
      <c r="O93" s="4">
        <f t="shared" si="45"/>
        <v>24</v>
      </c>
      <c r="P93" s="68" t="str">
        <f t="shared" si="46"/>
        <v/>
      </c>
      <c r="S93" s="64" t="str">
        <f t="shared" si="47"/>
        <v/>
      </c>
      <c r="T93" s="64" t="str">
        <f t="shared" si="48"/>
        <v/>
      </c>
      <c r="U93" s="109"/>
      <c r="W93" s="64" t="str">
        <f t="shared" si="61"/>
        <v/>
      </c>
      <c r="X93" s="64" t="str">
        <f t="shared" si="62"/>
        <v/>
      </c>
      <c r="Y93" s="4">
        <f t="shared" si="49"/>
        <v>1</v>
      </c>
      <c r="Z93" s="67" t="str">
        <f t="shared" si="50"/>
        <v>0</v>
      </c>
      <c r="AA93" s="110"/>
      <c r="AB93" s="64" t="str">
        <f t="shared" si="51"/>
        <v/>
      </c>
      <c r="AC93" s="66">
        <f t="shared" si="52"/>
        <v>0</v>
      </c>
      <c r="AD93" s="69">
        <f t="shared" si="53"/>
        <v>0</v>
      </c>
      <c r="AE93" s="182" t="str">
        <f t="shared" si="54"/>
        <v>TEST 92</v>
      </c>
      <c r="AF93" s="230">
        <f t="shared" ca="1" si="59"/>
        <v>1</v>
      </c>
      <c r="AG93" s="68">
        <f t="shared" ca="1" si="55"/>
        <v>0</v>
      </c>
      <c r="AH93" s="101">
        <f t="shared" ca="1" si="56"/>
        <v>0</v>
      </c>
      <c r="AI93" s="101">
        <f t="shared" ca="1" si="57"/>
        <v>0</v>
      </c>
      <c r="AJ93" s="4" t="str">
        <f t="shared" si="58"/>
        <v/>
      </c>
      <c r="AK93" s="67" t="str">
        <f t="shared" si="60"/>
        <v/>
      </c>
    </row>
    <row r="94" spans="1:37" x14ac:dyDescent="0.2">
      <c r="A94" s="181" t="s">
        <v>296</v>
      </c>
      <c r="B94" s="106">
        <v>42989</v>
      </c>
      <c r="C94" s="106">
        <v>42991</v>
      </c>
      <c r="D94" s="29">
        <f t="shared" si="40"/>
        <v>2</v>
      </c>
      <c r="E94" s="104">
        <v>12</v>
      </c>
      <c r="F94" s="104"/>
      <c r="G94" s="104"/>
      <c r="H94" s="104"/>
      <c r="I94" s="68" t="str">
        <f t="shared" si="41"/>
        <v/>
      </c>
      <c r="J94" s="68">
        <f t="shared" si="42"/>
        <v>12</v>
      </c>
      <c r="K94" s="30">
        <f t="shared" si="43"/>
        <v>24</v>
      </c>
      <c r="L94" s="107" t="s">
        <v>27</v>
      </c>
      <c r="M94" s="44" t="str">
        <f ca="1">IF(Saisie[[#This Row],[Nom du groupe]]="","",VLOOKUP(Saisie[[#This Row],[Nom du groupe]],Données,5,FALSE))</f>
        <v>SCO U</v>
      </c>
      <c r="N94" s="45" t="str">
        <f t="shared" ca="1" si="44"/>
        <v>BEL</v>
      </c>
      <c r="O94" s="4">
        <f t="shared" si="45"/>
        <v>12</v>
      </c>
      <c r="P94" s="68" t="str">
        <f t="shared" si="46"/>
        <v/>
      </c>
      <c r="S94" s="64" t="str">
        <f t="shared" si="47"/>
        <v/>
      </c>
      <c r="T94" s="64" t="str">
        <f t="shared" si="48"/>
        <v/>
      </c>
      <c r="U94" s="109"/>
      <c r="W94" s="64" t="str">
        <f t="shared" si="61"/>
        <v/>
      </c>
      <c r="X94" s="64" t="str">
        <f t="shared" si="62"/>
        <v/>
      </c>
      <c r="Y94" s="4">
        <f t="shared" si="49"/>
        <v>0</v>
      </c>
      <c r="Z94" s="67" t="str">
        <f t="shared" si="50"/>
        <v>0</v>
      </c>
      <c r="AA94" s="110"/>
      <c r="AB94" s="64" t="str">
        <f t="shared" si="51"/>
        <v/>
      </c>
      <c r="AC94" s="66">
        <f t="shared" si="52"/>
        <v>0</v>
      </c>
      <c r="AD94" s="69">
        <f t="shared" si="53"/>
        <v>0</v>
      </c>
      <c r="AE94" s="182" t="str">
        <f t="shared" si="54"/>
        <v>TEST 93</v>
      </c>
      <c r="AF94" s="230">
        <f t="shared" ca="1" si="59"/>
        <v>2</v>
      </c>
      <c r="AG94" s="68">
        <f t="shared" ca="1" si="55"/>
        <v>0</v>
      </c>
      <c r="AH94" s="101">
        <f t="shared" ca="1" si="56"/>
        <v>0</v>
      </c>
      <c r="AI94" s="101">
        <f t="shared" ca="1" si="57"/>
        <v>0</v>
      </c>
      <c r="AJ94" s="4" t="str">
        <f t="shared" si="58"/>
        <v/>
      </c>
      <c r="AK94" s="67" t="str">
        <f t="shared" si="60"/>
        <v/>
      </c>
    </row>
    <row r="95" spans="1:37" x14ac:dyDescent="0.2">
      <c r="A95" s="181" t="s">
        <v>297</v>
      </c>
      <c r="B95" s="106">
        <v>42992</v>
      </c>
      <c r="C95" s="106">
        <v>42993</v>
      </c>
      <c r="D95" s="29">
        <f t="shared" si="40"/>
        <v>1</v>
      </c>
      <c r="E95" s="104">
        <v>31</v>
      </c>
      <c r="F95" s="104"/>
      <c r="G95" s="104"/>
      <c r="H95" s="104"/>
      <c r="I95" s="68" t="str">
        <f t="shared" si="41"/>
        <v/>
      </c>
      <c r="J95" s="68">
        <f t="shared" si="42"/>
        <v>31</v>
      </c>
      <c r="K95" s="30">
        <f t="shared" si="43"/>
        <v>31</v>
      </c>
      <c r="L95" s="107" t="s">
        <v>27</v>
      </c>
      <c r="M95" s="44" t="str">
        <f ca="1">IF(Saisie[[#This Row],[Nom du groupe]]="","",VLOOKUP(Saisie[[#This Row],[Nom du groupe]],Données,5,FALSE))</f>
        <v>RAND</v>
      </c>
      <c r="N95" s="45">
        <f t="shared" ca="1" si="44"/>
        <v>91</v>
      </c>
      <c r="O95" s="4">
        <f t="shared" si="45"/>
        <v>30</v>
      </c>
      <c r="P95" s="68" t="str">
        <f t="shared" si="46"/>
        <v/>
      </c>
      <c r="S95" s="64" t="str">
        <f t="shared" si="47"/>
        <v/>
      </c>
      <c r="T95" s="64" t="str">
        <f t="shared" si="48"/>
        <v/>
      </c>
      <c r="U95" s="109"/>
      <c r="W95" s="64" t="str">
        <f t="shared" si="61"/>
        <v/>
      </c>
      <c r="X95" s="64" t="str">
        <f t="shared" si="62"/>
        <v/>
      </c>
      <c r="Y95" s="4">
        <f t="shared" si="49"/>
        <v>1</v>
      </c>
      <c r="Z95" s="67" t="str">
        <f t="shared" si="50"/>
        <v>0</v>
      </c>
      <c r="AA95" s="110"/>
      <c r="AB95" s="64" t="str">
        <f t="shared" si="51"/>
        <v/>
      </c>
      <c r="AC95" s="66">
        <f t="shared" si="52"/>
        <v>0</v>
      </c>
      <c r="AD95" s="69">
        <f t="shared" si="53"/>
        <v>0</v>
      </c>
      <c r="AE95" s="182" t="str">
        <f t="shared" si="54"/>
        <v>TEST 94</v>
      </c>
      <c r="AF95" s="230">
        <f t="shared" ca="1" si="59"/>
        <v>1</v>
      </c>
      <c r="AG95" s="68">
        <f t="shared" ca="1" si="55"/>
        <v>0</v>
      </c>
      <c r="AH95" s="101">
        <f t="shared" ca="1" si="56"/>
        <v>0</v>
      </c>
      <c r="AI95" s="101">
        <f t="shared" ca="1" si="57"/>
        <v>0</v>
      </c>
      <c r="AJ95" s="4" t="str">
        <f t="shared" si="58"/>
        <v/>
      </c>
      <c r="AK95" s="67" t="str">
        <f t="shared" si="60"/>
        <v/>
      </c>
    </row>
    <row r="96" spans="1:37" x14ac:dyDescent="0.2">
      <c r="A96" s="181" t="s">
        <v>298</v>
      </c>
      <c r="B96" s="106">
        <v>42992</v>
      </c>
      <c r="C96" s="106">
        <v>42993</v>
      </c>
      <c r="D96" s="29">
        <f t="shared" si="40"/>
        <v>1</v>
      </c>
      <c r="E96" s="104">
        <v>15</v>
      </c>
      <c r="F96" s="104"/>
      <c r="G96" s="104"/>
      <c r="H96" s="104"/>
      <c r="I96" s="68" t="str">
        <f t="shared" si="41"/>
        <v/>
      </c>
      <c r="J96" s="68">
        <f t="shared" si="42"/>
        <v>15</v>
      </c>
      <c r="K96" s="30">
        <f t="shared" si="43"/>
        <v>15</v>
      </c>
      <c r="L96" s="107" t="s">
        <v>27</v>
      </c>
      <c r="M96" s="44" t="str">
        <f ca="1">IF(Saisie[[#This Row],[Nom du groupe]]="","",VLOOKUP(Saisie[[#This Row],[Nom du groupe]],Données,5,FALSE))</f>
        <v>SCO C</v>
      </c>
      <c r="N96" s="45" t="str">
        <f t="shared" ca="1" si="44"/>
        <v>GB</v>
      </c>
      <c r="O96" s="4">
        <f t="shared" si="45"/>
        <v>15</v>
      </c>
      <c r="P96" s="68" t="str">
        <f t="shared" si="46"/>
        <v/>
      </c>
      <c r="Q96" s="107" t="s">
        <v>72</v>
      </c>
      <c r="R96" s="107">
        <v>1</v>
      </c>
      <c r="S96" s="64">
        <f t="shared" si="47"/>
        <v>29</v>
      </c>
      <c r="T96" s="64">
        <f t="shared" si="48"/>
        <v>29</v>
      </c>
      <c r="U96" s="109"/>
      <c r="W96" s="64" t="str">
        <f t="shared" si="61"/>
        <v/>
      </c>
      <c r="X96" s="64" t="str">
        <f t="shared" si="62"/>
        <v/>
      </c>
      <c r="Y96" s="4">
        <f t="shared" si="49"/>
        <v>0</v>
      </c>
      <c r="Z96" s="67">
        <f t="shared" si="50"/>
        <v>0</v>
      </c>
      <c r="AA96" s="110">
        <v>15</v>
      </c>
      <c r="AB96" s="64">
        <f t="shared" si="51"/>
        <v>7.5</v>
      </c>
      <c r="AC96" s="66">
        <f t="shared" si="52"/>
        <v>435</v>
      </c>
      <c r="AD96" s="69">
        <f t="shared" si="53"/>
        <v>0</v>
      </c>
      <c r="AE96" s="182" t="str">
        <f t="shared" si="54"/>
        <v>TEST 95</v>
      </c>
      <c r="AF96" s="230">
        <f t="shared" ca="1" si="59"/>
        <v>1</v>
      </c>
      <c r="AG96" s="68">
        <f t="shared" ca="1" si="55"/>
        <v>0</v>
      </c>
      <c r="AH96" s="101">
        <f t="shared" ca="1" si="56"/>
        <v>435</v>
      </c>
      <c r="AI96" s="101">
        <f t="shared" ca="1" si="57"/>
        <v>0</v>
      </c>
      <c r="AJ96" s="4" t="str">
        <f t="shared" si="58"/>
        <v/>
      </c>
      <c r="AK96" s="67" t="str">
        <f t="shared" si="60"/>
        <v/>
      </c>
    </row>
    <row r="97" spans="1:37" x14ac:dyDescent="0.2">
      <c r="A97" s="181" t="s">
        <v>491</v>
      </c>
      <c r="B97" s="106">
        <v>42993</v>
      </c>
      <c r="C97" s="106">
        <v>42995</v>
      </c>
      <c r="D97" s="29">
        <f t="shared" si="40"/>
        <v>2</v>
      </c>
      <c r="E97" s="104">
        <v>25</v>
      </c>
      <c r="F97" s="104"/>
      <c r="G97" s="104"/>
      <c r="H97" s="104"/>
      <c r="I97" s="68" t="str">
        <f t="shared" si="41"/>
        <v/>
      </c>
      <c r="J97" s="68">
        <f t="shared" si="42"/>
        <v>25</v>
      </c>
      <c r="K97" s="30">
        <f t="shared" si="43"/>
        <v>50</v>
      </c>
      <c r="L97" s="107" t="s">
        <v>27</v>
      </c>
      <c r="M97" s="44" t="e">
        <f ca="1">IF(Saisie[[#This Row],[Nom du groupe]]="","",VLOOKUP(Saisie[[#This Row],[Nom du groupe]],Données,5,FALSE))</f>
        <v>#N/A</v>
      </c>
      <c r="N97" s="45" t="e">
        <f t="shared" ca="1" si="44"/>
        <v>#N/A</v>
      </c>
      <c r="O97" s="4">
        <f t="shared" si="45"/>
        <v>24</v>
      </c>
      <c r="P97" s="68" t="str">
        <f t="shared" si="46"/>
        <v/>
      </c>
      <c r="S97" s="64" t="str">
        <f t="shared" si="47"/>
        <v/>
      </c>
      <c r="T97" s="64" t="str">
        <f t="shared" si="48"/>
        <v/>
      </c>
      <c r="U97" s="109"/>
      <c r="W97" s="64" t="str">
        <f t="shared" si="61"/>
        <v/>
      </c>
      <c r="X97" s="64" t="str">
        <f t="shared" si="62"/>
        <v/>
      </c>
      <c r="Y97" s="4">
        <f t="shared" si="49"/>
        <v>1</v>
      </c>
      <c r="Z97" s="67" t="str">
        <f t="shared" si="50"/>
        <v>0</v>
      </c>
      <c r="AA97" s="110"/>
      <c r="AB97" s="64" t="str">
        <f t="shared" si="51"/>
        <v/>
      </c>
      <c r="AC97" s="66">
        <f t="shared" si="52"/>
        <v>0</v>
      </c>
      <c r="AD97" s="69">
        <f t="shared" si="53"/>
        <v>0</v>
      </c>
      <c r="AE97" s="182" t="str">
        <f t="shared" si="54"/>
        <v>TEST 96</v>
      </c>
      <c r="AF97" s="230">
        <f t="shared" ca="1" si="59"/>
        <v>2</v>
      </c>
      <c r="AG97" s="68">
        <f t="shared" ca="1" si="55"/>
        <v>0</v>
      </c>
      <c r="AH97" s="101">
        <f t="shared" ca="1" si="56"/>
        <v>0</v>
      </c>
      <c r="AI97" s="101">
        <f t="shared" ca="1" si="57"/>
        <v>0</v>
      </c>
      <c r="AJ97" s="4" t="str">
        <f t="shared" si="58"/>
        <v/>
      </c>
      <c r="AK97" s="67" t="str">
        <f t="shared" si="60"/>
        <v/>
      </c>
    </row>
    <row r="98" spans="1:37" x14ac:dyDescent="0.2">
      <c r="A98" s="181" t="s">
        <v>492</v>
      </c>
      <c r="B98" s="106">
        <v>42996</v>
      </c>
      <c r="C98" s="106">
        <v>43000</v>
      </c>
      <c r="D98" s="29">
        <f t="shared" ref="D98:D129" si="63">IF($B98="","",IF($C98="","",DATEDIF($B98,$C98,"D")))</f>
        <v>4</v>
      </c>
      <c r="E98" s="104">
        <v>10</v>
      </c>
      <c r="F98" s="104"/>
      <c r="G98" s="104"/>
      <c r="H98" s="104"/>
      <c r="I98" s="68" t="str">
        <f t="shared" ref="I98:I129" si="64">IF($G98&amp;$H98="","",IF($E98="","",IF($G98="","0",SUMPRODUCT($G98,$D98))+IF($F98="","0",IF($H98="","0",SUMPRODUCT($H98,$D98)))))</f>
        <v/>
      </c>
      <c r="J98" s="68">
        <f t="shared" ref="J98:J129" si="65">IF($E98&amp;$F98="0","",SUM($E98:$F98))</f>
        <v>10</v>
      </c>
      <c r="K98" s="30">
        <f t="shared" ref="K98:K129" si="66">IF($D98="","",IF($J98="","",$D98*$J98))</f>
        <v>40</v>
      </c>
      <c r="L98" s="107" t="s">
        <v>27</v>
      </c>
      <c r="M98" s="44" t="e">
        <f ca="1">IF(Saisie[[#This Row],[Nom du groupe]]="","",VLOOKUP(Saisie[[#This Row],[Nom du groupe]],Données,5,FALSE))</f>
        <v>#N/A</v>
      </c>
      <c r="N98" s="45" t="e">
        <f t="shared" ref="N98:N129" ca="1" si="67">IF($A98="","",VLOOKUP($A98,Données,6,FALSE))</f>
        <v>#N/A</v>
      </c>
      <c r="O98" s="4">
        <f t="shared" ref="O98:O129" si="68">IF($E98="","",IF($J98&gt;=60,$E98-3,IF($J98&gt;=42,$E98-2,IF($J98&gt;=21,$E98-1,$E98))))</f>
        <v>10</v>
      </c>
      <c r="P98" s="68" t="str">
        <f t="shared" ref="P98:P129" si="69">IF($F98="","",$F98)</f>
        <v/>
      </c>
      <c r="S98" s="64" t="str">
        <f t="shared" ref="S98:S129" si="70">IF($Q98="","",VLOOKUP($Q98,Tarifs,2,FALSE))</f>
        <v/>
      </c>
      <c r="T98" s="64" t="str">
        <f t="shared" ref="T98:T129" si="71">IF($Q98="","",VLOOKUP($Q98,Tarifs,3,FALSE))</f>
        <v/>
      </c>
      <c r="U98" s="109"/>
      <c r="W98" s="64" t="str">
        <f t="shared" si="61"/>
        <v/>
      </c>
      <c r="X98" s="64" t="str">
        <f t="shared" si="62"/>
        <v/>
      </c>
      <c r="Y98" s="4">
        <f t="shared" ref="Y98:Y129" si="72">IF($L98="Annulé",0,(IF($E98="","",SUM($E98-$O98))))</f>
        <v>0</v>
      </c>
      <c r="Z98" s="67" t="str">
        <f t="shared" ref="Z98:Z129" si="73">IF($Y98="","",IF($Q98="","0",IF($R98="","0",SUMPRODUCT($Y98,$R98,$S98)+IF($U98="","0",IF($V98="","0",SUMPRODUCT($Y98,$V98,$W98))))))</f>
        <v>0</v>
      </c>
      <c r="AA98" s="110"/>
      <c r="AB98" s="64" t="str">
        <f t="shared" ref="AB98:AB129" si="74">IF($D98="","",IF($AA98="","",SUMPRODUCT($AA98,$D98,Taxe)))</f>
        <v/>
      </c>
      <c r="AC98" s="66">
        <f t="shared" ref="AC98:AC129" si="75">IF(L98="Annulé",0,(IF($A98="","",(IF($Q98="","0",IF($R98="","0",SUMPRODUCT($O98,$R98,$S98)+IF($P98="","0",SUMPRODUCT($P98,$R98,$T98))))+IF($U98="","0",IF($V98="","0",SUMPRODUCT($O98,$V98,$W98)+IF($P98="","0",SUMPRODUCT($P98,$V98,$X98))))))))</f>
        <v>0</v>
      </c>
      <c r="AD98" s="69">
        <f t="shared" si="53"/>
        <v>0</v>
      </c>
      <c r="AE98" s="182" t="str">
        <f t="shared" ref="AE98:AE129" si="76">IF($A98="","",$A98)</f>
        <v>TEST 97</v>
      </c>
      <c r="AF98" s="230">
        <f t="shared" ca="1" si="59"/>
        <v>4</v>
      </c>
      <c r="AG98" s="68">
        <f t="shared" ref="AG98:AG129" ca="1" si="77">IF($D98="","",IF($AF98="","",+$D98-$AF98))</f>
        <v>0</v>
      </c>
      <c r="AH98" s="101">
        <f t="shared" ca="1" si="56"/>
        <v>0</v>
      </c>
      <c r="AI98" s="101">
        <f t="shared" ca="1" si="57"/>
        <v>0</v>
      </c>
      <c r="AJ98" s="4" t="str">
        <f t="shared" si="58"/>
        <v/>
      </c>
      <c r="AK98" s="67" t="str">
        <f t="shared" si="60"/>
        <v/>
      </c>
    </row>
    <row r="99" spans="1:37" x14ac:dyDescent="0.2">
      <c r="A99" s="181" t="s">
        <v>493</v>
      </c>
      <c r="B99" s="106">
        <v>43000</v>
      </c>
      <c r="C99" s="106">
        <v>43002</v>
      </c>
      <c r="D99" s="29">
        <f t="shared" si="63"/>
        <v>2</v>
      </c>
      <c r="E99" s="104">
        <v>19</v>
      </c>
      <c r="F99" s="104"/>
      <c r="G99" s="104">
        <v>1</v>
      </c>
      <c r="H99" s="104"/>
      <c r="I99" s="68">
        <f t="shared" si="64"/>
        <v>2</v>
      </c>
      <c r="J99" s="68">
        <f t="shared" si="65"/>
        <v>19</v>
      </c>
      <c r="K99" s="30">
        <f t="shared" si="66"/>
        <v>38</v>
      </c>
      <c r="L99" s="107" t="s">
        <v>27</v>
      </c>
      <c r="M99" s="44" t="e">
        <f ca="1">IF(Saisie[[#This Row],[Nom du groupe]]="","",VLOOKUP(Saisie[[#This Row],[Nom du groupe]],Données,5,FALSE))</f>
        <v>#N/A</v>
      </c>
      <c r="N99" s="45" t="e">
        <f t="shared" ca="1" si="67"/>
        <v>#N/A</v>
      </c>
      <c r="O99" s="4">
        <f t="shared" si="68"/>
        <v>19</v>
      </c>
      <c r="P99" s="68" t="str">
        <f t="shared" si="69"/>
        <v/>
      </c>
      <c r="S99" s="64" t="str">
        <f t="shared" si="70"/>
        <v/>
      </c>
      <c r="T99" s="64" t="str">
        <f t="shared" si="71"/>
        <v/>
      </c>
      <c r="U99" s="109"/>
      <c r="W99" s="64" t="str">
        <f t="shared" si="61"/>
        <v/>
      </c>
      <c r="X99" s="64" t="str">
        <f t="shared" si="62"/>
        <v/>
      </c>
      <c r="Y99" s="4">
        <f t="shared" si="72"/>
        <v>0</v>
      </c>
      <c r="Z99" s="67" t="str">
        <f t="shared" si="73"/>
        <v>0</v>
      </c>
      <c r="AA99" s="110"/>
      <c r="AB99" s="64" t="str">
        <f t="shared" si="74"/>
        <v/>
      </c>
      <c r="AC99" s="66">
        <f t="shared" si="75"/>
        <v>0</v>
      </c>
      <c r="AD99" s="69">
        <f t="shared" si="53"/>
        <v>0</v>
      </c>
      <c r="AE99" s="182" t="str">
        <f t="shared" si="76"/>
        <v>TEST 98</v>
      </c>
      <c r="AF99" s="230">
        <f t="shared" ca="1" si="59"/>
        <v>2</v>
      </c>
      <c r="AG99" s="68">
        <f t="shared" ca="1" si="77"/>
        <v>0</v>
      </c>
      <c r="AH99" s="101">
        <f t="shared" ca="1" si="56"/>
        <v>0</v>
      </c>
      <c r="AI99" s="101">
        <f t="shared" ca="1" si="57"/>
        <v>0</v>
      </c>
      <c r="AJ99" s="4" t="str">
        <f t="shared" si="58"/>
        <v/>
      </c>
      <c r="AK99" s="67" t="str">
        <f t="shared" si="60"/>
        <v/>
      </c>
    </row>
    <row r="100" spans="1:37" x14ac:dyDescent="0.2">
      <c r="A100" s="181" t="s">
        <v>494</v>
      </c>
      <c r="B100" s="106">
        <v>43001</v>
      </c>
      <c r="C100" s="106">
        <v>43002</v>
      </c>
      <c r="D100" s="29">
        <f t="shared" si="63"/>
        <v>1</v>
      </c>
      <c r="E100" s="104">
        <v>30</v>
      </c>
      <c r="F100" s="104"/>
      <c r="G100" s="104">
        <v>1</v>
      </c>
      <c r="H100" s="104"/>
      <c r="I100" s="68">
        <f t="shared" si="64"/>
        <v>1</v>
      </c>
      <c r="J100" s="68">
        <f t="shared" si="65"/>
        <v>30</v>
      </c>
      <c r="K100" s="30">
        <f t="shared" si="66"/>
        <v>30</v>
      </c>
      <c r="L100" s="107" t="s">
        <v>27</v>
      </c>
      <c r="M100" s="44" t="e">
        <f ca="1">IF(Saisie[[#This Row],[Nom du groupe]]="","",VLOOKUP(Saisie[[#This Row],[Nom du groupe]],Données,5,FALSE))</f>
        <v>#N/A</v>
      </c>
      <c r="N100" s="45" t="e">
        <f t="shared" ca="1" si="67"/>
        <v>#N/A</v>
      </c>
      <c r="O100" s="4">
        <f t="shared" si="68"/>
        <v>29</v>
      </c>
      <c r="P100" s="68" t="str">
        <f t="shared" si="69"/>
        <v/>
      </c>
      <c r="S100" s="64" t="str">
        <f t="shared" si="70"/>
        <v/>
      </c>
      <c r="T100" s="64" t="str">
        <f t="shared" si="71"/>
        <v/>
      </c>
      <c r="U100" s="109"/>
      <c r="W100" s="64" t="str">
        <f t="shared" si="61"/>
        <v/>
      </c>
      <c r="X100" s="64" t="str">
        <f t="shared" si="62"/>
        <v/>
      </c>
      <c r="Y100" s="4">
        <f t="shared" si="72"/>
        <v>1</v>
      </c>
      <c r="Z100" s="67" t="str">
        <f t="shared" si="73"/>
        <v>0</v>
      </c>
      <c r="AA100" s="110"/>
      <c r="AB100" s="64" t="str">
        <f t="shared" si="74"/>
        <v/>
      </c>
      <c r="AC100" s="66">
        <f t="shared" si="75"/>
        <v>0</v>
      </c>
      <c r="AD100" s="69">
        <f t="shared" si="53"/>
        <v>0</v>
      </c>
      <c r="AE100" s="182" t="str">
        <f t="shared" si="76"/>
        <v>TEST 99</v>
      </c>
      <c r="AF100" s="230">
        <f t="shared" ca="1" si="59"/>
        <v>1</v>
      </c>
      <c r="AG100" s="68">
        <f t="shared" ca="1" si="77"/>
        <v>0</v>
      </c>
      <c r="AH100" s="101">
        <f t="shared" ca="1" si="56"/>
        <v>0</v>
      </c>
      <c r="AI100" s="101">
        <f t="shared" ca="1" si="57"/>
        <v>0</v>
      </c>
      <c r="AJ100" s="4" t="str">
        <f t="shared" si="58"/>
        <v/>
      </c>
      <c r="AK100" s="67" t="str">
        <f t="shared" si="60"/>
        <v/>
      </c>
    </row>
    <row r="101" spans="1:37" x14ac:dyDescent="0.2">
      <c r="A101" s="181" t="s">
        <v>495</v>
      </c>
      <c r="B101" s="106">
        <v>43003</v>
      </c>
      <c r="C101" s="106">
        <v>43005</v>
      </c>
      <c r="D101" s="29">
        <f t="shared" si="63"/>
        <v>2</v>
      </c>
      <c r="I101" s="68" t="str">
        <f t="shared" si="64"/>
        <v/>
      </c>
      <c r="J101" s="68">
        <f t="shared" si="65"/>
        <v>0</v>
      </c>
      <c r="K101" s="30">
        <f t="shared" si="66"/>
        <v>0</v>
      </c>
      <c r="L101" s="107" t="s">
        <v>51</v>
      </c>
      <c r="M101" s="44" t="e">
        <f ca="1">IF(Saisie[[#This Row],[Nom du groupe]]="","",VLOOKUP(Saisie[[#This Row],[Nom du groupe]],Données,5,FALSE))</f>
        <v>#N/A</v>
      </c>
      <c r="N101" s="45" t="e">
        <f t="shared" ca="1" si="67"/>
        <v>#N/A</v>
      </c>
      <c r="O101" s="4" t="str">
        <f t="shared" si="68"/>
        <v/>
      </c>
      <c r="P101" s="68" t="str">
        <f t="shared" si="69"/>
        <v/>
      </c>
      <c r="S101" s="64" t="str">
        <f t="shared" si="70"/>
        <v/>
      </c>
      <c r="T101" s="64" t="str">
        <f t="shared" si="71"/>
        <v/>
      </c>
      <c r="U101" s="109"/>
      <c r="W101" s="64" t="str">
        <f t="shared" si="61"/>
        <v/>
      </c>
      <c r="X101" s="64" t="str">
        <f t="shared" si="62"/>
        <v/>
      </c>
      <c r="Y101" s="4" t="str">
        <f t="shared" si="72"/>
        <v/>
      </c>
      <c r="Z101" s="67" t="str">
        <f t="shared" si="73"/>
        <v/>
      </c>
      <c r="AA101" s="110"/>
      <c r="AB101" s="64" t="str">
        <f t="shared" si="74"/>
        <v/>
      </c>
      <c r="AC101" s="66">
        <f t="shared" si="75"/>
        <v>0</v>
      </c>
      <c r="AD101" s="69">
        <f t="shared" si="53"/>
        <v>0</v>
      </c>
      <c r="AE101" s="182" t="str">
        <f t="shared" si="76"/>
        <v>TEST 100</v>
      </c>
      <c r="AF101" s="230">
        <f t="shared" ca="1" si="59"/>
        <v>2</v>
      </c>
      <c r="AG101" s="68">
        <f t="shared" ca="1" si="77"/>
        <v>0</v>
      </c>
      <c r="AH101" s="101">
        <f t="shared" ca="1" si="56"/>
        <v>0</v>
      </c>
      <c r="AI101" s="101">
        <f t="shared" ca="1" si="57"/>
        <v>0</v>
      </c>
      <c r="AJ101" s="4" t="str">
        <f t="shared" si="58"/>
        <v/>
      </c>
      <c r="AK101" s="67" t="str">
        <f t="shared" si="60"/>
        <v/>
      </c>
    </row>
    <row r="102" spans="1:37" x14ac:dyDescent="0.2">
      <c r="A102" s="181" t="s">
        <v>496</v>
      </c>
      <c r="B102" s="106">
        <v>43004</v>
      </c>
      <c r="C102" s="106">
        <v>43005</v>
      </c>
      <c r="D102" s="29">
        <f t="shared" si="63"/>
        <v>1</v>
      </c>
      <c r="E102" s="104">
        <v>18</v>
      </c>
      <c r="F102" s="104"/>
      <c r="G102" s="104"/>
      <c r="H102" s="104"/>
      <c r="I102" s="68" t="str">
        <f t="shared" si="64"/>
        <v/>
      </c>
      <c r="J102" s="68">
        <f t="shared" si="65"/>
        <v>18</v>
      </c>
      <c r="K102" s="30">
        <f t="shared" si="66"/>
        <v>18</v>
      </c>
      <c r="L102" s="107" t="s">
        <v>27</v>
      </c>
      <c r="M102" s="44" t="e">
        <f ca="1">IF(Saisie[[#This Row],[Nom du groupe]]="","",VLOOKUP(Saisie[[#This Row],[Nom du groupe]],Données,5,FALSE))</f>
        <v>#N/A</v>
      </c>
      <c r="N102" s="45" t="e">
        <f t="shared" ca="1" si="67"/>
        <v>#N/A</v>
      </c>
      <c r="O102" s="4">
        <f t="shared" si="68"/>
        <v>18</v>
      </c>
      <c r="P102" s="68" t="str">
        <f t="shared" si="69"/>
        <v/>
      </c>
      <c r="S102" s="64" t="str">
        <f t="shared" si="70"/>
        <v/>
      </c>
      <c r="T102" s="64" t="str">
        <f t="shared" si="71"/>
        <v/>
      </c>
      <c r="U102" s="109"/>
      <c r="W102" s="64" t="str">
        <f t="shared" ref="W102:W133" si="78">IF($U102="","",VLOOKUP($U102,Tarifs,2,FALSE))</f>
        <v/>
      </c>
      <c r="X102" s="64" t="str">
        <f t="shared" ref="X102:X133" si="79">IF($U102="","",VLOOKUP($U102,Tarifs,3,FALSE))</f>
        <v/>
      </c>
      <c r="Y102" s="4">
        <f t="shared" si="72"/>
        <v>0</v>
      </c>
      <c r="Z102" s="67" t="str">
        <f t="shared" si="73"/>
        <v>0</v>
      </c>
      <c r="AA102" s="110"/>
      <c r="AB102" s="64" t="str">
        <f t="shared" si="74"/>
        <v/>
      </c>
      <c r="AC102" s="66">
        <f t="shared" si="75"/>
        <v>0</v>
      </c>
      <c r="AD102" s="69">
        <f t="shared" si="53"/>
        <v>0</v>
      </c>
      <c r="AE102" s="182" t="str">
        <f t="shared" si="76"/>
        <v>TEST 101</v>
      </c>
      <c r="AF102" s="230">
        <f t="shared" ca="1" si="59"/>
        <v>1</v>
      </c>
      <c r="AG102" s="68">
        <f t="shared" ca="1" si="77"/>
        <v>0</v>
      </c>
      <c r="AH102" s="101">
        <f t="shared" ca="1" si="56"/>
        <v>0</v>
      </c>
      <c r="AI102" s="101">
        <f t="shared" ca="1" si="57"/>
        <v>0</v>
      </c>
      <c r="AJ102" s="4" t="str">
        <f t="shared" si="58"/>
        <v/>
      </c>
      <c r="AK102" s="67" t="str">
        <f t="shared" si="60"/>
        <v/>
      </c>
    </row>
    <row r="103" spans="1:37" x14ac:dyDescent="0.2">
      <c r="A103" s="181" t="s">
        <v>497</v>
      </c>
      <c r="B103" s="106">
        <v>43008</v>
      </c>
      <c r="C103" s="106">
        <v>43014</v>
      </c>
      <c r="D103" s="29">
        <f t="shared" si="63"/>
        <v>6</v>
      </c>
      <c r="E103" s="104">
        <v>30</v>
      </c>
      <c r="F103" s="104"/>
      <c r="G103" s="104"/>
      <c r="H103" s="104"/>
      <c r="I103" s="68" t="str">
        <f t="shared" si="64"/>
        <v/>
      </c>
      <c r="J103" s="68">
        <f t="shared" si="65"/>
        <v>30</v>
      </c>
      <c r="K103" s="30">
        <f t="shared" si="66"/>
        <v>180</v>
      </c>
      <c r="L103" s="107" t="s">
        <v>27</v>
      </c>
      <c r="M103" s="44" t="e">
        <f ca="1">IF(Saisie[[#This Row],[Nom du groupe]]="","",VLOOKUP(Saisie[[#This Row],[Nom du groupe]],Données,5,FALSE))</f>
        <v>#N/A</v>
      </c>
      <c r="N103" s="45" t="e">
        <f t="shared" ca="1" si="67"/>
        <v>#N/A</v>
      </c>
      <c r="O103" s="4">
        <f t="shared" si="68"/>
        <v>29</v>
      </c>
      <c r="P103" s="68" t="str">
        <f t="shared" si="69"/>
        <v/>
      </c>
      <c r="S103" s="64" t="str">
        <f t="shared" si="70"/>
        <v/>
      </c>
      <c r="T103" s="64" t="str">
        <f t="shared" si="71"/>
        <v/>
      </c>
      <c r="U103" s="109"/>
      <c r="W103" s="64" t="str">
        <f t="shared" si="78"/>
        <v/>
      </c>
      <c r="X103" s="64" t="str">
        <f t="shared" si="79"/>
        <v/>
      </c>
      <c r="Y103" s="4">
        <f t="shared" si="72"/>
        <v>1</v>
      </c>
      <c r="Z103" s="67" t="str">
        <f t="shared" si="73"/>
        <v>0</v>
      </c>
      <c r="AA103" s="110"/>
      <c r="AB103" s="64" t="str">
        <f t="shared" si="74"/>
        <v/>
      </c>
      <c r="AC103" s="66">
        <f t="shared" si="75"/>
        <v>0</v>
      </c>
      <c r="AD103" s="69">
        <f t="shared" si="53"/>
        <v>0</v>
      </c>
      <c r="AE103" s="182" t="str">
        <f t="shared" si="76"/>
        <v>TEST 102</v>
      </c>
      <c r="AF103" s="230">
        <f t="shared" ca="1" si="59"/>
        <v>1</v>
      </c>
      <c r="AG103" s="68">
        <f t="shared" ca="1" si="77"/>
        <v>5</v>
      </c>
      <c r="AH103" s="101">
        <f t="shared" ca="1" si="56"/>
        <v>0</v>
      </c>
      <c r="AI103" s="101">
        <f t="shared" ca="1" si="57"/>
        <v>0</v>
      </c>
      <c r="AJ103" s="4" t="str">
        <f t="shared" si="58"/>
        <v/>
      </c>
      <c r="AK103" s="67" t="str">
        <f t="shared" si="60"/>
        <v/>
      </c>
    </row>
    <row r="104" spans="1:37" x14ac:dyDescent="0.2">
      <c r="A104" s="181" t="s">
        <v>498</v>
      </c>
      <c r="B104" s="106">
        <v>43015</v>
      </c>
      <c r="C104" s="106">
        <v>43016</v>
      </c>
      <c r="D104" s="29">
        <f t="shared" si="63"/>
        <v>1</v>
      </c>
      <c r="E104" s="104">
        <v>38</v>
      </c>
      <c r="F104" s="104"/>
      <c r="G104" s="104"/>
      <c r="H104" s="104"/>
      <c r="I104" s="68" t="str">
        <f t="shared" si="64"/>
        <v/>
      </c>
      <c r="J104" s="68">
        <f t="shared" si="65"/>
        <v>38</v>
      </c>
      <c r="K104" s="30">
        <f t="shared" si="66"/>
        <v>38</v>
      </c>
      <c r="L104" s="107" t="s">
        <v>27</v>
      </c>
      <c r="M104" s="44" t="e">
        <f ca="1">IF(Saisie[[#This Row],[Nom du groupe]]="","",VLOOKUP(Saisie[[#This Row],[Nom du groupe]],Données,5,FALSE))</f>
        <v>#N/A</v>
      </c>
      <c r="N104" s="45" t="e">
        <f t="shared" ca="1" si="67"/>
        <v>#N/A</v>
      </c>
      <c r="O104" s="4">
        <f t="shared" si="68"/>
        <v>37</v>
      </c>
      <c r="P104" s="68" t="str">
        <f t="shared" si="69"/>
        <v/>
      </c>
      <c r="S104" s="64" t="str">
        <f t="shared" si="70"/>
        <v/>
      </c>
      <c r="T104" s="64" t="str">
        <f t="shared" si="71"/>
        <v/>
      </c>
      <c r="U104" s="109"/>
      <c r="W104" s="64" t="str">
        <f t="shared" si="78"/>
        <v/>
      </c>
      <c r="X104" s="64" t="str">
        <f t="shared" si="79"/>
        <v/>
      </c>
      <c r="Y104" s="4">
        <f t="shared" si="72"/>
        <v>1</v>
      </c>
      <c r="Z104" s="67" t="str">
        <f t="shared" si="73"/>
        <v>0</v>
      </c>
      <c r="AA104" s="110"/>
      <c r="AB104" s="64" t="str">
        <f t="shared" si="74"/>
        <v/>
      </c>
      <c r="AC104" s="66">
        <f t="shared" si="75"/>
        <v>0</v>
      </c>
      <c r="AD104" s="69">
        <f t="shared" si="53"/>
        <v>0</v>
      </c>
      <c r="AE104" s="182" t="str">
        <f t="shared" si="76"/>
        <v>TEST 103</v>
      </c>
      <c r="AF104" s="230">
        <f t="shared" ca="1" si="59"/>
        <v>1</v>
      </c>
      <c r="AG104" s="68">
        <f t="shared" ca="1" si="77"/>
        <v>0</v>
      </c>
      <c r="AH104" s="101">
        <f t="shared" ca="1" si="56"/>
        <v>0</v>
      </c>
      <c r="AI104" s="101">
        <f t="shared" ca="1" si="57"/>
        <v>0</v>
      </c>
      <c r="AJ104" s="4" t="str">
        <f t="shared" si="58"/>
        <v/>
      </c>
      <c r="AK104" s="67" t="str">
        <f t="shared" si="60"/>
        <v/>
      </c>
    </row>
    <row r="105" spans="1:37" x14ac:dyDescent="0.2">
      <c r="A105" s="181" t="s">
        <v>499</v>
      </c>
      <c r="B105" s="106">
        <v>43017</v>
      </c>
      <c r="C105" s="106">
        <v>43018</v>
      </c>
      <c r="D105" s="29">
        <f t="shared" si="63"/>
        <v>1</v>
      </c>
      <c r="E105" s="104">
        <v>43</v>
      </c>
      <c r="F105" s="104">
        <v>4</v>
      </c>
      <c r="G105" s="104"/>
      <c r="H105" s="104"/>
      <c r="I105" s="68" t="str">
        <f t="shared" si="64"/>
        <v/>
      </c>
      <c r="J105" s="68">
        <f t="shared" si="65"/>
        <v>47</v>
      </c>
      <c r="K105" s="30">
        <f t="shared" si="66"/>
        <v>47</v>
      </c>
      <c r="L105" s="107" t="s">
        <v>27</v>
      </c>
      <c r="M105" s="44" t="e">
        <f ca="1">IF(Saisie[[#This Row],[Nom du groupe]]="","",VLOOKUP(Saisie[[#This Row],[Nom du groupe]],Données,5,FALSE))</f>
        <v>#N/A</v>
      </c>
      <c r="N105" s="45" t="e">
        <f t="shared" ca="1" si="67"/>
        <v>#N/A</v>
      </c>
      <c r="O105" s="4">
        <f t="shared" si="68"/>
        <v>41</v>
      </c>
      <c r="P105" s="68">
        <f t="shared" si="69"/>
        <v>4</v>
      </c>
      <c r="S105" s="64" t="str">
        <f t="shared" si="70"/>
        <v/>
      </c>
      <c r="T105" s="64" t="str">
        <f t="shared" si="71"/>
        <v/>
      </c>
      <c r="U105" s="109"/>
      <c r="W105" s="64" t="str">
        <f t="shared" si="78"/>
        <v/>
      </c>
      <c r="X105" s="64" t="str">
        <f t="shared" si="79"/>
        <v/>
      </c>
      <c r="Y105" s="4">
        <f t="shared" si="72"/>
        <v>2</v>
      </c>
      <c r="Z105" s="67" t="str">
        <f t="shared" si="73"/>
        <v>0</v>
      </c>
      <c r="AA105" s="110"/>
      <c r="AB105" s="64" t="str">
        <f t="shared" si="74"/>
        <v/>
      </c>
      <c r="AC105" s="66">
        <f t="shared" si="75"/>
        <v>0</v>
      </c>
      <c r="AD105" s="69">
        <f t="shared" si="53"/>
        <v>0</v>
      </c>
      <c r="AE105" s="182" t="str">
        <f t="shared" si="76"/>
        <v>TEST 104</v>
      </c>
      <c r="AF105" s="230">
        <f t="shared" ca="1" si="59"/>
        <v>1</v>
      </c>
      <c r="AG105" s="68">
        <f t="shared" ca="1" si="77"/>
        <v>0</v>
      </c>
      <c r="AH105" s="101">
        <f t="shared" ca="1" si="56"/>
        <v>0</v>
      </c>
      <c r="AI105" s="101">
        <f t="shared" ca="1" si="57"/>
        <v>0</v>
      </c>
      <c r="AJ105" s="4" t="str">
        <f t="shared" si="58"/>
        <v/>
      </c>
      <c r="AK105" s="67" t="str">
        <f t="shared" si="60"/>
        <v/>
      </c>
    </row>
    <row r="106" spans="1:37" x14ac:dyDescent="0.2">
      <c r="A106" s="181" t="s">
        <v>500</v>
      </c>
      <c r="B106" s="106">
        <v>43022</v>
      </c>
      <c r="C106" s="106">
        <v>43023</v>
      </c>
      <c r="D106" s="29">
        <f t="shared" si="63"/>
        <v>1</v>
      </c>
      <c r="E106" s="104">
        <v>21</v>
      </c>
      <c r="F106" s="104"/>
      <c r="G106" s="104"/>
      <c r="H106" s="104"/>
      <c r="I106" s="68" t="str">
        <f t="shared" si="64"/>
        <v/>
      </c>
      <c r="J106" s="68">
        <f t="shared" si="65"/>
        <v>21</v>
      </c>
      <c r="K106" s="30">
        <f t="shared" si="66"/>
        <v>21</v>
      </c>
      <c r="L106" s="107" t="s">
        <v>27</v>
      </c>
      <c r="M106" s="44" t="e">
        <f ca="1">IF(Saisie[[#This Row],[Nom du groupe]]="","",VLOOKUP(Saisie[[#This Row],[Nom du groupe]],Données,5,FALSE))</f>
        <v>#N/A</v>
      </c>
      <c r="N106" s="45" t="e">
        <f t="shared" ca="1" si="67"/>
        <v>#N/A</v>
      </c>
      <c r="O106" s="4">
        <f t="shared" si="68"/>
        <v>20</v>
      </c>
      <c r="P106" s="68" t="str">
        <f t="shared" si="69"/>
        <v/>
      </c>
      <c r="S106" s="64" t="str">
        <f t="shared" si="70"/>
        <v/>
      </c>
      <c r="T106" s="64" t="str">
        <f t="shared" si="71"/>
        <v/>
      </c>
      <c r="U106" s="109"/>
      <c r="W106" s="64" t="str">
        <f t="shared" si="78"/>
        <v/>
      </c>
      <c r="X106" s="64" t="str">
        <f t="shared" si="79"/>
        <v/>
      </c>
      <c r="Y106" s="4">
        <f t="shared" si="72"/>
        <v>1</v>
      </c>
      <c r="Z106" s="67" t="str">
        <f t="shared" si="73"/>
        <v>0</v>
      </c>
      <c r="AA106" s="110"/>
      <c r="AB106" s="64" t="str">
        <f t="shared" si="74"/>
        <v/>
      </c>
      <c r="AC106" s="66">
        <f t="shared" si="75"/>
        <v>0</v>
      </c>
      <c r="AD106" s="69">
        <f t="shared" si="53"/>
        <v>0</v>
      </c>
      <c r="AE106" s="182" t="str">
        <f t="shared" si="76"/>
        <v>TEST 105</v>
      </c>
      <c r="AF106" s="230">
        <f t="shared" ca="1" si="59"/>
        <v>1</v>
      </c>
      <c r="AG106" s="68">
        <f t="shared" ca="1" si="77"/>
        <v>0</v>
      </c>
      <c r="AH106" s="101">
        <f t="shared" ca="1" si="56"/>
        <v>0</v>
      </c>
      <c r="AI106" s="101">
        <f t="shared" ca="1" si="57"/>
        <v>0</v>
      </c>
      <c r="AJ106" s="4" t="str">
        <f t="shared" si="58"/>
        <v/>
      </c>
      <c r="AK106" s="67" t="str">
        <f t="shared" si="60"/>
        <v/>
      </c>
    </row>
    <row r="107" spans="1:37" x14ac:dyDescent="0.2">
      <c r="A107" s="181" t="s">
        <v>501</v>
      </c>
      <c r="B107" s="106">
        <v>43025</v>
      </c>
      <c r="C107" s="106">
        <v>43027</v>
      </c>
      <c r="D107" s="29">
        <f t="shared" si="63"/>
        <v>2</v>
      </c>
      <c r="E107" s="104"/>
      <c r="F107" s="104"/>
      <c r="G107" s="104"/>
      <c r="H107" s="104"/>
      <c r="I107" s="68" t="str">
        <f t="shared" si="64"/>
        <v/>
      </c>
      <c r="J107" s="68">
        <f t="shared" si="65"/>
        <v>0</v>
      </c>
      <c r="K107" s="30">
        <f t="shared" si="66"/>
        <v>0</v>
      </c>
      <c r="L107" s="107" t="s">
        <v>51</v>
      </c>
      <c r="M107" s="44" t="e">
        <f ca="1">IF(Saisie[[#This Row],[Nom du groupe]]="","",VLOOKUP(Saisie[[#This Row],[Nom du groupe]],Données,5,FALSE))</f>
        <v>#N/A</v>
      </c>
      <c r="N107" s="45" t="e">
        <f t="shared" ca="1" si="67"/>
        <v>#N/A</v>
      </c>
      <c r="O107" s="4" t="str">
        <f t="shared" si="68"/>
        <v/>
      </c>
      <c r="P107" s="68" t="str">
        <f t="shared" si="69"/>
        <v/>
      </c>
      <c r="S107" s="64" t="str">
        <f t="shared" si="70"/>
        <v/>
      </c>
      <c r="T107" s="64" t="str">
        <f t="shared" si="71"/>
        <v/>
      </c>
      <c r="U107" s="109"/>
      <c r="W107" s="64" t="str">
        <f t="shared" si="78"/>
        <v/>
      </c>
      <c r="X107" s="64" t="str">
        <f t="shared" si="79"/>
        <v/>
      </c>
      <c r="Y107" s="4" t="str">
        <f t="shared" si="72"/>
        <v/>
      </c>
      <c r="Z107" s="67" t="str">
        <f t="shared" si="73"/>
        <v/>
      </c>
      <c r="AA107" s="110"/>
      <c r="AB107" s="64" t="str">
        <f t="shared" si="74"/>
        <v/>
      </c>
      <c r="AC107" s="66">
        <f t="shared" si="75"/>
        <v>0</v>
      </c>
      <c r="AD107" s="69">
        <f t="shared" si="53"/>
        <v>0</v>
      </c>
      <c r="AE107" s="182" t="str">
        <f t="shared" si="76"/>
        <v>TEST 106</v>
      </c>
      <c r="AF107" s="230">
        <f t="shared" ca="1" si="59"/>
        <v>2</v>
      </c>
      <c r="AG107" s="68">
        <f t="shared" ca="1" si="77"/>
        <v>0</v>
      </c>
      <c r="AH107" s="101">
        <f t="shared" ca="1" si="56"/>
        <v>0</v>
      </c>
      <c r="AI107" s="101">
        <f t="shared" ca="1" si="57"/>
        <v>0</v>
      </c>
      <c r="AJ107" s="4" t="str">
        <f t="shared" si="58"/>
        <v/>
      </c>
      <c r="AK107" s="67" t="str">
        <f t="shared" si="60"/>
        <v/>
      </c>
    </row>
    <row r="108" spans="1:37" x14ac:dyDescent="0.2">
      <c r="A108" s="181" t="s">
        <v>502</v>
      </c>
      <c r="B108" s="106">
        <v>43028</v>
      </c>
      <c r="C108" s="106">
        <v>43030</v>
      </c>
      <c r="D108" s="29">
        <f t="shared" si="63"/>
        <v>2</v>
      </c>
      <c r="E108" s="104">
        <v>26</v>
      </c>
      <c r="F108" s="104"/>
      <c r="G108" s="104"/>
      <c r="H108" s="104"/>
      <c r="I108" s="68" t="str">
        <f t="shared" si="64"/>
        <v/>
      </c>
      <c r="J108" s="68">
        <f t="shared" si="65"/>
        <v>26</v>
      </c>
      <c r="K108" s="30">
        <f t="shared" si="66"/>
        <v>52</v>
      </c>
      <c r="L108" s="107" t="s">
        <v>27</v>
      </c>
      <c r="M108" s="44" t="e">
        <f ca="1">IF(Saisie[[#This Row],[Nom du groupe]]="","",VLOOKUP(Saisie[[#This Row],[Nom du groupe]],Données,5,FALSE))</f>
        <v>#N/A</v>
      </c>
      <c r="N108" s="45" t="e">
        <f t="shared" ca="1" si="67"/>
        <v>#N/A</v>
      </c>
      <c r="O108" s="4">
        <f t="shared" si="68"/>
        <v>25</v>
      </c>
      <c r="P108" s="68" t="str">
        <f t="shared" si="69"/>
        <v/>
      </c>
      <c r="S108" s="64" t="str">
        <f t="shared" si="70"/>
        <v/>
      </c>
      <c r="T108" s="64" t="str">
        <f t="shared" si="71"/>
        <v/>
      </c>
      <c r="U108" s="109"/>
      <c r="W108" s="64" t="str">
        <f t="shared" si="78"/>
        <v/>
      </c>
      <c r="X108" s="64" t="str">
        <f t="shared" si="79"/>
        <v/>
      </c>
      <c r="Y108" s="4">
        <f t="shared" si="72"/>
        <v>1</v>
      </c>
      <c r="Z108" s="67" t="str">
        <f t="shared" si="73"/>
        <v>0</v>
      </c>
      <c r="AA108" s="110"/>
      <c r="AB108" s="64" t="str">
        <f t="shared" si="74"/>
        <v/>
      </c>
      <c r="AC108" s="66">
        <f t="shared" si="75"/>
        <v>0</v>
      </c>
      <c r="AD108" s="69">
        <f t="shared" si="53"/>
        <v>0</v>
      </c>
      <c r="AE108" s="182" t="str">
        <f t="shared" si="76"/>
        <v>TEST 107</v>
      </c>
      <c r="AF108" s="230">
        <f t="shared" ca="1" si="59"/>
        <v>2</v>
      </c>
      <c r="AG108" s="68">
        <f t="shared" ca="1" si="77"/>
        <v>0</v>
      </c>
      <c r="AH108" s="101">
        <f t="shared" ca="1" si="56"/>
        <v>0</v>
      </c>
      <c r="AI108" s="101">
        <f t="shared" ca="1" si="57"/>
        <v>0</v>
      </c>
      <c r="AJ108" s="4" t="str">
        <f t="shared" si="58"/>
        <v/>
      </c>
      <c r="AK108" s="67" t="str">
        <f t="shared" si="60"/>
        <v/>
      </c>
    </row>
    <row r="109" spans="1:37" x14ac:dyDescent="0.2">
      <c r="A109" s="181" t="s">
        <v>503</v>
      </c>
      <c r="B109" s="106">
        <v>43028</v>
      </c>
      <c r="C109" s="106">
        <v>43030</v>
      </c>
      <c r="D109" s="29">
        <f t="shared" si="63"/>
        <v>2</v>
      </c>
      <c r="E109" s="105">
        <v>10</v>
      </c>
      <c r="I109" s="68" t="str">
        <f t="shared" si="64"/>
        <v/>
      </c>
      <c r="J109" s="68">
        <f t="shared" si="65"/>
        <v>10</v>
      </c>
      <c r="K109" s="30">
        <f t="shared" si="66"/>
        <v>20</v>
      </c>
      <c r="L109" s="107" t="s">
        <v>27</v>
      </c>
      <c r="M109" s="44" t="e">
        <f ca="1">IF(Saisie[[#This Row],[Nom du groupe]]="","",VLOOKUP(Saisie[[#This Row],[Nom du groupe]],Données,5,FALSE))</f>
        <v>#N/A</v>
      </c>
      <c r="N109" s="45" t="e">
        <f t="shared" ca="1" si="67"/>
        <v>#N/A</v>
      </c>
      <c r="O109" s="4">
        <f t="shared" si="68"/>
        <v>10</v>
      </c>
      <c r="P109" s="68" t="str">
        <f t="shared" si="69"/>
        <v/>
      </c>
      <c r="S109" s="64" t="str">
        <f t="shared" si="70"/>
        <v/>
      </c>
      <c r="T109" s="64" t="str">
        <f t="shared" si="71"/>
        <v/>
      </c>
      <c r="U109" s="109"/>
      <c r="W109" s="64" t="str">
        <f t="shared" si="78"/>
        <v/>
      </c>
      <c r="X109" s="64" t="str">
        <f t="shared" si="79"/>
        <v/>
      </c>
      <c r="Y109" s="4">
        <f t="shared" si="72"/>
        <v>0</v>
      </c>
      <c r="Z109" s="67" t="str">
        <f t="shared" si="73"/>
        <v>0</v>
      </c>
      <c r="AA109" s="110"/>
      <c r="AB109" s="64" t="str">
        <f t="shared" si="74"/>
        <v/>
      </c>
      <c r="AC109" s="66">
        <f t="shared" si="75"/>
        <v>0</v>
      </c>
      <c r="AD109" s="69">
        <f t="shared" si="53"/>
        <v>0</v>
      </c>
      <c r="AE109" s="182" t="str">
        <f t="shared" si="76"/>
        <v>TEST 108</v>
      </c>
      <c r="AF109" s="230">
        <f t="shared" ca="1" si="59"/>
        <v>2</v>
      </c>
      <c r="AG109" s="68">
        <f t="shared" ca="1" si="77"/>
        <v>0</v>
      </c>
      <c r="AH109" s="101">
        <f t="shared" ca="1" si="56"/>
        <v>0</v>
      </c>
      <c r="AI109" s="101">
        <f t="shared" ca="1" si="57"/>
        <v>0</v>
      </c>
      <c r="AJ109" s="4" t="str">
        <f t="shared" si="58"/>
        <v/>
      </c>
      <c r="AK109" s="67" t="str">
        <f t="shared" si="60"/>
        <v/>
      </c>
    </row>
    <row r="110" spans="1:37" x14ac:dyDescent="0.2">
      <c r="A110" s="181" t="s">
        <v>504</v>
      </c>
      <c r="B110" s="106">
        <v>43021</v>
      </c>
      <c r="C110" s="106">
        <v>43023</v>
      </c>
      <c r="D110" s="29">
        <f t="shared" si="63"/>
        <v>2</v>
      </c>
      <c r="I110" s="68" t="str">
        <f t="shared" si="64"/>
        <v/>
      </c>
      <c r="J110" s="68">
        <f t="shared" si="65"/>
        <v>0</v>
      </c>
      <c r="K110" s="30">
        <f t="shared" si="66"/>
        <v>0</v>
      </c>
      <c r="L110" s="107" t="s">
        <v>28</v>
      </c>
      <c r="M110" s="44" t="e">
        <f ca="1">IF(Saisie[[#This Row],[Nom du groupe]]="","",VLOOKUP(Saisie[[#This Row],[Nom du groupe]],Données,5,FALSE))</f>
        <v>#N/A</v>
      </c>
      <c r="N110" s="45" t="e">
        <f t="shared" ca="1" si="67"/>
        <v>#N/A</v>
      </c>
      <c r="O110" s="4" t="str">
        <f t="shared" si="68"/>
        <v/>
      </c>
      <c r="P110" s="68" t="str">
        <f t="shared" si="69"/>
        <v/>
      </c>
      <c r="S110" s="64" t="str">
        <f t="shared" si="70"/>
        <v/>
      </c>
      <c r="T110" s="64" t="str">
        <f t="shared" si="71"/>
        <v/>
      </c>
      <c r="U110" s="109"/>
      <c r="W110" s="64" t="str">
        <f t="shared" si="78"/>
        <v/>
      </c>
      <c r="X110" s="64" t="str">
        <f t="shared" si="79"/>
        <v/>
      </c>
      <c r="Y110" s="4" t="str">
        <f t="shared" si="72"/>
        <v/>
      </c>
      <c r="Z110" s="67" t="str">
        <f t="shared" si="73"/>
        <v/>
      </c>
      <c r="AA110" s="110"/>
      <c r="AB110" s="64" t="str">
        <f t="shared" si="74"/>
        <v/>
      </c>
      <c r="AC110" s="66">
        <f t="shared" si="75"/>
        <v>0</v>
      </c>
      <c r="AD110" s="69">
        <f t="shared" si="53"/>
        <v>0</v>
      </c>
      <c r="AE110" s="182" t="str">
        <f t="shared" si="76"/>
        <v>TEST 109</v>
      </c>
      <c r="AF110" s="230">
        <f t="shared" ca="1" si="59"/>
        <v>2</v>
      </c>
      <c r="AG110" s="68">
        <f t="shared" ca="1" si="77"/>
        <v>0</v>
      </c>
      <c r="AH110" s="101">
        <f t="shared" ca="1" si="56"/>
        <v>0</v>
      </c>
      <c r="AI110" s="101">
        <f t="shared" ca="1" si="57"/>
        <v>0</v>
      </c>
      <c r="AJ110" s="4" t="str">
        <f t="shared" si="58"/>
        <v/>
      </c>
      <c r="AK110" s="67" t="str">
        <f t="shared" si="60"/>
        <v/>
      </c>
    </row>
    <row r="111" spans="1:37" x14ac:dyDescent="0.2">
      <c r="A111" s="181" t="s">
        <v>505</v>
      </c>
      <c r="B111" s="106">
        <v>43023</v>
      </c>
      <c r="C111" s="106">
        <v>43026</v>
      </c>
      <c r="D111" s="29">
        <f t="shared" si="63"/>
        <v>3</v>
      </c>
      <c r="E111" s="105">
        <v>21</v>
      </c>
      <c r="G111" s="105">
        <v>21</v>
      </c>
      <c r="I111" s="68">
        <f t="shared" si="64"/>
        <v>63</v>
      </c>
      <c r="J111" s="68">
        <f t="shared" si="65"/>
        <v>21</v>
      </c>
      <c r="K111" s="30">
        <f t="shared" si="66"/>
        <v>63</v>
      </c>
      <c r="L111" s="107" t="s">
        <v>187</v>
      </c>
      <c r="M111" s="44" t="e">
        <f ca="1">IF(Saisie[[#This Row],[Nom du groupe]]="","",VLOOKUP(Saisie[[#This Row],[Nom du groupe]],Données,5,FALSE))</f>
        <v>#N/A</v>
      </c>
      <c r="N111" s="45" t="e">
        <f t="shared" ca="1" si="67"/>
        <v>#N/A</v>
      </c>
      <c r="O111" s="4">
        <f t="shared" si="68"/>
        <v>20</v>
      </c>
      <c r="P111" s="68" t="str">
        <f t="shared" si="69"/>
        <v/>
      </c>
      <c r="Q111" s="107" t="s">
        <v>70</v>
      </c>
      <c r="R111" s="107">
        <v>20</v>
      </c>
      <c r="S111" s="64">
        <f t="shared" si="70"/>
        <v>44</v>
      </c>
      <c r="T111" s="64">
        <f t="shared" si="71"/>
        <v>41</v>
      </c>
      <c r="U111" s="109"/>
      <c r="W111" s="64" t="str">
        <f t="shared" si="78"/>
        <v/>
      </c>
      <c r="X111" s="64" t="str">
        <f t="shared" si="79"/>
        <v/>
      </c>
      <c r="Y111" s="4">
        <f t="shared" si="72"/>
        <v>0</v>
      </c>
      <c r="Z111" s="67">
        <f t="shared" si="73"/>
        <v>0</v>
      </c>
      <c r="AA111" s="110"/>
      <c r="AB111" s="64" t="str">
        <f t="shared" si="74"/>
        <v/>
      </c>
      <c r="AC111" s="66">
        <f t="shared" si="75"/>
        <v>0</v>
      </c>
      <c r="AD111" s="69">
        <f t="shared" si="53"/>
        <v>17600</v>
      </c>
      <c r="AE111" s="232" t="str">
        <f t="shared" si="76"/>
        <v>TEST 110</v>
      </c>
      <c r="AF111" s="230">
        <f t="shared" ca="1" si="59"/>
        <v>3</v>
      </c>
      <c r="AG111" s="68">
        <f t="shared" ca="1" si="77"/>
        <v>0</v>
      </c>
      <c r="AH111" s="101">
        <f t="shared" ca="1" si="56"/>
        <v>0</v>
      </c>
      <c r="AI111" s="101">
        <f t="shared" ca="1" si="57"/>
        <v>0</v>
      </c>
      <c r="AJ111" s="4">
        <f>IF($L111="Annulé",SUM($E111-$O111),"")</f>
        <v>1</v>
      </c>
      <c r="AK111" s="67">
        <f t="shared" si="60"/>
        <v>880</v>
      </c>
    </row>
    <row r="112" spans="1:37" x14ac:dyDescent="0.2">
      <c r="A112" s="181" t="s">
        <v>506</v>
      </c>
      <c r="B112" s="106">
        <v>43025</v>
      </c>
      <c r="C112" s="106">
        <v>43027</v>
      </c>
      <c r="D112" s="29">
        <f t="shared" si="63"/>
        <v>2</v>
      </c>
      <c r="E112" s="105">
        <v>10</v>
      </c>
      <c r="F112" s="105">
        <v>4</v>
      </c>
      <c r="G112" s="105">
        <v>10</v>
      </c>
      <c r="H112" s="105">
        <v>4</v>
      </c>
      <c r="I112" s="68">
        <f t="shared" si="64"/>
        <v>28</v>
      </c>
      <c r="J112" s="68">
        <f t="shared" si="65"/>
        <v>14</v>
      </c>
      <c r="K112" s="30">
        <f t="shared" si="66"/>
        <v>28</v>
      </c>
      <c r="L112" s="107" t="s">
        <v>188</v>
      </c>
      <c r="M112" s="44" t="e">
        <f ca="1">IF(Saisie[[#This Row],[Nom du groupe]]="","",VLOOKUP(Saisie[[#This Row],[Nom du groupe]],Données,5,FALSE))</f>
        <v>#N/A</v>
      </c>
      <c r="N112" s="45" t="e">
        <f t="shared" ca="1" si="67"/>
        <v>#N/A</v>
      </c>
      <c r="O112" s="4">
        <f t="shared" si="68"/>
        <v>10</v>
      </c>
      <c r="P112" s="68">
        <f t="shared" si="69"/>
        <v>4</v>
      </c>
      <c r="S112" s="64" t="str">
        <f t="shared" si="70"/>
        <v/>
      </c>
      <c r="T112" s="64" t="str">
        <f t="shared" si="71"/>
        <v/>
      </c>
      <c r="U112" s="109"/>
      <c r="W112" s="64" t="str">
        <f t="shared" si="78"/>
        <v/>
      </c>
      <c r="X112" s="64" t="str">
        <f t="shared" si="79"/>
        <v/>
      </c>
      <c r="Y112" s="4">
        <f t="shared" si="72"/>
        <v>0</v>
      </c>
      <c r="Z112" s="67" t="str">
        <f t="shared" si="73"/>
        <v>0</v>
      </c>
      <c r="AA112" s="110"/>
      <c r="AB112" s="64" t="str">
        <f t="shared" si="74"/>
        <v/>
      </c>
      <c r="AC112" s="66">
        <f t="shared" si="75"/>
        <v>0</v>
      </c>
      <c r="AD112" s="69">
        <f t="shared" ref="AD112:AD150" si="80">IF($A112="","",((IF($G112="","0",IF($Q112="","0",IF($R112="","0",SUMPRODUCT($G112,$R112,$S112))))))+(IF($G112="","0",IF($U112="","0",IF($V112="","0",SUMPRODUCT($G112,$V112,$W112)))))+IF($F112="","0",IF($H112="","0",IF($Q112="","0",IF($R112="","0",SUMPRODUCT($H112,$R112,$T112))))+IF($F112="","0",(IF($H112="","0",IF($U112="","0",SUMPRODUCT($H112,$V112,$X112))))))-IF($AK112="",0,$AK112))</f>
        <v>0</v>
      </c>
      <c r="AE112" s="233" t="str">
        <f t="shared" si="76"/>
        <v>TEST 111</v>
      </c>
      <c r="AF112" s="230">
        <f t="shared" ca="1" si="59"/>
        <v>2</v>
      </c>
      <c r="AG112" s="68">
        <f t="shared" ca="1" si="77"/>
        <v>0</v>
      </c>
      <c r="AH112" s="101">
        <f t="shared" ca="1" si="56"/>
        <v>0</v>
      </c>
      <c r="AI112" s="101">
        <f t="shared" ca="1" si="57"/>
        <v>0</v>
      </c>
      <c r="AJ112" s="4" t="str">
        <f t="shared" ref="AJ112:AJ150" si="81">IF($L112="Annulé",SUM($E112-$O112),"")</f>
        <v/>
      </c>
      <c r="AK112" s="67" t="str">
        <f>IF($AJ112="","",IF($Q112="","0",IF($R112="","0",SUMPRODUCT($AJ112,$R112,$S112)+IF($U112="","0",IF($V112="","0",SUMPRODUCT($AJ112,$V112,$W112))))))</f>
        <v/>
      </c>
    </row>
    <row r="113" spans="4:37" x14ac:dyDescent="0.2">
      <c r="D113" s="29" t="str">
        <f t="shared" si="63"/>
        <v/>
      </c>
      <c r="I113" s="68" t="str">
        <f t="shared" si="64"/>
        <v/>
      </c>
      <c r="J113" s="68">
        <f t="shared" si="65"/>
        <v>0</v>
      </c>
      <c r="K113" s="30" t="str">
        <f t="shared" si="66"/>
        <v/>
      </c>
      <c r="M113" s="44" t="str">
        <f t="shared" ref="M113:M129" si="82">IF($A113="","",VLOOKUP($A113,Données,5,FALSE))</f>
        <v/>
      </c>
      <c r="N113" s="45" t="str">
        <f t="shared" si="67"/>
        <v/>
      </c>
      <c r="O113" s="4" t="str">
        <f t="shared" si="68"/>
        <v/>
      </c>
      <c r="P113" s="68" t="str">
        <f t="shared" si="69"/>
        <v/>
      </c>
      <c r="S113" s="64" t="str">
        <f t="shared" si="70"/>
        <v/>
      </c>
      <c r="T113" s="64" t="str">
        <f t="shared" si="71"/>
        <v/>
      </c>
      <c r="U113" s="109"/>
      <c r="W113" s="64" t="str">
        <f t="shared" si="78"/>
        <v/>
      </c>
      <c r="X113" s="64" t="str">
        <f t="shared" si="79"/>
        <v/>
      </c>
      <c r="Y113" s="4" t="str">
        <f t="shared" si="72"/>
        <v/>
      </c>
      <c r="Z113" s="67" t="str">
        <f t="shared" si="73"/>
        <v/>
      </c>
      <c r="AA113" s="110"/>
      <c r="AB113" s="64" t="str">
        <f t="shared" si="74"/>
        <v/>
      </c>
      <c r="AC113" s="66" t="str">
        <f t="shared" si="75"/>
        <v/>
      </c>
      <c r="AD113" s="69" t="str">
        <f t="shared" si="80"/>
        <v/>
      </c>
      <c r="AE113" s="182" t="str">
        <f t="shared" si="76"/>
        <v/>
      </c>
      <c r="AF113" s="103" t="str">
        <f t="shared" ca="1" si="59"/>
        <v/>
      </c>
      <c r="AG113" s="68" t="str">
        <f t="shared" si="77"/>
        <v/>
      </c>
      <c r="AH113" s="101" t="str">
        <f t="shared" si="56"/>
        <v/>
      </c>
      <c r="AI113" s="101" t="str">
        <f t="shared" si="57"/>
        <v/>
      </c>
      <c r="AJ113" s="4" t="str">
        <f t="shared" si="81"/>
        <v/>
      </c>
      <c r="AK113" s="67" t="str">
        <f t="shared" ref="AK113:AK150" si="83">IF($AJ113="","",IF($Q113="","0",IF($R113="","0",SUMPRODUCT($AJ113,$R113,$S113)+IF($U113="","0",IF($V113="","0",SUMPRODUCT($AJ113,$V113,$W113))))))</f>
        <v/>
      </c>
    </row>
    <row r="114" spans="4:37" x14ac:dyDescent="0.2">
      <c r="D114" s="29" t="str">
        <f t="shared" si="63"/>
        <v/>
      </c>
      <c r="I114" s="68" t="str">
        <f t="shared" si="64"/>
        <v/>
      </c>
      <c r="J114" s="68">
        <f t="shared" si="65"/>
        <v>0</v>
      </c>
      <c r="K114" s="30" t="str">
        <f t="shared" si="66"/>
        <v/>
      </c>
      <c r="M114" s="44" t="str">
        <f t="shared" si="82"/>
        <v/>
      </c>
      <c r="N114" s="45" t="str">
        <f t="shared" si="67"/>
        <v/>
      </c>
      <c r="O114" s="4" t="str">
        <f t="shared" si="68"/>
        <v/>
      </c>
      <c r="P114" s="68" t="str">
        <f t="shared" si="69"/>
        <v/>
      </c>
      <c r="S114" s="64" t="str">
        <f t="shared" si="70"/>
        <v/>
      </c>
      <c r="T114" s="64" t="str">
        <f t="shared" si="71"/>
        <v/>
      </c>
      <c r="U114" s="109"/>
      <c r="W114" s="64" t="str">
        <f t="shared" si="78"/>
        <v/>
      </c>
      <c r="X114" s="64" t="str">
        <f t="shared" si="79"/>
        <v/>
      </c>
      <c r="Y114" s="4" t="str">
        <f t="shared" si="72"/>
        <v/>
      </c>
      <c r="Z114" s="67" t="str">
        <f t="shared" si="73"/>
        <v/>
      </c>
      <c r="AA114" s="110"/>
      <c r="AB114" s="64" t="str">
        <f t="shared" si="74"/>
        <v/>
      </c>
      <c r="AC114" s="66" t="str">
        <f t="shared" si="75"/>
        <v/>
      </c>
      <c r="AD114" s="69" t="str">
        <f t="shared" si="80"/>
        <v/>
      </c>
      <c r="AE114" s="182" t="str">
        <f t="shared" si="76"/>
        <v/>
      </c>
      <c r="AF114" s="103" t="str">
        <f t="shared" ca="1" si="59"/>
        <v/>
      </c>
      <c r="AG114" s="68" t="str">
        <f t="shared" si="77"/>
        <v/>
      </c>
      <c r="AH114" s="101" t="str">
        <f t="shared" si="56"/>
        <v/>
      </c>
      <c r="AI114" s="101" t="str">
        <f t="shared" si="57"/>
        <v/>
      </c>
      <c r="AJ114" s="4" t="str">
        <f t="shared" si="81"/>
        <v/>
      </c>
      <c r="AK114" s="67" t="str">
        <f t="shared" si="83"/>
        <v/>
      </c>
    </row>
    <row r="115" spans="4:37" x14ac:dyDescent="0.2">
      <c r="D115" s="29" t="str">
        <f t="shared" si="63"/>
        <v/>
      </c>
      <c r="I115" s="68" t="str">
        <f t="shared" si="64"/>
        <v/>
      </c>
      <c r="J115" s="68">
        <f t="shared" si="65"/>
        <v>0</v>
      </c>
      <c r="K115" s="30" t="str">
        <f t="shared" si="66"/>
        <v/>
      </c>
      <c r="M115" s="44" t="str">
        <f t="shared" si="82"/>
        <v/>
      </c>
      <c r="N115" s="45" t="str">
        <f t="shared" si="67"/>
        <v/>
      </c>
      <c r="O115" s="4" t="str">
        <f t="shared" si="68"/>
        <v/>
      </c>
      <c r="P115" s="68" t="str">
        <f t="shared" si="69"/>
        <v/>
      </c>
      <c r="S115" s="64" t="str">
        <f t="shared" si="70"/>
        <v/>
      </c>
      <c r="T115" s="64" t="str">
        <f t="shared" si="71"/>
        <v/>
      </c>
      <c r="U115" s="109"/>
      <c r="W115" s="64" t="str">
        <f t="shared" si="78"/>
        <v/>
      </c>
      <c r="X115" s="64" t="str">
        <f t="shared" si="79"/>
        <v/>
      </c>
      <c r="Y115" s="4" t="str">
        <f t="shared" si="72"/>
        <v/>
      </c>
      <c r="Z115" s="67" t="str">
        <f t="shared" si="73"/>
        <v/>
      </c>
      <c r="AA115" s="110"/>
      <c r="AB115" s="64" t="str">
        <f t="shared" si="74"/>
        <v/>
      </c>
      <c r="AC115" s="66" t="str">
        <f t="shared" si="75"/>
        <v/>
      </c>
      <c r="AD115" s="69" t="str">
        <f t="shared" si="80"/>
        <v/>
      </c>
      <c r="AE115" s="182" t="str">
        <f t="shared" si="76"/>
        <v/>
      </c>
      <c r="AF115" s="103" t="str">
        <f t="shared" ca="1" si="59"/>
        <v/>
      </c>
      <c r="AG115" s="68" t="str">
        <f t="shared" si="77"/>
        <v/>
      </c>
      <c r="AH115" s="101" t="str">
        <f t="shared" si="56"/>
        <v/>
      </c>
      <c r="AI115" s="101" t="str">
        <f t="shared" si="57"/>
        <v/>
      </c>
      <c r="AJ115" s="4" t="str">
        <f t="shared" si="81"/>
        <v/>
      </c>
      <c r="AK115" s="67" t="str">
        <f t="shared" si="83"/>
        <v/>
      </c>
    </row>
    <row r="116" spans="4:37" x14ac:dyDescent="0.2">
      <c r="D116" s="29" t="str">
        <f t="shared" si="63"/>
        <v/>
      </c>
      <c r="I116" s="68" t="str">
        <f t="shared" si="64"/>
        <v/>
      </c>
      <c r="J116" s="68">
        <f t="shared" si="65"/>
        <v>0</v>
      </c>
      <c r="K116" s="30" t="str">
        <f t="shared" si="66"/>
        <v/>
      </c>
      <c r="M116" s="44" t="str">
        <f t="shared" si="82"/>
        <v/>
      </c>
      <c r="N116" s="45" t="str">
        <f t="shared" si="67"/>
        <v/>
      </c>
      <c r="O116" s="4" t="str">
        <f t="shared" si="68"/>
        <v/>
      </c>
      <c r="P116" s="68" t="str">
        <f t="shared" si="69"/>
        <v/>
      </c>
      <c r="S116" s="64" t="str">
        <f t="shared" si="70"/>
        <v/>
      </c>
      <c r="T116" s="64" t="str">
        <f t="shared" si="71"/>
        <v/>
      </c>
      <c r="U116" s="109"/>
      <c r="W116" s="64" t="str">
        <f t="shared" si="78"/>
        <v/>
      </c>
      <c r="X116" s="64" t="str">
        <f t="shared" si="79"/>
        <v/>
      </c>
      <c r="Y116" s="4" t="str">
        <f t="shared" si="72"/>
        <v/>
      </c>
      <c r="Z116" s="67" t="str">
        <f t="shared" si="73"/>
        <v/>
      </c>
      <c r="AA116" s="110"/>
      <c r="AB116" s="64" t="str">
        <f t="shared" si="74"/>
        <v/>
      </c>
      <c r="AC116" s="66" t="str">
        <f t="shared" si="75"/>
        <v/>
      </c>
      <c r="AD116" s="69" t="str">
        <f t="shared" si="80"/>
        <v/>
      </c>
      <c r="AE116" s="182" t="str">
        <f t="shared" si="76"/>
        <v/>
      </c>
      <c r="AF116" s="103" t="str">
        <f t="shared" ca="1" si="59"/>
        <v/>
      </c>
      <c r="AG116" s="68" t="str">
        <f t="shared" si="77"/>
        <v/>
      </c>
      <c r="AH116" s="101" t="str">
        <f t="shared" si="56"/>
        <v/>
      </c>
      <c r="AI116" s="101" t="str">
        <f t="shared" si="57"/>
        <v/>
      </c>
      <c r="AJ116" s="4" t="str">
        <f t="shared" si="81"/>
        <v/>
      </c>
      <c r="AK116" s="67" t="str">
        <f t="shared" si="83"/>
        <v/>
      </c>
    </row>
    <row r="117" spans="4:37" x14ac:dyDescent="0.2">
      <c r="D117" s="29" t="str">
        <f t="shared" si="63"/>
        <v/>
      </c>
      <c r="I117" s="68" t="str">
        <f t="shared" si="64"/>
        <v/>
      </c>
      <c r="J117" s="68">
        <f t="shared" si="65"/>
        <v>0</v>
      </c>
      <c r="K117" s="30" t="str">
        <f t="shared" si="66"/>
        <v/>
      </c>
      <c r="M117" s="44" t="str">
        <f t="shared" si="82"/>
        <v/>
      </c>
      <c r="N117" s="45" t="str">
        <f t="shared" si="67"/>
        <v/>
      </c>
      <c r="O117" s="4" t="str">
        <f t="shared" si="68"/>
        <v/>
      </c>
      <c r="P117" s="68" t="str">
        <f t="shared" si="69"/>
        <v/>
      </c>
      <c r="S117" s="64" t="str">
        <f t="shared" si="70"/>
        <v/>
      </c>
      <c r="T117" s="64" t="str">
        <f t="shared" si="71"/>
        <v/>
      </c>
      <c r="U117" s="109"/>
      <c r="W117" s="64" t="str">
        <f t="shared" si="78"/>
        <v/>
      </c>
      <c r="X117" s="64" t="str">
        <f t="shared" si="79"/>
        <v/>
      </c>
      <c r="Y117" s="4" t="str">
        <f t="shared" si="72"/>
        <v/>
      </c>
      <c r="Z117" s="67" t="str">
        <f t="shared" si="73"/>
        <v/>
      </c>
      <c r="AA117" s="110"/>
      <c r="AB117" s="64" t="str">
        <f t="shared" si="74"/>
        <v/>
      </c>
      <c r="AC117" s="66" t="str">
        <f t="shared" si="75"/>
        <v/>
      </c>
      <c r="AD117" s="69" t="str">
        <f t="shared" si="80"/>
        <v/>
      </c>
      <c r="AE117" s="182" t="str">
        <f t="shared" si="76"/>
        <v/>
      </c>
      <c r="AF117" s="103" t="str">
        <f t="shared" ca="1" si="59"/>
        <v/>
      </c>
      <c r="AG117" s="68" t="str">
        <f t="shared" si="77"/>
        <v/>
      </c>
      <c r="AH117" s="101" t="str">
        <f t="shared" si="56"/>
        <v/>
      </c>
      <c r="AI117" s="101" t="str">
        <f t="shared" si="57"/>
        <v/>
      </c>
      <c r="AJ117" s="4" t="str">
        <f t="shared" si="81"/>
        <v/>
      </c>
      <c r="AK117" s="67" t="str">
        <f t="shared" si="83"/>
        <v/>
      </c>
    </row>
    <row r="118" spans="4:37" x14ac:dyDescent="0.2">
      <c r="D118" s="29" t="str">
        <f t="shared" si="63"/>
        <v/>
      </c>
      <c r="I118" s="68" t="str">
        <f t="shared" si="64"/>
        <v/>
      </c>
      <c r="J118" s="68">
        <f t="shared" si="65"/>
        <v>0</v>
      </c>
      <c r="K118" s="30" t="str">
        <f t="shared" si="66"/>
        <v/>
      </c>
      <c r="M118" s="44" t="str">
        <f t="shared" si="82"/>
        <v/>
      </c>
      <c r="N118" s="45" t="str">
        <f t="shared" si="67"/>
        <v/>
      </c>
      <c r="O118" s="4" t="str">
        <f t="shared" si="68"/>
        <v/>
      </c>
      <c r="P118" s="68" t="str">
        <f t="shared" si="69"/>
        <v/>
      </c>
      <c r="S118" s="64" t="str">
        <f t="shared" si="70"/>
        <v/>
      </c>
      <c r="T118" s="64" t="str">
        <f t="shared" si="71"/>
        <v/>
      </c>
      <c r="U118" s="109"/>
      <c r="W118" s="64" t="str">
        <f t="shared" si="78"/>
        <v/>
      </c>
      <c r="X118" s="64" t="str">
        <f t="shared" si="79"/>
        <v/>
      </c>
      <c r="Y118" s="4" t="str">
        <f t="shared" si="72"/>
        <v/>
      </c>
      <c r="Z118" s="67" t="str">
        <f t="shared" si="73"/>
        <v/>
      </c>
      <c r="AA118" s="110"/>
      <c r="AB118" s="64" t="str">
        <f t="shared" si="74"/>
        <v/>
      </c>
      <c r="AC118" s="66" t="str">
        <f t="shared" si="75"/>
        <v/>
      </c>
      <c r="AD118" s="69" t="str">
        <f t="shared" si="80"/>
        <v/>
      </c>
      <c r="AE118" s="182" t="str">
        <f t="shared" si="76"/>
        <v/>
      </c>
      <c r="AF118" s="103" t="str">
        <f t="shared" ca="1" si="59"/>
        <v/>
      </c>
      <c r="AG118" s="68" t="str">
        <f t="shared" si="77"/>
        <v/>
      </c>
      <c r="AH118" s="101" t="str">
        <f t="shared" si="56"/>
        <v/>
      </c>
      <c r="AI118" s="101" t="str">
        <f t="shared" si="57"/>
        <v/>
      </c>
      <c r="AJ118" s="4" t="str">
        <f t="shared" si="81"/>
        <v/>
      </c>
      <c r="AK118" s="67" t="str">
        <f t="shared" si="83"/>
        <v/>
      </c>
    </row>
    <row r="119" spans="4:37" x14ac:dyDescent="0.2">
      <c r="D119" s="29" t="str">
        <f t="shared" si="63"/>
        <v/>
      </c>
      <c r="I119" s="68" t="str">
        <f t="shared" si="64"/>
        <v/>
      </c>
      <c r="J119" s="68">
        <f t="shared" si="65"/>
        <v>0</v>
      </c>
      <c r="K119" s="30" t="str">
        <f t="shared" si="66"/>
        <v/>
      </c>
      <c r="M119" s="44" t="str">
        <f t="shared" si="82"/>
        <v/>
      </c>
      <c r="N119" s="45" t="str">
        <f t="shared" si="67"/>
        <v/>
      </c>
      <c r="O119" s="4" t="str">
        <f t="shared" si="68"/>
        <v/>
      </c>
      <c r="P119" s="68" t="str">
        <f t="shared" si="69"/>
        <v/>
      </c>
      <c r="S119" s="64" t="str">
        <f t="shared" si="70"/>
        <v/>
      </c>
      <c r="T119" s="64" t="str">
        <f t="shared" si="71"/>
        <v/>
      </c>
      <c r="U119" s="109"/>
      <c r="W119" s="64" t="str">
        <f t="shared" si="78"/>
        <v/>
      </c>
      <c r="X119" s="64" t="str">
        <f t="shared" si="79"/>
        <v/>
      </c>
      <c r="Y119" s="4" t="str">
        <f t="shared" si="72"/>
        <v/>
      </c>
      <c r="Z119" s="67" t="str">
        <f t="shared" si="73"/>
        <v/>
      </c>
      <c r="AA119" s="110"/>
      <c r="AB119" s="64" t="str">
        <f t="shared" si="74"/>
        <v/>
      </c>
      <c r="AC119" s="66" t="str">
        <f t="shared" si="75"/>
        <v/>
      </c>
      <c r="AD119" s="69" t="str">
        <f t="shared" si="80"/>
        <v/>
      </c>
      <c r="AE119" s="182" t="str">
        <f t="shared" si="76"/>
        <v/>
      </c>
      <c r="AF119" s="103" t="str">
        <f t="shared" ca="1" si="59"/>
        <v/>
      </c>
      <c r="AG119" s="68" t="str">
        <f t="shared" si="77"/>
        <v/>
      </c>
      <c r="AH119" s="101" t="str">
        <f t="shared" si="56"/>
        <v/>
      </c>
      <c r="AI119" s="101" t="str">
        <f t="shared" si="57"/>
        <v/>
      </c>
      <c r="AJ119" s="4" t="str">
        <f t="shared" si="81"/>
        <v/>
      </c>
      <c r="AK119" s="67" t="str">
        <f t="shared" si="83"/>
        <v/>
      </c>
    </row>
    <row r="120" spans="4:37" x14ac:dyDescent="0.2">
      <c r="D120" s="29" t="str">
        <f t="shared" si="63"/>
        <v/>
      </c>
      <c r="I120" s="68" t="str">
        <f t="shared" si="64"/>
        <v/>
      </c>
      <c r="J120" s="68">
        <f t="shared" si="65"/>
        <v>0</v>
      </c>
      <c r="K120" s="30" t="str">
        <f t="shared" si="66"/>
        <v/>
      </c>
      <c r="M120" s="44" t="str">
        <f t="shared" si="82"/>
        <v/>
      </c>
      <c r="N120" s="45" t="str">
        <f t="shared" si="67"/>
        <v/>
      </c>
      <c r="O120" s="4" t="str">
        <f t="shared" si="68"/>
        <v/>
      </c>
      <c r="P120" s="68" t="str">
        <f t="shared" si="69"/>
        <v/>
      </c>
      <c r="S120" s="64" t="str">
        <f t="shared" si="70"/>
        <v/>
      </c>
      <c r="T120" s="64" t="str">
        <f t="shared" si="71"/>
        <v/>
      </c>
      <c r="U120" s="109"/>
      <c r="W120" s="64" t="str">
        <f t="shared" si="78"/>
        <v/>
      </c>
      <c r="X120" s="64" t="str">
        <f t="shared" si="79"/>
        <v/>
      </c>
      <c r="Y120" s="4" t="str">
        <f t="shared" si="72"/>
        <v/>
      </c>
      <c r="Z120" s="67" t="str">
        <f t="shared" si="73"/>
        <v/>
      </c>
      <c r="AA120" s="110"/>
      <c r="AB120" s="64" t="str">
        <f t="shared" si="74"/>
        <v/>
      </c>
      <c r="AC120" s="66" t="str">
        <f t="shared" si="75"/>
        <v/>
      </c>
      <c r="AD120" s="69" t="str">
        <f t="shared" si="80"/>
        <v/>
      </c>
      <c r="AE120" s="182" t="str">
        <f t="shared" si="76"/>
        <v/>
      </c>
      <c r="AF120" s="103" t="str">
        <f t="shared" ca="1" si="59"/>
        <v/>
      </c>
      <c r="AG120" s="68" t="str">
        <f t="shared" si="77"/>
        <v/>
      </c>
      <c r="AH120" s="101" t="str">
        <f t="shared" si="56"/>
        <v/>
      </c>
      <c r="AI120" s="101" t="str">
        <f t="shared" si="57"/>
        <v/>
      </c>
      <c r="AJ120" s="4" t="str">
        <f t="shared" si="81"/>
        <v/>
      </c>
      <c r="AK120" s="67" t="str">
        <f t="shared" si="83"/>
        <v/>
      </c>
    </row>
    <row r="121" spans="4:37" x14ac:dyDescent="0.2">
      <c r="D121" s="29" t="str">
        <f t="shared" si="63"/>
        <v/>
      </c>
      <c r="I121" s="68" t="str">
        <f t="shared" si="64"/>
        <v/>
      </c>
      <c r="J121" s="68">
        <f t="shared" si="65"/>
        <v>0</v>
      </c>
      <c r="K121" s="30" t="str">
        <f t="shared" si="66"/>
        <v/>
      </c>
      <c r="M121" s="44" t="str">
        <f t="shared" si="82"/>
        <v/>
      </c>
      <c r="N121" s="45" t="str">
        <f t="shared" si="67"/>
        <v/>
      </c>
      <c r="O121" s="4" t="str">
        <f t="shared" si="68"/>
        <v/>
      </c>
      <c r="P121" s="68" t="str">
        <f t="shared" si="69"/>
        <v/>
      </c>
      <c r="S121" s="64" t="str">
        <f t="shared" si="70"/>
        <v/>
      </c>
      <c r="T121" s="64" t="str">
        <f t="shared" si="71"/>
        <v/>
      </c>
      <c r="U121" s="109"/>
      <c r="W121" s="64" t="str">
        <f t="shared" si="78"/>
        <v/>
      </c>
      <c r="X121" s="64" t="str">
        <f t="shared" si="79"/>
        <v/>
      </c>
      <c r="Y121" s="4" t="str">
        <f t="shared" si="72"/>
        <v/>
      </c>
      <c r="Z121" s="67" t="str">
        <f t="shared" si="73"/>
        <v/>
      </c>
      <c r="AA121" s="110"/>
      <c r="AB121" s="64" t="str">
        <f t="shared" si="74"/>
        <v/>
      </c>
      <c r="AC121" s="66" t="str">
        <f t="shared" si="75"/>
        <v/>
      </c>
      <c r="AD121" s="69" t="str">
        <f t="shared" si="80"/>
        <v/>
      </c>
      <c r="AE121" s="182" t="str">
        <f t="shared" si="76"/>
        <v/>
      </c>
      <c r="AF121" s="103" t="str">
        <f t="shared" ca="1" si="59"/>
        <v/>
      </c>
      <c r="AG121" s="68" t="str">
        <f t="shared" si="77"/>
        <v/>
      </c>
      <c r="AH121" s="101" t="str">
        <f t="shared" si="56"/>
        <v/>
      </c>
      <c r="AI121" s="101" t="str">
        <f t="shared" si="57"/>
        <v/>
      </c>
      <c r="AJ121" s="4" t="str">
        <f t="shared" si="81"/>
        <v/>
      </c>
      <c r="AK121" s="67" t="str">
        <f t="shared" si="83"/>
        <v/>
      </c>
    </row>
    <row r="122" spans="4:37" x14ac:dyDescent="0.2">
      <c r="D122" s="29" t="str">
        <f t="shared" si="63"/>
        <v/>
      </c>
      <c r="I122" s="68" t="str">
        <f t="shared" si="64"/>
        <v/>
      </c>
      <c r="J122" s="68">
        <f t="shared" si="65"/>
        <v>0</v>
      </c>
      <c r="K122" s="30" t="str">
        <f t="shared" si="66"/>
        <v/>
      </c>
      <c r="M122" s="44" t="str">
        <f t="shared" si="82"/>
        <v/>
      </c>
      <c r="N122" s="45" t="str">
        <f t="shared" si="67"/>
        <v/>
      </c>
      <c r="O122" s="4" t="str">
        <f t="shared" si="68"/>
        <v/>
      </c>
      <c r="P122" s="68" t="str">
        <f t="shared" si="69"/>
        <v/>
      </c>
      <c r="S122" s="64" t="str">
        <f t="shared" si="70"/>
        <v/>
      </c>
      <c r="T122" s="64" t="str">
        <f t="shared" si="71"/>
        <v/>
      </c>
      <c r="U122" s="109"/>
      <c r="W122" s="64" t="str">
        <f t="shared" si="78"/>
        <v/>
      </c>
      <c r="X122" s="64" t="str">
        <f t="shared" si="79"/>
        <v/>
      </c>
      <c r="Y122" s="4" t="str">
        <f t="shared" si="72"/>
        <v/>
      </c>
      <c r="Z122" s="67" t="str">
        <f t="shared" si="73"/>
        <v/>
      </c>
      <c r="AA122" s="110"/>
      <c r="AB122" s="64" t="str">
        <f t="shared" si="74"/>
        <v/>
      </c>
      <c r="AC122" s="66" t="str">
        <f t="shared" si="75"/>
        <v/>
      </c>
      <c r="AD122" s="69" t="str">
        <f t="shared" si="80"/>
        <v/>
      </c>
      <c r="AE122" s="182" t="str">
        <f t="shared" si="76"/>
        <v/>
      </c>
      <c r="AF122" s="103" t="str">
        <f t="shared" ca="1" si="59"/>
        <v/>
      </c>
      <c r="AG122" s="68" t="str">
        <f t="shared" si="77"/>
        <v/>
      </c>
      <c r="AH122" s="101" t="str">
        <f t="shared" si="56"/>
        <v/>
      </c>
      <c r="AI122" s="101" t="str">
        <f t="shared" si="57"/>
        <v/>
      </c>
      <c r="AJ122" s="4" t="str">
        <f t="shared" si="81"/>
        <v/>
      </c>
      <c r="AK122" s="67" t="str">
        <f t="shared" si="83"/>
        <v/>
      </c>
    </row>
    <row r="123" spans="4:37" x14ac:dyDescent="0.2">
      <c r="D123" s="29" t="str">
        <f t="shared" si="63"/>
        <v/>
      </c>
      <c r="I123" s="68" t="str">
        <f t="shared" si="64"/>
        <v/>
      </c>
      <c r="J123" s="68">
        <f t="shared" si="65"/>
        <v>0</v>
      </c>
      <c r="K123" s="30" t="str">
        <f t="shared" si="66"/>
        <v/>
      </c>
      <c r="M123" s="44" t="str">
        <f t="shared" si="82"/>
        <v/>
      </c>
      <c r="N123" s="45" t="str">
        <f t="shared" si="67"/>
        <v/>
      </c>
      <c r="O123" s="4" t="str">
        <f t="shared" si="68"/>
        <v/>
      </c>
      <c r="P123" s="68" t="str">
        <f t="shared" si="69"/>
        <v/>
      </c>
      <c r="S123" s="64" t="str">
        <f t="shared" si="70"/>
        <v/>
      </c>
      <c r="T123" s="64" t="str">
        <f t="shared" si="71"/>
        <v/>
      </c>
      <c r="U123" s="109"/>
      <c r="W123" s="64" t="str">
        <f t="shared" si="78"/>
        <v/>
      </c>
      <c r="X123" s="64" t="str">
        <f t="shared" si="79"/>
        <v/>
      </c>
      <c r="Y123" s="4" t="str">
        <f t="shared" si="72"/>
        <v/>
      </c>
      <c r="Z123" s="67" t="str">
        <f t="shared" si="73"/>
        <v/>
      </c>
      <c r="AA123" s="110"/>
      <c r="AB123" s="64" t="str">
        <f t="shared" si="74"/>
        <v/>
      </c>
      <c r="AC123" s="66" t="str">
        <f t="shared" si="75"/>
        <v/>
      </c>
      <c r="AD123" s="69" t="str">
        <f t="shared" si="80"/>
        <v/>
      </c>
      <c r="AE123" s="182" t="str">
        <f t="shared" si="76"/>
        <v/>
      </c>
      <c r="AF123" s="103" t="str">
        <f t="shared" ca="1" si="59"/>
        <v/>
      </c>
      <c r="AG123" s="68" t="str">
        <f t="shared" si="77"/>
        <v/>
      </c>
      <c r="AH123" s="101" t="str">
        <f t="shared" si="56"/>
        <v/>
      </c>
      <c r="AI123" s="101" t="str">
        <f t="shared" si="57"/>
        <v/>
      </c>
      <c r="AJ123" s="4" t="str">
        <f t="shared" si="81"/>
        <v/>
      </c>
      <c r="AK123" s="67" t="str">
        <f t="shared" si="83"/>
        <v/>
      </c>
    </row>
    <row r="124" spans="4:37" x14ac:dyDescent="0.2">
      <c r="D124" s="29" t="str">
        <f t="shared" si="63"/>
        <v/>
      </c>
      <c r="I124" s="68" t="str">
        <f t="shared" si="64"/>
        <v/>
      </c>
      <c r="J124" s="68">
        <f t="shared" si="65"/>
        <v>0</v>
      </c>
      <c r="K124" s="30" t="str">
        <f t="shared" si="66"/>
        <v/>
      </c>
      <c r="M124" s="44" t="str">
        <f t="shared" si="82"/>
        <v/>
      </c>
      <c r="N124" s="45" t="str">
        <f t="shared" si="67"/>
        <v/>
      </c>
      <c r="O124" s="4" t="str">
        <f t="shared" si="68"/>
        <v/>
      </c>
      <c r="P124" s="68" t="str">
        <f t="shared" si="69"/>
        <v/>
      </c>
      <c r="S124" s="64" t="str">
        <f t="shared" si="70"/>
        <v/>
      </c>
      <c r="T124" s="64" t="str">
        <f t="shared" si="71"/>
        <v/>
      </c>
      <c r="U124" s="109"/>
      <c r="W124" s="64" t="str">
        <f t="shared" si="78"/>
        <v/>
      </c>
      <c r="X124" s="64" t="str">
        <f t="shared" si="79"/>
        <v/>
      </c>
      <c r="Y124" s="4" t="str">
        <f t="shared" si="72"/>
        <v/>
      </c>
      <c r="Z124" s="67" t="str">
        <f t="shared" si="73"/>
        <v/>
      </c>
      <c r="AA124" s="110"/>
      <c r="AB124" s="64" t="str">
        <f t="shared" si="74"/>
        <v/>
      </c>
      <c r="AC124" s="66" t="str">
        <f t="shared" si="75"/>
        <v/>
      </c>
      <c r="AD124" s="69" t="str">
        <f t="shared" si="80"/>
        <v/>
      </c>
      <c r="AE124" s="182" t="str">
        <f t="shared" si="76"/>
        <v/>
      </c>
      <c r="AF124" s="103" t="str">
        <f t="shared" ca="1" si="59"/>
        <v/>
      </c>
      <c r="AG124" s="68" t="str">
        <f t="shared" si="77"/>
        <v/>
      </c>
      <c r="AH124" s="101" t="str">
        <f t="shared" si="56"/>
        <v/>
      </c>
      <c r="AI124" s="101" t="str">
        <f t="shared" si="57"/>
        <v/>
      </c>
      <c r="AJ124" s="4" t="str">
        <f t="shared" si="81"/>
        <v/>
      </c>
      <c r="AK124" s="67" t="str">
        <f t="shared" si="83"/>
        <v/>
      </c>
    </row>
    <row r="125" spans="4:37" x14ac:dyDescent="0.2">
      <c r="D125" s="29" t="str">
        <f t="shared" si="63"/>
        <v/>
      </c>
      <c r="I125" s="68" t="str">
        <f t="shared" si="64"/>
        <v/>
      </c>
      <c r="J125" s="68">
        <f t="shared" si="65"/>
        <v>0</v>
      </c>
      <c r="K125" s="30" t="str">
        <f t="shared" si="66"/>
        <v/>
      </c>
      <c r="M125" s="44" t="str">
        <f t="shared" si="82"/>
        <v/>
      </c>
      <c r="N125" s="45" t="str">
        <f t="shared" si="67"/>
        <v/>
      </c>
      <c r="O125" s="4" t="str">
        <f t="shared" si="68"/>
        <v/>
      </c>
      <c r="P125" s="68" t="str">
        <f t="shared" si="69"/>
        <v/>
      </c>
      <c r="S125" s="64" t="str">
        <f t="shared" si="70"/>
        <v/>
      </c>
      <c r="T125" s="64" t="str">
        <f t="shared" si="71"/>
        <v/>
      </c>
      <c r="U125" s="109"/>
      <c r="W125" s="64" t="str">
        <f t="shared" si="78"/>
        <v/>
      </c>
      <c r="X125" s="64" t="str">
        <f t="shared" si="79"/>
        <v/>
      </c>
      <c r="Y125" s="4" t="str">
        <f t="shared" si="72"/>
        <v/>
      </c>
      <c r="Z125" s="67" t="str">
        <f t="shared" si="73"/>
        <v/>
      </c>
      <c r="AA125" s="110"/>
      <c r="AB125" s="64" t="str">
        <f t="shared" si="74"/>
        <v/>
      </c>
      <c r="AC125" s="66" t="str">
        <f t="shared" si="75"/>
        <v/>
      </c>
      <c r="AD125" s="69" t="str">
        <f t="shared" si="80"/>
        <v/>
      </c>
      <c r="AE125" s="182" t="str">
        <f t="shared" si="76"/>
        <v/>
      </c>
      <c r="AF125" s="103" t="str">
        <f t="shared" ca="1" si="59"/>
        <v/>
      </c>
      <c r="AG125" s="68" t="str">
        <f t="shared" si="77"/>
        <v/>
      </c>
      <c r="AH125" s="101" t="str">
        <f t="shared" si="56"/>
        <v/>
      </c>
      <c r="AI125" s="101" t="str">
        <f t="shared" si="57"/>
        <v/>
      </c>
      <c r="AJ125" s="4" t="str">
        <f t="shared" si="81"/>
        <v/>
      </c>
      <c r="AK125" s="67" t="str">
        <f t="shared" si="83"/>
        <v/>
      </c>
    </row>
    <row r="126" spans="4:37" x14ac:dyDescent="0.2">
      <c r="D126" s="29" t="str">
        <f t="shared" si="63"/>
        <v/>
      </c>
      <c r="I126" s="68" t="str">
        <f t="shared" si="64"/>
        <v/>
      </c>
      <c r="J126" s="68">
        <f t="shared" si="65"/>
        <v>0</v>
      </c>
      <c r="K126" s="30" t="str">
        <f t="shared" si="66"/>
        <v/>
      </c>
      <c r="M126" s="44" t="str">
        <f t="shared" si="82"/>
        <v/>
      </c>
      <c r="N126" s="45" t="str">
        <f t="shared" si="67"/>
        <v/>
      </c>
      <c r="O126" s="4" t="str">
        <f t="shared" si="68"/>
        <v/>
      </c>
      <c r="P126" s="68" t="str">
        <f t="shared" si="69"/>
        <v/>
      </c>
      <c r="S126" s="64" t="str">
        <f t="shared" si="70"/>
        <v/>
      </c>
      <c r="T126" s="64" t="str">
        <f t="shared" si="71"/>
        <v/>
      </c>
      <c r="U126" s="109"/>
      <c r="W126" s="64" t="str">
        <f t="shared" si="78"/>
        <v/>
      </c>
      <c r="X126" s="64" t="str">
        <f t="shared" si="79"/>
        <v/>
      </c>
      <c r="Y126" s="4" t="str">
        <f t="shared" si="72"/>
        <v/>
      </c>
      <c r="Z126" s="67" t="str">
        <f t="shared" si="73"/>
        <v/>
      </c>
      <c r="AA126" s="110"/>
      <c r="AB126" s="64" t="str">
        <f t="shared" si="74"/>
        <v/>
      </c>
      <c r="AC126" s="66" t="str">
        <f t="shared" si="75"/>
        <v/>
      </c>
      <c r="AD126" s="69" t="str">
        <f t="shared" si="80"/>
        <v/>
      </c>
      <c r="AE126" s="182" t="str">
        <f t="shared" si="76"/>
        <v/>
      </c>
      <c r="AF126" s="103" t="str">
        <f t="shared" ca="1" si="59"/>
        <v/>
      </c>
      <c r="AG126" s="68" t="str">
        <f t="shared" si="77"/>
        <v/>
      </c>
      <c r="AH126" s="101" t="str">
        <f t="shared" si="56"/>
        <v/>
      </c>
      <c r="AI126" s="101" t="str">
        <f t="shared" si="57"/>
        <v/>
      </c>
      <c r="AJ126" s="4" t="str">
        <f t="shared" si="81"/>
        <v/>
      </c>
      <c r="AK126" s="67" t="str">
        <f t="shared" si="83"/>
        <v/>
      </c>
    </row>
    <row r="127" spans="4:37" x14ac:dyDescent="0.2">
      <c r="D127" s="29" t="str">
        <f t="shared" si="63"/>
        <v/>
      </c>
      <c r="I127" s="68" t="str">
        <f t="shared" si="64"/>
        <v/>
      </c>
      <c r="J127" s="68">
        <f t="shared" si="65"/>
        <v>0</v>
      </c>
      <c r="K127" s="30" t="str">
        <f t="shared" si="66"/>
        <v/>
      </c>
      <c r="M127" s="44" t="str">
        <f t="shared" si="82"/>
        <v/>
      </c>
      <c r="N127" s="45" t="str">
        <f t="shared" si="67"/>
        <v/>
      </c>
      <c r="O127" s="4" t="str">
        <f t="shared" si="68"/>
        <v/>
      </c>
      <c r="P127" s="68" t="str">
        <f t="shared" si="69"/>
        <v/>
      </c>
      <c r="S127" s="64" t="str">
        <f t="shared" si="70"/>
        <v/>
      </c>
      <c r="T127" s="64" t="str">
        <f t="shared" si="71"/>
        <v/>
      </c>
      <c r="U127" s="109"/>
      <c r="W127" s="64" t="str">
        <f t="shared" si="78"/>
        <v/>
      </c>
      <c r="X127" s="64" t="str">
        <f t="shared" si="79"/>
        <v/>
      </c>
      <c r="Y127" s="4" t="str">
        <f t="shared" si="72"/>
        <v/>
      </c>
      <c r="Z127" s="67" t="str">
        <f t="shared" si="73"/>
        <v/>
      </c>
      <c r="AA127" s="110"/>
      <c r="AB127" s="64" t="str">
        <f t="shared" si="74"/>
        <v/>
      </c>
      <c r="AC127" s="66" t="str">
        <f t="shared" si="75"/>
        <v/>
      </c>
      <c r="AD127" s="69" t="str">
        <f t="shared" si="80"/>
        <v/>
      </c>
      <c r="AE127" s="182" t="str">
        <f t="shared" si="76"/>
        <v/>
      </c>
      <c r="AF127" s="103" t="str">
        <f t="shared" ca="1" si="59"/>
        <v/>
      </c>
      <c r="AG127" s="68" t="str">
        <f t="shared" si="77"/>
        <v/>
      </c>
      <c r="AH127" s="101" t="str">
        <f t="shared" si="56"/>
        <v/>
      </c>
      <c r="AI127" s="101" t="str">
        <f t="shared" si="57"/>
        <v/>
      </c>
      <c r="AJ127" s="4" t="str">
        <f t="shared" si="81"/>
        <v/>
      </c>
      <c r="AK127" s="67" t="str">
        <f t="shared" si="83"/>
        <v/>
      </c>
    </row>
    <row r="128" spans="4:37" x14ac:dyDescent="0.2">
      <c r="D128" s="29" t="str">
        <f t="shared" si="63"/>
        <v/>
      </c>
      <c r="I128" s="68" t="str">
        <f t="shared" si="64"/>
        <v/>
      </c>
      <c r="J128" s="68">
        <f t="shared" si="65"/>
        <v>0</v>
      </c>
      <c r="K128" s="30" t="str">
        <f t="shared" si="66"/>
        <v/>
      </c>
      <c r="M128" s="44" t="str">
        <f t="shared" si="82"/>
        <v/>
      </c>
      <c r="N128" s="45" t="str">
        <f t="shared" si="67"/>
        <v/>
      </c>
      <c r="O128" s="4" t="str">
        <f t="shared" si="68"/>
        <v/>
      </c>
      <c r="P128" s="68" t="str">
        <f t="shared" si="69"/>
        <v/>
      </c>
      <c r="S128" s="64" t="str">
        <f t="shared" si="70"/>
        <v/>
      </c>
      <c r="T128" s="64" t="str">
        <f t="shared" si="71"/>
        <v/>
      </c>
      <c r="U128" s="109"/>
      <c r="W128" s="64" t="str">
        <f t="shared" si="78"/>
        <v/>
      </c>
      <c r="X128" s="64" t="str">
        <f t="shared" si="79"/>
        <v/>
      </c>
      <c r="Y128" s="4" t="str">
        <f t="shared" si="72"/>
        <v/>
      </c>
      <c r="Z128" s="67" t="str">
        <f t="shared" si="73"/>
        <v/>
      </c>
      <c r="AA128" s="110"/>
      <c r="AB128" s="64" t="str">
        <f t="shared" si="74"/>
        <v/>
      </c>
      <c r="AC128" s="66" t="str">
        <f t="shared" si="75"/>
        <v/>
      </c>
      <c r="AD128" s="69" t="str">
        <f t="shared" si="80"/>
        <v/>
      </c>
      <c r="AE128" s="182" t="str">
        <f t="shared" si="76"/>
        <v/>
      </c>
      <c r="AF128" s="103" t="str">
        <f t="shared" ca="1" si="59"/>
        <v/>
      </c>
      <c r="AG128" s="68" t="str">
        <f t="shared" si="77"/>
        <v/>
      </c>
      <c r="AH128" s="101" t="str">
        <f t="shared" si="56"/>
        <v/>
      </c>
      <c r="AI128" s="101" t="str">
        <f t="shared" si="57"/>
        <v/>
      </c>
      <c r="AJ128" s="4" t="str">
        <f t="shared" si="81"/>
        <v/>
      </c>
      <c r="AK128" s="67" t="str">
        <f t="shared" si="83"/>
        <v/>
      </c>
    </row>
    <row r="129" spans="4:37" x14ac:dyDescent="0.2">
      <c r="D129" s="29" t="str">
        <f t="shared" si="63"/>
        <v/>
      </c>
      <c r="I129" s="68" t="str">
        <f t="shared" si="64"/>
        <v/>
      </c>
      <c r="J129" s="68">
        <f t="shared" si="65"/>
        <v>0</v>
      </c>
      <c r="K129" s="30" t="str">
        <f t="shared" si="66"/>
        <v/>
      </c>
      <c r="M129" s="44" t="str">
        <f t="shared" si="82"/>
        <v/>
      </c>
      <c r="N129" s="45" t="str">
        <f t="shared" si="67"/>
        <v/>
      </c>
      <c r="O129" s="4" t="str">
        <f t="shared" si="68"/>
        <v/>
      </c>
      <c r="P129" s="68" t="str">
        <f t="shared" si="69"/>
        <v/>
      </c>
      <c r="S129" s="64" t="str">
        <f t="shared" si="70"/>
        <v/>
      </c>
      <c r="T129" s="64" t="str">
        <f t="shared" si="71"/>
        <v/>
      </c>
      <c r="U129" s="109"/>
      <c r="W129" s="64" t="str">
        <f t="shared" si="78"/>
        <v/>
      </c>
      <c r="X129" s="64" t="str">
        <f t="shared" si="79"/>
        <v/>
      </c>
      <c r="Y129" s="4" t="str">
        <f t="shared" si="72"/>
        <v/>
      </c>
      <c r="Z129" s="67" t="str">
        <f t="shared" si="73"/>
        <v/>
      </c>
      <c r="AA129" s="110"/>
      <c r="AB129" s="64" t="str">
        <f t="shared" si="74"/>
        <v/>
      </c>
      <c r="AC129" s="66" t="str">
        <f t="shared" si="75"/>
        <v/>
      </c>
      <c r="AD129" s="69" t="str">
        <f t="shared" si="80"/>
        <v/>
      </c>
      <c r="AE129" s="182" t="str">
        <f t="shared" si="76"/>
        <v/>
      </c>
      <c r="AF129" s="103" t="str">
        <f t="shared" ca="1" si="59"/>
        <v/>
      </c>
      <c r="AG129" s="68" t="str">
        <f t="shared" si="77"/>
        <v/>
      </c>
      <c r="AH129" s="101" t="str">
        <f t="shared" si="56"/>
        <v/>
      </c>
      <c r="AI129" s="101" t="str">
        <f t="shared" si="57"/>
        <v/>
      </c>
      <c r="AJ129" s="4" t="str">
        <f t="shared" si="81"/>
        <v/>
      </c>
      <c r="AK129" s="67" t="str">
        <f t="shared" si="83"/>
        <v/>
      </c>
    </row>
    <row r="130" spans="4:37" x14ac:dyDescent="0.2">
      <c r="D130" s="29" t="str">
        <f t="shared" ref="D130:D150" si="84">IF($B130="","",IF($C130="","",DATEDIF($B130,$C130,"D")))</f>
        <v/>
      </c>
      <c r="I130" s="68" t="str">
        <f t="shared" ref="I130:I150" si="85">IF($G130&amp;$H130="","",IF($E130="","",IF($G130="","0",SUMPRODUCT($G130,$D130))+IF($F130="","0",IF($H130="","0",SUMPRODUCT($H130,$D130)))))</f>
        <v/>
      </c>
      <c r="J130" s="68">
        <f t="shared" ref="J130:J150" si="86">IF($E130&amp;$F130="0","",SUM($E130:$F130))</f>
        <v>0</v>
      </c>
      <c r="K130" s="30" t="str">
        <f t="shared" ref="K130:K150" si="87">IF($D130="","",IF($J130="","",$D130*$J130))</f>
        <v/>
      </c>
      <c r="M130" s="44" t="str">
        <f t="shared" ref="M130:M150" si="88">IF($A130="","",VLOOKUP($A130,Données,5,FALSE))</f>
        <v/>
      </c>
      <c r="N130" s="45" t="str">
        <f t="shared" ref="N130:N150" si="89">IF($A130="","",VLOOKUP($A130,Données,6,FALSE))</f>
        <v/>
      </c>
      <c r="O130" s="4" t="str">
        <f t="shared" ref="O130:O150" si="90">IF($E130="","",IF($J130&gt;=60,$E130-3,IF($J130&gt;=42,$E130-2,IF($J130&gt;=21,$E130-1,$E130))))</f>
        <v/>
      </c>
      <c r="P130" s="68" t="str">
        <f t="shared" ref="P130:P150" si="91">IF($F130="","",$F130)</f>
        <v/>
      </c>
      <c r="S130" s="64" t="str">
        <f t="shared" ref="S130:S150" si="92">IF($Q130="","",VLOOKUP($Q130,Tarifs,2,FALSE))</f>
        <v/>
      </c>
      <c r="T130" s="64" t="str">
        <f t="shared" ref="T130:T150" si="93">IF($Q130="","",VLOOKUP($Q130,Tarifs,3,FALSE))</f>
        <v/>
      </c>
      <c r="U130" s="109"/>
      <c r="W130" s="64" t="str">
        <f t="shared" si="78"/>
        <v/>
      </c>
      <c r="X130" s="64" t="str">
        <f t="shared" si="79"/>
        <v/>
      </c>
      <c r="Y130" s="4" t="str">
        <f t="shared" ref="Y130:Y150" si="94">IF($L130="Annulé",0,(IF($E130="","",SUM($E130-$O130))))</f>
        <v/>
      </c>
      <c r="Z130" s="67" t="str">
        <f t="shared" ref="Z130:Z150" si="95">IF($Y130="","",IF($Q130="","0",IF($R130="","0",SUMPRODUCT($Y130,$R130,$S130)+IF($U130="","0",IF($V130="","0",SUMPRODUCT($Y130,$V130,$W130))))))</f>
        <v/>
      </c>
      <c r="AA130" s="110"/>
      <c r="AB130" s="64" t="str">
        <f t="shared" ref="AB130:AB150" si="96">IF($D130="","",IF($AA130="","",SUMPRODUCT($AA130,$D130,Taxe)))</f>
        <v/>
      </c>
      <c r="AC130" s="66" t="str">
        <f t="shared" ref="AC130:AC150" si="97">IF(L130="Annulé",0,(IF($A130="","",(IF($Q130="","0",IF($R130="","0",SUMPRODUCT($O130,$R130,$S130)+IF($P130="","0",SUMPRODUCT($P130,$R130,$T130))))+IF($U130="","0",IF($V130="","0",SUMPRODUCT($O130,$V130,$W130)+IF($P130="","0",SUMPRODUCT($P130,$V130,$X130))))))))</f>
        <v/>
      </c>
      <c r="AD130" s="69" t="str">
        <f t="shared" si="80"/>
        <v/>
      </c>
      <c r="AE130" s="182" t="str">
        <f t="shared" ref="AE130:AE150" si="98">IF($A130="","",$A130)</f>
        <v/>
      </c>
      <c r="AF130" s="103" t="str">
        <f t="shared" ca="1" si="59"/>
        <v/>
      </c>
      <c r="AG130" s="68" t="str">
        <f t="shared" ref="AG130:AG150" si="99">IF($D130="","",IF($AF130="","",+$D130-$AF130))</f>
        <v/>
      </c>
      <c r="AH130" s="101" t="str">
        <f t="shared" ref="AH130:AH150" si="100">IF($AC130="","",IF($AG130=0,$AC130,($AC130/$D130)*$AF130))</f>
        <v/>
      </c>
      <c r="AI130" s="101" t="str">
        <f t="shared" ref="AI130:AI150" si="101">IF($AC130="","",(IF(AG130=0,0,(AC130/D130)*AG130)))</f>
        <v/>
      </c>
      <c r="AJ130" s="4" t="str">
        <f t="shared" si="81"/>
        <v/>
      </c>
      <c r="AK130" s="67" t="str">
        <f t="shared" si="83"/>
        <v/>
      </c>
    </row>
    <row r="131" spans="4:37" x14ac:dyDescent="0.2">
      <c r="D131" s="29" t="str">
        <f t="shared" si="84"/>
        <v/>
      </c>
      <c r="I131" s="68" t="str">
        <f t="shared" si="85"/>
        <v/>
      </c>
      <c r="J131" s="68">
        <f t="shared" si="86"/>
        <v>0</v>
      </c>
      <c r="K131" s="30" t="str">
        <f t="shared" si="87"/>
        <v/>
      </c>
      <c r="M131" s="44" t="str">
        <f t="shared" si="88"/>
        <v/>
      </c>
      <c r="N131" s="45" t="str">
        <f t="shared" si="89"/>
        <v/>
      </c>
      <c r="O131" s="4" t="str">
        <f t="shared" si="90"/>
        <v/>
      </c>
      <c r="P131" s="68" t="str">
        <f t="shared" si="91"/>
        <v/>
      </c>
      <c r="S131" s="64" t="str">
        <f t="shared" si="92"/>
        <v/>
      </c>
      <c r="T131" s="64" t="str">
        <f t="shared" si="93"/>
        <v/>
      </c>
      <c r="U131" s="109"/>
      <c r="W131" s="64" t="str">
        <f t="shared" si="78"/>
        <v/>
      </c>
      <c r="X131" s="64" t="str">
        <f t="shared" si="79"/>
        <v/>
      </c>
      <c r="Y131" s="4" t="str">
        <f t="shared" si="94"/>
        <v/>
      </c>
      <c r="Z131" s="67" t="str">
        <f t="shared" si="95"/>
        <v/>
      </c>
      <c r="AA131" s="110"/>
      <c r="AB131" s="64" t="str">
        <f t="shared" si="96"/>
        <v/>
      </c>
      <c r="AC131" s="66" t="str">
        <f t="shared" si="97"/>
        <v/>
      </c>
      <c r="AD131" s="69" t="str">
        <f t="shared" si="80"/>
        <v/>
      </c>
      <c r="AE131" s="182" t="str">
        <f t="shared" si="98"/>
        <v/>
      </c>
      <c r="AF131" s="103" t="str">
        <f t="shared" ref="AF131:AF150" ca="1" si="102">IF(MONTH($C131)=MONTH($B131),$D131,SUMPRODUCT(--(MONTH(ROW(INDIRECT($B131&amp;":"&amp;$C131)))=MONTH($B131))))</f>
        <v/>
      </c>
      <c r="AG131" s="68" t="str">
        <f t="shared" si="99"/>
        <v/>
      </c>
      <c r="AH131" s="101" t="str">
        <f t="shared" si="100"/>
        <v/>
      </c>
      <c r="AI131" s="101" t="str">
        <f t="shared" si="101"/>
        <v/>
      </c>
      <c r="AJ131" s="4" t="str">
        <f t="shared" si="81"/>
        <v/>
      </c>
      <c r="AK131" s="67" t="str">
        <f t="shared" si="83"/>
        <v/>
      </c>
    </row>
    <row r="132" spans="4:37" x14ac:dyDescent="0.2">
      <c r="D132" s="29" t="str">
        <f t="shared" si="84"/>
        <v/>
      </c>
      <c r="I132" s="68" t="str">
        <f t="shared" si="85"/>
        <v/>
      </c>
      <c r="J132" s="68">
        <f t="shared" si="86"/>
        <v>0</v>
      </c>
      <c r="K132" s="30" t="str">
        <f t="shared" si="87"/>
        <v/>
      </c>
      <c r="M132" s="44" t="str">
        <f t="shared" si="88"/>
        <v/>
      </c>
      <c r="N132" s="45" t="str">
        <f t="shared" si="89"/>
        <v/>
      </c>
      <c r="O132" s="4" t="str">
        <f t="shared" si="90"/>
        <v/>
      </c>
      <c r="P132" s="68" t="str">
        <f t="shared" si="91"/>
        <v/>
      </c>
      <c r="S132" s="64" t="str">
        <f t="shared" si="92"/>
        <v/>
      </c>
      <c r="T132" s="64" t="str">
        <f t="shared" si="93"/>
        <v/>
      </c>
      <c r="U132" s="109"/>
      <c r="W132" s="64" t="str">
        <f t="shared" si="78"/>
        <v/>
      </c>
      <c r="X132" s="64" t="str">
        <f t="shared" si="79"/>
        <v/>
      </c>
      <c r="Y132" s="4" t="str">
        <f t="shared" si="94"/>
        <v/>
      </c>
      <c r="Z132" s="67" t="str">
        <f t="shared" si="95"/>
        <v/>
      </c>
      <c r="AA132" s="110"/>
      <c r="AB132" s="64" t="str">
        <f t="shared" si="96"/>
        <v/>
      </c>
      <c r="AC132" s="66" t="str">
        <f t="shared" si="97"/>
        <v/>
      </c>
      <c r="AD132" s="69" t="str">
        <f t="shared" si="80"/>
        <v/>
      </c>
      <c r="AE132" s="182" t="str">
        <f t="shared" si="98"/>
        <v/>
      </c>
      <c r="AF132" s="103" t="str">
        <f t="shared" ca="1" si="102"/>
        <v/>
      </c>
      <c r="AG132" s="68" t="str">
        <f t="shared" si="99"/>
        <v/>
      </c>
      <c r="AH132" s="101" t="str">
        <f t="shared" si="100"/>
        <v/>
      </c>
      <c r="AI132" s="101" t="str">
        <f t="shared" si="101"/>
        <v/>
      </c>
      <c r="AJ132" s="4" t="str">
        <f t="shared" si="81"/>
        <v/>
      </c>
      <c r="AK132" s="67" t="str">
        <f t="shared" si="83"/>
        <v/>
      </c>
    </row>
    <row r="133" spans="4:37" x14ac:dyDescent="0.2">
      <c r="D133" s="29" t="str">
        <f t="shared" si="84"/>
        <v/>
      </c>
      <c r="I133" s="68" t="str">
        <f t="shared" si="85"/>
        <v/>
      </c>
      <c r="J133" s="68">
        <f t="shared" si="86"/>
        <v>0</v>
      </c>
      <c r="K133" s="30" t="str">
        <f t="shared" si="87"/>
        <v/>
      </c>
      <c r="M133" s="44" t="str">
        <f t="shared" si="88"/>
        <v/>
      </c>
      <c r="N133" s="45" t="str">
        <f t="shared" si="89"/>
        <v/>
      </c>
      <c r="O133" s="4" t="str">
        <f t="shared" si="90"/>
        <v/>
      </c>
      <c r="P133" s="68" t="str">
        <f t="shared" si="91"/>
        <v/>
      </c>
      <c r="S133" s="64" t="str">
        <f t="shared" si="92"/>
        <v/>
      </c>
      <c r="T133" s="64" t="str">
        <f t="shared" si="93"/>
        <v/>
      </c>
      <c r="U133" s="109"/>
      <c r="W133" s="64" t="str">
        <f t="shared" si="78"/>
        <v/>
      </c>
      <c r="X133" s="64" t="str">
        <f t="shared" si="79"/>
        <v/>
      </c>
      <c r="Y133" s="4" t="str">
        <f t="shared" si="94"/>
        <v/>
      </c>
      <c r="Z133" s="67" t="str">
        <f t="shared" si="95"/>
        <v/>
      </c>
      <c r="AA133" s="110"/>
      <c r="AB133" s="64" t="str">
        <f t="shared" si="96"/>
        <v/>
      </c>
      <c r="AC133" s="66" t="str">
        <f t="shared" si="97"/>
        <v/>
      </c>
      <c r="AD133" s="69" t="str">
        <f t="shared" si="80"/>
        <v/>
      </c>
      <c r="AE133" s="182" t="str">
        <f t="shared" si="98"/>
        <v/>
      </c>
      <c r="AF133" s="103" t="str">
        <f t="shared" ca="1" si="102"/>
        <v/>
      </c>
      <c r="AG133" s="68" t="str">
        <f t="shared" si="99"/>
        <v/>
      </c>
      <c r="AH133" s="101" t="str">
        <f t="shared" si="100"/>
        <v/>
      </c>
      <c r="AI133" s="101" t="str">
        <f t="shared" si="101"/>
        <v/>
      </c>
      <c r="AJ133" s="4" t="str">
        <f t="shared" si="81"/>
        <v/>
      </c>
      <c r="AK133" s="67" t="str">
        <f t="shared" si="83"/>
        <v/>
      </c>
    </row>
    <row r="134" spans="4:37" x14ac:dyDescent="0.2">
      <c r="D134" s="29" t="str">
        <f t="shared" si="84"/>
        <v/>
      </c>
      <c r="I134" s="68" t="str">
        <f t="shared" si="85"/>
        <v/>
      </c>
      <c r="J134" s="68">
        <f t="shared" si="86"/>
        <v>0</v>
      </c>
      <c r="K134" s="30" t="str">
        <f t="shared" si="87"/>
        <v/>
      </c>
      <c r="M134" s="44" t="str">
        <f t="shared" si="88"/>
        <v/>
      </c>
      <c r="N134" s="45" t="str">
        <f t="shared" si="89"/>
        <v/>
      </c>
      <c r="O134" s="4" t="str">
        <f t="shared" si="90"/>
        <v/>
      </c>
      <c r="P134" s="68" t="str">
        <f t="shared" si="91"/>
        <v/>
      </c>
      <c r="S134" s="64" t="str">
        <f t="shared" si="92"/>
        <v/>
      </c>
      <c r="T134" s="64" t="str">
        <f t="shared" si="93"/>
        <v/>
      </c>
      <c r="U134" s="109"/>
      <c r="W134" s="64" t="str">
        <f t="shared" ref="W134:W150" si="103">IF($U134="","",VLOOKUP($U134,Tarifs,2,FALSE))</f>
        <v/>
      </c>
      <c r="X134" s="64" t="str">
        <f t="shared" ref="X134:X150" si="104">IF($U134="","",VLOOKUP($U134,Tarifs,3,FALSE))</f>
        <v/>
      </c>
      <c r="Y134" s="4" t="str">
        <f t="shared" si="94"/>
        <v/>
      </c>
      <c r="Z134" s="67" t="str">
        <f t="shared" si="95"/>
        <v/>
      </c>
      <c r="AA134" s="110"/>
      <c r="AB134" s="64" t="str">
        <f t="shared" si="96"/>
        <v/>
      </c>
      <c r="AC134" s="66" t="str">
        <f t="shared" si="97"/>
        <v/>
      </c>
      <c r="AD134" s="69" t="str">
        <f t="shared" si="80"/>
        <v/>
      </c>
      <c r="AE134" s="182" t="str">
        <f t="shared" si="98"/>
        <v/>
      </c>
      <c r="AF134" s="103" t="str">
        <f t="shared" ca="1" si="102"/>
        <v/>
      </c>
      <c r="AG134" s="68" t="str">
        <f t="shared" si="99"/>
        <v/>
      </c>
      <c r="AH134" s="101" t="str">
        <f t="shared" si="100"/>
        <v/>
      </c>
      <c r="AI134" s="101" t="str">
        <f t="shared" si="101"/>
        <v/>
      </c>
      <c r="AJ134" s="4" t="str">
        <f t="shared" si="81"/>
        <v/>
      </c>
      <c r="AK134" s="67" t="str">
        <f t="shared" si="83"/>
        <v/>
      </c>
    </row>
    <row r="135" spans="4:37" x14ac:dyDescent="0.2">
      <c r="D135" s="29" t="str">
        <f t="shared" si="84"/>
        <v/>
      </c>
      <c r="I135" s="68" t="str">
        <f t="shared" si="85"/>
        <v/>
      </c>
      <c r="J135" s="68">
        <f t="shared" si="86"/>
        <v>0</v>
      </c>
      <c r="K135" s="30" t="str">
        <f t="shared" si="87"/>
        <v/>
      </c>
      <c r="M135" s="44" t="str">
        <f t="shared" si="88"/>
        <v/>
      </c>
      <c r="N135" s="45" t="str">
        <f t="shared" si="89"/>
        <v/>
      </c>
      <c r="O135" s="4" t="str">
        <f t="shared" si="90"/>
        <v/>
      </c>
      <c r="P135" s="68" t="str">
        <f t="shared" si="91"/>
        <v/>
      </c>
      <c r="S135" s="64" t="str">
        <f t="shared" si="92"/>
        <v/>
      </c>
      <c r="T135" s="64" t="str">
        <f t="shared" si="93"/>
        <v/>
      </c>
      <c r="U135" s="109"/>
      <c r="W135" s="64" t="str">
        <f t="shared" si="103"/>
        <v/>
      </c>
      <c r="X135" s="64" t="str">
        <f t="shared" si="104"/>
        <v/>
      </c>
      <c r="Y135" s="4" t="str">
        <f t="shared" si="94"/>
        <v/>
      </c>
      <c r="Z135" s="67" t="str">
        <f t="shared" si="95"/>
        <v/>
      </c>
      <c r="AA135" s="110"/>
      <c r="AB135" s="64" t="str">
        <f t="shared" si="96"/>
        <v/>
      </c>
      <c r="AC135" s="66" t="str">
        <f t="shared" si="97"/>
        <v/>
      </c>
      <c r="AD135" s="69" t="str">
        <f t="shared" si="80"/>
        <v/>
      </c>
      <c r="AE135" s="182" t="str">
        <f t="shared" si="98"/>
        <v/>
      </c>
      <c r="AF135" s="103" t="str">
        <f t="shared" ca="1" si="102"/>
        <v/>
      </c>
      <c r="AG135" s="68" t="str">
        <f t="shared" si="99"/>
        <v/>
      </c>
      <c r="AH135" s="101" t="str">
        <f t="shared" si="100"/>
        <v/>
      </c>
      <c r="AI135" s="101" t="str">
        <f t="shared" si="101"/>
        <v/>
      </c>
      <c r="AJ135" s="4" t="str">
        <f t="shared" si="81"/>
        <v/>
      </c>
      <c r="AK135" s="67" t="str">
        <f t="shared" si="83"/>
        <v/>
      </c>
    </row>
    <row r="136" spans="4:37" x14ac:dyDescent="0.2">
      <c r="D136" s="29" t="str">
        <f t="shared" si="84"/>
        <v/>
      </c>
      <c r="I136" s="68" t="str">
        <f t="shared" si="85"/>
        <v/>
      </c>
      <c r="J136" s="68">
        <f t="shared" si="86"/>
        <v>0</v>
      </c>
      <c r="K136" s="30" t="str">
        <f t="shared" si="87"/>
        <v/>
      </c>
      <c r="M136" s="44" t="str">
        <f t="shared" si="88"/>
        <v/>
      </c>
      <c r="N136" s="45" t="str">
        <f t="shared" si="89"/>
        <v/>
      </c>
      <c r="O136" s="4" t="str">
        <f t="shared" si="90"/>
        <v/>
      </c>
      <c r="P136" s="68" t="str">
        <f t="shared" si="91"/>
        <v/>
      </c>
      <c r="S136" s="64" t="str">
        <f t="shared" si="92"/>
        <v/>
      </c>
      <c r="T136" s="64" t="str">
        <f t="shared" si="93"/>
        <v/>
      </c>
      <c r="U136" s="109"/>
      <c r="W136" s="64" t="str">
        <f t="shared" si="103"/>
        <v/>
      </c>
      <c r="X136" s="64" t="str">
        <f t="shared" si="104"/>
        <v/>
      </c>
      <c r="Y136" s="4" t="str">
        <f t="shared" si="94"/>
        <v/>
      </c>
      <c r="Z136" s="67" t="str">
        <f t="shared" si="95"/>
        <v/>
      </c>
      <c r="AA136" s="110"/>
      <c r="AB136" s="64" t="str">
        <f t="shared" si="96"/>
        <v/>
      </c>
      <c r="AC136" s="66" t="str">
        <f t="shared" si="97"/>
        <v/>
      </c>
      <c r="AD136" s="69" t="str">
        <f t="shared" si="80"/>
        <v/>
      </c>
      <c r="AE136" s="182" t="str">
        <f t="shared" si="98"/>
        <v/>
      </c>
      <c r="AF136" s="103" t="str">
        <f t="shared" ca="1" si="102"/>
        <v/>
      </c>
      <c r="AG136" s="68" t="str">
        <f t="shared" si="99"/>
        <v/>
      </c>
      <c r="AH136" s="101" t="str">
        <f t="shared" si="100"/>
        <v/>
      </c>
      <c r="AI136" s="101" t="str">
        <f t="shared" si="101"/>
        <v/>
      </c>
      <c r="AJ136" s="4" t="str">
        <f t="shared" si="81"/>
        <v/>
      </c>
      <c r="AK136" s="67" t="str">
        <f t="shared" si="83"/>
        <v/>
      </c>
    </row>
    <row r="137" spans="4:37" x14ac:dyDescent="0.2">
      <c r="D137" s="29" t="str">
        <f t="shared" si="84"/>
        <v/>
      </c>
      <c r="I137" s="68" t="str">
        <f t="shared" si="85"/>
        <v/>
      </c>
      <c r="J137" s="68">
        <f t="shared" si="86"/>
        <v>0</v>
      </c>
      <c r="K137" s="30" t="str">
        <f t="shared" si="87"/>
        <v/>
      </c>
      <c r="M137" s="44" t="str">
        <f t="shared" si="88"/>
        <v/>
      </c>
      <c r="N137" s="45" t="str">
        <f t="shared" si="89"/>
        <v/>
      </c>
      <c r="O137" s="4" t="str">
        <f t="shared" si="90"/>
        <v/>
      </c>
      <c r="P137" s="68" t="str">
        <f t="shared" si="91"/>
        <v/>
      </c>
      <c r="S137" s="64" t="str">
        <f t="shared" si="92"/>
        <v/>
      </c>
      <c r="T137" s="64" t="str">
        <f t="shared" si="93"/>
        <v/>
      </c>
      <c r="U137" s="109"/>
      <c r="W137" s="64" t="str">
        <f t="shared" si="103"/>
        <v/>
      </c>
      <c r="X137" s="64" t="str">
        <f t="shared" si="104"/>
        <v/>
      </c>
      <c r="Y137" s="4" t="str">
        <f t="shared" si="94"/>
        <v/>
      </c>
      <c r="Z137" s="67" t="str">
        <f t="shared" si="95"/>
        <v/>
      </c>
      <c r="AA137" s="110"/>
      <c r="AB137" s="64" t="str">
        <f t="shared" si="96"/>
        <v/>
      </c>
      <c r="AC137" s="66" t="str">
        <f t="shared" si="97"/>
        <v/>
      </c>
      <c r="AD137" s="69" t="str">
        <f t="shared" si="80"/>
        <v/>
      </c>
      <c r="AE137" s="182" t="str">
        <f t="shared" si="98"/>
        <v/>
      </c>
      <c r="AF137" s="103" t="str">
        <f t="shared" ca="1" si="102"/>
        <v/>
      </c>
      <c r="AG137" s="68" t="str">
        <f t="shared" si="99"/>
        <v/>
      </c>
      <c r="AH137" s="101" t="str">
        <f t="shared" si="100"/>
        <v/>
      </c>
      <c r="AI137" s="101" t="str">
        <f t="shared" si="101"/>
        <v/>
      </c>
      <c r="AJ137" s="4" t="str">
        <f t="shared" si="81"/>
        <v/>
      </c>
      <c r="AK137" s="67" t="str">
        <f t="shared" si="83"/>
        <v/>
      </c>
    </row>
    <row r="138" spans="4:37" x14ac:dyDescent="0.2">
      <c r="D138" s="29" t="str">
        <f t="shared" si="84"/>
        <v/>
      </c>
      <c r="I138" s="68" t="str">
        <f t="shared" si="85"/>
        <v/>
      </c>
      <c r="J138" s="68">
        <f t="shared" si="86"/>
        <v>0</v>
      </c>
      <c r="K138" s="30" t="str">
        <f t="shared" si="87"/>
        <v/>
      </c>
      <c r="M138" s="44" t="str">
        <f t="shared" si="88"/>
        <v/>
      </c>
      <c r="N138" s="45" t="str">
        <f t="shared" si="89"/>
        <v/>
      </c>
      <c r="O138" s="4" t="str">
        <f t="shared" si="90"/>
        <v/>
      </c>
      <c r="P138" s="68" t="str">
        <f t="shared" si="91"/>
        <v/>
      </c>
      <c r="S138" s="64" t="str">
        <f t="shared" si="92"/>
        <v/>
      </c>
      <c r="T138" s="64" t="str">
        <f t="shared" si="93"/>
        <v/>
      </c>
      <c r="U138" s="109"/>
      <c r="W138" s="64" t="str">
        <f t="shared" si="103"/>
        <v/>
      </c>
      <c r="X138" s="64" t="str">
        <f t="shared" si="104"/>
        <v/>
      </c>
      <c r="Y138" s="4" t="str">
        <f t="shared" si="94"/>
        <v/>
      </c>
      <c r="Z138" s="67" t="str">
        <f t="shared" si="95"/>
        <v/>
      </c>
      <c r="AA138" s="110"/>
      <c r="AB138" s="64" t="str">
        <f t="shared" si="96"/>
        <v/>
      </c>
      <c r="AC138" s="66" t="str">
        <f t="shared" si="97"/>
        <v/>
      </c>
      <c r="AD138" s="69" t="str">
        <f t="shared" si="80"/>
        <v/>
      </c>
      <c r="AE138" s="182" t="str">
        <f t="shared" si="98"/>
        <v/>
      </c>
      <c r="AF138" s="103" t="str">
        <f t="shared" ca="1" si="102"/>
        <v/>
      </c>
      <c r="AG138" s="68" t="str">
        <f t="shared" si="99"/>
        <v/>
      </c>
      <c r="AH138" s="101" t="str">
        <f t="shared" si="100"/>
        <v/>
      </c>
      <c r="AI138" s="101" t="str">
        <f t="shared" si="101"/>
        <v/>
      </c>
      <c r="AJ138" s="4" t="str">
        <f t="shared" si="81"/>
        <v/>
      </c>
      <c r="AK138" s="67" t="str">
        <f t="shared" si="83"/>
        <v/>
      </c>
    </row>
    <row r="139" spans="4:37" x14ac:dyDescent="0.2">
      <c r="D139" s="29" t="str">
        <f t="shared" si="84"/>
        <v/>
      </c>
      <c r="I139" s="68" t="str">
        <f t="shared" si="85"/>
        <v/>
      </c>
      <c r="J139" s="68">
        <f t="shared" si="86"/>
        <v>0</v>
      </c>
      <c r="K139" s="30" t="str">
        <f t="shared" si="87"/>
        <v/>
      </c>
      <c r="M139" s="44" t="str">
        <f t="shared" si="88"/>
        <v/>
      </c>
      <c r="N139" s="45" t="str">
        <f t="shared" si="89"/>
        <v/>
      </c>
      <c r="O139" s="4" t="str">
        <f t="shared" si="90"/>
        <v/>
      </c>
      <c r="P139" s="68" t="str">
        <f t="shared" si="91"/>
        <v/>
      </c>
      <c r="S139" s="64" t="str">
        <f t="shared" si="92"/>
        <v/>
      </c>
      <c r="T139" s="64" t="str">
        <f t="shared" si="93"/>
        <v/>
      </c>
      <c r="U139" s="109"/>
      <c r="W139" s="64" t="str">
        <f t="shared" si="103"/>
        <v/>
      </c>
      <c r="X139" s="64" t="str">
        <f t="shared" si="104"/>
        <v/>
      </c>
      <c r="Y139" s="4" t="str">
        <f t="shared" si="94"/>
        <v/>
      </c>
      <c r="Z139" s="67" t="str">
        <f t="shared" si="95"/>
        <v/>
      </c>
      <c r="AA139" s="110"/>
      <c r="AB139" s="64" t="str">
        <f t="shared" si="96"/>
        <v/>
      </c>
      <c r="AC139" s="66" t="str">
        <f t="shared" si="97"/>
        <v/>
      </c>
      <c r="AD139" s="69" t="str">
        <f t="shared" si="80"/>
        <v/>
      </c>
      <c r="AE139" s="182" t="str">
        <f t="shared" si="98"/>
        <v/>
      </c>
      <c r="AF139" s="103" t="str">
        <f t="shared" ca="1" si="102"/>
        <v/>
      </c>
      <c r="AG139" s="68" t="str">
        <f t="shared" si="99"/>
        <v/>
      </c>
      <c r="AH139" s="101" t="str">
        <f t="shared" si="100"/>
        <v/>
      </c>
      <c r="AI139" s="101" t="str">
        <f t="shared" si="101"/>
        <v/>
      </c>
      <c r="AJ139" s="4" t="str">
        <f t="shared" si="81"/>
        <v/>
      </c>
      <c r="AK139" s="67" t="str">
        <f t="shared" si="83"/>
        <v/>
      </c>
    </row>
    <row r="140" spans="4:37" x14ac:dyDescent="0.2">
      <c r="D140" s="29" t="str">
        <f t="shared" si="84"/>
        <v/>
      </c>
      <c r="I140" s="68" t="str">
        <f t="shared" si="85"/>
        <v/>
      </c>
      <c r="J140" s="68">
        <f t="shared" si="86"/>
        <v>0</v>
      </c>
      <c r="K140" s="30" t="str">
        <f t="shared" si="87"/>
        <v/>
      </c>
      <c r="M140" s="44" t="str">
        <f t="shared" si="88"/>
        <v/>
      </c>
      <c r="N140" s="45" t="str">
        <f t="shared" si="89"/>
        <v/>
      </c>
      <c r="O140" s="4" t="str">
        <f t="shared" si="90"/>
        <v/>
      </c>
      <c r="P140" s="68" t="str">
        <f t="shared" si="91"/>
        <v/>
      </c>
      <c r="S140" s="64" t="str">
        <f t="shared" si="92"/>
        <v/>
      </c>
      <c r="T140" s="64" t="str">
        <f t="shared" si="93"/>
        <v/>
      </c>
      <c r="U140" s="109"/>
      <c r="W140" s="64" t="str">
        <f t="shared" si="103"/>
        <v/>
      </c>
      <c r="X140" s="64" t="str">
        <f t="shared" si="104"/>
        <v/>
      </c>
      <c r="Y140" s="4" t="str">
        <f t="shared" si="94"/>
        <v/>
      </c>
      <c r="Z140" s="67" t="str">
        <f t="shared" si="95"/>
        <v/>
      </c>
      <c r="AA140" s="110"/>
      <c r="AB140" s="64" t="str">
        <f t="shared" si="96"/>
        <v/>
      </c>
      <c r="AC140" s="66" t="str">
        <f t="shared" si="97"/>
        <v/>
      </c>
      <c r="AD140" s="69" t="str">
        <f t="shared" si="80"/>
        <v/>
      </c>
      <c r="AE140" s="182" t="str">
        <f t="shared" si="98"/>
        <v/>
      </c>
      <c r="AF140" s="103" t="str">
        <f t="shared" ca="1" si="102"/>
        <v/>
      </c>
      <c r="AG140" s="68" t="str">
        <f t="shared" si="99"/>
        <v/>
      </c>
      <c r="AH140" s="101" t="str">
        <f t="shared" si="100"/>
        <v/>
      </c>
      <c r="AI140" s="101" t="str">
        <f t="shared" si="101"/>
        <v/>
      </c>
      <c r="AJ140" s="4" t="str">
        <f t="shared" si="81"/>
        <v/>
      </c>
      <c r="AK140" s="67" t="str">
        <f t="shared" si="83"/>
        <v/>
      </c>
    </row>
    <row r="141" spans="4:37" x14ac:dyDescent="0.2">
      <c r="D141" s="29" t="str">
        <f t="shared" si="84"/>
        <v/>
      </c>
      <c r="I141" s="68" t="str">
        <f t="shared" si="85"/>
        <v/>
      </c>
      <c r="J141" s="68">
        <f t="shared" si="86"/>
        <v>0</v>
      </c>
      <c r="K141" s="30" t="str">
        <f t="shared" si="87"/>
        <v/>
      </c>
      <c r="M141" s="44" t="str">
        <f t="shared" si="88"/>
        <v/>
      </c>
      <c r="N141" s="45" t="str">
        <f t="shared" si="89"/>
        <v/>
      </c>
      <c r="O141" s="4" t="str">
        <f t="shared" si="90"/>
        <v/>
      </c>
      <c r="P141" s="68" t="str">
        <f t="shared" si="91"/>
        <v/>
      </c>
      <c r="S141" s="64" t="str">
        <f t="shared" si="92"/>
        <v/>
      </c>
      <c r="T141" s="64" t="str">
        <f t="shared" si="93"/>
        <v/>
      </c>
      <c r="U141" s="109"/>
      <c r="W141" s="64" t="str">
        <f t="shared" si="103"/>
        <v/>
      </c>
      <c r="X141" s="64" t="str">
        <f t="shared" si="104"/>
        <v/>
      </c>
      <c r="Y141" s="4" t="str">
        <f t="shared" si="94"/>
        <v/>
      </c>
      <c r="Z141" s="67" t="str">
        <f t="shared" si="95"/>
        <v/>
      </c>
      <c r="AA141" s="110"/>
      <c r="AB141" s="64" t="str">
        <f t="shared" si="96"/>
        <v/>
      </c>
      <c r="AC141" s="66" t="str">
        <f t="shared" si="97"/>
        <v/>
      </c>
      <c r="AD141" s="69" t="str">
        <f t="shared" si="80"/>
        <v/>
      </c>
      <c r="AE141" s="182" t="str">
        <f t="shared" si="98"/>
        <v/>
      </c>
      <c r="AF141" s="103" t="str">
        <f t="shared" ca="1" si="102"/>
        <v/>
      </c>
      <c r="AG141" s="68" t="str">
        <f t="shared" si="99"/>
        <v/>
      </c>
      <c r="AH141" s="101" t="str">
        <f t="shared" si="100"/>
        <v/>
      </c>
      <c r="AI141" s="101" t="str">
        <f t="shared" si="101"/>
        <v/>
      </c>
      <c r="AJ141" s="4" t="str">
        <f t="shared" si="81"/>
        <v/>
      </c>
      <c r="AK141" s="67" t="str">
        <f t="shared" si="83"/>
        <v/>
      </c>
    </row>
    <row r="142" spans="4:37" x14ac:dyDescent="0.2">
      <c r="D142" s="29" t="str">
        <f t="shared" si="84"/>
        <v/>
      </c>
      <c r="I142" s="68" t="str">
        <f t="shared" si="85"/>
        <v/>
      </c>
      <c r="J142" s="68">
        <f t="shared" si="86"/>
        <v>0</v>
      </c>
      <c r="K142" s="30" t="str">
        <f t="shared" si="87"/>
        <v/>
      </c>
      <c r="M142" s="44" t="str">
        <f t="shared" si="88"/>
        <v/>
      </c>
      <c r="N142" s="45" t="str">
        <f t="shared" si="89"/>
        <v/>
      </c>
      <c r="O142" s="4" t="str">
        <f t="shared" si="90"/>
        <v/>
      </c>
      <c r="P142" s="68" t="str">
        <f t="shared" si="91"/>
        <v/>
      </c>
      <c r="S142" s="64" t="str">
        <f t="shared" si="92"/>
        <v/>
      </c>
      <c r="T142" s="64" t="str">
        <f t="shared" si="93"/>
        <v/>
      </c>
      <c r="U142" s="109"/>
      <c r="W142" s="64" t="str">
        <f t="shared" si="103"/>
        <v/>
      </c>
      <c r="X142" s="64" t="str">
        <f t="shared" si="104"/>
        <v/>
      </c>
      <c r="Y142" s="4" t="str">
        <f t="shared" si="94"/>
        <v/>
      </c>
      <c r="Z142" s="67" t="str">
        <f t="shared" si="95"/>
        <v/>
      </c>
      <c r="AA142" s="110"/>
      <c r="AB142" s="64" t="str">
        <f t="shared" si="96"/>
        <v/>
      </c>
      <c r="AC142" s="66" t="str">
        <f t="shared" si="97"/>
        <v/>
      </c>
      <c r="AD142" s="69" t="str">
        <f t="shared" si="80"/>
        <v/>
      </c>
      <c r="AE142" s="182" t="str">
        <f t="shared" si="98"/>
        <v/>
      </c>
      <c r="AF142" s="103" t="str">
        <f t="shared" ca="1" si="102"/>
        <v/>
      </c>
      <c r="AG142" s="68" t="str">
        <f t="shared" si="99"/>
        <v/>
      </c>
      <c r="AH142" s="101" t="str">
        <f t="shared" si="100"/>
        <v/>
      </c>
      <c r="AI142" s="101" t="str">
        <f t="shared" si="101"/>
        <v/>
      </c>
      <c r="AJ142" s="4" t="str">
        <f t="shared" si="81"/>
        <v/>
      </c>
      <c r="AK142" s="67" t="str">
        <f t="shared" si="83"/>
        <v/>
      </c>
    </row>
    <row r="143" spans="4:37" x14ac:dyDescent="0.2">
      <c r="D143" s="29" t="str">
        <f t="shared" si="84"/>
        <v/>
      </c>
      <c r="I143" s="68" t="str">
        <f t="shared" si="85"/>
        <v/>
      </c>
      <c r="J143" s="68">
        <f t="shared" si="86"/>
        <v>0</v>
      </c>
      <c r="K143" s="30" t="str">
        <f t="shared" si="87"/>
        <v/>
      </c>
      <c r="M143" s="44" t="str">
        <f t="shared" si="88"/>
        <v/>
      </c>
      <c r="N143" s="45" t="str">
        <f t="shared" si="89"/>
        <v/>
      </c>
      <c r="O143" s="4" t="str">
        <f t="shared" si="90"/>
        <v/>
      </c>
      <c r="P143" s="68" t="str">
        <f t="shared" si="91"/>
        <v/>
      </c>
      <c r="S143" s="64" t="str">
        <f t="shared" si="92"/>
        <v/>
      </c>
      <c r="T143" s="64" t="str">
        <f t="shared" si="93"/>
        <v/>
      </c>
      <c r="U143" s="109"/>
      <c r="W143" s="64" t="str">
        <f t="shared" si="103"/>
        <v/>
      </c>
      <c r="X143" s="64" t="str">
        <f t="shared" si="104"/>
        <v/>
      </c>
      <c r="Y143" s="4" t="str">
        <f t="shared" si="94"/>
        <v/>
      </c>
      <c r="Z143" s="67" t="str">
        <f t="shared" si="95"/>
        <v/>
      </c>
      <c r="AA143" s="110"/>
      <c r="AB143" s="64" t="str">
        <f t="shared" si="96"/>
        <v/>
      </c>
      <c r="AC143" s="66" t="str">
        <f t="shared" si="97"/>
        <v/>
      </c>
      <c r="AD143" s="69" t="str">
        <f t="shared" si="80"/>
        <v/>
      </c>
      <c r="AE143" s="182" t="str">
        <f t="shared" si="98"/>
        <v/>
      </c>
      <c r="AF143" s="103" t="str">
        <f t="shared" ca="1" si="102"/>
        <v/>
      </c>
      <c r="AG143" s="68" t="str">
        <f t="shared" si="99"/>
        <v/>
      </c>
      <c r="AH143" s="101" t="str">
        <f t="shared" si="100"/>
        <v/>
      </c>
      <c r="AI143" s="101" t="str">
        <f t="shared" si="101"/>
        <v/>
      </c>
      <c r="AJ143" s="4" t="str">
        <f t="shared" si="81"/>
        <v/>
      </c>
      <c r="AK143" s="67" t="str">
        <f t="shared" si="83"/>
        <v/>
      </c>
    </row>
    <row r="144" spans="4:37" x14ac:dyDescent="0.2">
      <c r="D144" s="29" t="str">
        <f t="shared" si="84"/>
        <v/>
      </c>
      <c r="I144" s="68" t="str">
        <f t="shared" si="85"/>
        <v/>
      </c>
      <c r="J144" s="68">
        <f t="shared" si="86"/>
        <v>0</v>
      </c>
      <c r="K144" s="30" t="str">
        <f t="shared" si="87"/>
        <v/>
      </c>
      <c r="M144" s="44" t="str">
        <f t="shared" si="88"/>
        <v/>
      </c>
      <c r="N144" s="45" t="str">
        <f t="shared" si="89"/>
        <v/>
      </c>
      <c r="O144" s="4" t="str">
        <f t="shared" si="90"/>
        <v/>
      </c>
      <c r="P144" s="68" t="str">
        <f t="shared" si="91"/>
        <v/>
      </c>
      <c r="S144" s="64" t="str">
        <f t="shared" si="92"/>
        <v/>
      </c>
      <c r="T144" s="64" t="str">
        <f t="shared" si="93"/>
        <v/>
      </c>
      <c r="U144" s="109"/>
      <c r="W144" s="64" t="str">
        <f t="shared" si="103"/>
        <v/>
      </c>
      <c r="X144" s="64" t="str">
        <f t="shared" si="104"/>
        <v/>
      </c>
      <c r="Y144" s="4" t="str">
        <f t="shared" si="94"/>
        <v/>
      </c>
      <c r="Z144" s="67" t="str">
        <f t="shared" si="95"/>
        <v/>
      </c>
      <c r="AA144" s="110"/>
      <c r="AB144" s="64" t="str">
        <f t="shared" si="96"/>
        <v/>
      </c>
      <c r="AC144" s="66" t="str">
        <f t="shared" si="97"/>
        <v/>
      </c>
      <c r="AD144" s="69" t="str">
        <f t="shared" si="80"/>
        <v/>
      </c>
      <c r="AE144" s="182" t="str">
        <f t="shared" si="98"/>
        <v/>
      </c>
      <c r="AF144" s="103" t="str">
        <f t="shared" ca="1" si="102"/>
        <v/>
      </c>
      <c r="AG144" s="68" t="str">
        <f t="shared" si="99"/>
        <v/>
      </c>
      <c r="AH144" s="101" t="str">
        <f t="shared" si="100"/>
        <v/>
      </c>
      <c r="AI144" s="101" t="str">
        <f t="shared" si="101"/>
        <v/>
      </c>
      <c r="AJ144" s="4" t="str">
        <f t="shared" si="81"/>
        <v/>
      </c>
      <c r="AK144" s="67" t="str">
        <f t="shared" si="83"/>
        <v/>
      </c>
    </row>
    <row r="145" spans="4:37" x14ac:dyDescent="0.2">
      <c r="D145" s="29" t="str">
        <f t="shared" si="84"/>
        <v/>
      </c>
      <c r="I145" s="68" t="str">
        <f t="shared" si="85"/>
        <v/>
      </c>
      <c r="J145" s="68">
        <f t="shared" si="86"/>
        <v>0</v>
      </c>
      <c r="K145" s="30" t="str">
        <f t="shared" si="87"/>
        <v/>
      </c>
      <c r="M145" s="44" t="str">
        <f t="shared" si="88"/>
        <v/>
      </c>
      <c r="N145" s="45" t="str">
        <f t="shared" si="89"/>
        <v/>
      </c>
      <c r="O145" s="4" t="str">
        <f t="shared" si="90"/>
        <v/>
      </c>
      <c r="P145" s="68" t="str">
        <f t="shared" si="91"/>
        <v/>
      </c>
      <c r="S145" s="64" t="str">
        <f t="shared" si="92"/>
        <v/>
      </c>
      <c r="T145" s="64" t="str">
        <f t="shared" si="93"/>
        <v/>
      </c>
      <c r="U145" s="109"/>
      <c r="W145" s="64" t="str">
        <f t="shared" si="103"/>
        <v/>
      </c>
      <c r="X145" s="64" t="str">
        <f t="shared" si="104"/>
        <v/>
      </c>
      <c r="Y145" s="4" t="str">
        <f t="shared" si="94"/>
        <v/>
      </c>
      <c r="Z145" s="67" t="str">
        <f t="shared" si="95"/>
        <v/>
      </c>
      <c r="AA145" s="110"/>
      <c r="AB145" s="64" t="str">
        <f t="shared" si="96"/>
        <v/>
      </c>
      <c r="AC145" s="66" t="str">
        <f t="shared" si="97"/>
        <v/>
      </c>
      <c r="AD145" s="69" t="str">
        <f t="shared" si="80"/>
        <v/>
      </c>
      <c r="AE145" s="182" t="str">
        <f t="shared" si="98"/>
        <v/>
      </c>
      <c r="AF145" s="103" t="str">
        <f t="shared" ca="1" si="102"/>
        <v/>
      </c>
      <c r="AG145" s="68" t="str">
        <f t="shared" si="99"/>
        <v/>
      </c>
      <c r="AH145" s="101" t="str">
        <f t="shared" si="100"/>
        <v/>
      </c>
      <c r="AI145" s="101" t="str">
        <f t="shared" si="101"/>
        <v/>
      </c>
      <c r="AJ145" s="4" t="str">
        <f t="shared" si="81"/>
        <v/>
      </c>
      <c r="AK145" s="67" t="str">
        <f t="shared" si="83"/>
        <v/>
      </c>
    </row>
    <row r="146" spans="4:37" x14ac:dyDescent="0.2">
      <c r="D146" s="29" t="str">
        <f t="shared" si="84"/>
        <v/>
      </c>
      <c r="I146" s="68" t="str">
        <f t="shared" si="85"/>
        <v/>
      </c>
      <c r="J146" s="68">
        <f t="shared" si="86"/>
        <v>0</v>
      </c>
      <c r="K146" s="30" t="str">
        <f t="shared" si="87"/>
        <v/>
      </c>
      <c r="M146" s="44" t="str">
        <f t="shared" si="88"/>
        <v/>
      </c>
      <c r="N146" s="45" t="str">
        <f t="shared" si="89"/>
        <v/>
      </c>
      <c r="O146" s="4" t="str">
        <f t="shared" si="90"/>
        <v/>
      </c>
      <c r="P146" s="68" t="str">
        <f t="shared" si="91"/>
        <v/>
      </c>
      <c r="S146" s="64" t="str">
        <f t="shared" si="92"/>
        <v/>
      </c>
      <c r="T146" s="64" t="str">
        <f t="shared" si="93"/>
        <v/>
      </c>
      <c r="U146" s="109"/>
      <c r="W146" s="64" t="str">
        <f t="shared" si="103"/>
        <v/>
      </c>
      <c r="X146" s="64" t="str">
        <f t="shared" si="104"/>
        <v/>
      </c>
      <c r="Y146" s="4" t="str">
        <f t="shared" si="94"/>
        <v/>
      </c>
      <c r="Z146" s="67" t="str">
        <f t="shared" si="95"/>
        <v/>
      </c>
      <c r="AA146" s="110"/>
      <c r="AB146" s="64" t="str">
        <f t="shared" si="96"/>
        <v/>
      </c>
      <c r="AC146" s="66" t="str">
        <f t="shared" si="97"/>
        <v/>
      </c>
      <c r="AD146" s="69" t="str">
        <f t="shared" si="80"/>
        <v/>
      </c>
      <c r="AE146" s="182" t="str">
        <f t="shared" si="98"/>
        <v/>
      </c>
      <c r="AF146" s="103" t="str">
        <f t="shared" ca="1" si="102"/>
        <v/>
      </c>
      <c r="AG146" s="68" t="str">
        <f t="shared" si="99"/>
        <v/>
      </c>
      <c r="AH146" s="101" t="str">
        <f t="shared" si="100"/>
        <v/>
      </c>
      <c r="AI146" s="101" t="str">
        <f t="shared" si="101"/>
        <v/>
      </c>
      <c r="AJ146" s="4" t="str">
        <f t="shared" si="81"/>
        <v/>
      </c>
      <c r="AK146" s="67" t="str">
        <f t="shared" si="83"/>
        <v/>
      </c>
    </row>
    <row r="147" spans="4:37" x14ac:dyDescent="0.2">
      <c r="D147" s="29" t="str">
        <f t="shared" si="84"/>
        <v/>
      </c>
      <c r="I147" s="68" t="str">
        <f t="shared" si="85"/>
        <v/>
      </c>
      <c r="J147" s="68">
        <f t="shared" si="86"/>
        <v>0</v>
      </c>
      <c r="K147" s="30" t="str">
        <f t="shared" si="87"/>
        <v/>
      </c>
      <c r="M147" s="44" t="str">
        <f t="shared" si="88"/>
        <v/>
      </c>
      <c r="N147" s="45" t="str">
        <f t="shared" si="89"/>
        <v/>
      </c>
      <c r="O147" s="4" t="str">
        <f t="shared" si="90"/>
        <v/>
      </c>
      <c r="P147" s="68" t="str">
        <f t="shared" si="91"/>
        <v/>
      </c>
      <c r="S147" s="64" t="str">
        <f t="shared" si="92"/>
        <v/>
      </c>
      <c r="T147" s="64" t="str">
        <f t="shared" si="93"/>
        <v/>
      </c>
      <c r="U147" s="109"/>
      <c r="W147" s="64" t="str">
        <f t="shared" si="103"/>
        <v/>
      </c>
      <c r="X147" s="64" t="str">
        <f t="shared" si="104"/>
        <v/>
      </c>
      <c r="Y147" s="4" t="str">
        <f t="shared" si="94"/>
        <v/>
      </c>
      <c r="Z147" s="67" t="str">
        <f t="shared" si="95"/>
        <v/>
      </c>
      <c r="AA147" s="110"/>
      <c r="AB147" s="64" t="str">
        <f t="shared" si="96"/>
        <v/>
      </c>
      <c r="AC147" s="66" t="str">
        <f t="shared" si="97"/>
        <v/>
      </c>
      <c r="AD147" s="69" t="str">
        <f t="shared" si="80"/>
        <v/>
      </c>
      <c r="AE147" s="182" t="str">
        <f t="shared" si="98"/>
        <v/>
      </c>
      <c r="AF147" s="103" t="str">
        <f t="shared" ca="1" si="102"/>
        <v/>
      </c>
      <c r="AG147" s="68" t="str">
        <f t="shared" si="99"/>
        <v/>
      </c>
      <c r="AH147" s="101" t="str">
        <f t="shared" si="100"/>
        <v/>
      </c>
      <c r="AI147" s="101" t="str">
        <f t="shared" si="101"/>
        <v/>
      </c>
      <c r="AJ147" s="4" t="str">
        <f t="shared" si="81"/>
        <v/>
      </c>
      <c r="AK147" s="67" t="str">
        <f t="shared" si="83"/>
        <v/>
      </c>
    </row>
    <row r="148" spans="4:37" x14ac:dyDescent="0.2">
      <c r="D148" s="29" t="str">
        <f t="shared" si="84"/>
        <v/>
      </c>
      <c r="I148" s="68" t="str">
        <f t="shared" si="85"/>
        <v/>
      </c>
      <c r="J148" s="68">
        <f t="shared" si="86"/>
        <v>0</v>
      </c>
      <c r="K148" s="30" t="str">
        <f t="shared" si="87"/>
        <v/>
      </c>
      <c r="M148" s="44" t="str">
        <f t="shared" si="88"/>
        <v/>
      </c>
      <c r="N148" s="45" t="str">
        <f t="shared" si="89"/>
        <v/>
      </c>
      <c r="O148" s="4" t="str">
        <f t="shared" si="90"/>
        <v/>
      </c>
      <c r="P148" s="68" t="str">
        <f t="shared" si="91"/>
        <v/>
      </c>
      <c r="S148" s="64" t="str">
        <f t="shared" si="92"/>
        <v/>
      </c>
      <c r="T148" s="64" t="str">
        <f t="shared" si="93"/>
        <v/>
      </c>
      <c r="U148" s="109"/>
      <c r="W148" s="64" t="str">
        <f t="shared" si="103"/>
        <v/>
      </c>
      <c r="X148" s="64" t="str">
        <f t="shared" si="104"/>
        <v/>
      </c>
      <c r="Y148" s="4" t="str">
        <f t="shared" si="94"/>
        <v/>
      </c>
      <c r="Z148" s="67" t="str">
        <f t="shared" si="95"/>
        <v/>
      </c>
      <c r="AA148" s="110"/>
      <c r="AB148" s="64" t="str">
        <f t="shared" si="96"/>
        <v/>
      </c>
      <c r="AC148" s="66" t="str">
        <f t="shared" si="97"/>
        <v/>
      </c>
      <c r="AD148" s="69" t="str">
        <f t="shared" si="80"/>
        <v/>
      </c>
      <c r="AE148" s="182" t="str">
        <f t="shared" si="98"/>
        <v/>
      </c>
      <c r="AF148" s="103" t="str">
        <f t="shared" ca="1" si="102"/>
        <v/>
      </c>
      <c r="AG148" s="68" t="str">
        <f t="shared" si="99"/>
        <v/>
      </c>
      <c r="AH148" s="101" t="str">
        <f t="shared" si="100"/>
        <v/>
      </c>
      <c r="AI148" s="101" t="str">
        <f t="shared" si="101"/>
        <v/>
      </c>
      <c r="AJ148" s="4" t="str">
        <f t="shared" si="81"/>
        <v/>
      </c>
      <c r="AK148" s="67" t="str">
        <f t="shared" si="83"/>
        <v/>
      </c>
    </row>
    <row r="149" spans="4:37" x14ac:dyDescent="0.2">
      <c r="D149" s="29" t="str">
        <f t="shared" si="84"/>
        <v/>
      </c>
      <c r="I149" s="68" t="str">
        <f t="shared" si="85"/>
        <v/>
      </c>
      <c r="J149" s="68">
        <f t="shared" si="86"/>
        <v>0</v>
      </c>
      <c r="K149" s="30" t="str">
        <f t="shared" si="87"/>
        <v/>
      </c>
      <c r="M149" s="44" t="str">
        <f t="shared" si="88"/>
        <v/>
      </c>
      <c r="N149" s="45" t="str">
        <f t="shared" si="89"/>
        <v/>
      </c>
      <c r="O149" s="4" t="str">
        <f t="shared" si="90"/>
        <v/>
      </c>
      <c r="P149" s="68" t="str">
        <f t="shared" si="91"/>
        <v/>
      </c>
      <c r="S149" s="64" t="str">
        <f t="shared" si="92"/>
        <v/>
      </c>
      <c r="T149" s="64" t="str">
        <f t="shared" si="93"/>
        <v/>
      </c>
      <c r="U149" s="109"/>
      <c r="W149" s="64" t="str">
        <f t="shared" si="103"/>
        <v/>
      </c>
      <c r="X149" s="64" t="str">
        <f t="shared" si="104"/>
        <v/>
      </c>
      <c r="Y149" s="4" t="str">
        <f t="shared" si="94"/>
        <v/>
      </c>
      <c r="Z149" s="67" t="str">
        <f t="shared" si="95"/>
        <v/>
      </c>
      <c r="AA149" s="110"/>
      <c r="AB149" s="64" t="str">
        <f t="shared" si="96"/>
        <v/>
      </c>
      <c r="AC149" s="66" t="str">
        <f t="shared" si="97"/>
        <v/>
      </c>
      <c r="AD149" s="69" t="str">
        <f t="shared" si="80"/>
        <v/>
      </c>
      <c r="AE149" s="182" t="str">
        <f t="shared" si="98"/>
        <v/>
      </c>
      <c r="AF149" s="103" t="str">
        <f t="shared" ca="1" si="102"/>
        <v/>
      </c>
      <c r="AG149" s="68" t="str">
        <f t="shared" si="99"/>
        <v/>
      </c>
      <c r="AH149" s="101" t="str">
        <f t="shared" si="100"/>
        <v/>
      </c>
      <c r="AI149" s="101" t="str">
        <f t="shared" si="101"/>
        <v/>
      </c>
      <c r="AJ149" s="4" t="str">
        <f t="shared" si="81"/>
        <v/>
      </c>
      <c r="AK149" s="67" t="str">
        <f t="shared" si="83"/>
        <v/>
      </c>
    </row>
    <row r="150" spans="4:37" x14ac:dyDescent="0.2">
      <c r="D150" s="29" t="str">
        <f t="shared" si="84"/>
        <v/>
      </c>
      <c r="I150" s="68" t="str">
        <f t="shared" si="85"/>
        <v/>
      </c>
      <c r="J150" s="68">
        <f t="shared" si="86"/>
        <v>0</v>
      </c>
      <c r="K150" s="30" t="str">
        <f t="shared" si="87"/>
        <v/>
      </c>
      <c r="M150" s="44" t="str">
        <f t="shared" si="88"/>
        <v/>
      </c>
      <c r="N150" s="45" t="str">
        <f t="shared" si="89"/>
        <v/>
      </c>
      <c r="O150" s="4" t="str">
        <f t="shared" si="90"/>
        <v/>
      </c>
      <c r="P150" s="68" t="str">
        <f t="shared" si="91"/>
        <v/>
      </c>
      <c r="S150" s="64" t="str">
        <f t="shared" si="92"/>
        <v/>
      </c>
      <c r="T150" s="64" t="str">
        <f t="shared" si="93"/>
        <v/>
      </c>
      <c r="U150" s="109"/>
      <c r="W150" s="64" t="str">
        <f t="shared" si="103"/>
        <v/>
      </c>
      <c r="X150" s="64" t="str">
        <f t="shared" si="104"/>
        <v/>
      </c>
      <c r="Y150" s="4" t="str">
        <f t="shared" si="94"/>
        <v/>
      </c>
      <c r="Z150" s="67" t="str">
        <f t="shared" si="95"/>
        <v/>
      </c>
      <c r="AA150" s="110"/>
      <c r="AB150" s="64" t="str">
        <f t="shared" si="96"/>
        <v/>
      </c>
      <c r="AC150" s="66" t="str">
        <f t="shared" si="97"/>
        <v/>
      </c>
      <c r="AD150" s="69" t="str">
        <f t="shared" si="80"/>
        <v/>
      </c>
      <c r="AE150" s="182" t="str">
        <f t="shared" si="98"/>
        <v/>
      </c>
      <c r="AF150" s="103" t="str">
        <f t="shared" ca="1" si="102"/>
        <v/>
      </c>
      <c r="AG150" s="68" t="str">
        <f t="shared" si="99"/>
        <v/>
      </c>
      <c r="AH150" s="101" t="str">
        <f t="shared" si="100"/>
        <v/>
      </c>
      <c r="AI150" s="101" t="str">
        <f t="shared" si="101"/>
        <v/>
      </c>
      <c r="AJ150" s="4" t="str">
        <f t="shared" si="81"/>
        <v/>
      </c>
      <c r="AK150" s="67" t="str">
        <f t="shared" si="83"/>
        <v/>
      </c>
    </row>
  </sheetData>
  <sheetProtection selectLockedCells="1" sort="0" autoFilter="0"/>
  <phoneticPr fontId="5" type="noConversion"/>
  <conditionalFormatting sqref="AF2:AF150">
    <cfRule type="cellIs" dxfId="117" priority="3" stopIfTrue="1" operator="notEqual">
      <formula>0</formula>
    </cfRule>
  </conditionalFormatting>
  <conditionalFormatting sqref="L2:L112">
    <cfRule type="containsText" dxfId="116" priority="1" stopIfTrue="1" operator="containsText" text="Dem convention">
      <formula>NOT(ISERROR(SEARCH("Dem convention",L2)))</formula>
    </cfRule>
    <cfRule type="containsText" dxfId="115" priority="2" stopIfTrue="1" operator="containsText" text="Sous-réserve">
      <formula>NOT(ISERROR(SEARCH("Sous-réserve",L2)))</formula>
    </cfRule>
    <cfRule type="containsText" dxfId="114" priority="6" stopIfTrue="1" operator="containsText" text="Convention">
      <formula>NOT(ISERROR(SEARCH("Convention",L2)))</formula>
    </cfRule>
    <cfRule type="containsText" dxfId="113" priority="7" stopIfTrue="1" operator="containsText" text="Sans suite">
      <formula>NOT(ISERROR(SEARCH("Sans suite",L2)))</formula>
    </cfRule>
    <cfRule type="containsText" dxfId="112" priority="8" stopIfTrue="1" operator="containsText" text="Annulé">
      <formula>NOT(ISERROR(SEARCH("Annulé",L2)))</formula>
    </cfRule>
  </conditionalFormatting>
  <dataValidations disablePrompts="1" count="3">
    <dataValidation type="list" allowBlank="1" showInputMessage="1" showErrorMessage="1" sqref="A2:A112">
      <formula1>Nom</formula1>
    </dataValidation>
    <dataValidation type="list" allowBlank="1" showInputMessage="1" showErrorMessage="1" sqref="L2:L112">
      <formula1>Statut</formula1>
    </dataValidation>
    <dataValidation type="list" allowBlank="1" showInputMessage="1" showErrorMessage="1" sqref="Q2:Q148 U2:U148">
      <formula1>Régime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46" fitToHeight="0" orientation="landscape" r:id="rId1"/>
  <headerFooter>
    <oddHeader>&amp;C&amp;F
&amp;G</oddHeader>
    <oddFooter>&amp;L&amp;D&amp;C&amp;"Times New Roman,Gras"CLP - ESCALE en Baie de Somme&amp;R&amp;A</oddFooter>
  </headerFooter>
  <ignoredErrors>
    <ignoredError sqref="AH15 AJ111" formula="1"/>
  </ignoredErrors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I35"/>
  <sheetViews>
    <sheetView showGridLines="0" showZeros="0" zoomScale="80" zoomScaleNormal="80" workbookViewId="0">
      <pane ySplit="5" topLeftCell="A6" activePane="bottomLeft" state="frozen"/>
      <selection activeCell="J22" sqref="J22"/>
      <selection pane="bottomLeft" activeCell="AG6" sqref="AG6"/>
    </sheetView>
  </sheetViews>
  <sheetFormatPr baseColWidth="10" defaultRowHeight="12.75" x14ac:dyDescent="0.2"/>
  <cols>
    <col min="1" max="1" width="50.83203125" style="25" customWidth="1"/>
    <col min="2" max="32" width="7.1640625" style="1" customWidth="1"/>
    <col min="33" max="33" width="15.83203125" style="4" customWidth="1"/>
    <col min="34" max="34" width="12" style="4"/>
    <col min="35" max="16384" width="12" style="1"/>
  </cols>
  <sheetData>
    <row r="1" spans="1:35" ht="20.100000000000001" customHeight="1" thickBot="1" x14ac:dyDescent="0.25">
      <c r="A1" s="11">
        <v>2017</v>
      </c>
      <c r="B1" s="283"/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  <c r="N1" s="275"/>
      <c r="O1" s="275"/>
      <c r="P1" s="275"/>
      <c r="Q1" s="275"/>
      <c r="R1" s="275"/>
      <c r="S1" s="275"/>
      <c r="T1" s="275"/>
      <c r="U1" s="275"/>
      <c r="V1" s="275"/>
      <c r="W1" s="275"/>
      <c r="X1" s="275"/>
      <c r="Y1" s="275"/>
      <c r="Z1" s="275"/>
      <c r="AA1" s="275"/>
      <c r="AB1" s="275"/>
      <c r="AC1" s="275"/>
      <c r="AD1" s="275"/>
      <c r="AE1" s="275"/>
      <c r="AF1" s="275"/>
      <c r="AI1" s="4"/>
    </row>
    <row r="2" spans="1:35" ht="20.100000000000001" customHeight="1" x14ac:dyDescent="0.2">
      <c r="A2" s="274"/>
      <c r="B2" s="277" t="s">
        <v>18</v>
      </c>
      <c r="C2" s="278"/>
      <c r="D2" s="278"/>
      <c r="E2" s="278"/>
      <c r="F2" s="278"/>
      <c r="G2" s="278"/>
      <c r="H2" s="278"/>
      <c r="I2" s="278"/>
      <c r="J2" s="278"/>
      <c r="K2" s="278"/>
      <c r="L2" s="278"/>
      <c r="M2" s="278"/>
      <c r="N2" s="278"/>
      <c r="O2" s="278"/>
      <c r="P2" s="278"/>
      <c r="Q2" s="278"/>
      <c r="R2" s="278"/>
      <c r="S2" s="278"/>
      <c r="T2" s="278"/>
      <c r="U2" s="278"/>
      <c r="V2" s="278"/>
      <c r="W2" s="278"/>
      <c r="X2" s="278"/>
      <c r="Y2" s="278"/>
      <c r="Z2" s="278"/>
      <c r="AA2" s="278"/>
      <c r="AB2" s="278"/>
      <c r="AC2" s="278"/>
      <c r="AD2" s="278"/>
      <c r="AE2" s="278"/>
      <c r="AF2" s="279"/>
      <c r="AG2" s="273" t="s">
        <v>33</v>
      </c>
      <c r="AH2" s="8"/>
    </row>
    <row r="3" spans="1:35" ht="20.100000000000001" customHeight="1" thickBot="1" x14ac:dyDescent="0.25">
      <c r="A3" s="275"/>
      <c r="B3" s="280"/>
      <c r="C3" s="281"/>
      <c r="D3" s="281"/>
      <c r="E3" s="281"/>
      <c r="F3" s="281"/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281"/>
      <c r="S3" s="281"/>
      <c r="T3" s="281"/>
      <c r="U3" s="281"/>
      <c r="V3" s="281"/>
      <c r="W3" s="281"/>
      <c r="X3" s="281"/>
      <c r="Y3" s="281"/>
      <c r="Z3" s="281"/>
      <c r="AA3" s="281"/>
      <c r="AB3" s="281"/>
      <c r="AC3" s="281"/>
      <c r="AD3" s="281"/>
      <c r="AE3" s="281"/>
      <c r="AF3" s="282"/>
      <c r="AG3" s="273"/>
      <c r="AH3" s="8"/>
    </row>
    <row r="4" spans="1:35" s="2" customFormat="1" ht="20.100000000000001" customHeight="1" x14ac:dyDescent="0.2">
      <c r="A4" s="276"/>
      <c r="B4" s="6">
        <f>DATE(An,MONTH(1&amp;B2),1)</f>
        <v>43009</v>
      </c>
      <c r="C4" s="6">
        <f>B4+1</f>
        <v>43010</v>
      </c>
      <c r="D4" s="6">
        <f t="shared" ref="D4:AC4" si="0">C4+1</f>
        <v>43011</v>
      </c>
      <c r="E4" s="6">
        <f t="shared" si="0"/>
        <v>43012</v>
      </c>
      <c r="F4" s="6">
        <f t="shared" si="0"/>
        <v>43013</v>
      </c>
      <c r="G4" s="6">
        <f t="shared" si="0"/>
        <v>43014</v>
      </c>
      <c r="H4" s="6">
        <f t="shared" si="0"/>
        <v>43015</v>
      </c>
      <c r="I4" s="6">
        <f t="shared" si="0"/>
        <v>43016</v>
      </c>
      <c r="J4" s="6">
        <f t="shared" si="0"/>
        <v>43017</v>
      </c>
      <c r="K4" s="6">
        <f t="shared" si="0"/>
        <v>43018</v>
      </c>
      <c r="L4" s="6">
        <f t="shared" si="0"/>
        <v>43019</v>
      </c>
      <c r="M4" s="6">
        <f>L4+1</f>
        <v>43020</v>
      </c>
      <c r="N4" s="6">
        <f t="shared" si="0"/>
        <v>43021</v>
      </c>
      <c r="O4" s="6">
        <f>N4+1</f>
        <v>43022</v>
      </c>
      <c r="P4" s="6">
        <f t="shared" si="0"/>
        <v>43023</v>
      </c>
      <c r="Q4" s="6">
        <f t="shared" si="0"/>
        <v>43024</v>
      </c>
      <c r="R4" s="6">
        <f t="shared" si="0"/>
        <v>43025</v>
      </c>
      <c r="S4" s="6">
        <f t="shared" si="0"/>
        <v>43026</v>
      </c>
      <c r="T4" s="6">
        <f t="shared" si="0"/>
        <v>43027</v>
      </c>
      <c r="U4" s="6">
        <f t="shared" si="0"/>
        <v>43028</v>
      </c>
      <c r="V4" s="6">
        <f t="shared" si="0"/>
        <v>43029</v>
      </c>
      <c r="W4" s="6">
        <f t="shared" si="0"/>
        <v>43030</v>
      </c>
      <c r="X4" s="6">
        <f t="shared" si="0"/>
        <v>43031</v>
      </c>
      <c r="Y4" s="6">
        <f t="shared" si="0"/>
        <v>43032</v>
      </c>
      <c r="Z4" s="6">
        <f t="shared" si="0"/>
        <v>43033</v>
      </c>
      <c r="AA4" s="6">
        <f t="shared" si="0"/>
        <v>43034</v>
      </c>
      <c r="AB4" s="6">
        <f t="shared" si="0"/>
        <v>43035</v>
      </c>
      <c r="AC4" s="6">
        <f t="shared" si="0"/>
        <v>43036</v>
      </c>
      <c r="AD4" s="6">
        <f>IF(AC4=0,0,IF(MONTH(AC4)&lt;&gt;MONTH(AC4+1),0,AC4+1))</f>
        <v>43037</v>
      </c>
      <c r="AE4" s="6">
        <f>IF(AD4=0,0,IF(MONTH(AD4)&lt;&gt;MONTH(AD4+1),0,AD4+1))</f>
        <v>43038</v>
      </c>
      <c r="AF4" s="6">
        <f>IF(AE4=0,0,IF(MONTH(AE4)&lt;&gt;MONTH(AE4+1),0,AE4+1))</f>
        <v>43039</v>
      </c>
      <c r="AG4" s="7"/>
      <c r="AH4" s="4"/>
    </row>
    <row r="5" spans="1:35" s="2" customFormat="1" ht="20.100000000000001" customHeight="1" x14ac:dyDescent="0.2">
      <c r="A5" s="14" t="s">
        <v>26</v>
      </c>
      <c r="B5" s="13">
        <f t="shared" ref="B5:AF5" si="1">B4</f>
        <v>43009</v>
      </c>
      <c r="C5" s="13">
        <f t="shared" si="1"/>
        <v>43010</v>
      </c>
      <c r="D5" s="13">
        <f t="shared" si="1"/>
        <v>43011</v>
      </c>
      <c r="E5" s="13">
        <f t="shared" si="1"/>
        <v>43012</v>
      </c>
      <c r="F5" s="13">
        <f t="shared" si="1"/>
        <v>43013</v>
      </c>
      <c r="G5" s="13">
        <f t="shared" si="1"/>
        <v>43014</v>
      </c>
      <c r="H5" s="13">
        <f t="shared" si="1"/>
        <v>43015</v>
      </c>
      <c r="I5" s="13">
        <f t="shared" si="1"/>
        <v>43016</v>
      </c>
      <c r="J5" s="13">
        <f t="shared" si="1"/>
        <v>43017</v>
      </c>
      <c r="K5" s="13">
        <f t="shared" si="1"/>
        <v>43018</v>
      </c>
      <c r="L5" s="13">
        <f t="shared" si="1"/>
        <v>43019</v>
      </c>
      <c r="M5" s="13">
        <f t="shared" si="1"/>
        <v>43020</v>
      </c>
      <c r="N5" s="13">
        <f t="shared" si="1"/>
        <v>43021</v>
      </c>
      <c r="O5" s="13">
        <f t="shared" si="1"/>
        <v>43022</v>
      </c>
      <c r="P5" s="13">
        <f t="shared" si="1"/>
        <v>43023</v>
      </c>
      <c r="Q5" s="13">
        <f t="shared" si="1"/>
        <v>43024</v>
      </c>
      <c r="R5" s="13">
        <f t="shared" si="1"/>
        <v>43025</v>
      </c>
      <c r="S5" s="13">
        <f t="shared" si="1"/>
        <v>43026</v>
      </c>
      <c r="T5" s="13">
        <f t="shared" si="1"/>
        <v>43027</v>
      </c>
      <c r="U5" s="13">
        <f t="shared" si="1"/>
        <v>43028</v>
      </c>
      <c r="V5" s="13">
        <f t="shared" si="1"/>
        <v>43029</v>
      </c>
      <c r="W5" s="13">
        <f t="shared" si="1"/>
        <v>43030</v>
      </c>
      <c r="X5" s="13">
        <f t="shared" si="1"/>
        <v>43031</v>
      </c>
      <c r="Y5" s="13">
        <f t="shared" si="1"/>
        <v>43032</v>
      </c>
      <c r="Z5" s="13">
        <f t="shared" si="1"/>
        <v>43033</v>
      </c>
      <c r="AA5" s="13">
        <f t="shared" si="1"/>
        <v>43034</v>
      </c>
      <c r="AB5" s="13">
        <f t="shared" si="1"/>
        <v>43035</v>
      </c>
      <c r="AC5" s="13">
        <f t="shared" si="1"/>
        <v>43036</v>
      </c>
      <c r="AD5" s="13">
        <f t="shared" si="1"/>
        <v>43037</v>
      </c>
      <c r="AE5" s="13">
        <f t="shared" si="1"/>
        <v>43038</v>
      </c>
      <c r="AF5" s="13">
        <f t="shared" si="1"/>
        <v>43039</v>
      </c>
      <c r="AG5" s="7"/>
      <c r="AH5" s="4"/>
    </row>
    <row r="6" spans="1:35" s="2" customFormat="1" ht="20.100000000000001" customHeight="1" x14ac:dyDescent="0.2">
      <c r="A6" s="3" t="str">
        <f t="array" aca="1" ref="A6" ca="1">INDEX(ColA,MIN(IF((MONTH(Debut)=MONTH(1&amp;$B$2))+(MONTH(Fin)=MONTH(1&amp;$B$2)),IF(COUNTIF(A$5:A5,Noms)=0,ROW(Noms)))))&amp;""</f>
        <v>TEST 102</v>
      </c>
      <c r="B6" s="18">
        <f t="shared" ref="B6:K15" ca="1" si="2">SUMPRODUCT((Profil="Convention")*(Noms=$A6)*(B$4&gt;=Debut)*(B$4&lt;=Fin))+SUMPRODUCT((Profil="Dem convention")*(Noms=$A6)*(B$4&gt;=Debut)*(B$4&lt;=Fin)*2)+SUMPRODUCT((Profil="Sous-réserve")*(Noms=$A6)*(B$4&gt;=Debut)*(B$4&lt;=Fin)*3)+SUMPRODUCT((Profil="Sans suite")*(Noms=$A6)*(B$4&gt;=Debut)*(B$4&lt;=Fin)*4)+SUMPRODUCT((Profil="Annulé")*(Noms=$A6)*(B$4&gt;=Debut)*(B$4&lt;=Fin)*5)</f>
        <v>1</v>
      </c>
      <c r="C6" s="18">
        <f t="shared" ca="1" si="2"/>
        <v>1</v>
      </c>
      <c r="D6" s="18">
        <f t="shared" ca="1" si="2"/>
        <v>1</v>
      </c>
      <c r="E6" s="18">
        <f t="shared" ca="1" si="2"/>
        <v>1</v>
      </c>
      <c r="F6" s="18">
        <f t="shared" ca="1" si="2"/>
        <v>1</v>
      </c>
      <c r="G6" s="18">
        <f t="shared" ca="1" si="2"/>
        <v>1</v>
      </c>
      <c r="H6" s="18">
        <f t="shared" ca="1" si="2"/>
        <v>0</v>
      </c>
      <c r="I6" s="18">
        <f t="shared" ca="1" si="2"/>
        <v>0</v>
      </c>
      <c r="J6" s="18">
        <f t="shared" ca="1" si="2"/>
        <v>0</v>
      </c>
      <c r="K6" s="18">
        <f t="shared" ca="1" si="2"/>
        <v>0</v>
      </c>
      <c r="L6" s="18">
        <f t="shared" ref="L6:U15" ca="1" si="3">SUMPRODUCT((Profil="Convention")*(Noms=$A6)*(L$4&gt;=Debut)*(L$4&lt;=Fin))+SUMPRODUCT((Profil="Dem convention")*(Noms=$A6)*(L$4&gt;=Debut)*(L$4&lt;=Fin)*2)+SUMPRODUCT((Profil="Sous-réserve")*(Noms=$A6)*(L$4&gt;=Debut)*(L$4&lt;=Fin)*3)+SUMPRODUCT((Profil="Sans suite")*(Noms=$A6)*(L$4&gt;=Debut)*(L$4&lt;=Fin)*4)+SUMPRODUCT((Profil="Annulé")*(Noms=$A6)*(L$4&gt;=Debut)*(L$4&lt;=Fin)*5)</f>
        <v>0</v>
      </c>
      <c r="M6" s="18">
        <f t="shared" ca="1" si="3"/>
        <v>0</v>
      </c>
      <c r="N6" s="18">
        <f t="shared" ca="1" si="3"/>
        <v>0</v>
      </c>
      <c r="O6" s="18">
        <f t="shared" ca="1" si="3"/>
        <v>0</v>
      </c>
      <c r="P6" s="18">
        <f t="shared" ca="1" si="3"/>
        <v>0</v>
      </c>
      <c r="Q6" s="18">
        <f t="shared" ca="1" si="3"/>
        <v>0</v>
      </c>
      <c r="R6" s="18">
        <f t="shared" ca="1" si="3"/>
        <v>0</v>
      </c>
      <c r="S6" s="18">
        <f t="shared" ca="1" si="3"/>
        <v>0</v>
      </c>
      <c r="T6" s="18">
        <f t="shared" ca="1" si="3"/>
        <v>0</v>
      </c>
      <c r="U6" s="18">
        <f t="shared" ca="1" si="3"/>
        <v>0</v>
      </c>
      <c r="V6" s="18">
        <f t="shared" ref="V6:AF15" ca="1" si="4">SUMPRODUCT((Profil="Convention")*(Noms=$A6)*(V$4&gt;=Debut)*(V$4&lt;=Fin))+SUMPRODUCT((Profil="Dem convention")*(Noms=$A6)*(V$4&gt;=Debut)*(V$4&lt;=Fin)*2)+SUMPRODUCT((Profil="Sous-réserve")*(Noms=$A6)*(V$4&gt;=Debut)*(V$4&lt;=Fin)*3)+SUMPRODUCT((Profil="Sans suite")*(Noms=$A6)*(V$4&gt;=Debut)*(V$4&lt;=Fin)*4)+SUMPRODUCT((Profil="Annulé")*(Noms=$A6)*(V$4&gt;=Debut)*(V$4&lt;=Fin)*5)</f>
        <v>0</v>
      </c>
      <c r="W6" s="18">
        <f t="shared" ca="1" si="4"/>
        <v>0</v>
      </c>
      <c r="X6" s="18">
        <f t="shared" ca="1" si="4"/>
        <v>0</v>
      </c>
      <c r="Y6" s="18">
        <f t="shared" ca="1" si="4"/>
        <v>0</v>
      </c>
      <c r="Z6" s="18">
        <f t="shared" ca="1" si="4"/>
        <v>0</v>
      </c>
      <c r="AA6" s="18">
        <f t="shared" ca="1" si="4"/>
        <v>0</v>
      </c>
      <c r="AB6" s="18">
        <f t="shared" ca="1" si="4"/>
        <v>0</v>
      </c>
      <c r="AC6" s="18">
        <f t="shared" ca="1" si="4"/>
        <v>0</v>
      </c>
      <c r="AD6" s="18">
        <f t="shared" ca="1" si="4"/>
        <v>0</v>
      </c>
      <c r="AE6" s="18">
        <f t="shared" ca="1" si="4"/>
        <v>0</v>
      </c>
      <c r="AF6" s="18">
        <f t="shared" ca="1" si="4"/>
        <v>0</v>
      </c>
      <c r="AG6" s="21">
        <f t="shared" ref="AG6:AG30" ca="1" si="5">SUMPRODUCT((Noms=A6)*(MONTH(Debut)=MONTH($B$4))*OFFSET(Debut,,30))+SUMPRODUCT((Noms=A6)*(MONTH(Debut)=MONTH($B$4-1))*OFFSET(Debut,,31))</f>
        <v>5</v>
      </c>
      <c r="AH6" s="9"/>
    </row>
    <row r="7" spans="1:35" s="2" customFormat="1" ht="20.100000000000001" customHeight="1" x14ac:dyDescent="0.2">
      <c r="A7" s="3" t="str">
        <f t="array" aca="1" ref="A7" ca="1">INDEX(ColA,MIN(IF((MONTH(Debut)=MONTH(1&amp;$B$2))+(MONTH(Fin)=MONTH(1&amp;$B$2)),IF(COUNTIF(A$5:A6,Noms)=0,ROW(Noms)))))&amp;""</f>
        <v>TEST 103</v>
      </c>
      <c r="B7" s="18">
        <f t="shared" ca="1" si="2"/>
        <v>0</v>
      </c>
      <c r="C7" s="18">
        <f t="shared" ca="1" si="2"/>
        <v>0</v>
      </c>
      <c r="D7" s="18">
        <f t="shared" ca="1" si="2"/>
        <v>0</v>
      </c>
      <c r="E7" s="18">
        <f t="shared" ca="1" si="2"/>
        <v>0</v>
      </c>
      <c r="F7" s="18">
        <f t="shared" ca="1" si="2"/>
        <v>0</v>
      </c>
      <c r="G7" s="18">
        <f t="shared" ca="1" si="2"/>
        <v>0</v>
      </c>
      <c r="H7" s="18">
        <f t="shared" ca="1" si="2"/>
        <v>1</v>
      </c>
      <c r="I7" s="18">
        <f t="shared" ca="1" si="2"/>
        <v>1</v>
      </c>
      <c r="J7" s="18">
        <f t="shared" ca="1" si="2"/>
        <v>0</v>
      </c>
      <c r="K7" s="18">
        <f t="shared" ca="1" si="2"/>
        <v>0</v>
      </c>
      <c r="L7" s="18">
        <f t="shared" ca="1" si="3"/>
        <v>0</v>
      </c>
      <c r="M7" s="18">
        <f t="shared" ca="1" si="3"/>
        <v>0</v>
      </c>
      <c r="N7" s="18">
        <f t="shared" ca="1" si="3"/>
        <v>0</v>
      </c>
      <c r="O7" s="18">
        <f t="shared" ca="1" si="3"/>
        <v>0</v>
      </c>
      <c r="P7" s="18">
        <f t="shared" ca="1" si="3"/>
        <v>0</v>
      </c>
      <c r="Q7" s="18">
        <f t="shared" ca="1" si="3"/>
        <v>0</v>
      </c>
      <c r="R7" s="18">
        <f t="shared" ca="1" si="3"/>
        <v>0</v>
      </c>
      <c r="S7" s="18">
        <f t="shared" ca="1" si="3"/>
        <v>0</v>
      </c>
      <c r="T7" s="18">
        <f t="shared" ca="1" si="3"/>
        <v>0</v>
      </c>
      <c r="U7" s="18">
        <f t="shared" ca="1" si="3"/>
        <v>0</v>
      </c>
      <c r="V7" s="18">
        <f t="shared" ca="1" si="4"/>
        <v>0</v>
      </c>
      <c r="W7" s="18">
        <f t="shared" ca="1" si="4"/>
        <v>0</v>
      </c>
      <c r="X7" s="18">
        <f t="shared" ca="1" si="4"/>
        <v>0</v>
      </c>
      <c r="Y7" s="18">
        <f t="shared" ca="1" si="4"/>
        <v>0</v>
      </c>
      <c r="Z7" s="18">
        <f t="shared" ca="1" si="4"/>
        <v>0</v>
      </c>
      <c r="AA7" s="18">
        <f t="shared" ca="1" si="4"/>
        <v>0</v>
      </c>
      <c r="AB7" s="18">
        <f t="shared" ca="1" si="4"/>
        <v>0</v>
      </c>
      <c r="AC7" s="18">
        <f t="shared" ca="1" si="4"/>
        <v>0</v>
      </c>
      <c r="AD7" s="18">
        <f t="shared" ca="1" si="4"/>
        <v>0</v>
      </c>
      <c r="AE7" s="18">
        <f t="shared" ca="1" si="4"/>
        <v>0</v>
      </c>
      <c r="AF7" s="18">
        <f t="shared" ca="1" si="4"/>
        <v>0</v>
      </c>
      <c r="AG7" s="21">
        <f t="shared" ca="1" si="5"/>
        <v>1</v>
      </c>
    </row>
    <row r="8" spans="1:35" s="2" customFormat="1" ht="20.100000000000001" customHeight="1" x14ac:dyDescent="0.2">
      <c r="A8" s="3" t="str">
        <f t="array" aca="1" ref="A8" ca="1">INDEX(ColA,MIN(IF((MONTH(Debut)=MONTH(1&amp;$B$2))+(MONTH(Fin)=MONTH(1&amp;$B$2)),IF(COUNTIF(A$5:A7,Noms)=0,ROW(Noms)))))&amp;""</f>
        <v>TEST 104</v>
      </c>
      <c r="B8" s="18">
        <f t="shared" ca="1" si="2"/>
        <v>0</v>
      </c>
      <c r="C8" s="18">
        <f t="shared" ca="1" si="2"/>
        <v>0</v>
      </c>
      <c r="D8" s="18">
        <f t="shared" ca="1" si="2"/>
        <v>0</v>
      </c>
      <c r="E8" s="18">
        <f t="shared" ca="1" si="2"/>
        <v>0</v>
      </c>
      <c r="F8" s="18">
        <f t="shared" ca="1" si="2"/>
        <v>0</v>
      </c>
      <c r="G8" s="18">
        <f t="shared" ca="1" si="2"/>
        <v>0</v>
      </c>
      <c r="H8" s="18">
        <f t="shared" ca="1" si="2"/>
        <v>0</v>
      </c>
      <c r="I8" s="18">
        <f t="shared" ca="1" si="2"/>
        <v>0</v>
      </c>
      <c r="J8" s="18">
        <f t="shared" ca="1" si="2"/>
        <v>1</v>
      </c>
      <c r="K8" s="18">
        <f t="shared" ca="1" si="2"/>
        <v>1</v>
      </c>
      <c r="L8" s="18">
        <f t="shared" ca="1" si="3"/>
        <v>0</v>
      </c>
      <c r="M8" s="18">
        <f t="shared" ca="1" si="3"/>
        <v>0</v>
      </c>
      <c r="N8" s="18">
        <f t="shared" ca="1" si="3"/>
        <v>0</v>
      </c>
      <c r="O8" s="18">
        <f t="shared" ca="1" si="3"/>
        <v>0</v>
      </c>
      <c r="P8" s="18">
        <f t="shared" ca="1" si="3"/>
        <v>0</v>
      </c>
      <c r="Q8" s="18">
        <f t="shared" ca="1" si="3"/>
        <v>0</v>
      </c>
      <c r="R8" s="18">
        <f t="shared" ca="1" si="3"/>
        <v>0</v>
      </c>
      <c r="S8" s="18">
        <f t="shared" ca="1" si="3"/>
        <v>0</v>
      </c>
      <c r="T8" s="18">
        <f t="shared" ca="1" si="3"/>
        <v>0</v>
      </c>
      <c r="U8" s="18">
        <f t="shared" ca="1" si="3"/>
        <v>0</v>
      </c>
      <c r="V8" s="18">
        <f t="shared" ca="1" si="4"/>
        <v>0</v>
      </c>
      <c r="W8" s="18">
        <f t="shared" ca="1" si="4"/>
        <v>0</v>
      </c>
      <c r="X8" s="18">
        <f t="shared" ca="1" si="4"/>
        <v>0</v>
      </c>
      <c r="Y8" s="18">
        <f t="shared" ca="1" si="4"/>
        <v>0</v>
      </c>
      <c r="Z8" s="18">
        <f t="shared" ca="1" si="4"/>
        <v>0</v>
      </c>
      <c r="AA8" s="18">
        <f t="shared" ca="1" si="4"/>
        <v>0</v>
      </c>
      <c r="AB8" s="18">
        <f t="shared" ca="1" si="4"/>
        <v>0</v>
      </c>
      <c r="AC8" s="18">
        <f t="shared" ca="1" si="4"/>
        <v>0</v>
      </c>
      <c r="AD8" s="18">
        <f t="shared" ca="1" si="4"/>
        <v>0</v>
      </c>
      <c r="AE8" s="18">
        <f t="shared" ca="1" si="4"/>
        <v>0</v>
      </c>
      <c r="AF8" s="18">
        <f t="shared" ca="1" si="4"/>
        <v>0</v>
      </c>
      <c r="AG8" s="21">
        <f t="shared" ca="1" si="5"/>
        <v>1</v>
      </c>
    </row>
    <row r="9" spans="1:35" s="2" customFormat="1" ht="20.100000000000001" customHeight="1" x14ac:dyDescent="0.2">
      <c r="A9" s="3" t="str">
        <f t="array" aca="1" ref="A9" ca="1">INDEX(ColA,MIN(IF((MONTH(Debut)=MONTH(1&amp;$B$2))+(MONTH(Fin)=MONTH(1&amp;$B$2)),IF(COUNTIF(A$5:A8,Noms)=0,ROW(Noms)))))&amp;""</f>
        <v>TEST 105</v>
      </c>
      <c r="B9" s="18">
        <f t="shared" ca="1" si="2"/>
        <v>0</v>
      </c>
      <c r="C9" s="18">
        <f t="shared" ca="1" si="2"/>
        <v>0</v>
      </c>
      <c r="D9" s="18">
        <f t="shared" ca="1" si="2"/>
        <v>0</v>
      </c>
      <c r="E9" s="18">
        <f t="shared" ca="1" si="2"/>
        <v>0</v>
      </c>
      <c r="F9" s="18">
        <f t="shared" ca="1" si="2"/>
        <v>0</v>
      </c>
      <c r="G9" s="18">
        <f t="shared" ca="1" si="2"/>
        <v>0</v>
      </c>
      <c r="H9" s="18">
        <f t="shared" ca="1" si="2"/>
        <v>0</v>
      </c>
      <c r="I9" s="18">
        <f t="shared" ca="1" si="2"/>
        <v>0</v>
      </c>
      <c r="J9" s="18">
        <f t="shared" ca="1" si="2"/>
        <v>0</v>
      </c>
      <c r="K9" s="18">
        <f t="shared" ca="1" si="2"/>
        <v>0</v>
      </c>
      <c r="L9" s="18">
        <f t="shared" ca="1" si="3"/>
        <v>0</v>
      </c>
      <c r="M9" s="18">
        <f t="shared" ca="1" si="3"/>
        <v>0</v>
      </c>
      <c r="N9" s="18">
        <f t="shared" ca="1" si="3"/>
        <v>0</v>
      </c>
      <c r="O9" s="18">
        <f t="shared" ca="1" si="3"/>
        <v>1</v>
      </c>
      <c r="P9" s="18">
        <f t="shared" ca="1" si="3"/>
        <v>1</v>
      </c>
      <c r="Q9" s="18">
        <f t="shared" ca="1" si="3"/>
        <v>0</v>
      </c>
      <c r="R9" s="18">
        <f t="shared" ca="1" si="3"/>
        <v>0</v>
      </c>
      <c r="S9" s="18">
        <f t="shared" ca="1" si="3"/>
        <v>0</v>
      </c>
      <c r="T9" s="18">
        <f t="shared" ca="1" si="3"/>
        <v>0</v>
      </c>
      <c r="U9" s="18">
        <f t="shared" ca="1" si="3"/>
        <v>0</v>
      </c>
      <c r="V9" s="18">
        <f t="shared" ca="1" si="4"/>
        <v>0</v>
      </c>
      <c r="W9" s="18">
        <f t="shared" ca="1" si="4"/>
        <v>0</v>
      </c>
      <c r="X9" s="18">
        <f t="shared" ca="1" si="4"/>
        <v>0</v>
      </c>
      <c r="Y9" s="18">
        <f t="shared" ca="1" si="4"/>
        <v>0</v>
      </c>
      <c r="Z9" s="18">
        <f t="shared" ca="1" si="4"/>
        <v>0</v>
      </c>
      <c r="AA9" s="18">
        <f t="shared" ca="1" si="4"/>
        <v>0</v>
      </c>
      <c r="AB9" s="18">
        <f t="shared" ca="1" si="4"/>
        <v>0</v>
      </c>
      <c r="AC9" s="18">
        <f t="shared" ca="1" si="4"/>
        <v>0</v>
      </c>
      <c r="AD9" s="18">
        <f t="shared" ca="1" si="4"/>
        <v>0</v>
      </c>
      <c r="AE9" s="18">
        <f t="shared" ca="1" si="4"/>
        <v>0</v>
      </c>
      <c r="AF9" s="18">
        <f t="shared" ca="1" si="4"/>
        <v>0</v>
      </c>
      <c r="AG9" s="21">
        <f t="shared" ca="1" si="5"/>
        <v>1</v>
      </c>
    </row>
    <row r="10" spans="1:35" s="2" customFormat="1" ht="20.100000000000001" customHeight="1" x14ac:dyDescent="0.2">
      <c r="A10" s="3" t="str">
        <f t="array" aca="1" ref="A10" ca="1">INDEX(ColA,MIN(IF((MONTH(Debut)=MONTH(1&amp;$B$2))+(MONTH(Fin)=MONTH(1&amp;$B$2)),IF(COUNTIF(A$5:A9,Noms)=0,ROW(Noms)))))&amp;""</f>
        <v>TEST 106</v>
      </c>
      <c r="B10" s="18">
        <f t="shared" ca="1" si="2"/>
        <v>0</v>
      </c>
      <c r="C10" s="18">
        <f t="shared" ca="1" si="2"/>
        <v>0</v>
      </c>
      <c r="D10" s="18">
        <f t="shared" ca="1" si="2"/>
        <v>0</v>
      </c>
      <c r="E10" s="18">
        <f t="shared" ca="1" si="2"/>
        <v>0</v>
      </c>
      <c r="F10" s="18">
        <f t="shared" ca="1" si="2"/>
        <v>0</v>
      </c>
      <c r="G10" s="18">
        <f t="shared" ca="1" si="2"/>
        <v>0</v>
      </c>
      <c r="H10" s="18">
        <f t="shared" ca="1" si="2"/>
        <v>0</v>
      </c>
      <c r="I10" s="18">
        <f t="shared" ca="1" si="2"/>
        <v>0</v>
      </c>
      <c r="J10" s="18">
        <f t="shared" ca="1" si="2"/>
        <v>0</v>
      </c>
      <c r="K10" s="18">
        <f t="shared" ca="1" si="2"/>
        <v>0</v>
      </c>
      <c r="L10" s="18">
        <f t="shared" ca="1" si="3"/>
        <v>0</v>
      </c>
      <c r="M10" s="18">
        <f t="shared" ca="1" si="3"/>
        <v>0</v>
      </c>
      <c r="N10" s="18">
        <f t="shared" ca="1" si="3"/>
        <v>0</v>
      </c>
      <c r="O10" s="18">
        <f t="shared" ca="1" si="3"/>
        <v>0</v>
      </c>
      <c r="P10" s="18">
        <f t="shared" ca="1" si="3"/>
        <v>0</v>
      </c>
      <c r="Q10" s="18">
        <f t="shared" ca="1" si="3"/>
        <v>0</v>
      </c>
      <c r="R10" s="18">
        <f t="shared" ca="1" si="3"/>
        <v>2</v>
      </c>
      <c r="S10" s="18">
        <f t="shared" ca="1" si="3"/>
        <v>2</v>
      </c>
      <c r="T10" s="18">
        <f t="shared" ca="1" si="3"/>
        <v>2</v>
      </c>
      <c r="U10" s="18">
        <f t="shared" ca="1" si="3"/>
        <v>0</v>
      </c>
      <c r="V10" s="18">
        <f t="shared" ca="1" si="4"/>
        <v>0</v>
      </c>
      <c r="W10" s="18">
        <f t="shared" ca="1" si="4"/>
        <v>0</v>
      </c>
      <c r="X10" s="18">
        <f t="shared" ca="1" si="4"/>
        <v>0</v>
      </c>
      <c r="Y10" s="18">
        <f t="shared" ca="1" si="4"/>
        <v>0</v>
      </c>
      <c r="Z10" s="18">
        <f t="shared" ca="1" si="4"/>
        <v>0</v>
      </c>
      <c r="AA10" s="18">
        <f t="shared" ca="1" si="4"/>
        <v>0</v>
      </c>
      <c r="AB10" s="18">
        <f t="shared" ca="1" si="4"/>
        <v>0</v>
      </c>
      <c r="AC10" s="18">
        <f t="shared" ca="1" si="4"/>
        <v>0</v>
      </c>
      <c r="AD10" s="18">
        <f t="shared" ca="1" si="4"/>
        <v>0</v>
      </c>
      <c r="AE10" s="18">
        <f t="shared" ca="1" si="4"/>
        <v>0</v>
      </c>
      <c r="AF10" s="18">
        <f t="shared" ca="1" si="4"/>
        <v>0</v>
      </c>
      <c r="AG10" s="21">
        <f t="shared" ca="1" si="5"/>
        <v>2</v>
      </c>
    </row>
    <row r="11" spans="1:35" ht="20.100000000000001" customHeight="1" x14ac:dyDescent="0.2">
      <c r="A11" s="3" t="str">
        <f t="array" aca="1" ref="A11" ca="1">INDEX(ColA,MIN(IF((MONTH(Debut)=MONTH(1&amp;$B$2))+(MONTH(Fin)=MONTH(1&amp;$B$2)),IF(COUNTIF(A$5:A10,Noms)=0,ROW(Noms)))))&amp;""</f>
        <v>TEST 107</v>
      </c>
      <c r="B11" s="18">
        <f t="shared" ca="1" si="2"/>
        <v>0</v>
      </c>
      <c r="C11" s="18">
        <f t="shared" ca="1" si="2"/>
        <v>0</v>
      </c>
      <c r="D11" s="18">
        <f t="shared" ca="1" si="2"/>
        <v>0</v>
      </c>
      <c r="E11" s="18">
        <f t="shared" ca="1" si="2"/>
        <v>0</v>
      </c>
      <c r="F11" s="18">
        <f t="shared" ca="1" si="2"/>
        <v>0</v>
      </c>
      <c r="G11" s="18">
        <f t="shared" ca="1" si="2"/>
        <v>0</v>
      </c>
      <c r="H11" s="18">
        <f t="shared" ca="1" si="2"/>
        <v>0</v>
      </c>
      <c r="I11" s="18">
        <f t="shared" ca="1" si="2"/>
        <v>0</v>
      </c>
      <c r="J11" s="18">
        <f t="shared" ca="1" si="2"/>
        <v>0</v>
      </c>
      <c r="K11" s="18">
        <f t="shared" ca="1" si="2"/>
        <v>0</v>
      </c>
      <c r="L11" s="18">
        <f t="shared" ca="1" si="3"/>
        <v>0</v>
      </c>
      <c r="M11" s="18">
        <f t="shared" ca="1" si="3"/>
        <v>0</v>
      </c>
      <c r="N11" s="18">
        <f t="shared" ca="1" si="3"/>
        <v>0</v>
      </c>
      <c r="O11" s="18">
        <f t="shared" ca="1" si="3"/>
        <v>0</v>
      </c>
      <c r="P11" s="18">
        <f t="shared" ca="1" si="3"/>
        <v>0</v>
      </c>
      <c r="Q11" s="18">
        <f t="shared" ca="1" si="3"/>
        <v>0</v>
      </c>
      <c r="R11" s="18">
        <f t="shared" ca="1" si="3"/>
        <v>0</v>
      </c>
      <c r="S11" s="18">
        <f t="shared" ca="1" si="3"/>
        <v>0</v>
      </c>
      <c r="T11" s="18">
        <f t="shared" ca="1" si="3"/>
        <v>0</v>
      </c>
      <c r="U11" s="18">
        <f t="shared" ca="1" si="3"/>
        <v>1</v>
      </c>
      <c r="V11" s="18">
        <f t="shared" ca="1" si="4"/>
        <v>1</v>
      </c>
      <c r="W11" s="18">
        <f t="shared" ca="1" si="4"/>
        <v>1</v>
      </c>
      <c r="X11" s="18">
        <f t="shared" ca="1" si="4"/>
        <v>0</v>
      </c>
      <c r="Y11" s="18">
        <f t="shared" ca="1" si="4"/>
        <v>0</v>
      </c>
      <c r="Z11" s="18">
        <f t="shared" ca="1" si="4"/>
        <v>0</v>
      </c>
      <c r="AA11" s="18">
        <f t="shared" ca="1" si="4"/>
        <v>0</v>
      </c>
      <c r="AB11" s="18">
        <f t="shared" ca="1" si="4"/>
        <v>0</v>
      </c>
      <c r="AC11" s="18">
        <f t="shared" ca="1" si="4"/>
        <v>0</v>
      </c>
      <c r="AD11" s="18">
        <f t="shared" ca="1" si="4"/>
        <v>0</v>
      </c>
      <c r="AE11" s="18">
        <f t="shared" ca="1" si="4"/>
        <v>0</v>
      </c>
      <c r="AF11" s="18">
        <f t="shared" ca="1" si="4"/>
        <v>0</v>
      </c>
      <c r="AG11" s="21">
        <f t="shared" ca="1" si="5"/>
        <v>2</v>
      </c>
      <c r="AH11" s="2"/>
      <c r="AI11" s="5"/>
    </row>
    <row r="12" spans="1:35" ht="20.100000000000001" customHeight="1" x14ac:dyDescent="0.2">
      <c r="A12" s="3" t="str">
        <f t="array" aca="1" ref="A12" ca="1">INDEX(ColA,MIN(IF((MONTH(Debut)=MONTH(1&amp;$B$2))+(MONTH(Fin)=MONTH(1&amp;$B$2)),IF(COUNTIF(A$5:A11,Noms)=0,ROW(Noms)))))&amp;""</f>
        <v>TEST 108</v>
      </c>
      <c r="B12" s="18">
        <f t="shared" ca="1" si="2"/>
        <v>0</v>
      </c>
      <c r="C12" s="18">
        <f t="shared" ca="1" si="2"/>
        <v>0</v>
      </c>
      <c r="D12" s="18">
        <f t="shared" ca="1" si="2"/>
        <v>0</v>
      </c>
      <c r="E12" s="18">
        <f t="shared" ca="1" si="2"/>
        <v>0</v>
      </c>
      <c r="F12" s="18">
        <f t="shared" ca="1" si="2"/>
        <v>0</v>
      </c>
      <c r="G12" s="18">
        <f t="shared" ca="1" si="2"/>
        <v>0</v>
      </c>
      <c r="H12" s="18">
        <f t="shared" ca="1" si="2"/>
        <v>0</v>
      </c>
      <c r="I12" s="18">
        <f t="shared" ca="1" si="2"/>
        <v>0</v>
      </c>
      <c r="J12" s="18">
        <f t="shared" ca="1" si="2"/>
        <v>0</v>
      </c>
      <c r="K12" s="18">
        <f t="shared" ca="1" si="2"/>
        <v>0</v>
      </c>
      <c r="L12" s="18">
        <f t="shared" ca="1" si="3"/>
        <v>0</v>
      </c>
      <c r="M12" s="18">
        <f t="shared" ca="1" si="3"/>
        <v>0</v>
      </c>
      <c r="N12" s="18">
        <f t="shared" ca="1" si="3"/>
        <v>0</v>
      </c>
      <c r="O12" s="18">
        <f t="shared" ca="1" si="3"/>
        <v>0</v>
      </c>
      <c r="P12" s="18">
        <f t="shared" ca="1" si="3"/>
        <v>0</v>
      </c>
      <c r="Q12" s="18">
        <f t="shared" ca="1" si="3"/>
        <v>0</v>
      </c>
      <c r="R12" s="18">
        <f t="shared" ca="1" si="3"/>
        <v>0</v>
      </c>
      <c r="S12" s="18">
        <f t="shared" ca="1" si="3"/>
        <v>0</v>
      </c>
      <c r="T12" s="18">
        <f t="shared" ca="1" si="3"/>
        <v>0</v>
      </c>
      <c r="U12" s="18">
        <f t="shared" ca="1" si="3"/>
        <v>1</v>
      </c>
      <c r="V12" s="18">
        <f t="shared" ca="1" si="4"/>
        <v>1</v>
      </c>
      <c r="W12" s="18">
        <f t="shared" ca="1" si="4"/>
        <v>1</v>
      </c>
      <c r="X12" s="18">
        <f t="shared" ca="1" si="4"/>
        <v>0</v>
      </c>
      <c r="Y12" s="18">
        <f t="shared" ca="1" si="4"/>
        <v>0</v>
      </c>
      <c r="Z12" s="18">
        <f t="shared" ca="1" si="4"/>
        <v>0</v>
      </c>
      <c r="AA12" s="18">
        <f t="shared" ca="1" si="4"/>
        <v>0</v>
      </c>
      <c r="AB12" s="18">
        <f t="shared" ca="1" si="4"/>
        <v>0</v>
      </c>
      <c r="AC12" s="18">
        <f t="shared" ca="1" si="4"/>
        <v>0</v>
      </c>
      <c r="AD12" s="18">
        <f t="shared" ca="1" si="4"/>
        <v>0</v>
      </c>
      <c r="AE12" s="18">
        <f t="shared" ca="1" si="4"/>
        <v>0</v>
      </c>
      <c r="AF12" s="18">
        <f t="shared" ca="1" si="4"/>
        <v>0</v>
      </c>
      <c r="AG12" s="21">
        <f t="shared" ca="1" si="5"/>
        <v>2</v>
      </c>
      <c r="AH12" s="2"/>
    </row>
    <row r="13" spans="1:35" ht="20.100000000000001" customHeight="1" x14ac:dyDescent="0.2">
      <c r="A13" s="3" t="str">
        <f t="array" aca="1" ref="A13" ca="1">INDEX(ColA,MIN(IF((MONTH(Debut)=MONTH(1&amp;$B$2))+(MONTH(Fin)=MONTH(1&amp;$B$2)),IF(COUNTIF(A$5:A12,Noms)=0,ROW(Noms)))))&amp;""</f>
        <v>TEST 109</v>
      </c>
      <c r="B13" s="18">
        <f t="shared" ca="1" si="2"/>
        <v>0</v>
      </c>
      <c r="C13" s="18">
        <f t="shared" ca="1" si="2"/>
        <v>0</v>
      </c>
      <c r="D13" s="18">
        <f t="shared" ca="1" si="2"/>
        <v>0</v>
      </c>
      <c r="E13" s="18">
        <f t="shared" ca="1" si="2"/>
        <v>0</v>
      </c>
      <c r="F13" s="18">
        <f t="shared" ca="1" si="2"/>
        <v>0</v>
      </c>
      <c r="G13" s="18">
        <f t="shared" ca="1" si="2"/>
        <v>0</v>
      </c>
      <c r="H13" s="18">
        <f t="shared" ca="1" si="2"/>
        <v>0</v>
      </c>
      <c r="I13" s="18">
        <f t="shared" ca="1" si="2"/>
        <v>0</v>
      </c>
      <c r="J13" s="18">
        <f t="shared" ca="1" si="2"/>
        <v>0</v>
      </c>
      <c r="K13" s="18">
        <f t="shared" ca="1" si="2"/>
        <v>0</v>
      </c>
      <c r="L13" s="18">
        <f t="shared" ca="1" si="3"/>
        <v>0</v>
      </c>
      <c r="M13" s="18">
        <f t="shared" ca="1" si="3"/>
        <v>0</v>
      </c>
      <c r="N13" s="18">
        <f t="shared" ca="1" si="3"/>
        <v>3</v>
      </c>
      <c r="O13" s="18">
        <f t="shared" ca="1" si="3"/>
        <v>3</v>
      </c>
      <c r="P13" s="18">
        <f t="shared" ca="1" si="3"/>
        <v>3</v>
      </c>
      <c r="Q13" s="18">
        <f t="shared" ca="1" si="3"/>
        <v>0</v>
      </c>
      <c r="R13" s="18">
        <f t="shared" ca="1" si="3"/>
        <v>0</v>
      </c>
      <c r="S13" s="18">
        <f t="shared" ca="1" si="3"/>
        <v>0</v>
      </c>
      <c r="T13" s="18">
        <f t="shared" ca="1" si="3"/>
        <v>0</v>
      </c>
      <c r="U13" s="18">
        <f t="shared" ca="1" si="3"/>
        <v>0</v>
      </c>
      <c r="V13" s="18">
        <f t="shared" ca="1" si="4"/>
        <v>0</v>
      </c>
      <c r="W13" s="18">
        <f t="shared" ca="1" si="4"/>
        <v>0</v>
      </c>
      <c r="X13" s="18">
        <f t="shared" ca="1" si="4"/>
        <v>0</v>
      </c>
      <c r="Y13" s="18">
        <f t="shared" ca="1" si="4"/>
        <v>0</v>
      </c>
      <c r="Z13" s="18">
        <f t="shared" ca="1" si="4"/>
        <v>0</v>
      </c>
      <c r="AA13" s="18">
        <f t="shared" ca="1" si="4"/>
        <v>0</v>
      </c>
      <c r="AB13" s="18">
        <f t="shared" ca="1" si="4"/>
        <v>0</v>
      </c>
      <c r="AC13" s="18">
        <f t="shared" ca="1" si="4"/>
        <v>0</v>
      </c>
      <c r="AD13" s="18">
        <f t="shared" ca="1" si="4"/>
        <v>0</v>
      </c>
      <c r="AE13" s="18">
        <f t="shared" ca="1" si="4"/>
        <v>0</v>
      </c>
      <c r="AF13" s="18">
        <f t="shared" ca="1" si="4"/>
        <v>0</v>
      </c>
      <c r="AG13" s="21">
        <f t="shared" ca="1" si="5"/>
        <v>2</v>
      </c>
      <c r="AH13" s="2"/>
    </row>
    <row r="14" spans="1:35" ht="20.100000000000001" customHeight="1" x14ac:dyDescent="0.2">
      <c r="A14" s="3" t="str">
        <f t="array" aca="1" ref="A14" ca="1">INDEX(ColA,MIN(IF((MONTH(Debut)=MONTH(1&amp;$B$2))+(MONTH(Fin)=MONTH(1&amp;$B$2)),IF(COUNTIF(A$5:A13,Noms)=0,ROW(Noms)))))&amp;""</f>
        <v>TEST 110</v>
      </c>
      <c r="B14" s="18">
        <f t="shared" ca="1" si="2"/>
        <v>0</v>
      </c>
      <c r="C14" s="18">
        <f t="shared" ca="1" si="2"/>
        <v>0</v>
      </c>
      <c r="D14" s="18">
        <f t="shared" ca="1" si="2"/>
        <v>0</v>
      </c>
      <c r="E14" s="18">
        <f t="shared" ca="1" si="2"/>
        <v>0</v>
      </c>
      <c r="F14" s="18">
        <f t="shared" ca="1" si="2"/>
        <v>0</v>
      </c>
      <c r="G14" s="18">
        <f t="shared" ca="1" si="2"/>
        <v>0</v>
      </c>
      <c r="H14" s="18">
        <f t="shared" ca="1" si="2"/>
        <v>0</v>
      </c>
      <c r="I14" s="18">
        <f t="shared" ca="1" si="2"/>
        <v>0</v>
      </c>
      <c r="J14" s="18">
        <f t="shared" ca="1" si="2"/>
        <v>0</v>
      </c>
      <c r="K14" s="18">
        <f t="shared" ca="1" si="2"/>
        <v>0</v>
      </c>
      <c r="L14" s="18">
        <f t="shared" ca="1" si="3"/>
        <v>0</v>
      </c>
      <c r="M14" s="18">
        <f t="shared" ca="1" si="3"/>
        <v>0</v>
      </c>
      <c r="N14" s="18">
        <f t="shared" ca="1" si="3"/>
        <v>0</v>
      </c>
      <c r="O14" s="18">
        <f t="shared" ca="1" si="3"/>
        <v>0</v>
      </c>
      <c r="P14" s="18">
        <f t="shared" ca="1" si="3"/>
        <v>5</v>
      </c>
      <c r="Q14" s="18">
        <f t="shared" ca="1" si="3"/>
        <v>5</v>
      </c>
      <c r="R14" s="18">
        <f t="shared" ca="1" si="3"/>
        <v>5</v>
      </c>
      <c r="S14" s="18">
        <f t="shared" ca="1" si="3"/>
        <v>5</v>
      </c>
      <c r="T14" s="18">
        <f t="shared" ca="1" si="3"/>
        <v>0</v>
      </c>
      <c r="U14" s="18">
        <f t="shared" ca="1" si="3"/>
        <v>0</v>
      </c>
      <c r="V14" s="18">
        <f t="shared" ca="1" si="4"/>
        <v>0</v>
      </c>
      <c r="W14" s="18">
        <f t="shared" ca="1" si="4"/>
        <v>0</v>
      </c>
      <c r="X14" s="18">
        <f t="shared" ca="1" si="4"/>
        <v>0</v>
      </c>
      <c r="Y14" s="18">
        <f t="shared" ca="1" si="4"/>
        <v>0</v>
      </c>
      <c r="Z14" s="18">
        <f t="shared" ca="1" si="4"/>
        <v>0</v>
      </c>
      <c r="AA14" s="18">
        <f t="shared" ca="1" si="4"/>
        <v>0</v>
      </c>
      <c r="AB14" s="18">
        <f t="shared" ca="1" si="4"/>
        <v>0</v>
      </c>
      <c r="AC14" s="18">
        <f t="shared" ca="1" si="4"/>
        <v>0</v>
      </c>
      <c r="AD14" s="18">
        <f t="shared" ca="1" si="4"/>
        <v>0</v>
      </c>
      <c r="AE14" s="18">
        <f t="shared" ca="1" si="4"/>
        <v>0</v>
      </c>
      <c r="AF14" s="18">
        <f t="shared" ca="1" si="4"/>
        <v>0</v>
      </c>
      <c r="AG14" s="21">
        <f t="shared" ca="1" si="5"/>
        <v>3</v>
      </c>
      <c r="AH14" s="2"/>
    </row>
    <row r="15" spans="1:35" ht="20.100000000000001" customHeight="1" x14ac:dyDescent="0.2">
      <c r="A15" s="3" t="str">
        <f t="array" aca="1" ref="A15" ca="1">INDEX(ColA,MIN(IF((MONTH(Debut)=MONTH(1&amp;$B$2))+(MONTH(Fin)=MONTH(1&amp;$B$2)),IF(COUNTIF(A$5:A14,Noms)=0,ROW(Noms)))))&amp;""</f>
        <v>TEST 111</v>
      </c>
      <c r="B15" s="18">
        <f t="shared" ca="1" si="2"/>
        <v>0</v>
      </c>
      <c r="C15" s="18">
        <f t="shared" ca="1" si="2"/>
        <v>0</v>
      </c>
      <c r="D15" s="18">
        <f t="shared" ca="1" si="2"/>
        <v>0</v>
      </c>
      <c r="E15" s="18">
        <f t="shared" ca="1" si="2"/>
        <v>0</v>
      </c>
      <c r="F15" s="18">
        <f t="shared" ca="1" si="2"/>
        <v>0</v>
      </c>
      <c r="G15" s="18">
        <f t="shared" ca="1" si="2"/>
        <v>0</v>
      </c>
      <c r="H15" s="18">
        <f t="shared" ca="1" si="2"/>
        <v>0</v>
      </c>
      <c r="I15" s="18">
        <f t="shared" ca="1" si="2"/>
        <v>0</v>
      </c>
      <c r="J15" s="18">
        <f t="shared" ca="1" si="2"/>
        <v>0</v>
      </c>
      <c r="K15" s="18">
        <f t="shared" ca="1" si="2"/>
        <v>0</v>
      </c>
      <c r="L15" s="18">
        <f t="shared" ca="1" si="3"/>
        <v>0</v>
      </c>
      <c r="M15" s="18">
        <f t="shared" ca="1" si="3"/>
        <v>0</v>
      </c>
      <c r="N15" s="18">
        <f t="shared" ca="1" si="3"/>
        <v>0</v>
      </c>
      <c r="O15" s="18">
        <f t="shared" ca="1" si="3"/>
        <v>0</v>
      </c>
      <c r="P15" s="18">
        <f t="shared" ca="1" si="3"/>
        <v>0</v>
      </c>
      <c r="Q15" s="18">
        <f t="shared" ca="1" si="3"/>
        <v>0</v>
      </c>
      <c r="R15" s="18">
        <f t="shared" ca="1" si="3"/>
        <v>4</v>
      </c>
      <c r="S15" s="18">
        <f t="shared" ca="1" si="3"/>
        <v>4</v>
      </c>
      <c r="T15" s="18">
        <f t="shared" ca="1" si="3"/>
        <v>4</v>
      </c>
      <c r="U15" s="18">
        <f t="shared" ca="1" si="3"/>
        <v>0</v>
      </c>
      <c r="V15" s="18">
        <f t="shared" ca="1" si="4"/>
        <v>0</v>
      </c>
      <c r="W15" s="18">
        <f t="shared" ca="1" si="4"/>
        <v>0</v>
      </c>
      <c r="X15" s="18">
        <f t="shared" ca="1" si="4"/>
        <v>0</v>
      </c>
      <c r="Y15" s="18">
        <f t="shared" ca="1" si="4"/>
        <v>0</v>
      </c>
      <c r="Z15" s="18">
        <f t="shared" ca="1" si="4"/>
        <v>0</v>
      </c>
      <c r="AA15" s="18">
        <f t="shared" ca="1" si="4"/>
        <v>0</v>
      </c>
      <c r="AB15" s="18">
        <f t="shared" ca="1" si="4"/>
        <v>0</v>
      </c>
      <c r="AC15" s="18">
        <f t="shared" ca="1" si="4"/>
        <v>0</v>
      </c>
      <c r="AD15" s="18">
        <f t="shared" ca="1" si="4"/>
        <v>0</v>
      </c>
      <c r="AE15" s="18">
        <f t="shared" ca="1" si="4"/>
        <v>0</v>
      </c>
      <c r="AF15" s="18">
        <f t="shared" ca="1" si="4"/>
        <v>0</v>
      </c>
      <c r="AG15" s="21">
        <f t="shared" ca="1" si="5"/>
        <v>2</v>
      </c>
      <c r="AH15" s="2"/>
    </row>
    <row r="16" spans="1:35" ht="20.100000000000001" hidden="1" customHeight="1" x14ac:dyDescent="0.2">
      <c r="A16" s="3" t="str">
        <f t="array" aca="1" ref="A16" ca="1">INDEX(ColA,MIN(IF((MONTH(Debut)=MONTH(1&amp;$B$2))+(MONTH(Fin)=MONTH(1&amp;$B$2)),IF(COUNTIF(A$5:A15,Noms)=0,ROW(Noms)))))&amp;""</f>
        <v>Nom du groupe</v>
      </c>
      <c r="B16" s="18">
        <f t="shared" ref="B16:K30" ca="1" si="6">SUMPRODUCT((Profil="Convention")*(Noms=$A16)*(B$4&gt;=Debut)*(B$4&lt;=Fin))+SUMPRODUCT((Profil="Dem convention")*(Noms=$A16)*(B$4&gt;=Debut)*(B$4&lt;=Fin)*2)+SUMPRODUCT((Profil="Sous-réserve")*(Noms=$A16)*(B$4&gt;=Debut)*(B$4&lt;=Fin)*3)+SUMPRODUCT((Profil="Sans suite")*(Noms=$A16)*(B$4&gt;=Debut)*(B$4&lt;=Fin)*4)+SUMPRODUCT((Profil="Annulé")*(Noms=$A16)*(B$4&gt;=Debut)*(B$4&lt;=Fin)*5)</f>
        <v>0</v>
      </c>
      <c r="C16" s="18">
        <f t="shared" ca="1" si="6"/>
        <v>0</v>
      </c>
      <c r="D16" s="18">
        <f t="shared" ca="1" si="6"/>
        <v>0</v>
      </c>
      <c r="E16" s="18">
        <f t="shared" ca="1" si="6"/>
        <v>0</v>
      </c>
      <c r="F16" s="18">
        <f t="shared" ca="1" si="6"/>
        <v>0</v>
      </c>
      <c r="G16" s="18">
        <f t="shared" ca="1" si="6"/>
        <v>0</v>
      </c>
      <c r="H16" s="18">
        <f t="shared" ca="1" si="6"/>
        <v>0</v>
      </c>
      <c r="I16" s="18">
        <f t="shared" ca="1" si="6"/>
        <v>0</v>
      </c>
      <c r="J16" s="18">
        <f t="shared" ca="1" si="6"/>
        <v>0</v>
      </c>
      <c r="K16" s="18">
        <f t="shared" ca="1" si="6"/>
        <v>0</v>
      </c>
      <c r="L16" s="18">
        <f t="shared" ref="L16:U30" ca="1" si="7">SUMPRODUCT((Profil="Convention")*(Noms=$A16)*(L$4&gt;=Debut)*(L$4&lt;=Fin))+SUMPRODUCT((Profil="Dem convention")*(Noms=$A16)*(L$4&gt;=Debut)*(L$4&lt;=Fin)*2)+SUMPRODUCT((Profil="Sous-réserve")*(Noms=$A16)*(L$4&gt;=Debut)*(L$4&lt;=Fin)*3)+SUMPRODUCT((Profil="Sans suite")*(Noms=$A16)*(L$4&gt;=Debut)*(L$4&lt;=Fin)*4)+SUMPRODUCT((Profil="Annulé")*(Noms=$A16)*(L$4&gt;=Debut)*(L$4&lt;=Fin)*5)</f>
        <v>0</v>
      </c>
      <c r="M16" s="18">
        <f t="shared" ca="1" si="7"/>
        <v>0</v>
      </c>
      <c r="N16" s="18">
        <f t="shared" ca="1" si="7"/>
        <v>0</v>
      </c>
      <c r="O16" s="18">
        <f t="shared" ca="1" si="7"/>
        <v>0</v>
      </c>
      <c r="P16" s="18">
        <f t="shared" ca="1" si="7"/>
        <v>0</v>
      </c>
      <c r="Q16" s="18">
        <f t="shared" ca="1" si="7"/>
        <v>0</v>
      </c>
      <c r="R16" s="18">
        <f t="shared" ca="1" si="7"/>
        <v>0</v>
      </c>
      <c r="S16" s="18">
        <f t="shared" ca="1" si="7"/>
        <v>0</v>
      </c>
      <c r="T16" s="18">
        <f t="shared" ca="1" si="7"/>
        <v>0</v>
      </c>
      <c r="U16" s="18">
        <f t="shared" ca="1" si="7"/>
        <v>0</v>
      </c>
      <c r="V16" s="18">
        <f t="shared" ref="V16:AF30" ca="1" si="8">SUMPRODUCT((Profil="Convention")*(Noms=$A16)*(V$4&gt;=Debut)*(V$4&lt;=Fin))+SUMPRODUCT((Profil="Dem convention")*(Noms=$A16)*(V$4&gt;=Debut)*(V$4&lt;=Fin)*2)+SUMPRODUCT((Profil="Sous-réserve")*(Noms=$A16)*(V$4&gt;=Debut)*(V$4&lt;=Fin)*3)+SUMPRODUCT((Profil="Sans suite")*(Noms=$A16)*(V$4&gt;=Debut)*(V$4&lt;=Fin)*4)+SUMPRODUCT((Profil="Annulé")*(Noms=$A16)*(V$4&gt;=Debut)*(V$4&lt;=Fin)*5)</f>
        <v>0</v>
      </c>
      <c r="W16" s="18">
        <f t="shared" ca="1" si="8"/>
        <v>0</v>
      </c>
      <c r="X16" s="18">
        <f t="shared" ca="1" si="8"/>
        <v>0</v>
      </c>
      <c r="Y16" s="18">
        <f t="shared" ca="1" si="8"/>
        <v>0</v>
      </c>
      <c r="Z16" s="18">
        <f t="shared" ca="1" si="8"/>
        <v>0</v>
      </c>
      <c r="AA16" s="18">
        <f t="shared" ca="1" si="8"/>
        <v>0</v>
      </c>
      <c r="AB16" s="18">
        <f t="shared" ca="1" si="8"/>
        <v>0</v>
      </c>
      <c r="AC16" s="18">
        <f t="shared" ca="1" si="8"/>
        <v>0</v>
      </c>
      <c r="AD16" s="18">
        <f t="shared" ca="1" si="8"/>
        <v>0</v>
      </c>
      <c r="AE16" s="18">
        <f t="shared" ca="1" si="8"/>
        <v>0</v>
      </c>
      <c r="AF16" s="18">
        <f t="shared" ca="1" si="8"/>
        <v>0</v>
      </c>
      <c r="AG16" s="21">
        <f t="shared" ca="1" si="5"/>
        <v>0</v>
      </c>
      <c r="AH16" s="2"/>
    </row>
    <row r="17" spans="1:34" ht="20.100000000000001" hidden="1" customHeight="1" x14ac:dyDescent="0.2">
      <c r="A17" s="3" t="str">
        <f t="array" aca="1" ref="A17" ca="1">INDEX(ColA,MIN(IF((MONTH(Debut)=MONTH(1&amp;$B$2))+(MONTH(Fin)=MONTH(1&amp;$B$2)),IF(COUNTIF(A$5:A16,Noms)=0,ROW(Noms)))))&amp;""</f>
        <v>Nom du groupe</v>
      </c>
      <c r="B17" s="18">
        <f t="shared" ca="1" si="6"/>
        <v>0</v>
      </c>
      <c r="C17" s="18">
        <f t="shared" ca="1" si="6"/>
        <v>0</v>
      </c>
      <c r="D17" s="18">
        <f t="shared" ca="1" si="6"/>
        <v>0</v>
      </c>
      <c r="E17" s="18">
        <f t="shared" ca="1" si="6"/>
        <v>0</v>
      </c>
      <c r="F17" s="18">
        <f t="shared" ca="1" si="6"/>
        <v>0</v>
      </c>
      <c r="G17" s="18">
        <f t="shared" ca="1" si="6"/>
        <v>0</v>
      </c>
      <c r="H17" s="18">
        <f t="shared" ca="1" si="6"/>
        <v>0</v>
      </c>
      <c r="I17" s="18">
        <f t="shared" ca="1" si="6"/>
        <v>0</v>
      </c>
      <c r="J17" s="18">
        <f t="shared" ca="1" si="6"/>
        <v>0</v>
      </c>
      <c r="K17" s="18">
        <f t="shared" ca="1" si="6"/>
        <v>0</v>
      </c>
      <c r="L17" s="18">
        <f t="shared" ca="1" si="7"/>
        <v>0</v>
      </c>
      <c r="M17" s="18">
        <f t="shared" ca="1" si="7"/>
        <v>0</v>
      </c>
      <c r="N17" s="18">
        <f t="shared" ca="1" si="7"/>
        <v>0</v>
      </c>
      <c r="O17" s="18">
        <f t="shared" ca="1" si="7"/>
        <v>0</v>
      </c>
      <c r="P17" s="18">
        <f t="shared" ca="1" si="7"/>
        <v>0</v>
      </c>
      <c r="Q17" s="18">
        <f t="shared" ca="1" si="7"/>
        <v>0</v>
      </c>
      <c r="R17" s="18">
        <f t="shared" ca="1" si="7"/>
        <v>0</v>
      </c>
      <c r="S17" s="18">
        <f t="shared" ca="1" si="7"/>
        <v>0</v>
      </c>
      <c r="T17" s="18">
        <f t="shared" ca="1" si="7"/>
        <v>0</v>
      </c>
      <c r="U17" s="18">
        <f t="shared" ca="1" si="7"/>
        <v>0</v>
      </c>
      <c r="V17" s="18">
        <f t="shared" ca="1" si="8"/>
        <v>0</v>
      </c>
      <c r="W17" s="18">
        <f t="shared" ca="1" si="8"/>
        <v>0</v>
      </c>
      <c r="X17" s="18">
        <f t="shared" ca="1" si="8"/>
        <v>0</v>
      </c>
      <c r="Y17" s="18">
        <f t="shared" ca="1" si="8"/>
        <v>0</v>
      </c>
      <c r="Z17" s="18">
        <f t="shared" ca="1" si="8"/>
        <v>0</v>
      </c>
      <c r="AA17" s="18">
        <f t="shared" ca="1" si="8"/>
        <v>0</v>
      </c>
      <c r="AB17" s="18">
        <f t="shared" ca="1" si="8"/>
        <v>0</v>
      </c>
      <c r="AC17" s="18">
        <f t="shared" ca="1" si="8"/>
        <v>0</v>
      </c>
      <c r="AD17" s="18">
        <f t="shared" ca="1" si="8"/>
        <v>0</v>
      </c>
      <c r="AE17" s="18">
        <f t="shared" ca="1" si="8"/>
        <v>0</v>
      </c>
      <c r="AF17" s="18">
        <f t="shared" ca="1" si="8"/>
        <v>0</v>
      </c>
      <c r="AG17" s="21">
        <f t="shared" ca="1" si="5"/>
        <v>0</v>
      </c>
      <c r="AH17" s="2"/>
    </row>
    <row r="18" spans="1:34" ht="20.100000000000001" hidden="1" customHeight="1" x14ac:dyDescent="0.2">
      <c r="A18" s="3" t="str">
        <f t="array" aca="1" ref="A18" ca="1">INDEX(ColA,MIN(IF((MONTH(Debut)=MONTH(1&amp;$B$2))+(MONTH(Fin)=MONTH(1&amp;$B$2)),IF(COUNTIF(A$5:A17,Noms)=0,ROW(Noms)))))&amp;""</f>
        <v>Nom du groupe</v>
      </c>
      <c r="B18" s="18">
        <f t="shared" ca="1" si="6"/>
        <v>0</v>
      </c>
      <c r="C18" s="18">
        <f t="shared" ca="1" si="6"/>
        <v>0</v>
      </c>
      <c r="D18" s="18">
        <f t="shared" ca="1" si="6"/>
        <v>0</v>
      </c>
      <c r="E18" s="18">
        <f t="shared" ca="1" si="6"/>
        <v>0</v>
      </c>
      <c r="F18" s="18">
        <f t="shared" ca="1" si="6"/>
        <v>0</v>
      </c>
      <c r="G18" s="18">
        <f t="shared" ca="1" si="6"/>
        <v>0</v>
      </c>
      <c r="H18" s="18">
        <f t="shared" ca="1" si="6"/>
        <v>0</v>
      </c>
      <c r="I18" s="18">
        <f t="shared" ca="1" si="6"/>
        <v>0</v>
      </c>
      <c r="J18" s="18">
        <f t="shared" ca="1" si="6"/>
        <v>0</v>
      </c>
      <c r="K18" s="18">
        <f t="shared" ca="1" si="6"/>
        <v>0</v>
      </c>
      <c r="L18" s="18">
        <f t="shared" ca="1" si="7"/>
        <v>0</v>
      </c>
      <c r="M18" s="18">
        <f t="shared" ca="1" si="7"/>
        <v>0</v>
      </c>
      <c r="N18" s="18">
        <f t="shared" ca="1" si="7"/>
        <v>0</v>
      </c>
      <c r="O18" s="18">
        <f t="shared" ca="1" si="7"/>
        <v>0</v>
      </c>
      <c r="P18" s="18">
        <f t="shared" ca="1" si="7"/>
        <v>0</v>
      </c>
      <c r="Q18" s="18">
        <f t="shared" ca="1" si="7"/>
        <v>0</v>
      </c>
      <c r="R18" s="18">
        <f t="shared" ca="1" si="7"/>
        <v>0</v>
      </c>
      <c r="S18" s="18">
        <f t="shared" ca="1" si="7"/>
        <v>0</v>
      </c>
      <c r="T18" s="18">
        <f t="shared" ca="1" si="7"/>
        <v>0</v>
      </c>
      <c r="U18" s="18">
        <f t="shared" ca="1" si="7"/>
        <v>0</v>
      </c>
      <c r="V18" s="18">
        <f t="shared" ca="1" si="8"/>
        <v>0</v>
      </c>
      <c r="W18" s="18">
        <f t="shared" ca="1" si="8"/>
        <v>0</v>
      </c>
      <c r="X18" s="18">
        <f t="shared" ca="1" si="8"/>
        <v>0</v>
      </c>
      <c r="Y18" s="18">
        <f t="shared" ca="1" si="8"/>
        <v>0</v>
      </c>
      <c r="Z18" s="18">
        <f t="shared" ca="1" si="8"/>
        <v>0</v>
      </c>
      <c r="AA18" s="18">
        <f t="shared" ca="1" si="8"/>
        <v>0</v>
      </c>
      <c r="AB18" s="18">
        <f t="shared" ca="1" si="8"/>
        <v>0</v>
      </c>
      <c r="AC18" s="18">
        <f t="shared" ca="1" si="8"/>
        <v>0</v>
      </c>
      <c r="AD18" s="18">
        <f t="shared" ca="1" si="8"/>
        <v>0</v>
      </c>
      <c r="AE18" s="18">
        <f t="shared" ca="1" si="8"/>
        <v>0</v>
      </c>
      <c r="AF18" s="18">
        <f t="shared" ca="1" si="8"/>
        <v>0</v>
      </c>
      <c r="AG18" s="21">
        <f t="shared" ca="1" si="5"/>
        <v>0</v>
      </c>
      <c r="AH18" s="2"/>
    </row>
    <row r="19" spans="1:34" ht="20.100000000000001" hidden="1" customHeight="1" x14ac:dyDescent="0.2">
      <c r="A19" s="3" t="str">
        <f t="array" aca="1" ref="A19" ca="1">INDEX(ColA,MIN(IF((MONTH(Debut)=MONTH(1&amp;$B$2))+(MONTH(Fin)=MONTH(1&amp;$B$2)),IF(COUNTIF(A$5:A18,Noms)=0,ROW(Noms)))))&amp;""</f>
        <v>Nom du groupe</v>
      </c>
      <c r="B19" s="18">
        <f t="shared" ca="1" si="6"/>
        <v>0</v>
      </c>
      <c r="C19" s="18">
        <f t="shared" ca="1" si="6"/>
        <v>0</v>
      </c>
      <c r="D19" s="18">
        <f t="shared" ca="1" si="6"/>
        <v>0</v>
      </c>
      <c r="E19" s="18">
        <f t="shared" ca="1" si="6"/>
        <v>0</v>
      </c>
      <c r="F19" s="18">
        <f t="shared" ca="1" si="6"/>
        <v>0</v>
      </c>
      <c r="G19" s="18">
        <f t="shared" ca="1" si="6"/>
        <v>0</v>
      </c>
      <c r="H19" s="18">
        <f t="shared" ca="1" si="6"/>
        <v>0</v>
      </c>
      <c r="I19" s="18">
        <f t="shared" ca="1" si="6"/>
        <v>0</v>
      </c>
      <c r="J19" s="18">
        <f t="shared" ca="1" si="6"/>
        <v>0</v>
      </c>
      <c r="K19" s="18">
        <f t="shared" ca="1" si="6"/>
        <v>0</v>
      </c>
      <c r="L19" s="18">
        <f t="shared" ca="1" si="7"/>
        <v>0</v>
      </c>
      <c r="M19" s="18">
        <f t="shared" ca="1" si="7"/>
        <v>0</v>
      </c>
      <c r="N19" s="18">
        <f t="shared" ca="1" si="7"/>
        <v>0</v>
      </c>
      <c r="O19" s="18">
        <f t="shared" ca="1" si="7"/>
        <v>0</v>
      </c>
      <c r="P19" s="18">
        <f t="shared" ca="1" si="7"/>
        <v>0</v>
      </c>
      <c r="Q19" s="18">
        <f t="shared" ca="1" si="7"/>
        <v>0</v>
      </c>
      <c r="R19" s="18">
        <f t="shared" ca="1" si="7"/>
        <v>0</v>
      </c>
      <c r="S19" s="18">
        <f t="shared" ca="1" si="7"/>
        <v>0</v>
      </c>
      <c r="T19" s="18">
        <f t="shared" ca="1" si="7"/>
        <v>0</v>
      </c>
      <c r="U19" s="18">
        <f t="shared" ca="1" si="7"/>
        <v>0</v>
      </c>
      <c r="V19" s="18">
        <f t="shared" ca="1" si="8"/>
        <v>0</v>
      </c>
      <c r="W19" s="18">
        <f t="shared" ca="1" si="8"/>
        <v>0</v>
      </c>
      <c r="X19" s="18">
        <f t="shared" ca="1" si="8"/>
        <v>0</v>
      </c>
      <c r="Y19" s="18">
        <f t="shared" ca="1" si="8"/>
        <v>0</v>
      </c>
      <c r="Z19" s="18">
        <f t="shared" ca="1" si="8"/>
        <v>0</v>
      </c>
      <c r="AA19" s="18">
        <f t="shared" ca="1" si="8"/>
        <v>0</v>
      </c>
      <c r="AB19" s="18">
        <f t="shared" ca="1" si="8"/>
        <v>0</v>
      </c>
      <c r="AC19" s="18">
        <f t="shared" ca="1" si="8"/>
        <v>0</v>
      </c>
      <c r="AD19" s="18">
        <f t="shared" ca="1" si="8"/>
        <v>0</v>
      </c>
      <c r="AE19" s="18">
        <f t="shared" ca="1" si="8"/>
        <v>0</v>
      </c>
      <c r="AF19" s="18">
        <f t="shared" ca="1" si="8"/>
        <v>0</v>
      </c>
      <c r="AG19" s="21">
        <f t="shared" ca="1" si="5"/>
        <v>0</v>
      </c>
      <c r="AH19" s="2"/>
    </row>
    <row r="20" spans="1:34" ht="20.100000000000001" hidden="1" customHeight="1" x14ac:dyDescent="0.2">
      <c r="A20" s="3" t="str">
        <f t="array" aca="1" ref="A20" ca="1">INDEX(ColA,MIN(IF((MONTH(Debut)=MONTH(1&amp;$B$2))+(MONTH(Fin)=MONTH(1&amp;$B$2)),IF(COUNTIF(A$5:A19,Noms)=0,ROW(Noms)))))&amp;""</f>
        <v>Nom du groupe</v>
      </c>
      <c r="B20" s="18">
        <f t="shared" ca="1" si="6"/>
        <v>0</v>
      </c>
      <c r="C20" s="18">
        <f t="shared" ca="1" si="6"/>
        <v>0</v>
      </c>
      <c r="D20" s="18">
        <f t="shared" ca="1" si="6"/>
        <v>0</v>
      </c>
      <c r="E20" s="18">
        <f t="shared" ca="1" si="6"/>
        <v>0</v>
      </c>
      <c r="F20" s="18">
        <f t="shared" ca="1" si="6"/>
        <v>0</v>
      </c>
      <c r="G20" s="18">
        <f t="shared" ca="1" si="6"/>
        <v>0</v>
      </c>
      <c r="H20" s="18">
        <f t="shared" ca="1" si="6"/>
        <v>0</v>
      </c>
      <c r="I20" s="18">
        <f t="shared" ca="1" si="6"/>
        <v>0</v>
      </c>
      <c r="J20" s="18">
        <f t="shared" ca="1" si="6"/>
        <v>0</v>
      </c>
      <c r="K20" s="18">
        <f t="shared" ca="1" si="6"/>
        <v>0</v>
      </c>
      <c r="L20" s="18">
        <f t="shared" ca="1" si="7"/>
        <v>0</v>
      </c>
      <c r="M20" s="18">
        <f t="shared" ca="1" si="7"/>
        <v>0</v>
      </c>
      <c r="N20" s="18">
        <f t="shared" ca="1" si="7"/>
        <v>0</v>
      </c>
      <c r="O20" s="18">
        <f t="shared" ca="1" si="7"/>
        <v>0</v>
      </c>
      <c r="P20" s="18">
        <f t="shared" ca="1" si="7"/>
        <v>0</v>
      </c>
      <c r="Q20" s="18">
        <f t="shared" ca="1" si="7"/>
        <v>0</v>
      </c>
      <c r="R20" s="18">
        <f t="shared" ca="1" si="7"/>
        <v>0</v>
      </c>
      <c r="S20" s="18">
        <f t="shared" ca="1" si="7"/>
        <v>0</v>
      </c>
      <c r="T20" s="18">
        <f t="shared" ca="1" si="7"/>
        <v>0</v>
      </c>
      <c r="U20" s="18">
        <f t="shared" ca="1" si="7"/>
        <v>0</v>
      </c>
      <c r="V20" s="18">
        <f t="shared" ca="1" si="8"/>
        <v>0</v>
      </c>
      <c r="W20" s="18">
        <f t="shared" ca="1" si="8"/>
        <v>0</v>
      </c>
      <c r="X20" s="18">
        <f t="shared" ca="1" si="8"/>
        <v>0</v>
      </c>
      <c r="Y20" s="18">
        <f t="shared" ca="1" si="8"/>
        <v>0</v>
      </c>
      <c r="Z20" s="18">
        <f t="shared" ca="1" si="8"/>
        <v>0</v>
      </c>
      <c r="AA20" s="18">
        <f t="shared" ca="1" si="8"/>
        <v>0</v>
      </c>
      <c r="AB20" s="18">
        <f t="shared" ca="1" si="8"/>
        <v>0</v>
      </c>
      <c r="AC20" s="18">
        <f t="shared" ca="1" si="8"/>
        <v>0</v>
      </c>
      <c r="AD20" s="18">
        <f t="shared" ca="1" si="8"/>
        <v>0</v>
      </c>
      <c r="AE20" s="18">
        <f t="shared" ca="1" si="8"/>
        <v>0</v>
      </c>
      <c r="AF20" s="18">
        <f t="shared" ca="1" si="8"/>
        <v>0</v>
      </c>
      <c r="AG20" s="21">
        <f t="shared" ca="1" si="5"/>
        <v>0</v>
      </c>
      <c r="AH20" s="2"/>
    </row>
    <row r="21" spans="1:34" ht="20.100000000000001" hidden="1" customHeight="1" x14ac:dyDescent="0.2">
      <c r="A21" s="3" t="str">
        <f t="array" aca="1" ref="A21" ca="1">INDEX(ColA,MIN(IF((MONTH(Debut)=MONTH(1&amp;$B$2))+(MONTH(Fin)=MONTH(1&amp;$B$2)),IF(COUNTIF(A$5:A20,Noms)=0,ROW(Noms)))))&amp;""</f>
        <v>Nom du groupe</v>
      </c>
      <c r="B21" s="18">
        <f t="shared" ca="1" si="6"/>
        <v>0</v>
      </c>
      <c r="C21" s="18">
        <f t="shared" ca="1" si="6"/>
        <v>0</v>
      </c>
      <c r="D21" s="18">
        <f t="shared" ca="1" si="6"/>
        <v>0</v>
      </c>
      <c r="E21" s="18">
        <f t="shared" ca="1" si="6"/>
        <v>0</v>
      </c>
      <c r="F21" s="18">
        <f t="shared" ca="1" si="6"/>
        <v>0</v>
      </c>
      <c r="G21" s="18">
        <f t="shared" ca="1" si="6"/>
        <v>0</v>
      </c>
      <c r="H21" s="18">
        <f t="shared" ca="1" si="6"/>
        <v>0</v>
      </c>
      <c r="I21" s="18">
        <f t="shared" ca="1" si="6"/>
        <v>0</v>
      </c>
      <c r="J21" s="18">
        <f t="shared" ca="1" si="6"/>
        <v>0</v>
      </c>
      <c r="K21" s="18">
        <f t="shared" ca="1" si="6"/>
        <v>0</v>
      </c>
      <c r="L21" s="18">
        <f t="shared" ca="1" si="7"/>
        <v>0</v>
      </c>
      <c r="M21" s="18">
        <f t="shared" ca="1" si="7"/>
        <v>0</v>
      </c>
      <c r="N21" s="18">
        <f t="shared" ca="1" si="7"/>
        <v>0</v>
      </c>
      <c r="O21" s="18">
        <f t="shared" ca="1" si="7"/>
        <v>0</v>
      </c>
      <c r="P21" s="18">
        <f t="shared" ca="1" si="7"/>
        <v>0</v>
      </c>
      <c r="Q21" s="18">
        <f t="shared" ca="1" si="7"/>
        <v>0</v>
      </c>
      <c r="R21" s="18">
        <f t="shared" ca="1" si="7"/>
        <v>0</v>
      </c>
      <c r="S21" s="18">
        <f t="shared" ca="1" si="7"/>
        <v>0</v>
      </c>
      <c r="T21" s="18">
        <f t="shared" ca="1" si="7"/>
        <v>0</v>
      </c>
      <c r="U21" s="18">
        <f t="shared" ca="1" si="7"/>
        <v>0</v>
      </c>
      <c r="V21" s="18">
        <f t="shared" ca="1" si="8"/>
        <v>0</v>
      </c>
      <c r="W21" s="18">
        <f t="shared" ca="1" si="8"/>
        <v>0</v>
      </c>
      <c r="X21" s="18">
        <f t="shared" ca="1" si="8"/>
        <v>0</v>
      </c>
      <c r="Y21" s="18">
        <f t="shared" ca="1" si="8"/>
        <v>0</v>
      </c>
      <c r="Z21" s="18">
        <f t="shared" ca="1" si="8"/>
        <v>0</v>
      </c>
      <c r="AA21" s="18">
        <f t="shared" ca="1" si="8"/>
        <v>0</v>
      </c>
      <c r="AB21" s="18">
        <f t="shared" ca="1" si="8"/>
        <v>0</v>
      </c>
      <c r="AC21" s="18">
        <f t="shared" ca="1" si="8"/>
        <v>0</v>
      </c>
      <c r="AD21" s="18">
        <f t="shared" ca="1" si="8"/>
        <v>0</v>
      </c>
      <c r="AE21" s="18">
        <f t="shared" ca="1" si="8"/>
        <v>0</v>
      </c>
      <c r="AF21" s="18">
        <f t="shared" ca="1" si="8"/>
        <v>0</v>
      </c>
      <c r="AG21" s="21">
        <f t="shared" ca="1" si="5"/>
        <v>0</v>
      </c>
      <c r="AH21" s="2"/>
    </row>
    <row r="22" spans="1:34" ht="20.100000000000001" hidden="1" customHeight="1" x14ac:dyDescent="0.2">
      <c r="A22" s="3" t="str">
        <f t="array" aca="1" ref="A22" ca="1">INDEX(ColA,MIN(IF((MONTH(Debut)=MONTH(1&amp;$B$2))+(MONTH(Fin)=MONTH(1&amp;$B$2)),IF(COUNTIF(A$5:A21,Noms)=0,ROW(Noms)))))&amp;""</f>
        <v>Nom du groupe</v>
      </c>
      <c r="B22" s="18">
        <f t="shared" ca="1" si="6"/>
        <v>0</v>
      </c>
      <c r="C22" s="18">
        <f t="shared" ca="1" si="6"/>
        <v>0</v>
      </c>
      <c r="D22" s="18">
        <f t="shared" ca="1" si="6"/>
        <v>0</v>
      </c>
      <c r="E22" s="18">
        <f t="shared" ca="1" si="6"/>
        <v>0</v>
      </c>
      <c r="F22" s="18">
        <f t="shared" ca="1" si="6"/>
        <v>0</v>
      </c>
      <c r="G22" s="18">
        <f t="shared" ca="1" si="6"/>
        <v>0</v>
      </c>
      <c r="H22" s="18">
        <f t="shared" ca="1" si="6"/>
        <v>0</v>
      </c>
      <c r="I22" s="18">
        <f t="shared" ca="1" si="6"/>
        <v>0</v>
      </c>
      <c r="J22" s="18">
        <f t="shared" ca="1" si="6"/>
        <v>0</v>
      </c>
      <c r="K22" s="18">
        <f t="shared" ca="1" si="6"/>
        <v>0</v>
      </c>
      <c r="L22" s="18">
        <f t="shared" ca="1" si="7"/>
        <v>0</v>
      </c>
      <c r="M22" s="18">
        <f t="shared" ca="1" si="7"/>
        <v>0</v>
      </c>
      <c r="N22" s="18">
        <f t="shared" ca="1" si="7"/>
        <v>0</v>
      </c>
      <c r="O22" s="18">
        <f t="shared" ca="1" si="7"/>
        <v>0</v>
      </c>
      <c r="P22" s="18">
        <f t="shared" ca="1" si="7"/>
        <v>0</v>
      </c>
      <c r="Q22" s="18">
        <f t="shared" ca="1" si="7"/>
        <v>0</v>
      </c>
      <c r="R22" s="18">
        <f t="shared" ca="1" si="7"/>
        <v>0</v>
      </c>
      <c r="S22" s="18">
        <f t="shared" ca="1" si="7"/>
        <v>0</v>
      </c>
      <c r="T22" s="18">
        <f t="shared" ca="1" si="7"/>
        <v>0</v>
      </c>
      <c r="U22" s="18">
        <f t="shared" ca="1" si="7"/>
        <v>0</v>
      </c>
      <c r="V22" s="18">
        <f t="shared" ca="1" si="8"/>
        <v>0</v>
      </c>
      <c r="W22" s="18">
        <f t="shared" ca="1" si="8"/>
        <v>0</v>
      </c>
      <c r="X22" s="18">
        <f t="shared" ca="1" si="8"/>
        <v>0</v>
      </c>
      <c r="Y22" s="18">
        <f t="shared" ca="1" si="8"/>
        <v>0</v>
      </c>
      <c r="Z22" s="18">
        <f t="shared" ca="1" si="8"/>
        <v>0</v>
      </c>
      <c r="AA22" s="18">
        <f t="shared" ca="1" si="8"/>
        <v>0</v>
      </c>
      <c r="AB22" s="18">
        <f t="shared" ca="1" si="8"/>
        <v>0</v>
      </c>
      <c r="AC22" s="18">
        <f t="shared" ca="1" si="8"/>
        <v>0</v>
      </c>
      <c r="AD22" s="18">
        <f t="shared" ca="1" si="8"/>
        <v>0</v>
      </c>
      <c r="AE22" s="18">
        <f t="shared" ca="1" si="8"/>
        <v>0</v>
      </c>
      <c r="AF22" s="18">
        <f t="shared" ca="1" si="8"/>
        <v>0</v>
      </c>
      <c r="AG22" s="21">
        <f t="shared" ca="1" si="5"/>
        <v>0</v>
      </c>
      <c r="AH22" s="2"/>
    </row>
    <row r="23" spans="1:34" ht="20.100000000000001" hidden="1" customHeight="1" x14ac:dyDescent="0.2">
      <c r="A23" s="3" t="str">
        <f t="array" aca="1" ref="A23" ca="1">INDEX(ColA,MIN(IF((MONTH(Debut)=MONTH(1&amp;$B$2))+(MONTH(Fin)=MONTH(1&amp;$B$2)),IF(COUNTIF(A$5:A22,Noms)=0,ROW(Noms)))))&amp;""</f>
        <v>Nom du groupe</v>
      </c>
      <c r="B23" s="18">
        <f t="shared" ca="1" si="6"/>
        <v>0</v>
      </c>
      <c r="C23" s="18">
        <f t="shared" ca="1" si="6"/>
        <v>0</v>
      </c>
      <c r="D23" s="18">
        <f t="shared" ca="1" si="6"/>
        <v>0</v>
      </c>
      <c r="E23" s="18">
        <f t="shared" ca="1" si="6"/>
        <v>0</v>
      </c>
      <c r="F23" s="18">
        <f t="shared" ca="1" si="6"/>
        <v>0</v>
      </c>
      <c r="G23" s="18">
        <f t="shared" ca="1" si="6"/>
        <v>0</v>
      </c>
      <c r="H23" s="18">
        <f t="shared" ca="1" si="6"/>
        <v>0</v>
      </c>
      <c r="I23" s="18">
        <f t="shared" ca="1" si="6"/>
        <v>0</v>
      </c>
      <c r="J23" s="18">
        <f t="shared" ca="1" si="6"/>
        <v>0</v>
      </c>
      <c r="K23" s="18">
        <f t="shared" ca="1" si="6"/>
        <v>0</v>
      </c>
      <c r="L23" s="18">
        <f t="shared" ca="1" si="7"/>
        <v>0</v>
      </c>
      <c r="M23" s="18">
        <f t="shared" ca="1" si="7"/>
        <v>0</v>
      </c>
      <c r="N23" s="18">
        <f t="shared" ca="1" si="7"/>
        <v>0</v>
      </c>
      <c r="O23" s="18">
        <f t="shared" ca="1" si="7"/>
        <v>0</v>
      </c>
      <c r="P23" s="18">
        <f t="shared" ca="1" si="7"/>
        <v>0</v>
      </c>
      <c r="Q23" s="18">
        <f t="shared" ca="1" si="7"/>
        <v>0</v>
      </c>
      <c r="R23" s="18">
        <f t="shared" ca="1" si="7"/>
        <v>0</v>
      </c>
      <c r="S23" s="18">
        <f t="shared" ca="1" si="7"/>
        <v>0</v>
      </c>
      <c r="T23" s="18">
        <f t="shared" ca="1" si="7"/>
        <v>0</v>
      </c>
      <c r="U23" s="18">
        <f t="shared" ca="1" si="7"/>
        <v>0</v>
      </c>
      <c r="V23" s="18">
        <f t="shared" ca="1" si="8"/>
        <v>0</v>
      </c>
      <c r="W23" s="18">
        <f t="shared" ca="1" si="8"/>
        <v>0</v>
      </c>
      <c r="X23" s="18">
        <f t="shared" ca="1" si="8"/>
        <v>0</v>
      </c>
      <c r="Y23" s="18">
        <f t="shared" ca="1" si="8"/>
        <v>0</v>
      </c>
      <c r="Z23" s="18">
        <f t="shared" ca="1" si="8"/>
        <v>0</v>
      </c>
      <c r="AA23" s="18">
        <f t="shared" ca="1" si="8"/>
        <v>0</v>
      </c>
      <c r="AB23" s="18">
        <f t="shared" ca="1" si="8"/>
        <v>0</v>
      </c>
      <c r="AC23" s="18">
        <f t="shared" ca="1" si="8"/>
        <v>0</v>
      </c>
      <c r="AD23" s="18">
        <f t="shared" ca="1" si="8"/>
        <v>0</v>
      </c>
      <c r="AE23" s="18">
        <f t="shared" ca="1" si="8"/>
        <v>0</v>
      </c>
      <c r="AF23" s="18">
        <f t="shared" ca="1" si="8"/>
        <v>0</v>
      </c>
      <c r="AG23" s="21">
        <f t="shared" ca="1" si="5"/>
        <v>0</v>
      </c>
      <c r="AH23" s="2"/>
    </row>
    <row r="24" spans="1:34" ht="20.100000000000001" hidden="1" customHeight="1" x14ac:dyDescent="0.2">
      <c r="A24" s="3" t="str">
        <f t="array" aca="1" ref="A24" ca="1">INDEX(ColA,MIN(IF((MONTH(Debut)=MONTH(1&amp;$B$2))+(MONTH(Fin)=MONTH(1&amp;$B$2)),IF(COUNTIF(A$5:A23,Noms)=0,ROW(Noms)))))&amp;""</f>
        <v>Nom du groupe</v>
      </c>
      <c r="B24" s="18">
        <f t="shared" ca="1" si="6"/>
        <v>0</v>
      </c>
      <c r="C24" s="18">
        <f t="shared" ca="1" si="6"/>
        <v>0</v>
      </c>
      <c r="D24" s="18">
        <f t="shared" ca="1" si="6"/>
        <v>0</v>
      </c>
      <c r="E24" s="18">
        <f t="shared" ca="1" si="6"/>
        <v>0</v>
      </c>
      <c r="F24" s="18">
        <f t="shared" ca="1" si="6"/>
        <v>0</v>
      </c>
      <c r="G24" s="18">
        <f t="shared" ca="1" si="6"/>
        <v>0</v>
      </c>
      <c r="H24" s="18">
        <f t="shared" ca="1" si="6"/>
        <v>0</v>
      </c>
      <c r="I24" s="18">
        <f t="shared" ca="1" si="6"/>
        <v>0</v>
      </c>
      <c r="J24" s="18">
        <f t="shared" ca="1" si="6"/>
        <v>0</v>
      </c>
      <c r="K24" s="18">
        <f t="shared" ca="1" si="6"/>
        <v>0</v>
      </c>
      <c r="L24" s="18">
        <f t="shared" ca="1" si="7"/>
        <v>0</v>
      </c>
      <c r="M24" s="18">
        <f t="shared" ca="1" si="7"/>
        <v>0</v>
      </c>
      <c r="N24" s="18">
        <f t="shared" ca="1" si="7"/>
        <v>0</v>
      </c>
      <c r="O24" s="18">
        <f t="shared" ca="1" si="7"/>
        <v>0</v>
      </c>
      <c r="P24" s="18">
        <f t="shared" ca="1" si="7"/>
        <v>0</v>
      </c>
      <c r="Q24" s="18">
        <f t="shared" ca="1" si="7"/>
        <v>0</v>
      </c>
      <c r="R24" s="18">
        <f t="shared" ca="1" si="7"/>
        <v>0</v>
      </c>
      <c r="S24" s="18">
        <f t="shared" ca="1" si="7"/>
        <v>0</v>
      </c>
      <c r="T24" s="18">
        <f t="shared" ca="1" si="7"/>
        <v>0</v>
      </c>
      <c r="U24" s="18">
        <f t="shared" ca="1" si="7"/>
        <v>0</v>
      </c>
      <c r="V24" s="18">
        <f t="shared" ca="1" si="8"/>
        <v>0</v>
      </c>
      <c r="W24" s="18">
        <f t="shared" ca="1" si="8"/>
        <v>0</v>
      </c>
      <c r="X24" s="18">
        <f t="shared" ca="1" si="8"/>
        <v>0</v>
      </c>
      <c r="Y24" s="18">
        <f t="shared" ca="1" si="8"/>
        <v>0</v>
      </c>
      <c r="Z24" s="18">
        <f t="shared" ca="1" si="8"/>
        <v>0</v>
      </c>
      <c r="AA24" s="18">
        <f t="shared" ca="1" si="8"/>
        <v>0</v>
      </c>
      <c r="AB24" s="18">
        <f t="shared" ca="1" si="8"/>
        <v>0</v>
      </c>
      <c r="AC24" s="18">
        <f t="shared" ca="1" si="8"/>
        <v>0</v>
      </c>
      <c r="AD24" s="18">
        <f t="shared" ca="1" si="8"/>
        <v>0</v>
      </c>
      <c r="AE24" s="18">
        <f t="shared" ca="1" si="8"/>
        <v>0</v>
      </c>
      <c r="AF24" s="18">
        <f t="shared" ca="1" si="8"/>
        <v>0</v>
      </c>
      <c r="AG24" s="21">
        <f t="shared" ca="1" si="5"/>
        <v>0</v>
      </c>
      <c r="AH24" s="2"/>
    </row>
    <row r="25" spans="1:34" ht="20.100000000000001" hidden="1" customHeight="1" x14ac:dyDescent="0.2">
      <c r="A25" s="3" t="str">
        <f t="array" aca="1" ref="A25" ca="1">INDEX(ColA,MIN(IF((MONTH(Debut)=MONTH(1&amp;$B$2))+(MONTH(Fin)=MONTH(1&amp;$B$2)),IF(COUNTIF(A$5:A24,Noms)=0,ROW(Noms)))))&amp;""</f>
        <v>Nom du groupe</v>
      </c>
      <c r="B25" s="18">
        <f t="shared" ca="1" si="6"/>
        <v>0</v>
      </c>
      <c r="C25" s="18">
        <f t="shared" ca="1" si="6"/>
        <v>0</v>
      </c>
      <c r="D25" s="18">
        <f t="shared" ca="1" si="6"/>
        <v>0</v>
      </c>
      <c r="E25" s="18">
        <f t="shared" ca="1" si="6"/>
        <v>0</v>
      </c>
      <c r="F25" s="18">
        <f t="shared" ca="1" si="6"/>
        <v>0</v>
      </c>
      <c r="G25" s="18">
        <f t="shared" ca="1" si="6"/>
        <v>0</v>
      </c>
      <c r="H25" s="18">
        <f t="shared" ca="1" si="6"/>
        <v>0</v>
      </c>
      <c r="I25" s="18">
        <f t="shared" ca="1" si="6"/>
        <v>0</v>
      </c>
      <c r="J25" s="18">
        <f t="shared" ca="1" si="6"/>
        <v>0</v>
      </c>
      <c r="K25" s="18">
        <f t="shared" ca="1" si="6"/>
        <v>0</v>
      </c>
      <c r="L25" s="18">
        <f t="shared" ca="1" si="7"/>
        <v>0</v>
      </c>
      <c r="M25" s="18">
        <f t="shared" ca="1" si="7"/>
        <v>0</v>
      </c>
      <c r="N25" s="18">
        <f t="shared" ca="1" si="7"/>
        <v>0</v>
      </c>
      <c r="O25" s="18">
        <f t="shared" ca="1" si="7"/>
        <v>0</v>
      </c>
      <c r="P25" s="18">
        <f t="shared" ca="1" si="7"/>
        <v>0</v>
      </c>
      <c r="Q25" s="18">
        <f t="shared" ca="1" si="7"/>
        <v>0</v>
      </c>
      <c r="R25" s="18">
        <f t="shared" ca="1" si="7"/>
        <v>0</v>
      </c>
      <c r="S25" s="18">
        <f t="shared" ca="1" si="7"/>
        <v>0</v>
      </c>
      <c r="T25" s="18">
        <f t="shared" ca="1" si="7"/>
        <v>0</v>
      </c>
      <c r="U25" s="18">
        <f t="shared" ca="1" si="7"/>
        <v>0</v>
      </c>
      <c r="V25" s="18">
        <f t="shared" ca="1" si="8"/>
        <v>0</v>
      </c>
      <c r="W25" s="18">
        <f t="shared" ca="1" si="8"/>
        <v>0</v>
      </c>
      <c r="X25" s="18">
        <f t="shared" ca="1" si="8"/>
        <v>0</v>
      </c>
      <c r="Y25" s="18">
        <f t="shared" ca="1" si="8"/>
        <v>0</v>
      </c>
      <c r="Z25" s="18">
        <f t="shared" ca="1" si="8"/>
        <v>0</v>
      </c>
      <c r="AA25" s="18">
        <f t="shared" ca="1" si="8"/>
        <v>0</v>
      </c>
      <c r="AB25" s="18">
        <f t="shared" ca="1" si="8"/>
        <v>0</v>
      </c>
      <c r="AC25" s="18">
        <f t="shared" ca="1" si="8"/>
        <v>0</v>
      </c>
      <c r="AD25" s="18">
        <f t="shared" ca="1" si="8"/>
        <v>0</v>
      </c>
      <c r="AE25" s="18">
        <f t="shared" ca="1" si="8"/>
        <v>0</v>
      </c>
      <c r="AF25" s="18">
        <f t="shared" ca="1" si="8"/>
        <v>0</v>
      </c>
      <c r="AG25" s="21">
        <f t="shared" ca="1" si="5"/>
        <v>0</v>
      </c>
      <c r="AH25" s="2"/>
    </row>
    <row r="26" spans="1:34" ht="20.100000000000001" hidden="1" customHeight="1" x14ac:dyDescent="0.2">
      <c r="A26" s="3" t="str">
        <f t="array" aca="1" ref="A26" ca="1">INDEX(ColA,MIN(IF((MONTH(Debut)=MONTH(1&amp;$B$2))+(MONTH(Fin)=MONTH(1&amp;$B$2)),IF(COUNTIF(A$5:A25,Noms)=0,ROW(Noms)))))&amp;""</f>
        <v>Nom du groupe</v>
      </c>
      <c r="B26" s="18">
        <f t="shared" ca="1" si="6"/>
        <v>0</v>
      </c>
      <c r="C26" s="18">
        <f t="shared" ca="1" si="6"/>
        <v>0</v>
      </c>
      <c r="D26" s="18">
        <f t="shared" ca="1" si="6"/>
        <v>0</v>
      </c>
      <c r="E26" s="18">
        <f t="shared" ca="1" si="6"/>
        <v>0</v>
      </c>
      <c r="F26" s="18">
        <f t="shared" ca="1" si="6"/>
        <v>0</v>
      </c>
      <c r="G26" s="18">
        <f t="shared" ca="1" si="6"/>
        <v>0</v>
      </c>
      <c r="H26" s="18">
        <f t="shared" ca="1" si="6"/>
        <v>0</v>
      </c>
      <c r="I26" s="18">
        <f t="shared" ca="1" si="6"/>
        <v>0</v>
      </c>
      <c r="J26" s="18">
        <f t="shared" ca="1" si="6"/>
        <v>0</v>
      </c>
      <c r="K26" s="18">
        <f t="shared" ca="1" si="6"/>
        <v>0</v>
      </c>
      <c r="L26" s="18">
        <f t="shared" ca="1" si="7"/>
        <v>0</v>
      </c>
      <c r="M26" s="18">
        <f t="shared" ca="1" si="7"/>
        <v>0</v>
      </c>
      <c r="N26" s="18">
        <f t="shared" ca="1" si="7"/>
        <v>0</v>
      </c>
      <c r="O26" s="18">
        <f t="shared" ca="1" si="7"/>
        <v>0</v>
      </c>
      <c r="P26" s="18">
        <f t="shared" ca="1" si="7"/>
        <v>0</v>
      </c>
      <c r="Q26" s="18">
        <f t="shared" ca="1" si="7"/>
        <v>0</v>
      </c>
      <c r="R26" s="18">
        <f t="shared" ca="1" si="7"/>
        <v>0</v>
      </c>
      <c r="S26" s="18">
        <f t="shared" ca="1" si="7"/>
        <v>0</v>
      </c>
      <c r="T26" s="18">
        <f t="shared" ca="1" si="7"/>
        <v>0</v>
      </c>
      <c r="U26" s="18">
        <f t="shared" ca="1" si="7"/>
        <v>0</v>
      </c>
      <c r="V26" s="18">
        <f t="shared" ca="1" si="8"/>
        <v>0</v>
      </c>
      <c r="W26" s="18">
        <f t="shared" ca="1" si="8"/>
        <v>0</v>
      </c>
      <c r="X26" s="18">
        <f t="shared" ca="1" si="8"/>
        <v>0</v>
      </c>
      <c r="Y26" s="18">
        <f t="shared" ca="1" si="8"/>
        <v>0</v>
      </c>
      <c r="Z26" s="18">
        <f t="shared" ca="1" si="8"/>
        <v>0</v>
      </c>
      <c r="AA26" s="18">
        <f t="shared" ca="1" si="8"/>
        <v>0</v>
      </c>
      <c r="AB26" s="18">
        <f t="shared" ca="1" si="8"/>
        <v>0</v>
      </c>
      <c r="AC26" s="18">
        <f t="shared" ca="1" si="8"/>
        <v>0</v>
      </c>
      <c r="AD26" s="18">
        <f t="shared" ca="1" si="8"/>
        <v>0</v>
      </c>
      <c r="AE26" s="18">
        <f t="shared" ca="1" si="8"/>
        <v>0</v>
      </c>
      <c r="AF26" s="18">
        <f t="shared" ca="1" si="8"/>
        <v>0</v>
      </c>
      <c r="AG26" s="21">
        <f t="shared" ca="1" si="5"/>
        <v>0</v>
      </c>
      <c r="AH26" s="2"/>
    </row>
    <row r="27" spans="1:34" ht="20.100000000000001" hidden="1" customHeight="1" x14ac:dyDescent="0.2">
      <c r="A27" s="3" t="str">
        <f t="array" aca="1" ref="A27" ca="1">INDEX(ColA,MIN(IF((MONTH(Debut)=MONTH(1&amp;$B$2))+(MONTH(Fin)=MONTH(1&amp;$B$2)),IF(COUNTIF(A$5:A26,Noms)=0,ROW(Noms)))))&amp;""</f>
        <v>Nom du groupe</v>
      </c>
      <c r="B27" s="18">
        <f t="shared" ca="1" si="6"/>
        <v>0</v>
      </c>
      <c r="C27" s="18">
        <f t="shared" ca="1" si="6"/>
        <v>0</v>
      </c>
      <c r="D27" s="18">
        <f t="shared" ca="1" si="6"/>
        <v>0</v>
      </c>
      <c r="E27" s="18">
        <f t="shared" ca="1" si="6"/>
        <v>0</v>
      </c>
      <c r="F27" s="18">
        <f t="shared" ca="1" si="6"/>
        <v>0</v>
      </c>
      <c r="G27" s="18">
        <f t="shared" ca="1" si="6"/>
        <v>0</v>
      </c>
      <c r="H27" s="18">
        <f t="shared" ca="1" si="6"/>
        <v>0</v>
      </c>
      <c r="I27" s="18">
        <f t="shared" ca="1" si="6"/>
        <v>0</v>
      </c>
      <c r="J27" s="18">
        <f t="shared" ca="1" si="6"/>
        <v>0</v>
      </c>
      <c r="K27" s="18">
        <f t="shared" ca="1" si="6"/>
        <v>0</v>
      </c>
      <c r="L27" s="18">
        <f t="shared" ca="1" si="7"/>
        <v>0</v>
      </c>
      <c r="M27" s="18">
        <f t="shared" ca="1" si="7"/>
        <v>0</v>
      </c>
      <c r="N27" s="18">
        <f t="shared" ca="1" si="7"/>
        <v>0</v>
      </c>
      <c r="O27" s="18">
        <f t="shared" ca="1" si="7"/>
        <v>0</v>
      </c>
      <c r="P27" s="18">
        <f t="shared" ca="1" si="7"/>
        <v>0</v>
      </c>
      <c r="Q27" s="18">
        <f t="shared" ca="1" si="7"/>
        <v>0</v>
      </c>
      <c r="R27" s="18">
        <f t="shared" ca="1" si="7"/>
        <v>0</v>
      </c>
      <c r="S27" s="18">
        <f t="shared" ca="1" si="7"/>
        <v>0</v>
      </c>
      <c r="T27" s="18">
        <f t="shared" ca="1" si="7"/>
        <v>0</v>
      </c>
      <c r="U27" s="18">
        <f t="shared" ca="1" si="7"/>
        <v>0</v>
      </c>
      <c r="V27" s="18">
        <f t="shared" ca="1" si="8"/>
        <v>0</v>
      </c>
      <c r="W27" s="18">
        <f t="shared" ca="1" si="8"/>
        <v>0</v>
      </c>
      <c r="X27" s="18">
        <f t="shared" ca="1" si="8"/>
        <v>0</v>
      </c>
      <c r="Y27" s="18">
        <f t="shared" ca="1" si="8"/>
        <v>0</v>
      </c>
      <c r="Z27" s="18">
        <f t="shared" ca="1" si="8"/>
        <v>0</v>
      </c>
      <c r="AA27" s="18">
        <f t="shared" ca="1" si="8"/>
        <v>0</v>
      </c>
      <c r="AB27" s="18">
        <f t="shared" ca="1" si="8"/>
        <v>0</v>
      </c>
      <c r="AC27" s="18">
        <f t="shared" ca="1" si="8"/>
        <v>0</v>
      </c>
      <c r="AD27" s="18">
        <f t="shared" ca="1" si="8"/>
        <v>0</v>
      </c>
      <c r="AE27" s="18">
        <f t="shared" ca="1" si="8"/>
        <v>0</v>
      </c>
      <c r="AF27" s="18">
        <f t="shared" ca="1" si="8"/>
        <v>0</v>
      </c>
      <c r="AG27" s="21">
        <f t="shared" ca="1" si="5"/>
        <v>0</v>
      </c>
      <c r="AH27" s="2"/>
    </row>
    <row r="28" spans="1:34" ht="20.100000000000001" hidden="1" customHeight="1" x14ac:dyDescent="0.2">
      <c r="A28" s="3" t="str">
        <f t="array" aca="1" ref="A28" ca="1">INDEX(ColA,MIN(IF((MONTH(Debut)=MONTH(1&amp;$B$2))+(MONTH(Fin)=MONTH(1&amp;$B$2)),IF(COUNTIF(A$5:A27,Noms)=0,ROW(Noms)))))&amp;""</f>
        <v>Nom du groupe</v>
      </c>
      <c r="B28" s="18">
        <f t="shared" ca="1" si="6"/>
        <v>0</v>
      </c>
      <c r="C28" s="18">
        <f t="shared" ca="1" si="6"/>
        <v>0</v>
      </c>
      <c r="D28" s="18">
        <f t="shared" ca="1" si="6"/>
        <v>0</v>
      </c>
      <c r="E28" s="18">
        <f t="shared" ca="1" si="6"/>
        <v>0</v>
      </c>
      <c r="F28" s="18">
        <f t="shared" ca="1" si="6"/>
        <v>0</v>
      </c>
      <c r="G28" s="18">
        <f t="shared" ca="1" si="6"/>
        <v>0</v>
      </c>
      <c r="H28" s="18">
        <f t="shared" ca="1" si="6"/>
        <v>0</v>
      </c>
      <c r="I28" s="18">
        <f t="shared" ca="1" si="6"/>
        <v>0</v>
      </c>
      <c r="J28" s="18">
        <f t="shared" ca="1" si="6"/>
        <v>0</v>
      </c>
      <c r="K28" s="18">
        <f t="shared" ca="1" si="6"/>
        <v>0</v>
      </c>
      <c r="L28" s="18">
        <f t="shared" ca="1" si="7"/>
        <v>0</v>
      </c>
      <c r="M28" s="18">
        <f t="shared" ca="1" si="7"/>
        <v>0</v>
      </c>
      <c r="N28" s="18">
        <f t="shared" ca="1" si="7"/>
        <v>0</v>
      </c>
      <c r="O28" s="18">
        <f t="shared" ca="1" si="7"/>
        <v>0</v>
      </c>
      <c r="P28" s="18">
        <f t="shared" ca="1" si="7"/>
        <v>0</v>
      </c>
      <c r="Q28" s="18">
        <f t="shared" ca="1" si="7"/>
        <v>0</v>
      </c>
      <c r="R28" s="18">
        <f t="shared" ca="1" si="7"/>
        <v>0</v>
      </c>
      <c r="S28" s="18">
        <f t="shared" ca="1" si="7"/>
        <v>0</v>
      </c>
      <c r="T28" s="18">
        <f t="shared" ca="1" si="7"/>
        <v>0</v>
      </c>
      <c r="U28" s="18">
        <f t="shared" ca="1" si="7"/>
        <v>0</v>
      </c>
      <c r="V28" s="18">
        <f t="shared" ca="1" si="8"/>
        <v>0</v>
      </c>
      <c r="W28" s="18">
        <f t="shared" ca="1" si="8"/>
        <v>0</v>
      </c>
      <c r="X28" s="18">
        <f t="shared" ca="1" si="8"/>
        <v>0</v>
      </c>
      <c r="Y28" s="18">
        <f t="shared" ca="1" si="8"/>
        <v>0</v>
      </c>
      <c r="Z28" s="18">
        <f t="shared" ca="1" si="8"/>
        <v>0</v>
      </c>
      <c r="AA28" s="18">
        <f t="shared" ca="1" si="8"/>
        <v>0</v>
      </c>
      <c r="AB28" s="18">
        <f t="shared" ca="1" si="8"/>
        <v>0</v>
      </c>
      <c r="AC28" s="18">
        <f t="shared" ca="1" si="8"/>
        <v>0</v>
      </c>
      <c r="AD28" s="18">
        <f t="shared" ca="1" si="8"/>
        <v>0</v>
      </c>
      <c r="AE28" s="18">
        <f t="shared" ca="1" si="8"/>
        <v>0</v>
      </c>
      <c r="AF28" s="18">
        <f t="shared" ca="1" si="8"/>
        <v>0</v>
      </c>
      <c r="AG28" s="21">
        <f t="shared" ca="1" si="5"/>
        <v>0</v>
      </c>
      <c r="AH28" s="2"/>
    </row>
    <row r="29" spans="1:34" ht="20.100000000000001" hidden="1" customHeight="1" x14ac:dyDescent="0.2">
      <c r="A29" s="3" t="str">
        <f t="array" aca="1" ref="A29" ca="1">INDEX(ColA,MIN(IF((MONTH(Debut)=MONTH(1&amp;$B$2))+(MONTH(Fin)=MONTH(1&amp;$B$2)),IF(COUNTIF(A$5:A28,Noms)=0,ROW(Noms)))))&amp;""</f>
        <v>Nom du groupe</v>
      </c>
      <c r="B29" s="18">
        <f t="shared" ca="1" si="6"/>
        <v>0</v>
      </c>
      <c r="C29" s="18">
        <f t="shared" ca="1" si="6"/>
        <v>0</v>
      </c>
      <c r="D29" s="18">
        <f t="shared" ca="1" si="6"/>
        <v>0</v>
      </c>
      <c r="E29" s="18">
        <f t="shared" ca="1" si="6"/>
        <v>0</v>
      </c>
      <c r="F29" s="18">
        <f t="shared" ca="1" si="6"/>
        <v>0</v>
      </c>
      <c r="G29" s="18">
        <f t="shared" ca="1" si="6"/>
        <v>0</v>
      </c>
      <c r="H29" s="18">
        <f t="shared" ca="1" si="6"/>
        <v>0</v>
      </c>
      <c r="I29" s="18">
        <f t="shared" ca="1" si="6"/>
        <v>0</v>
      </c>
      <c r="J29" s="18">
        <f t="shared" ca="1" si="6"/>
        <v>0</v>
      </c>
      <c r="K29" s="18">
        <f t="shared" ca="1" si="6"/>
        <v>0</v>
      </c>
      <c r="L29" s="18">
        <f t="shared" ca="1" si="7"/>
        <v>0</v>
      </c>
      <c r="M29" s="18">
        <f t="shared" ca="1" si="7"/>
        <v>0</v>
      </c>
      <c r="N29" s="18">
        <f t="shared" ca="1" si="7"/>
        <v>0</v>
      </c>
      <c r="O29" s="18">
        <f t="shared" ca="1" si="7"/>
        <v>0</v>
      </c>
      <c r="P29" s="18">
        <f t="shared" ca="1" si="7"/>
        <v>0</v>
      </c>
      <c r="Q29" s="18">
        <f t="shared" ca="1" si="7"/>
        <v>0</v>
      </c>
      <c r="R29" s="18">
        <f t="shared" ca="1" si="7"/>
        <v>0</v>
      </c>
      <c r="S29" s="18">
        <f t="shared" ca="1" si="7"/>
        <v>0</v>
      </c>
      <c r="T29" s="18">
        <f t="shared" ca="1" si="7"/>
        <v>0</v>
      </c>
      <c r="U29" s="18">
        <f t="shared" ca="1" si="7"/>
        <v>0</v>
      </c>
      <c r="V29" s="18">
        <f t="shared" ca="1" si="8"/>
        <v>0</v>
      </c>
      <c r="W29" s="18">
        <f t="shared" ca="1" si="8"/>
        <v>0</v>
      </c>
      <c r="X29" s="18">
        <f t="shared" ca="1" si="8"/>
        <v>0</v>
      </c>
      <c r="Y29" s="18">
        <f t="shared" ca="1" si="8"/>
        <v>0</v>
      </c>
      <c r="Z29" s="18">
        <f t="shared" ca="1" si="8"/>
        <v>0</v>
      </c>
      <c r="AA29" s="18">
        <f t="shared" ca="1" si="8"/>
        <v>0</v>
      </c>
      <c r="AB29" s="18">
        <f t="shared" ca="1" si="8"/>
        <v>0</v>
      </c>
      <c r="AC29" s="18">
        <f t="shared" ca="1" si="8"/>
        <v>0</v>
      </c>
      <c r="AD29" s="18">
        <f t="shared" ca="1" si="8"/>
        <v>0</v>
      </c>
      <c r="AE29" s="18">
        <f t="shared" ca="1" si="8"/>
        <v>0</v>
      </c>
      <c r="AF29" s="18">
        <f t="shared" ca="1" si="8"/>
        <v>0</v>
      </c>
      <c r="AG29" s="21">
        <f t="shared" ca="1" si="5"/>
        <v>0</v>
      </c>
      <c r="AH29" s="2"/>
    </row>
    <row r="30" spans="1:34" ht="20.100000000000001" hidden="1" customHeight="1" x14ac:dyDescent="0.2">
      <c r="A30" s="3" t="str">
        <f t="array" aca="1" ref="A30" ca="1">INDEX(ColA,MIN(IF((MONTH(Debut)=MONTH(1&amp;$B$2))+(MONTH(Fin)=MONTH(1&amp;$B$2)),IF(COUNTIF(A$5:A29,Noms)=0,ROW(Noms)))))&amp;""</f>
        <v>Nom du groupe</v>
      </c>
      <c r="B30" s="18">
        <f t="shared" ca="1" si="6"/>
        <v>0</v>
      </c>
      <c r="C30" s="18">
        <f t="shared" ca="1" si="6"/>
        <v>0</v>
      </c>
      <c r="D30" s="18">
        <f t="shared" ca="1" si="6"/>
        <v>0</v>
      </c>
      <c r="E30" s="18">
        <f t="shared" ca="1" si="6"/>
        <v>0</v>
      </c>
      <c r="F30" s="18">
        <f t="shared" ca="1" si="6"/>
        <v>0</v>
      </c>
      <c r="G30" s="18">
        <f t="shared" ca="1" si="6"/>
        <v>0</v>
      </c>
      <c r="H30" s="18">
        <f t="shared" ca="1" si="6"/>
        <v>0</v>
      </c>
      <c r="I30" s="18">
        <f t="shared" ca="1" si="6"/>
        <v>0</v>
      </c>
      <c r="J30" s="18">
        <f t="shared" ca="1" si="6"/>
        <v>0</v>
      </c>
      <c r="K30" s="18">
        <f t="shared" ca="1" si="6"/>
        <v>0</v>
      </c>
      <c r="L30" s="18">
        <f t="shared" ca="1" si="7"/>
        <v>0</v>
      </c>
      <c r="M30" s="18">
        <f t="shared" ca="1" si="7"/>
        <v>0</v>
      </c>
      <c r="N30" s="18">
        <f t="shared" ca="1" si="7"/>
        <v>0</v>
      </c>
      <c r="O30" s="18">
        <f t="shared" ca="1" si="7"/>
        <v>0</v>
      </c>
      <c r="P30" s="18">
        <f t="shared" ca="1" si="7"/>
        <v>0</v>
      </c>
      <c r="Q30" s="18">
        <f t="shared" ca="1" si="7"/>
        <v>0</v>
      </c>
      <c r="R30" s="18">
        <f t="shared" ca="1" si="7"/>
        <v>0</v>
      </c>
      <c r="S30" s="18">
        <f t="shared" ca="1" si="7"/>
        <v>0</v>
      </c>
      <c r="T30" s="18">
        <f t="shared" ca="1" si="7"/>
        <v>0</v>
      </c>
      <c r="U30" s="18">
        <f t="shared" ca="1" si="7"/>
        <v>0</v>
      </c>
      <c r="V30" s="18">
        <f t="shared" ca="1" si="8"/>
        <v>0</v>
      </c>
      <c r="W30" s="18">
        <f t="shared" ca="1" si="8"/>
        <v>0</v>
      </c>
      <c r="X30" s="18">
        <f t="shared" ca="1" si="8"/>
        <v>0</v>
      </c>
      <c r="Y30" s="18">
        <f t="shared" ca="1" si="8"/>
        <v>0</v>
      </c>
      <c r="Z30" s="18">
        <f t="shared" ca="1" si="8"/>
        <v>0</v>
      </c>
      <c r="AA30" s="18">
        <f t="shared" ca="1" si="8"/>
        <v>0</v>
      </c>
      <c r="AB30" s="18">
        <f t="shared" ca="1" si="8"/>
        <v>0</v>
      </c>
      <c r="AC30" s="18">
        <f t="shared" ca="1" si="8"/>
        <v>0</v>
      </c>
      <c r="AD30" s="18">
        <f t="shared" ca="1" si="8"/>
        <v>0</v>
      </c>
      <c r="AE30" s="18">
        <f t="shared" ca="1" si="8"/>
        <v>0</v>
      </c>
      <c r="AF30" s="18">
        <f t="shared" ca="1" si="8"/>
        <v>0</v>
      </c>
      <c r="AG30" s="21">
        <f t="shared" ca="1" si="5"/>
        <v>0</v>
      </c>
      <c r="AH30" s="2"/>
    </row>
    <row r="31" spans="1:34" ht="20.100000000000001" customHeight="1" x14ac:dyDescent="0.2">
      <c r="A31" s="10" t="s">
        <v>34</v>
      </c>
      <c r="B31" s="23">
        <f t="shared" ref="B31:AF31" ca="1" si="9">SUMPRODUCT((B$5&gt;=Debut)*(B$5&lt;Fin)*(Profil&lt;&gt;"Annulé")*(Profil&lt;&gt;"Sans suite")*Pax)</f>
        <v>30</v>
      </c>
      <c r="C31" s="23">
        <f t="shared" ca="1" si="9"/>
        <v>30</v>
      </c>
      <c r="D31" s="23">
        <f t="shared" ca="1" si="9"/>
        <v>30</v>
      </c>
      <c r="E31" s="23">
        <f t="shared" ca="1" si="9"/>
        <v>30</v>
      </c>
      <c r="F31" s="23">
        <f t="shared" ca="1" si="9"/>
        <v>30</v>
      </c>
      <c r="G31" s="23">
        <f t="shared" ca="1" si="9"/>
        <v>0</v>
      </c>
      <c r="H31" s="23">
        <f t="shared" ca="1" si="9"/>
        <v>38</v>
      </c>
      <c r="I31" s="23">
        <f t="shared" ca="1" si="9"/>
        <v>0</v>
      </c>
      <c r="J31" s="23">
        <f t="shared" ca="1" si="9"/>
        <v>47</v>
      </c>
      <c r="K31" s="23">
        <f t="shared" ca="1" si="9"/>
        <v>0</v>
      </c>
      <c r="L31" s="23">
        <f t="shared" ca="1" si="9"/>
        <v>0</v>
      </c>
      <c r="M31" s="23">
        <f t="shared" ca="1" si="9"/>
        <v>0</v>
      </c>
      <c r="N31" s="23">
        <f t="shared" ca="1" si="9"/>
        <v>0</v>
      </c>
      <c r="O31" s="23">
        <f t="shared" ca="1" si="9"/>
        <v>21</v>
      </c>
      <c r="P31" s="23">
        <f t="shared" ca="1" si="9"/>
        <v>0</v>
      </c>
      <c r="Q31" s="23">
        <f t="shared" ca="1" si="9"/>
        <v>0</v>
      </c>
      <c r="R31" s="23">
        <f t="shared" ca="1" si="9"/>
        <v>0</v>
      </c>
      <c r="S31" s="23">
        <f t="shared" ca="1" si="9"/>
        <v>0</v>
      </c>
      <c r="T31" s="23">
        <f t="shared" ca="1" si="9"/>
        <v>0</v>
      </c>
      <c r="U31" s="23">
        <f t="shared" ca="1" si="9"/>
        <v>36</v>
      </c>
      <c r="V31" s="23">
        <f t="shared" ca="1" si="9"/>
        <v>36</v>
      </c>
      <c r="W31" s="23">
        <f t="shared" ca="1" si="9"/>
        <v>0</v>
      </c>
      <c r="X31" s="23">
        <f t="shared" ca="1" si="9"/>
        <v>0</v>
      </c>
      <c r="Y31" s="23">
        <f t="shared" ca="1" si="9"/>
        <v>0</v>
      </c>
      <c r="Z31" s="23">
        <f t="shared" ca="1" si="9"/>
        <v>0</v>
      </c>
      <c r="AA31" s="23">
        <f t="shared" ca="1" si="9"/>
        <v>0</v>
      </c>
      <c r="AB31" s="23">
        <f t="shared" ca="1" si="9"/>
        <v>0</v>
      </c>
      <c r="AC31" s="23">
        <f t="shared" ca="1" si="9"/>
        <v>0</v>
      </c>
      <c r="AD31" s="23">
        <f t="shared" ca="1" si="9"/>
        <v>0</v>
      </c>
      <c r="AE31" s="23">
        <f t="shared" ca="1" si="9"/>
        <v>0</v>
      </c>
      <c r="AF31" s="23">
        <f t="shared" ca="1" si="9"/>
        <v>0</v>
      </c>
      <c r="AG31" s="19"/>
      <c r="AH31" s="2"/>
    </row>
    <row r="32" spans="1:34" ht="20.100000000000001" customHeight="1" x14ac:dyDescent="0.2">
      <c r="A32" s="20" t="s">
        <v>30</v>
      </c>
      <c r="B32" s="197">
        <f ca="1">B$31/60</f>
        <v>0.5</v>
      </c>
      <c r="C32" s="197">
        <f t="shared" ref="C32:AF32" ca="1" si="10">C$31/60</f>
        <v>0.5</v>
      </c>
      <c r="D32" s="197">
        <f t="shared" ca="1" si="10"/>
        <v>0.5</v>
      </c>
      <c r="E32" s="197">
        <f t="shared" ca="1" si="10"/>
        <v>0.5</v>
      </c>
      <c r="F32" s="197">
        <f t="shared" ca="1" si="10"/>
        <v>0.5</v>
      </c>
      <c r="G32" s="197">
        <f t="shared" ca="1" si="10"/>
        <v>0</v>
      </c>
      <c r="H32" s="197">
        <f t="shared" ca="1" si="10"/>
        <v>0.6333333333333333</v>
      </c>
      <c r="I32" s="197">
        <f t="shared" ca="1" si="10"/>
        <v>0</v>
      </c>
      <c r="J32" s="197">
        <f t="shared" ca="1" si="10"/>
        <v>0.78333333333333333</v>
      </c>
      <c r="K32" s="197">
        <f t="shared" ca="1" si="10"/>
        <v>0</v>
      </c>
      <c r="L32" s="197">
        <f t="shared" ca="1" si="10"/>
        <v>0</v>
      </c>
      <c r="M32" s="197">
        <f t="shared" ca="1" si="10"/>
        <v>0</v>
      </c>
      <c r="N32" s="197">
        <f t="shared" ca="1" si="10"/>
        <v>0</v>
      </c>
      <c r="O32" s="197">
        <f t="shared" ca="1" si="10"/>
        <v>0.35</v>
      </c>
      <c r="P32" s="197">
        <f t="shared" ca="1" si="10"/>
        <v>0</v>
      </c>
      <c r="Q32" s="197">
        <f t="shared" ca="1" si="10"/>
        <v>0</v>
      </c>
      <c r="R32" s="197">
        <f t="shared" ca="1" si="10"/>
        <v>0</v>
      </c>
      <c r="S32" s="197">
        <f t="shared" ca="1" si="10"/>
        <v>0</v>
      </c>
      <c r="T32" s="197">
        <f t="shared" ca="1" si="10"/>
        <v>0</v>
      </c>
      <c r="U32" s="197">
        <f t="shared" ca="1" si="10"/>
        <v>0.6</v>
      </c>
      <c r="V32" s="197">
        <f t="shared" ca="1" si="10"/>
        <v>0.6</v>
      </c>
      <c r="W32" s="197">
        <f t="shared" ca="1" si="10"/>
        <v>0</v>
      </c>
      <c r="X32" s="197">
        <f t="shared" ca="1" si="10"/>
        <v>0</v>
      </c>
      <c r="Y32" s="197">
        <f t="shared" ca="1" si="10"/>
        <v>0</v>
      </c>
      <c r="Z32" s="197">
        <f t="shared" ca="1" si="10"/>
        <v>0</v>
      </c>
      <c r="AA32" s="197">
        <f t="shared" ca="1" si="10"/>
        <v>0</v>
      </c>
      <c r="AB32" s="197">
        <f t="shared" ca="1" si="10"/>
        <v>0</v>
      </c>
      <c r="AC32" s="197">
        <f t="shared" ca="1" si="10"/>
        <v>0</v>
      </c>
      <c r="AD32" s="22">
        <f t="shared" ca="1" si="10"/>
        <v>0</v>
      </c>
      <c r="AE32" s="22">
        <f t="shared" ca="1" si="10"/>
        <v>0</v>
      </c>
      <c r="AF32" s="22">
        <f t="shared" ca="1" si="10"/>
        <v>0</v>
      </c>
    </row>
    <row r="33" spans="10:33" ht="20.100000000000001" customHeight="1" thickBot="1" x14ac:dyDescent="0.25"/>
    <row r="34" spans="10:33" ht="30" customHeight="1" thickBot="1" x14ac:dyDescent="0.25">
      <c r="J34" s="284" t="s">
        <v>44</v>
      </c>
      <c r="K34" s="285"/>
      <c r="L34" s="286"/>
      <c r="N34" s="293"/>
      <c r="O34" s="275"/>
      <c r="P34" s="275"/>
      <c r="R34" s="284" t="s">
        <v>42</v>
      </c>
      <c r="S34" s="285"/>
      <c r="T34" s="286"/>
      <c r="U34" s="25"/>
      <c r="V34" s="25"/>
      <c r="Z34" s="25"/>
      <c r="AA34" s="25"/>
      <c r="AB34" s="25"/>
      <c r="AC34" s="25"/>
      <c r="AD34" s="25"/>
      <c r="AE34" s="25"/>
      <c r="AG34" s="78"/>
    </row>
    <row r="35" spans="10:33" ht="20.100000000000001" customHeight="1" thickBot="1" x14ac:dyDescent="0.25">
      <c r="J35" s="290">
        <f ca="1">SUM(INDIRECT("B31:"&amp;ADDRESS(31,DAY(DATE(An,MONTH(B4)+1,0))+1)))</f>
        <v>328</v>
      </c>
      <c r="K35" s="291"/>
      <c r="L35" s="292"/>
      <c r="N35" s="275"/>
      <c r="O35" s="275"/>
      <c r="P35" s="275"/>
      <c r="R35" s="287">
        <f ca="1">AVERAGE(INDIRECT("B32:"&amp;ADDRESS(32,DAY(DATE(An,MONTH(B4)+1,0))+1)))</f>
        <v>0.17634408602150536</v>
      </c>
      <c r="S35" s="288"/>
      <c r="T35" s="289"/>
      <c r="U35" s="25"/>
      <c r="V35" s="25"/>
      <c r="Z35" s="25"/>
      <c r="AA35" s="25"/>
      <c r="AB35" s="25"/>
      <c r="AC35" s="25"/>
      <c r="AD35" s="25"/>
      <c r="AE35" s="25"/>
    </row>
  </sheetData>
  <mergeCells count="9">
    <mergeCell ref="R35:T35"/>
    <mergeCell ref="J34:L34"/>
    <mergeCell ref="J35:L35"/>
    <mergeCell ref="N34:P35"/>
    <mergeCell ref="AG2:AG3"/>
    <mergeCell ref="A2:A4"/>
    <mergeCell ref="B2:AF3"/>
    <mergeCell ref="B1:AF1"/>
    <mergeCell ref="R34:T34"/>
  </mergeCells>
  <phoneticPr fontId="0" type="noConversion"/>
  <conditionalFormatting sqref="B4:AF5">
    <cfRule type="expression" dxfId="48" priority="15" stopIfTrue="1">
      <formula>WEEKDAY(B$4,2)=6</formula>
    </cfRule>
  </conditionalFormatting>
  <conditionalFormatting sqref="B4:AF30">
    <cfRule type="expression" dxfId="47" priority="16" stopIfTrue="1">
      <formula>COUNTIF(Ferie,B$4)</formula>
    </cfRule>
    <cfRule type="expression" dxfId="46" priority="17" stopIfTrue="1">
      <formula>WEEKDAY(B$4,2)=7</formula>
    </cfRule>
  </conditionalFormatting>
  <conditionalFormatting sqref="B6:AF30">
    <cfRule type="cellIs" dxfId="45" priority="1" stopIfTrue="1" operator="equal">
      <formula>1</formula>
    </cfRule>
    <cfRule type="cellIs" dxfId="44" priority="2" stopIfTrue="1" operator="equal">
      <formula>2</formula>
    </cfRule>
    <cfRule type="cellIs" dxfId="43" priority="3" stopIfTrue="1" operator="equal">
      <formula>3</formula>
    </cfRule>
    <cfRule type="cellIs" dxfId="42" priority="4" stopIfTrue="1" operator="equal">
      <formula>4</formula>
    </cfRule>
    <cfRule type="cellIs" dxfId="41" priority="5" stopIfTrue="1" operator="equal">
      <formula>5</formula>
    </cfRule>
  </conditionalFormatting>
  <conditionalFormatting sqref="B31:AF31">
    <cfRule type="cellIs" dxfId="40" priority="7" stopIfTrue="1" operator="greaterThan">
      <formula>60</formula>
    </cfRule>
  </conditionalFormatting>
  <conditionalFormatting sqref="B32:AF32">
    <cfRule type="cellIs" dxfId="39" priority="8" stopIfTrue="1" operator="greaterThan">
      <formula>100%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3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ignoredErrors>
    <ignoredError sqref="B13:AF13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5" name="Button 78">
              <controlPr defaultSize="0" print="0" autoFill="0" autoPict="0" macro="[0]!Enreg_PDF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1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46"/>
  <sheetViews>
    <sheetView showZeros="0" zoomScaleNormal="100" workbookViewId="0">
      <selection activeCell="J14" sqref="J14"/>
    </sheetView>
  </sheetViews>
  <sheetFormatPr baseColWidth="10" defaultRowHeight="12.75" x14ac:dyDescent="0.2"/>
  <cols>
    <col min="1" max="12" width="12.83203125" style="24" customWidth="1"/>
    <col min="13" max="14" width="12" style="24"/>
    <col min="15" max="15" width="25.83203125" style="24" customWidth="1"/>
    <col min="16" max="16" width="12.83203125" style="24" customWidth="1"/>
    <col min="17" max="16384" width="12" style="24"/>
  </cols>
  <sheetData>
    <row r="1" spans="1:12" ht="20.100000000000001" customHeight="1" x14ac:dyDescent="0.2">
      <c r="A1" s="354" t="s">
        <v>79</v>
      </c>
      <c r="B1" s="355"/>
      <c r="C1" s="355" t="s">
        <v>80</v>
      </c>
      <c r="D1" s="355"/>
      <c r="E1" s="355"/>
      <c r="F1" s="346" t="s">
        <v>81</v>
      </c>
      <c r="G1" s="347"/>
    </row>
    <row r="2" spans="1:12" ht="20.100000000000001" customHeight="1" thickBot="1" x14ac:dyDescent="0.25">
      <c r="A2" s="348">
        <f>SUM(Saisie[Coût gratuité en €])</f>
        <v>5751</v>
      </c>
      <c r="B2" s="349"/>
      <c r="C2" s="350">
        <f>SUM(Saisie[Montant total en €])</f>
        <v>182817.5</v>
      </c>
      <c r="D2" s="351"/>
      <c r="E2" s="352"/>
      <c r="F2" s="350">
        <f>SUM(Saisie[Coût taxe séjour])</f>
        <v>1100</v>
      </c>
      <c r="G2" s="353"/>
      <c r="I2" s="271"/>
      <c r="K2" s="272"/>
      <c r="L2" s="272"/>
    </row>
    <row r="3" spans="1:12" ht="13.5" customHeight="1" thickBot="1" x14ac:dyDescent="0.25">
      <c r="A3" s="54"/>
      <c r="B3" s="54"/>
      <c r="C3" s="55"/>
      <c r="D3" s="55"/>
      <c r="E3" s="55"/>
      <c r="F3" s="56"/>
      <c r="G3" s="56"/>
    </row>
    <row r="4" spans="1:12" ht="24.95" customHeight="1" x14ac:dyDescent="0.2">
      <c r="A4" s="52" t="s">
        <v>32</v>
      </c>
      <c r="B4" s="49" t="s">
        <v>37</v>
      </c>
      <c r="C4" s="50" t="s">
        <v>38</v>
      </c>
      <c r="D4" s="50" t="s">
        <v>35</v>
      </c>
      <c r="E4" s="50" t="s">
        <v>65</v>
      </c>
      <c r="F4" s="50" t="s">
        <v>43</v>
      </c>
      <c r="G4" s="51" t="s">
        <v>31</v>
      </c>
    </row>
    <row r="5" spans="1:12" ht="20.100000000000001" customHeight="1" thickBot="1" x14ac:dyDescent="0.25">
      <c r="A5" s="242">
        <f>COUNTIF(Saisie[Nom du groupe],"&lt;&gt;")</f>
        <v>111</v>
      </c>
      <c r="B5" s="244">
        <f>SUM(Saisie[Nbr de nuit(s)])-SUMIF(Profil,"Sans suite",Saisie[Nbr de nuit(s)])-SUMIF(Profil,"Annulé",Saisie[Nbr de nuit(s)])</f>
        <v>224</v>
      </c>
      <c r="C5" s="245">
        <f>SUM(Saisie[Nbr de nuitées])-SUMIF(Profil,"Sans suite",Saisie[Nbr de nuitées])-SUMIF(Profil,"Annulé",Saisie[Nbr de nuitées])</f>
        <v>4949</v>
      </c>
      <c r="D5" s="53">
        <v>6000</v>
      </c>
      <c r="E5" s="191">
        <f>$C5/$D5</f>
        <v>0.82483333333333331</v>
      </c>
      <c r="F5" s="27">
        <f>$D9/$B5</f>
        <v>11.169642857142858</v>
      </c>
      <c r="G5" s="28">
        <f>$C5/$D9</f>
        <v>1.978017585931255</v>
      </c>
    </row>
    <row r="6" spans="1:12" ht="13.5" customHeight="1" thickBot="1" x14ac:dyDescent="0.25">
      <c r="A6" s="7"/>
      <c r="B6" s="38"/>
      <c r="C6" s="38"/>
      <c r="D6" s="38"/>
      <c r="E6" s="38"/>
      <c r="F6" s="38"/>
      <c r="G6" s="7"/>
      <c r="H6" s="38"/>
      <c r="I6" s="7"/>
      <c r="J6" s="39"/>
      <c r="K6" s="40"/>
      <c r="L6" s="40"/>
    </row>
    <row r="7" spans="1:12" ht="15" customHeight="1" x14ac:dyDescent="0.2">
      <c r="A7" s="7"/>
      <c r="B7" s="358" t="s">
        <v>47</v>
      </c>
      <c r="C7" s="359"/>
      <c r="D7" s="315" t="s">
        <v>36</v>
      </c>
      <c r="E7" s="325" t="s">
        <v>50</v>
      </c>
      <c r="F7" s="326"/>
      <c r="G7" s="38"/>
      <c r="H7" s="7"/>
      <c r="I7" s="39"/>
      <c r="J7" s="40"/>
      <c r="K7" s="40"/>
    </row>
    <row r="8" spans="1:12" ht="15" customHeight="1" x14ac:dyDescent="0.2">
      <c r="A8" s="7"/>
      <c r="B8" s="41" t="s">
        <v>66</v>
      </c>
      <c r="C8" s="42" t="s">
        <v>67</v>
      </c>
      <c r="D8" s="316"/>
      <c r="E8" s="42" t="s">
        <v>66</v>
      </c>
      <c r="F8" s="43" t="s">
        <v>67</v>
      </c>
      <c r="G8" s="38"/>
      <c r="H8" s="7"/>
      <c r="I8" s="39"/>
      <c r="J8" s="40"/>
      <c r="K8" s="40"/>
    </row>
    <row r="9" spans="1:12" ht="20.100000000000001" customHeight="1" thickBot="1" x14ac:dyDescent="0.25">
      <c r="A9" s="7"/>
      <c r="B9" s="241">
        <f>SUM(Saisie[Effectif reçu adlt(s)])-SUMIF(Profil,"Sans suite",Saisie[Effectif reçu adlt(s)])-SUMIF(Profil,"Annulé",Saisie[Effectif reçu adlt(s)])</f>
        <v>1472</v>
      </c>
      <c r="C9" s="240">
        <f>SUM(Saisie[Effectif reçu enft(s)])-SUMIF(Profil,"Sans suite",Saisie[Effectif reçu enft(s)])-SUMIF(Profil,"Annulé",Saisie[Effectif reçu enft(s)])</f>
        <v>1030</v>
      </c>
      <c r="D9" s="243">
        <f>SUM(Saisie[Nbr de pax])-SUMIF(Profil,"Sans suite",Saisie[Nbr de pax])-SUMIF(Profil,"Annulé",Saisie[Nbr de pax])</f>
        <v>2502</v>
      </c>
      <c r="E9" s="244">
        <f>SUM(Saisie[Effectif facturé adlt(s)])-SUMIF(Profil,"Sans suite",Saisie[Effectif facturé adlt(s)])-SUMIF(Profil,"Annulé",Saisie[Effectif facturé adlt(s)])</f>
        <v>1396</v>
      </c>
      <c r="F9" s="28">
        <f>SUM(Saisie[Effectif facturé enft(s)])-SUMIF(Profil,"Sans suite",Saisie[Effectif facturé enft(s)])-SUMIF(Profil,"Annulé",Saisie[Effectif facturé enft(s)])</f>
        <v>1030</v>
      </c>
      <c r="G9" s="38"/>
      <c r="H9" s="7"/>
      <c r="I9" s="39"/>
      <c r="J9" s="40"/>
      <c r="K9" s="40"/>
    </row>
    <row r="10" spans="1:12" ht="13.5" thickBot="1" x14ac:dyDescent="0.25"/>
    <row r="11" spans="1:12" ht="24.95" customHeight="1" x14ac:dyDescent="0.2">
      <c r="A11" s="323" t="s">
        <v>39</v>
      </c>
      <c r="B11" s="324"/>
      <c r="C11" s="327" t="s">
        <v>41</v>
      </c>
      <c r="D11" s="328"/>
      <c r="E11" s="329"/>
      <c r="F11" s="321" t="s">
        <v>40</v>
      </c>
      <c r="G11" s="322"/>
    </row>
    <row r="12" spans="1:12" ht="13.5" thickBot="1" x14ac:dyDescent="0.25">
      <c r="A12" s="332">
        <f>SUMIF(Profil,"Sous-réserve",Saisie[Nbr de nuitées])</f>
        <v>0</v>
      </c>
      <c r="B12" s="339"/>
      <c r="C12" s="357">
        <f>SUMIF(Profil,"Convention",Saisie[Nbr de nuitées])</f>
        <v>4949</v>
      </c>
      <c r="D12" s="343"/>
      <c r="E12" s="344"/>
      <c r="F12" s="356">
        <f>SUMIF(Profil,"Dem convention",Saisie[Nbr de nuitées])</f>
        <v>0</v>
      </c>
      <c r="G12" s="333"/>
    </row>
    <row r="13" spans="1:12" ht="13.5" thickBot="1" x14ac:dyDescent="0.25">
      <c r="A13" s="26"/>
      <c r="B13" s="26"/>
      <c r="C13" s="7"/>
      <c r="D13" s="7"/>
      <c r="E13" s="7"/>
      <c r="F13" s="26"/>
      <c r="G13" s="26"/>
    </row>
    <row r="14" spans="1:12" ht="24.95" customHeight="1" x14ac:dyDescent="0.2">
      <c r="A14" s="26"/>
      <c r="B14" s="337" t="s">
        <v>189</v>
      </c>
      <c r="C14" s="338"/>
      <c r="D14" s="7"/>
      <c r="E14" s="335" t="s">
        <v>190</v>
      </c>
      <c r="F14" s="336"/>
      <c r="G14" s="26"/>
    </row>
    <row r="15" spans="1:12" ht="13.5" thickBot="1" x14ac:dyDescent="0.25">
      <c r="A15" s="26"/>
      <c r="B15" s="332">
        <f>SUMIF(Profil,"Sans suite",Saisie[Nbr de nuitées])</f>
        <v>28</v>
      </c>
      <c r="C15" s="333"/>
      <c r="D15" s="7"/>
      <c r="E15" s="332">
        <f>SUMIF(Profil,"Annulé",Saisie[Nbr de nuitées])</f>
        <v>63</v>
      </c>
      <c r="F15" s="333"/>
      <c r="G15" s="26"/>
    </row>
    <row r="16" spans="1:12" ht="13.5" thickBot="1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</row>
    <row r="17" spans="1:9" ht="24.95" customHeight="1" thickBot="1" x14ac:dyDescent="0.25">
      <c r="A17" s="317" t="s">
        <v>113</v>
      </c>
      <c r="B17" s="318"/>
      <c r="C17" s="77">
        <f ca="1">AVERAGE($C20:$C31)</f>
        <v>399.91666666666669</v>
      </c>
      <c r="D17" s="37"/>
      <c r="E17" s="317" t="s">
        <v>46</v>
      </c>
      <c r="F17" s="318"/>
      <c r="G17" s="192">
        <f ca="1">AVERAGE($E20:$E31)</f>
        <v>0.21871117084826763</v>
      </c>
    </row>
    <row r="18" spans="1:9" ht="13.5" thickBot="1" x14ac:dyDescent="0.25"/>
    <row r="19" spans="1:9" s="65" customFormat="1" ht="24.95" customHeight="1" x14ac:dyDescent="0.2">
      <c r="A19" s="334" t="s">
        <v>103</v>
      </c>
      <c r="B19" s="325"/>
      <c r="C19" s="234" t="s">
        <v>105</v>
      </c>
      <c r="D19" s="234" t="s">
        <v>107</v>
      </c>
      <c r="E19" s="234" t="s">
        <v>104</v>
      </c>
      <c r="F19" s="234" t="s">
        <v>77</v>
      </c>
      <c r="G19" s="235" t="s">
        <v>106</v>
      </c>
    </row>
    <row r="20" spans="1:9" x14ac:dyDescent="0.2">
      <c r="A20" s="319" t="s">
        <v>21</v>
      </c>
      <c r="B20" s="320"/>
      <c r="C20" s="73">
        <f t="shared" ref="C20:C31" ca="1" si="0">SUMPRODUCT((MONTH(1&amp;$A20)=MONTH(Debut))*OFFSET(Fin,,29)*OFFSET(Fin,,7)*(Profil&lt;&gt;"Annulé")*(Profil&lt;&gt;"Sans suite"))</f>
        <v>0</v>
      </c>
      <c r="D20" s="71">
        <f t="shared" ref="D20:D31" ca="1" si="1">IF($C20="","",$C20/$D$5)</f>
        <v>0</v>
      </c>
      <c r="E20" s="71">
        <f ca="1">IF($C20="","",$C20/(60*31))</f>
        <v>0</v>
      </c>
      <c r="F20" s="195">
        <f ca="1">SUMPRODUCT((MONTH(1&amp;$A20)=MONTH(Debut))*OFFSET(Fin,,29)*OFFSET(Fin,,24)*Taxe)</f>
        <v>0</v>
      </c>
      <c r="G20" s="193">
        <f ca="1">SUMPRODUCT((MONTH(1&amp;$A20)=MONTH(Debut))*OFFSET(Fin,,31))</f>
        <v>0</v>
      </c>
    </row>
    <row r="21" spans="1:9" x14ac:dyDescent="0.2">
      <c r="A21" s="319" t="s">
        <v>22</v>
      </c>
      <c r="B21" s="320"/>
      <c r="C21" s="73">
        <f t="shared" ca="1" si="0"/>
        <v>70</v>
      </c>
      <c r="D21" s="190">
        <f t="shared" ca="1" si="1"/>
        <v>1.1666666666666667E-2</v>
      </c>
      <c r="E21" s="190">
        <f ca="1">IF($C21="","",IF(MONTH(DATE(YEAR(An),2,29))=2,$C21/(60*31),$C21/(60*28)))</f>
        <v>4.1666666666666664E-2</v>
      </c>
      <c r="F21" s="195">
        <f t="shared" ref="F21:F31" ca="1" si="2">SUMPRODUCT((MONTH(1&amp;$A21)=MONTH(Debut))*OFFSET(Fin,,29)*OFFSET(Fin,,24)*Taxe)+SUMPRODUCT((MONTH(1&amp;$A20)=MONTH(Debut))*OFFSET(Fin,,30)*OFFSET(Fin,,24)*Taxe)</f>
        <v>30.5</v>
      </c>
      <c r="G21" s="193">
        <f t="shared" ref="G21:G31" ca="1" si="3">SUMPRODUCT((MONTH(1&amp;$A21)=MONTH(Debut))*OFFSET(Fin,,31))+SUMPRODUCT((MONTH(1&amp;$A20)=MONTH(Debut))*OFFSET(Fin,,32))</f>
        <v>3140</v>
      </c>
    </row>
    <row r="22" spans="1:9" x14ac:dyDescent="0.2">
      <c r="A22" s="319" t="s">
        <v>23</v>
      </c>
      <c r="B22" s="320"/>
      <c r="C22" s="73">
        <f t="shared" ca="1" si="0"/>
        <v>311</v>
      </c>
      <c r="D22" s="190">
        <f ca="1">IF($C22="","",$C22/$D$5)</f>
        <v>5.1833333333333335E-2</v>
      </c>
      <c r="E22" s="190">
        <f ca="1">IF($C22="","",$C22/(60*31))</f>
        <v>0.16720430107526882</v>
      </c>
      <c r="F22" s="195">
        <f t="shared" ca="1" si="2"/>
        <v>56</v>
      </c>
      <c r="G22" s="193">
        <f t="shared" ca="1" si="3"/>
        <v>13869.5</v>
      </c>
      <c r="I22" s="236"/>
    </row>
    <row r="23" spans="1:9" x14ac:dyDescent="0.2">
      <c r="A23" s="319" t="s">
        <v>24</v>
      </c>
      <c r="B23" s="320"/>
      <c r="C23" s="73">
        <f t="shared" ca="1" si="0"/>
        <v>873</v>
      </c>
      <c r="D23" s="71">
        <f t="shared" ca="1" si="1"/>
        <v>0.14549999999999999</v>
      </c>
      <c r="E23" s="71">
        <f ca="1">IF($C23="","",$C23/(60*30))</f>
        <v>0.48499999999999999</v>
      </c>
      <c r="F23" s="195">
        <f t="shared" ca="1" si="2"/>
        <v>337.5</v>
      </c>
      <c r="G23" s="193">
        <f t="shared" ca="1" si="3"/>
        <v>38423.5</v>
      </c>
      <c r="I23" s="102"/>
    </row>
    <row r="24" spans="1:9" x14ac:dyDescent="0.2">
      <c r="A24" s="319" t="s">
        <v>25</v>
      </c>
      <c r="B24" s="320"/>
      <c r="C24" s="73">
        <f t="shared" ca="1" si="0"/>
        <v>1055</v>
      </c>
      <c r="D24" s="71">
        <f t="shared" ca="1" si="1"/>
        <v>0.17583333333333334</v>
      </c>
      <c r="E24" s="71">
        <f ca="1">IF($C24="","",$C24/(60*31))</f>
        <v>0.56720430107526887</v>
      </c>
      <c r="F24" s="195">
        <f t="shared" ca="1" si="2"/>
        <v>203.5</v>
      </c>
      <c r="G24" s="193">
        <f t="shared" ca="1" si="3"/>
        <v>47638</v>
      </c>
    </row>
    <row r="25" spans="1:9" x14ac:dyDescent="0.2">
      <c r="A25" s="319" t="s">
        <v>14</v>
      </c>
      <c r="B25" s="320"/>
      <c r="C25" s="73">
        <f t="shared" ca="1" si="0"/>
        <v>764</v>
      </c>
      <c r="D25" s="71">
        <f t="shared" ca="1" si="1"/>
        <v>0.12733333333333333</v>
      </c>
      <c r="E25" s="71">
        <f ca="1">IF($C25="","",$C25/(60*30))</f>
        <v>0.42444444444444446</v>
      </c>
      <c r="F25" s="195">
        <f t="shared" ca="1" si="2"/>
        <v>240</v>
      </c>
      <c r="G25" s="193">
        <f t="shared" ca="1" si="3"/>
        <v>34733.5</v>
      </c>
    </row>
    <row r="26" spans="1:9" x14ac:dyDescent="0.2">
      <c r="A26" s="319" t="s">
        <v>15</v>
      </c>
      <c r="B26" s="320"/>
      <c r="C26" s="73">
        <f t="shared" ca="1" si="0"/>
        <v>714</v>
      </c>
      <c r="D26" s="71">
        <f t="shared" ca="1" si="1"/>
        <v>0.11899999999999999</v>
      </c>
      <c r="E26" s="71">
        <f ca="1">IF($C26="","",$C26/(60*31))</f>
        <v>0.38387096774193546</v>
      </c>
      <c r="F26" s="195">
        <f t="shared" ca="1" si="2"/>
        <v>100</v>
      </c>
      <c r="G26" s="193">
        <f t="shared" ca="1" si="3"/>
        <v>32516</v>
      </c>
    </row>
    <row r="27" spans="1:9" x14ac:dyDescent="0.2">
      <c r="A27" s="319" t="s">
        <v>16</v>
      </c>
      <c r="B27" s="320"/>
      <c r="C27" s="73">
        <f t="shared" ca="1" si="0"/>
        <v>217</v>
      </c>
      <c r="D27" s="71">
        <f t="shared" ca="1" si="1"/>
        <v>3.6166666666666666E-2</v>
      </c>
      <c r="E27" s="71">
        <f ca="1">IF($C27="","",$C27/(60*31))</f>
        <v>0.11666666666666667</v>
      </c>
      <c r="F27" s="195">
        <f t="shared" ca="1" si="2"/>
        <v>64.5</v>
      </c>
      <c r="G27" s="193">
        <f t="shared" ca="1" si="3"/>
        <v>6738</v>
      </c>
    </row>
    <row r="28" spans="1:9" x14ac:dyDescent="0.2">
      <c r="A28" s="319" t="s">
        <v>17</v>
      </c>
      <c r="B28" s="320"/>
      <c r="C28" s="73">
        <f t="shared" ca="1" si="0"/>
        <v>617</v>
      </c>
      <c r="D28" s="71">
        <f t="shared" ca="1" si="1"/>
        <v>0.10283333333333333</v>
      </c>
      <c r="E28" s="71">
        <f ca="1">IF($C28="","",$C28/(60*30))</f>
        <v>0.34277777777777779</v>
      </c>
      <c r="F28" s="195">
        <f t="shared" ca="1" si="2"/>
        <v>68</v>
      </c>
      <c r="G28" s="193">
        <f t="shared" ca="1" si="3"/>
        <v>5759</v>
      </c>
    </row>
    <row r="29" spans="1:9" x14ac:dyDescent="0.2">
      <c r="A29" s="319" t="s">
        <v>18</v>
      </c>
      <c r="B29" s="320"/>
      <c r="C29" s="73">
        <f t="shared" ca="1" si="0"/>
        <v>178</v>
      </c>
      <c r="D29" s="71">
        <f t="shared" ca="1" si="1"/>
        <v>2.9666666666666668E-2</v>
      </c>
      <c r="E29" s="71">
        <f ca="1">IF($C29="","",$C29/(60*31))</f>
        <v>9.56989247311828E-2</v>
      </c>
      <c r="F29" s="195">
        <f t="shared" ca="1" si="2"/>
        <v>0</v>
      </c>
      <c r="G29" s="193">
        <f t="shared" ca="1" si="3"/>
        <v>0</v>
      </c>
    </row>
    <row r="30" spans="1:9" x14ac:dyDescent="0.2">
      <c r="A30" s="319" t="s">
        <v>19</v>
      </c>
      <c r="B30" s="320"/>
      <c r="C30" s="73">
        <f t="shared" ca="1" si="0"/>
        <v>0</v>
      </c>
      <c r="D30" s="71">
        <f t="shared" ca="1" si="1"/>
        <v>0</v>
      </c>
      <c r="E30" s="71">
        <f ca="1">IF($C30="","",$C30/(60*30))</f>
        <v>0</v>
      </c>
      <c r="F30" s="195">
        <f t="shared" ca="1" si="2"/>
        <v>0</v>
      </c>
      <c r="G30" s="193">
        <f t="shared" ca="1" si="3"/>
        <v>0</v>
      </c>
    </row>
    <row r="31" spans="1:9" ht="13.5" thickBot="1" x14ac:dyDescent="0.25">
      <c r="A31" s="330" t="s">
        <v>20</v>
      </c>
      <c r="B31" s="331"/>
      <c r="C31" s="73">
        <f t="shared" ca="1" si="0"/>
        <v>0</v>
      </c>
      <c r="D31" s="72">
        <f t="shared" ca="1" si="1"/>
        <v>0</v>
      </c>
      <c r="E31" s="72">
        <f ca="1">IF($C31="","",$C31/(60*31))</f>
        <v>0</v>
      </c>
      <c r="F31" s="196">
        <f t="shared" ca="1" si="2"/>
        <v>0</v>
      </c>
      <c r="G31" s="194">
        <f t="shared" ca="1" si="3"/>
        <v>0</v>
      </c>
    </row>
    <row r="32" spans="1:9" ht="13.5" thickBot="1" x14ac:dyDescent="0.25">
      <c r="A32" s="21"/>
      <c r="B32" s="21"/>
      <c r="C32" s="217"/>
      <c r="D32" s="218"/>
      <c r="E32" s="218"/>
      <c r="F32" s="219"/>
      <c r="G32" s="220"/>
    </row>
    <row r="33" spans="1:7" s="221" customFormat="1" ht="24.95" customHeight="1" x14ac:dyDescent="0.2">
      <c r="A33" s="310" t="s">
        <v>172</v>
      </c>
      <c r="B33" s="311"/>
      <c r="C33" s="312" t="s">
        <v>173</v>
      </c>
      <c r="D33" s="313"/>
      <c r="E33" s="314"/>
      <c r="F33" s="327" t="s">
        <v>174</v>
      </c>
      <c r="G33" s="340"/>
    </row>
    <row r="34" spans="1:7" ht="13.5" thickBot="1" x14ac:dyDescent="0.25">
      <c r="A34" s="341">
        <f ca="1">SUM($F20:$F24)</f>
        <v>627.5</v>
      </c>
      <c r="B34" s="339"/>
      <c r="C34" s="342">
        <f ca="1">SUM($F25:$F27)</f>
        <v>404.5</v>
      </c>
      <c r="D34" s="343"/>
      <c r="E34" s="344"/>
      <c r="F34" s="345">
        <f ca="1">SUM($F28:$F31)</f>
        <v>68</v>
      </c>
      <c r="G34" s="333"/>
    </row>
    <row r="35" spans="1:7" ht="13.5" customHeight="1" thickBot="1" x14ac:dyDescent="0.25"/>
    <row r="36" spans="1:7" ht="24.95" customHeight="1" x14ac:dyDescent="0.2">
      <c r="A36" s="306" t="s">
        <v>191</v>
      </c>
      <c r="B36" s="307"/>
      <c r="C36" s="307" t="s">
        <v>194</v>
      </c>
      <c r="D36" s="307"/>
      <c r="E36" s="307"/>
      <c r="F36" s="307" t="s">
        <v>199</v>
      </c>
      <c r="G36" s="309"/>
    </row>
    <row r="37" spans="1:7" ht="20.100000000000001" customHeight="1" thickBot="1" x14ac:dyDescent="0.25">
      <c r="A37" s="296">
        <f>SUM(Saisie[[Perte effectif adlt(s)]:[Perte effectif enft(s)]])</f>
        <v>119</v>
      </c>
      <c r="B37" s="300"/>
      <c r="C37" s="304">
        <f>SUM(Saisie[Perte financière en €])</f>
        <v>22944</v>
      </c>
      <c r="D37" s="305"/>
      <c r="E37" s="305"/>
      <c r="F37" s="300">
        <f>SUM(Saisie[Perte nuitées])</f>
        <v>213</v>
      </c>
      <c r="G37" s="297"/>
    </row>
    <row r="38" spans="1:7" ht="13.5" thickBot="1" x14ac:dyDescent="0.25"/>
    <row r="39" spans="1:7" ht="24.95" customHeight="1" x14ac:dyDescent="0.2">
      <c r="A39" s="308" t="s">
        <v>196</v>
      </c>
      <c r="B39" s="298"/>
      <c r="C39" s="298" t="s">
        <v>192</v>
      </c>
      <c r="D39" s="298"/>
      <c r="E39" s="298"/>
      <c r="F39" s="298" t="s">
        <v>200</v>
      </c>
      <c r="G39" s="299"/>
    </row>
    <row r="40" spans="1:7" ht="13.5" thickBot="1" x14ac:dyDescent="0.25">
      <c r="A40" s="296">
        <f>SUM(Saisie[[Perte effectif adlt(s)]:[Perte effectif enft(s)]])-SUMIF(Profil,"Sans suite",Saisie[Nbr de pax])-SUMIF(Profil,"Annulé",Saisie[Nbr de pax])</f>
        <v>84</v>
      </c>
      <c r="B40" s="300"/>
      <c r="C40" s="304">
        <f>SUM(Saisie[Perte financière en €])-SUMIF(Profil,"Annulé",Saisie[Perte financière en €])</f>
        <v>5344</v>
      </c>
      <c r="D40" s="305"/>
      <c r="E40" s="305"/>
      <c r="F40" s="300">
        <f>SUM(Saisie[Perte nuitées])-SUMIF(Profil,"Sans suite",Saisie[Perte nuitées])-SUMIF(Profil,"Annulé",Saisie[Perte nuitées])</f>
        <v>122</v>
      </c>
      <c r="G40" s="297"/>
    </row>
    <row r="41" spans="1:7" ht="13.5" thickBot="1" x14ac:dyDescent="0.25"/>
    <row r="42" spans="1:7" ht="24.95" customHeight="1" x14ac:dyDescent="0.2">
      <c r="A42" s="303" t="s">
        <v>197</v>
      </c>
      <c r="B42" s="301"/>
      <c r="C42" s="301" t="s">
        <v>193</v>
      </c>
      <c r="D42" s="301"/>
      <c r="E42" s="301"/>
      <c r="F42" s="301" t="s">
        <v>198</v>
      </c>
      <c r="G42" s="302"/>
    </row>
    <row r="43" spans="1:7" ht="13.5" thickBot="1" x14ac:dyDescent="0.25">
      <c r="A43" s="296">
        <f>SUMIF(Profil,"Annulé",Saisie[Nbr de pax])</f>
        <v>21</v>
      </c>
      <c r="B43" s="300"/>
      <c r="C43" s="305">
        <f>SUMIF(Profil,"Annulé",Saisie[Perte financière en €])</f>
        <v>17600</v>
      </c>
      <c r="D43" s="305"/>
      <c r="E43" s="305"/>
      <c r="F43" s="300">
        <f>SUMIF(Profil,"Annulé",Saisie[Perte nuitées])</f>
        <v>63</v>
      </c>
      <c r="G43" s="297"/>
    </row>
    <row r="44" spans="1:7" ht="13.5" thickBot="1" x14ac:dyDescent="0.25"/>
    <row r="45" spans="1:7" ht="24.95" customHeight="1" x14ac:dyDescent="0.2">
      <c r="A45" s="294" t="s">
        <v>195</v>
      </c>
      <c r="B45" s="295"/>
      <c r="F45" s="294" t="s">
        <v>201</v>
      </c>
      <c r="G45" s="295"/>
    </row>
    <row r="46" spans="1:7" ht="13.5" thickBot="1" x14ac:dyDescent="0.25">
      <c r="A46" s="296">
        <f>SUMIF(Profil,"Sans suite",Saisie[Nbr de pax])</f>
        <v>14</v>
      </c>
      <c r="B46" s="297"/>
      <c r="F46" s="296">
        <f>SUMIF(Profil,"Sans suite",Saisie[Perte nuitées])</f>
        <v>28</v>
      </c>
      <c r="G46" s="297"/>
    </row>
  </sheetData>
  <sheetProtection selectLockedCells="1"/>
  <mergeCells count="62">
    <mergeCell ref="F33:G33"/>
    <mergeCell ref="A34:B34"/>
    <mergeCell ref="C34:E34"/>
    <mergeCell ref="F34:G34"/>
    <mergeCell ref="F1:G1"/>
    <mergeCell ref="A2:B2"/>
    <mergeCell ref="C2:E2"/>
    <mergeCell ref="F2:G2"/>
    <mergeCell ref="A29:B29"/>
    <mergeCell ref="A25:B25"/>
    <mergeCell ref="A1:B1"/>
    <mergeCell ref="C1:E1"/>
    <mergeCell ref="F12:G12"/>
    <mergeCell ref="A21:B21"/>
    <mergeCell ref="C12:E12"/>
    <mergeCell ref="B7:C7"/>
    <mergeCell ref="E14:F14"/>
    <mergeCell ref="E15:F15"/>
    <mergeCell ref="B14:C14"/>
    <mergeCell ref="A22:B22"/>
    <mergeCell ref="A12:B12"/>
    <mergeCell ref="A28:B28"/>
    <mergeCell ref="B15:C15"/>
    <mergeCell ref="A17:B17"/>
    <mergeCell ref="A19:B19"/>
    <mergeCell ref="A23:B23"/>
    <mergeCell ref="F36:G36"/>
    <mergeCell ref="F37:G37"/>
    <mergeCell ref="A33:B33"/>
    <mergeCell ref="C33:E33"/>
    <mergeCell ref="D7:D8"/>
    <mergeCell ref="E17:F17"/>
    <mergeCell ref="A24:B24"/>
    <mergeCell ref="F11:G11"/>
    <mergeCell ref="A11:B11"/>
    <mergeCell ref="A20:B20"/>
    <mergeCell ref="E7:F7"/>
    <mergeCell ref="C11:E11"/>
    <mergeCell ref="A30:B30"/>
    <mergeCell ref="A31:B31"/>
    <mergeCell ref="A26:B26"/>
    <mergeCell ref="A27:B27"/>
    <mergeCell ref="A36:B36"/>
    <mergeCell ref="A37:B37"/>
    <mergeCell ref="A39:B39"/>
    <mergeCell ref="A40:B40"/>
    <mergeCell ref="C36:E36"/>
    <mergeCell ref="C37:E37"/>
    <mergeCell ref="A45:B45"/>
    <mergeCell ref="A46:B46"/>
    <mergeCell ref="F45:G45"/>
    <mergeCell ref="F46:G46"/>
    <mergeCell ref="F39:G39"/>
    <mergeCell ref="F40:G40"/>
    <mergeCell ref="F42:G42"/>
    <mergeCell ref="F43:G43"/>
    <mergeCell ref="A42:B42"/>
    <mergeCell ref="A43:B43"/>
    <mergeCell ref="C39:E39"/>
    <mergeCell ref="C40:E40"/>
    <mergeCell ref="C42:E42"/>
    <mergeCell ref="C43:E43"/>
  </mergeCells>
  <conditionalFormatting sqref="E20:E32">
    <cfRule type="expression" dxfId="38" priority="9" stopIfTrue="1">
      <formula>ISNA(E20)</formula>
    </cfRule>
  </conditionalFormatting>
  <conditionalFormatting sqref="G21:G32">
    <cfRule type="expression" dxfId="37" priority="7" stopIfTrue="1">
      <formula>ISNA(G21)</formula>
    </cfRule>
  </conditionalFormatting>
  <conditionalFormatting sqref="D20:D32">
    <cfRule type="expression" dxfId="36" priority="6" stopIfTrue="1">
      <formula>ISNA(D20)</formula>
    </cfRule>
  </conditionalFormatting>
  <conditionalFormatting sqref="C20:C32">
    <cfRule type="expression" dxfId="35" priority="3" stopIfTrue="1">
      <formula>ISNA(C20)</formula>
    </cfRule>
  </conditionalFormatting>
  <conditionalFormatting sqref="F20:F32">
    <cfRule type="expression" dxfId="34" priority="2" stopIfTrue="1">
      <formula>ISNA(F20)</formula>
    </cfRule>
  </conditionalFormatting>
  <conditionalFormatting sqref="G20">
    <cfRule type="expression" dxfId="33" priority="1" stopIfTrue="1">
      <formula>ISNA(G20)</formula>
    </cfRule>
  </conditionalFormatting>
  <printOptions horizontalCentered="1"/>
  <pageMargins left="0.70866141732283472" right="0.70866141732283472" top="2.9527559055118111" bottom="0.74803149606299213" header="0.31496062992125984" footer="0.31496062992125984"/>
  <pageSetup paperSize="9" fitToHeight="0" orientation="portrait" r:id="rId1"/>
  <headerFooter>
    <oddHeader>&amp;C&amp;F
&amp;G</oddHeader>
    <oddFooter>&amp;L&amp;D&amp;C&amp;"Times New Roman,Gras"CLP - ESCALE en Baie de Somme&amp;R&amp;A</oddFooter>
  </headerFooter>
  <ignoredErrors>
    <ignoredError sqref="E21 E23:E25 E28:E3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Enreg_PDF2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438150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/>
    <pageSetUpPr fitToPage="1"/>
  </sheetPr>
  <dimension ref="A1:G72"/>
  <sheetViews>
    <sheetView topLeftCell="H1" zoomScaleNormal="100" workbookViewId="0">
      <selection activeCell="H21" sqref="H21"/>
    </sheetView>
  </sheetViews>
  <sheetFormatPr baseColWidth="10" defaultRowHeight="12.75" x14ac:dyDescent="0.2"/>
  <cols>
    <col min="1" max="1" width="24" hidden="1" customWidth="1"/>
    <col min="2" max="2" width="15.83203125" customWidth="1"/>
    <col min="3" max="3" width="13" hidden="1" customWidth="1"/>
    <col min="4" max="4" width="15.83203125" hidden="1" customWidth="1"/>
    <col min="5" max="5" width="5.83203125" hidden="1" customWidth="1"/>
    <col min="6" max="6" width="10.83203125" hidden="1" customWidth="1"/>
    <col min="7" max="7" width="5.83203125" hidden="1" customWidth="1"/>
    <col min="10" max="10" width="12.83203125" customWidth="1"/>
  </cols>
  <sheetData>
    <row r="1" spans="1:7" x14ac:dyDescent="0.2">
      <c r="A1" s="123" t="s">
        <v>117</v>
      </c>
      <c r="B1" s="124"/>
      <c r="F1" s="123" t="s">
        <v>118</v>
      </c>
      <c r="G1" s="124"/>
    </row>
    <row r="2" spans="1:7" x14ac:dyDescent="0.2">
      <c r="A2" s="123" t="s">
        <v>48</v>
      </c>
      <c r="B2" s="124" t="s">
        <v>116</v>
      </c>
      <c r="F2" s="123" t="s">
        <v>49</v>
      </c>
      <c r="G2" s="124" t="s">
        <v>116</v>
      </c>
    </row>
    <row r="3" spans="1:7" x14ac:dyDescent="0.2">
      <c r="A3" s="125" t="s">
        <v>490</v>
      </c>
      <c r="B3" s="126">
        <v>5040</v>
      </c>
      <c r="F3" s="180" t="s">
        <v>490</v>
      </c>
      <c r="G3" s="126">
        <v>111</v>
      </c>
    </row>
    <row r="4" spans="1:7" x14ac:dyDescent="0.2">
      <c r="A4" s="127" t="s">
        <v>115</v>
      </c>
      <c r="B4" s="128">
        <v>5040</v>
      </c>
      <c r="F4" s="127" t="s">
        <v>115</v>
      </c>
      <c r="G4" s="128">
        <v>111</v>
      </c>
    </row>
    <row r="20" spans="1:5" x14ac:dyDescent="0.2">
      <c r="D20" s="199"/>
      <c r="E20" s="200"/>
    </row>
    <row r="21" spans="1:5" x14ac:dyDescent="0.2">
      <c r="A21" s="125"/>
      <c r="B21" s="123" t="s">
        <v>119</v>
      </c>
      <c r="C21" s="129"/>
    </row>
    <row r="22" spans="1:5" ht="12.75" customHeight="1" x14ac:dyDescent="0.2">
      <c r="A22" s="123" t="s">
        <v>103</v>
      </c>
      <c r="B22" s="204" t="s">
        <v>121</v>
      </c>
      <c r="C22" s="137" t="s">
        <v>120</v>
      </c>
    </row>
    <row r="23" spans="1:5" ht="12.75" customHeight="1" x14ac:dyDescent="0.2">
      <c r="A23" s="125" t="s">
        <v>21</v>
      </c>
      <c r="B23" s="201" t="e">
        <v>#N/A</v>
      </c>
      <c r="C23" s="144">
        <v>420</v>
      </c>
    </row>
    <row r="24" spans="1:5" x14ac:dyDescent="0.2">
      <c r="A24" s="132" t="s">
        <v>22</v>
      </c>
      <c r="B24" s="202">
        <v>70</v>
      </c>
      <c r="C24" s="145">
        <v>420</v>
      </c>
    </row>
    <row r="25" spans="1:5" x14ac:dyDescent="0.2">
      <c r="A25" s="132" t="s">
        <v>23</v>
      </c>
      <c r="B25" s="202">
        <v>311</v>
      </c>
      <c r="C25" s="145">
        <v>420</v>
      </c>
    </row>
    <row r="26" spans="1:5" x14ac:dyDescent="0.2">
      <c r="A26" s="132" t="s">
        <v>24</v>
      </c>
      <c r="B26" s="202">
        <v>873</v>
      </c>
      <c r="C26" s="145">
        <v>420</v>
      </c>
    </row>
    <row r="27" spans="1:5" x14ac:dyDescent="0.2">
      <c r="A27" s="132" t="s">
        <v>25</v>
      </c>
      <c r="B27" s="202">
        <v>1055</v>
      </c>
      <c r="C27" s="145">
        <v>420</v>
      </c>
    </row>
    <row r="28" spans="1:5" x14ac:dyDescent="0.2">
      <c r="A28" s="132" t="s">
        <v>14</v>
      </c>
      <c r="B28" s="202">
        <v>764</v>
      </c>
      <c r="C28" s="145">
        <v>420</v>
      </c>
    </row>
    <row r="29" spans="1:5" x14ac:dyDescent="0.2">
      <c r="A29" s="132" t="s">
        <v>15</v>
      </c>
      <c r="B29" s="202">
        <v>714</v>
      </c>
      <c r="C29" s="145">
        <v>420</v>
      </c>
    </row>
    <row r="30" spans="1:5" x14ac:dyDescent="0.2">
      <c r="A30" s="132" t="s">
        <v>16</v>
      </c>
      <c r="B30" s="202">
        <v>217</v>
      </c>
      <c r="C30" s="145">
        <v>420</v>
      </c>
    </row>
    <row r="31" spans="1:5" x14ac:dyDescent="0.2">
      <c r="A31" s="132" t="s">
        <v>17</v>
      </c>
      <c r="B31" s="202">
        <v>617</v>
      </c>
      <c r="C31" s="145">
        <v>420</v>
      </c>
    </row>
    <row r="32" spans="1:5" x14ac:dyDescent="0.2">
      <c r="A32" s="132" t="s">
        <v>18</v>
      </c>
      <c r="B32" s="202">
        <v>419</v>
      </c>
      <c r="C32" s="145">
        <v>420</v>
      </c>
    </row>
    <row r="33" spans="1:3" x14ac:dyDescent="0.2">
      <c r="A33" s="132" t="s">
        <v>19</v>
      </c>
      <c r="B33" s="202" t="e">
        <v>#N/A</v>
      </c>
      <c r="C33" s="145">
        <v>420</v>
      </c>
    </row>
    <row r="34" spans="1:3" x14ac:dyDescent="0.2">
      <c r="A34" s="132" t="s">
        <v>20</v>
      </c>
      <c r="B34" s="202" t="e">
        <v>#N/A</v>
      </c>
      <c r="C34" s="145">
        <v>420</v>
      </c>
    </row>
    <row r="35" spans="1:3" x14ac:dyDescent="0.2">
      <c r="A35" s="127" t="s">
        <v>115</v>
      </c>
      <c r="B35" s="203" t="e">
        <v>#N/A</v>
      </c>
      <c r="C35" s="146">
        <v>5040</v>
      </c>
    </row>
    <row r="40" spans="1:3" x14ac:dyDescent="0.2">
      <c r="A40" s="125"/>
      <c r="B40" s="123" t="s">
        <v>119</v>
      </c>
      <c r="C40" s="129"/>
    </row>
    <row r="41" spans="1:3" ht="12.75" customHeight="1" x14ac:dyDescent="0.2">
      <c r="A41" s="123" t="s">
        <v>103</v>
      </c>
      <c r="B41" s="125" t="s">
        <v>122</v>
      </c>
      <c r="C41" s="137" t="s">
        <v>123</v>
      </c>
    </row>
    <row r="42" spans="1:3" x14ac:dyDescent="0.2">
      <c r="A42" s="125" t="s">
        <v>21</v>
      </c>
      <c r="B42" s="138" t="e">
        <v>#N/A</v>
      </c>
      <c r="C42" s="139">
        <v>0.22950866188769414</v>
      </c>
    </row>
    <row r="43" spans="1:3" x14ac:dyDescent="0.2">
      <c r="A43" s="132" t="s">
        <v>22</v>
      </c>
      <c r="B43" s="140">
        <v>4.1666666666666664E-2</v>
      </c>
      <c r="C43" s="141">
        <v>0.22950866188769414</v>
      </c>
    </row>
    <row r="44" spans="1:3" x14ac:dyDescent="0.2">
      <c r="A44" s="132" t="s">
        <v>23</v>
      </c>
      <c r="B44" s="140">
        <v>0.16720430107526882</v>
      </c>
      <c r="C44" s="141">
        <v>0.22950866188769414</v>
      </c>
    </row>
    <row r="45" spans="1:3" x14ac:dyDescent="0.2">
      <c r="A45" s="132" t="s">
        <v>24</v>
      </c>
      <c r="B45" s="140">
        <v>0.48499999999999999</v>
      </c>
      <c r="C45" s="141">
        <v>0.22950866188769414</v>
      </c>
    </row>
    <row r="46" spans="1:3" x14ac:dyDescent="0.2">
      <c r="A46" s="132" t="s">
        <v>25</v>
      </c>
      <c r="B46" s="140">
        <v>0.56720430107526887</v>
      </c>
      <c r="C46" s="141">
        <v>0.22950866188769414</v>
      </c>
    </row>
    <row r="47" spans="1:3" x14ac:dyDescent="0.2">
      <c r="A47" s="132" t="s">
        <v>14</v>
      </c>
      <c r="B47" s="140">
        <v>0.42444444444444446</v>
      </c>
      <c r="C47" s="141">
        <v>0.22950866188769414</v>
      </c>
    </row>
    <row r="48" spans="1:3" x14ac:dyDescent="0.2">
      <c r="A48" s="132" t="s">
        <v>15</v>
      </c>
      <c r="B48" s="140">
        <v>0.38387096774193546</v>
      </c>
      <c r="C48" s="141">
        <v>0.22950866188769414</v>
      </c>
    </row>
    <row r="49" spans="1:3" x14ac:dyDescent="0.2">
      <c r="A49" s="132" t="s">
        <v>16</v>
      </c>
      <c r="B49" s="140">
        <v>0.11666666666666667</v>
      </c>
      <c r="C49" s="141">
        <v>0.22950866188769414</v>
      </c>
    </row>
    <row r="50" spans="1:3" x14ac:dyDescent="0.2">
      <c r="A50" s="132" t="s">
        <v>17</v>
      </c>
      <c r="B50" s="140">
        <v>0.34277777777777779</v>
      </c>
      <c r="C50" s="141">
        <v>0.22950866188769414</v>
      </c>
    </row>
    <row r="51" spans="1:3" x14ac:dyDescent="0.2">
      <c r="A51" s="132" t="s">
        <v>18</v>
      </c>
      <c r="B51" s="140">
        <v>0.22526881720430109</v>
      </c>
      <c r="C51" s="141">
        <v>0.22950866188769414</v>
      </c>
    </row>
    <row r="52" spans="1:3" x14ac:dyDescent="0.2">
      <c r="A52" s="132" t="s">
        <v>19</v>
      </c>
      <c r="B52" s="140" t="e">
        <v>#N/A</v>
      </c>
      <c r="C52" s="141">
        <v>0.22950866188769414</v>
      </c>
    </row>
    <row r="53" spans="1:3" x14ac:dyDescent="0.2">
      <c r="A53" s="132" t="s">
        <v>20</v>
      </c>
      <c r="B53" s="140" t="e">
        <v>#N/A</v>
      </c>
      <c r="C53" s="141">
        <v>0.22950866188769414</v>
      </c>
    </row>
    <row r="54" spans="1:3" x14ac:dyDescent="0.2">
      <c r="A54" s="127" t="s">
        <v>115</v>
      </c>
      <c r="B54" s="142" t="e">
        <v>#N/A</v>
      </c>
      <c r="C54" s="143">
        <v>2.7541039426523288</v>
      </c>
    </row>
    <row r="58" spans="1:3" x14ac:dyDescent="0.2">
      <c r="A58" s="125"/>
      <c r="B58" s="123" t="s">
        <v>119</v>
      </c>
      <c r="C58" s="129"/>
    </row>
    <row r="59" spans="1:3" ht="12.75" customHeight="1" x14ac:dyDescent="0.2">
      <c r="A59" s="123" t="s">
        <v>103</v>
      </c>
      <c r="B59" s="125" t="s">
        <v>124</v>
      </c>
      <c r="C59" s="137" t="s">
        <v>125</v>
      </c>
    </row>
    <row r="60" spans="1:3" x14ac:dyDescent="0.2">
      <c r="A60" s="125" t="s">
        <v>21</v>
      </c>
      <c r="B60" s="130" t="e">
        <v>#N/A</v>
      </c>
      <c r="C60" s="131">
        <v>15234.791666666666</v>
      </c>
    </row>
    <row r="61" spans="1:3" x14ac:dyDescent="0.2">
      <c r="A61" s="132" t="s">
        <v>22</v>
      </c>
      <c r="B61" s="133">
        <v>3140</v>
      </c>
      <c r="C61" s="134">
        <v>15234.791666666666</v>
      </c>
    </row>
    <row r="62" spans="1:3" x14ac:dyDescent="0.2">
      <c r="A62" s="132" t="s">
        <v>23</v>
      </c>
      <c r="B62" s="133">
        <v>13869.5</v>
      </c>
      <c r="C62" s="134">
        <v>15234.791666666666</v>
      </c>
    </row>
    <row r="63" spans="1:3" x14ac:dyDescent="0.2">
      <c r="A63" s="132" t="s">
        <v>24</v>
      </c>
      <c r="B63" s="133">
        <v>38423.5</v>
      </c>
      <c r="C63" s="134">
        <v>15234.791666666666</v>
      </c>
    </row>
    <row r="64" spans="1:3" x14ac:dyDescent="0.2">
      <c r="A64" s="132" t="s">
        <v>25</v>
      </c>
      <c r="B64" s="133">
        <v>47638</v>
      </c>
      <c r="C64" s="134">
        <v>15234.791666666666</v>
      </c>
    </row>
    <row r="65" spans="1:3" x14ac:dyDescent="0.2">
      <c r="A65" s="132" t="s">
        <v>14</v>
      </c>
      <c r="B65" s="133">
        <v>34733.5</v>
      </c>
      <c r="C65" s="134">
        <v>15234.791666666666</v>
      </c>
    </row>
    <row r="66" spans="1:3" x14ac:dyDescent="0.2">
      <c r="A66" s="132" t="s">
        <v>15</v>
      </c>
      <c r="B66" s="133">
        <v>32516</v>
      </c>
      <c r="C66" s="134">
        <v>15234.791666666666</v>
      </c>
    </row>
    <row r="67" spans="1:3" x14ac:dyDescent="0.2">
      <c r="A67" s="132" t="s">
        <v>16</v>
      </c>
      <c r="B67" s="133">
        <v>6738</v>
      </c>
      <c r="C67" s="134">
        <v>15234.791666666666</v>
      </c>
    </row>
    <row r="68" spans="1:3" x14ac:dyDescent="0.2">
      <c r="A68" s="132" t="s">
        <v>17</v>
      </c>
      <c r="B68" s="133">
        <v>5759</v>
      </c>
      <c r="C68" s="134">
        <v>15234.791666666666</v>
      </c>
    </row>
    <row r="69" spans="1:3" x14ac:dyDescent="0.2">
      <c r="A69" s="132" t="s">
        <v>18</v>
      </c>
      <c r="B69" s="133" t="e">
        <v>#N/A</v>
      </c>
      <c r="C69" s="134">
        <v>15234.791666666666</v>
      </c>
    </row>
    <row r="70" spans="1:3" x14ac:dyDescent="0.2">
      <c r="A70" s="132" t="s">
        <v>19</v>
      </c>
      <c r="B70" s="133" t="e">
        <v>#N/A</v>
      </c>
      <c r="C70" s="134">
        <v>15234.791666666666</v>
      </c>
    </row>
    <row r="71" spans="1:3" x14ac:dyDescent="0.2">
      <c r="A71" s="132" t="s">
        <v>20</v>
      </c>
      <c r="B71" s="133" t="e">
        <v>#N/A</v>
      </c>
      <c r="C71" s="134">
        <v>15234.791666666666</v>
      </c>
    </row>
    <row r="72" spans="1:3" x14ac:dyDescent="0.2">
      <c r="A72" s="127" t="s">
        <v>115</v>
      </c>
      <c r="B72" s="135" t="e">
        <v>#N/A</v>
      </c>
      <c r="C72" s="136">
        <v>182817.49999999997</v>
      </c>
    </row>
  </sheetData>
  <sheetProtection formatCells="0" formatColumns="0" insertColumns="0" insertRows="0" pivotTables="0"/>
  <printOptions horizontalCentered="1" verticalCentered="1"/>
  <pageMargins left="0.70866141732283472" right="0.70866141732283472" top="2.1653543307086616" bottom="0.74803149606299213" header="0.31496062992125984" footer="0.31496062992125984"/>
  <pageSetup paperSize="9" scale="58" orientation="portrait" r:id="rId6"/>
  <headerFooter>
    <oddHeader>&amp;C&amp;F
&amp;G</oddHeader>
    <oddFooter>&amp;L&amp;D&amp;C&amp;"Times New Roman,Gras"CLP - ESCALE en Baie de Somme&amp;R&amp;A</oddFooter>
  </headerFooter>
  <drawing r:id="rId7"/>
  <legacyDrawingHF r:id="rId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3"/>
  <sheetViews>
    <sheetView workbookViewId="0"/>
  </sheetViews>
  <sheetFormatPr baseColWidth="10" defaultRowHeight="12.75" x14ac:dyDescent="0.2"/>
  <cols>
    <col min="1" max="1" width="15.83203125" customWidth="1"/>
    <col min="2" max="12" width="12.83203125" customWidth="1"/>
  </cols>
  <sheetData>
    <row r="1" spans="1:13" ht="45" customHeight="1" thickBot="1" x14ac:dyDescent="0.25">
      <c r="A1" s="88" t="s">
        <v>103</v>
      </c>
      <c r="B1" s="87" t="s">
        <v>105</v>
      </c>
      <c r="C1" s="87" t="s">
        <v>109</v>
      </c>
      <c r="D1" s="87" t="s">
        <v>45</v>
      </c>
      <c r="E1" s="87" t="s">
        <v>65</v>
      </c>
      <c r="F1" s="87" t="s">
        <v>110</v>
      </c>
      <c r="G1" s="87" t="s">
        <v>30</v>
      </c>
      <c r="H1" s="87" t="s">
        <v>108</v>
      </c>
      <c r="I1" s="87" t="s">
        <v>77</v>
      </c>
      <c r="J1" s="87" t="s">
        <v>111</v>
      </c>
      <c r="K1" s="87" t="s">
        <v>106</v>
      </c>
      <c r="L1" s="87" t="s">
        <v>112</v>
      </c>
      <c r="M1" s="97" t="s">
        <v>114</v>
      </c>
    </row>
    <row r="2" spans="1:13" x14ac:dyDescent="0.2">
      <c r="A2" s="89" t="str">
        <f>'Bilan annuel réservations'!$A20:$B20</f>
        <v>JANVIER</v>
      </c>
      <c r="B2" s="80" t="e">
        <f ca="1">IF('Bilan annuel réservations'!$C20=0,NA(),'Bilan annuel réservations'!$C20)</f>
        <v>#N/A</v>
      </c>
      <c r="C2" s="80" t="e">
        <f ca="1">IF($B2="","",$B2)</f>
        <v>#N/A</v>
      </c>
      <c r="D2" s="81">
        <f ca="1">'Bilan annuel réservations'!$C$17</f>
        <v>399.91666666666669</v>
      </c>
      <c r="E2" s="82" t="e">
        <f ca="1">IF('Bilan annuel réservations'!$D20=0,NA(),'Bilan annuel réservations'!$D20)</f>
        <v>#N/A</v>
      </c>
      <c r="F2" s="82" t="e">
        <f ca="1">IF($E2="","",$E2)</f>
        <v>#N/A</v>
      </c>
      <c r="G2" s="82" t="e">
        <f ca="1">IF('Bilan annuel réservations'!$E20=0,NA(),'Bilan annuel réservations'!$E20)</f>
        <v>#N/A</v>
      </c>
      <c r="H2" s="83">
        <f ca="1">'Bilan annuel réservations'!$G$17</f>
        <v>0.21871117084826763</v>
      </c>
      <c r="I2" s="84" t="e">
        <f ca="1">IF('Bilan annuel réservations'!$F20=0,NA(),'Bilan annuel réservations'!$F20)</f>
        <v>#N/A</v>
      </c>
      <c r="J2" s="84" t="e">
        <f ca="1">IF($I2="","",$I2)</f>
        <v>#N/A</v>
      </c>
      <c r="K2" s="85" t="e">
        <f ca="1">IF('Bilan annuel réservations'!$G20=0,NA(),'Bilan annuel réservations'!$G20)</f>
        <v>#N/A</v>
      </c>
      <c r="L2" s="85" t="e">
        <f ca="1">IF($K2="","",$K2)</f>
        <v>#N/A</v>
      </c>
      <c r="M2" s="98">
        <f ca="1">AVERAGE('Bilan annuel réservations'!$G$20:$G$31)</f>
        <v>15234.791666666666</v>
      </c>
    </row>
    <row r="3" spans="1:13" x14ac:dyDescent="0.2">
      <c r="A3" s="90" t="str">
        <f>'Bilan annuel réservations'!$A21:$B21</f>
        <v>FÉVRIER</v>
      </c>
      <c r="B3" s="73">
        <f ca="1">IF('Bilan annuel réservations'!$C21=0,NA(),'Bilan annuel réservations'!$C21)</f>
        <v>70</v>
      </c>
      <c r="C3" s="73" t="e">
        <f ca="1">IF($B3="","",$C2+$B3)</f>
        <v>#N/A</v>
      </c>
      <c r="D3" s="79">
        <f ca="1">'Bilan annuel réservations'!$C$17</f>
        <v>399.91666666666669</v>
      </c>
      <c r="E3" s="71">
        <f ca="1">IF('Bilan annuel réservations'!$D21=0,NA(),'Bilan annuel réservations'!$D21)</f>
        <v>1.1666666666666667E-2</v>
      </c>
      <c r="F3" s="71" t="e">
        <f ca="1">IF($E3="","",$F2+$E3)</f>
        <v>#N/A</v>
      </c>
      <c r="G3" s="71">
        <f ca="1">IF('Bilan annuel réservations'!$E21=0,NA(),'Bilan annuel réservations'!$E21)</f>
        <v>4.1666666666666664E-2</v>
      </c>
      <c r="H3" s="75">
        <f ca="1">'Bilan annuel réservations'!$G$17</f>
        <v>0.21871117084826763</v>
      </c>
      <c r="I3" s="74">
        <f ca="1">IF('Bilan annuel réservations'!$F21=0,NA(),'Bilan annuel réservations'!$F21)</f>
        <v>30.5</v>
      </c>
      <c r="J3" s="74" t="e">
        <f ca="1">IF($I3="","",$J2+$I3)</f>
        <v>#N/A</v>
      </c>
      <c r="K3" s="76">
        <f ca="1">IF('Bilan annuel réservations'!$G21=0,NA(),'Bilan annuel réservations'!$G21)</f>
        <v>3140</v>
      </c>
      <c r="L3" s="76" t="e">
        <f ca="1">IF($K3="","",$L2+$K3)</f>
        <v>#N/A</v>
      </c>
      <c r="M3" s="99">
        <f ca="1">AVERAGE('Bilan annuel réservations'!$G$20:$G$31)</f>
        <v>15234.791666666666</v>
      </c>
    </row>
    <row r="4" spans="1:13" x14ac:dyDescent="0.2">
      <c r="A4" s="90" t="str">
        <f>'Bilan annuel réservations'!$A22:$B22</f>
        <v>MARS</v>
      </c>
      <c r="B4" s="73">
        <f ca="1">IF('Bilan annuel réservations'!$C22=0,NA(),'Bilan annuel réservations'!$C22)</f>
        <v>311</v>
      </c>
      <c r="C4" s="73" t="e">
        <f t="shared" ref="C4:C13" ca="1" si="0">IF($B4="","",$C3+$B4)</f>
        <v>#N/A</v>
      </c>
      <c r="D4" s="79">
        <f ca="1">'Bilan annuel réservations'!$C$17</f>
        <v>399.91666666666669</v>
      </c>
      <c r="E4" s="71">
        <f ca="1">IF('Bilan annuel réservations'!$D22=0,NA(),'Bilan annuel réservations'!$D22)</f>
        <v>5.1833333333333335E-2</v>
      </c>
      <c r="F4" s="71" t="e">
        <f t="shared" ref="F4:F13" ca="1" si="1">IF($E4="","",$F3+$E4)</f>
        <v>#N/A</v>
      </c>
      <c r="G4" s="71">
        <f ca="1">IF('Bilan annuel réservations'!$E22=0,NA(),'Bilan annuel réservations'!$E22)</f>
        <v>0.16720430107526882</v>
      </c>
      <c r="H4" s="75">
        <f ca="1">'Bilan annuel réservations'!$G$17</f>
        <v>0.21871117084826763</v>
      </c>
      <c r="I4" s="74">
        <f ca="1">IF('Bilan annuel réservations'!$F22=0,NA(),'Bilan annuel réservations'!$F22)</f>
        <v>56</v>
      </c>
      <c r="J4" s="74" t="e">
        <f t="shared" ref="J4:J13" ca="1" si="2">IF($I4="","",$J3+$I4)</f>
        <v>#N/A</v>
      </c>
      <c r="K4" s="76">
        <f ca="1">IF('Bilan annuel réservations'!$G22=0,NA(),'Bilan annuel réservations'!$G22)</f>
        <v>13869.5</v>
      </c>
      <c r="L4" s="76" t="e">
        <f ca="1">IF($K4="","",$L3+$K4)</f>
        <v>#N/A</v>
      </c>
      <c r="M4" s="99">
        <f ca="1">AVERAGE('Bilan annuel réservations'!$G$20:$G$31)</f>
        <v>15234.791666666666</v>
      </c>
    </row>
    <row r="5" spans="1:13" x14ac:dyDescent="0.2">
      <c r="A5" s="90" t="str">
        <f>'Bilan annuel réservations'!$A23:$B23</f>
        <v>AVRIL</v>
      </c>
      <c r="B5" s="73">
        <f ca="1">IF('Bilan annuel réservations'!$C23=0,NA(),'Bilan annuel réservations'!$C23)</f>
        <v>873</v>
      </c>
      <c r="C5" s="73" t="e">
        <f t="shared" ca="1" si="0"/>
        <v>#N/A</v>
      </c>
      <c r="D5" s="79">
        <f ca="1">'Bilan annuel réservations'!$C$17</f>
        <v>399.91666666666669</v>
      </c>
      <c r="E5" s="71">
        <f ca="1">IF('Bilan annuel réservations'!$D23=0,NA(),'Bilan annuel réservations'!$D23)</f>
        <v>0.14549999999999999</v>
      </c>
      <c r="F5" s="71" t="e">
        <f t="shared" ca="1" si="1"/>
        <v>#N/A</v>
      </c>
      <c r="G5" s="71">
        <f ca="1">IF('Bilan annuel réservations'!$E23=0,NA(),'Bilan annuel réservations'!$E23)</f>
        <v>0.48499999999999999</v>
      </c>
      <c r="H5" s="75">
        <f ca="1">'Bilan annuel réservations'!$G$17</f>
        <v>0.21871117084826763</v>
      </c>
      <c r="I5" s="74">
        <f ca="1">IF('Bilan annuel réservations'!$F23=0,NA(),'Bilan annuel réservations'!$F23)</f>
        <v>337.5</v>
      </c>
      <c r="J5" s="74" t="e">
        <f t="shared" ca="1" si="2"/>
        <v>#N/A</v>
      </c>
      <c r="K5" s="76">
        <f ca="1">IF('Bilan annuel réservations'!$G23=0,NA(),'Bilan annuel réservations'!$G23)</f>
        <v>38423.5</v>
      </c>
      <c r="L5" s="76" t="e">
        <f ca="1">IF($K5="","",$L4+$K5)</f>
        <v>#N/A</v>
      </c>
      <c r="M5" s="99">
        <f ca="1">AVERAGE('Bilan annuel réservations'!$G$20:$G$31)</f>
        <v>15234.791666666666</v>
      </c>
    </row>
    <row r="6" spans="1:13" x14ac:dyDescent="0.2">
      <c r="A6" s="90" t="str">
        <f>'Bilan annuel réservations'!$A24:$B24</f>
        <v>MAI</v>
      </c>
      <c r="B6" s="73">
        <f ca="1">IF('Bilan annuel réservations'!$C24=0,NA(),'Bilan annuel réservations'!$C24)</f>
        <v>1055</v>
      </c>
      <c r="C6" s="73" t="e">
        <f t="shared" ca="1" si="0"/>
        <v>#N/A</v>
      </c>
      <c r="D6" s="79">
        <f ca="1">'Bilan annuel réservations'!$C$17</f>
        <v>399.91666666666669</v>
      </c>
      <c r="E6" s="71">
        <f ca="1">IF('Bilan annuel réservations'!$D24=0,NA(),'Bilan annuel réservations'!$D24)</f>
        <v>0.17583333333333334</v>
      </c>
      <c r="F6" s="71" t="e">
        <f t="shared" ca="1" si="1"/>
        <v>#N/A</v>
      </c>
      <c r="G6" s="71">
        <f ca="1">IF('Bilan annuel réservations'!$E24=0,NA(),'Bilan annuel réservations'!$E24)</f>
        <v>0.56720430107526887</v>
      </c>
      <c r="H6" s="75">
        <f ca="1">'Bilan annuel réservations'!$G$17</f>
        <v>0.21871117084826763</v>
      </c>
      <c r="I6" s="74">
        <f ca="1">IF('Bilan annuel réservations'!$F24=0,NA(),'Bilan annuel réservations'!$F24)</f>
        <v>203.5</v>
      </c>
      <c r="J6" s="74" t="e">
        <f t="shared" ca="1" si="2"/>
        <v>#N/A</v>
      </c>
      <c r="K6" s="76">
        <f ca="1">IF('Bilan annuel réservations'!$G24=0,NA(),'Bilan annuel réservations'!$G24)</f>
        <v>47638</v>
      </c>
      <c r="L6" s="76" t="e">
        <f t="shared" ref="L6:L13" ca="1" si="3">IF($K6="","",$L5+$K6)</f>
        <v>#N/A</v>
      </c>
      <c r="M6" s="99">
        <f ca="1">AVERAGE('Bilan annuel réservations'!$G$20:$G$31)</f>
        <v>15234.791666666666</v>
      </c>
    </row>
    <row r="7" spans="1:13" x14ac:dyDescent="0.2">
      <c r="A7" s="90" t="str">
        <f>'Bilan annuel réservations'!$A25:$B25</f>
        <v>JUIN</v>
      </c>
      <c r="B7" s="73">
        <f ca="1">IF('Bilan annuel réservations'!$C25=0,NA(),'Bilan annuel réservations'!$C25)</f>
        <v>764</v>
      </c>
      <c r="C7" s="73" t="e">
        <f t="shared" ca="1" si="0"/>
        <v>#N/A</v>
      </c>
      <c r="D7" s="79">
        <f ca="1">'Bilan annuel réservations'!$C$17</f>
        <v>399.91666666666669</v>
      </c>
      <c r="E7" s="71">
        <f ca="1">IF('Bilan annuel réservations'!$D25=0,NA(),'Bilan annuel réservations'!$D25)</f>
        <v>0.12733333333333333</v>
      </c>
      <c r="F7" s="71" t="e">
        <f t="shared" ca="1" si="1"/>
        <v>#N/A</v>
      </c>
      <c r="G7" s="71">
        <f ca="1">IF('Bilan annuel réservations'!$E25=0,NA(),'Bilan annuel réservations'!$E25)</f>
        <v>0.42444444444444446</v>
      </c>
      <c r="H7" s="75">
        <f ca="1">'Bilan annuel réservations'!$G$17</f>
        <v>0.21871117084826763</v>
      </c>
      <c r="I7" s="74">
        <f ca="1">IF('Bilan annuel réservations'!$F25=0,NA(),'Bilan annuel réservations'!$F25)</f>
        <v>240</v>
      </c>
      <c r="J7" s="74" t="e">
        <f t="shared" ca="1" si="2"/>
        <v>#N/A</v>
      </c>
      <c r="K7" s="76">
        <f ca="1">IF('Bilan annuel réservations'!$G25=0,NA(),'Bilan annuel réservations'!$G25)</f>
        <v>34733.5</v>
      </c>
      <c r="L7" s="76" t="e">
        <f t="shared" ca="1" si="3"/>
        <v>#N/A</v>
      </c>
      <c r="M7" s="99">
        <f ca="1">AVERAGE('Bilan annuel réservations'!$G$20:$G$31)</f>
        <v>15234.791666666666</v>
      </c>
    </row>
    <row r="8" spans="1:13" x14ac:dyDescent="0.2">
      <c r="A8" s="90" t="str">
        <f>'Bilan annuel réservations'!$A26:$B26</f>
        <v>JUILLET</v>
      </c>
      <c r="B8" s="73">
        <f ca="1">IF('Bilan annuel réservations'!$C26=0,NA(),'Bilan annuel réservations'!$C26)</f>
        <v>714</v>
      </c>
      <c r="C8" s="73" t="e">
        <f t="shared" ca="1" si="0"/>
        <v>#N/A</v>
      </c>
      <c r="D8" s="79">
        <f ca="1">'Bilan annuel réservations'!$C$17</f>
        <v>399.91666666666669</v>
      </c>
      <c r="E8" s="71">
        <f ca="1">IF('Bilan annuel réservations'!$D26=0,NA(),'Bilan annuel réservations'!$D26)</f>
        <v>0.11899999999999999</v>
      </c>
      <c r="F8" s="71" t="e">
        <f t="shared" ca="1" si="1"/>
        <v>#N/A</v>
      </c>
      <c r="G8" s="71">
        <f ca="1">IF('Bilan annuel réservations'!$E26=0,NA(),'Bilan annuel réservations'!$E26)</f>
        <v>0.38387096774193546</v>
      </c>
      <c r="H8" s="75">
        <f ca="1">'Bilan annuel réservations'!$G$17</f>
        <v>0.21871117084826763</v>
      </c>
      <c r="I8" s="74">
        <f ca="1">IF('Bilan annuel réservations'!$F26=0,NA(),'Bilan annuel réservations'!$F26)</f>
        <v>100</v>
      </c>
      <c r="J8" s="74" t="e">
        <f t="shared" ca="1" si="2"/>
        <v>#N/A</v>
      </c>
      <c r="K8" s="76">
        <f ca="1">IF('Bilan annuel réservations'!$G26=0,NA(),'Bilan annuel réservations'!$G26)</f>
        <v>32516</v>
      </c>
      <c r="L8" s="76" t="e">
        <f t="shared" ca="1" si="3"/>
        <v>#N/A</v>
      </c>
      <c r="M8" s="99">
        <f ca="1">AVERAGE('Bilan annuel réservations'!$G$20:$G$31)</f>
        <v>15234.791666666666</v>
      </c>
    </row>
    <row r="9" spans="1:13" x14ac:dyDescent="0.2">
      <c r="A9" s="90" t="str">
        <f>'Bilan annuel réservations'!$A27:$B27</f>
        <v>AOÛT</v>
      </c>
      <c r="B9" s="73">
        <f ca="1">IF('Bilan annuel réservations'!$C27=0,NA(),'Bilan annuel réservations'!$C27)</f>
        <v>217</v>
      </c>
      <c r="C9" s="73" t="e">
        <f t="shared" ca="1" si="0"/>
        <v>#N/A</v>
      </c>
      <c r="D9" s="79">
        <f ca="1">'Bilan annuel réservations'!$C$17</f>
        <v>399.91666666666669</v>
      </c>
      <c r="E9" s="71">
        <f ca="1">IF('Bilan annuel réservations'!$D27=0,NA(),'Bilan annuel réservations'!$D27)</f>
        <v>3.6166666666666666E-2</v>
      </c>
      <c r="F9" s="71" t="e">
        <f t="shared" ca="1" si="1"/>
        <v>#N/A</v>
      </c>
      <c r="G9" s="71">
        <f ca="1">IF('Bilan annuel réservations'!$E27=0,NA(),'Bilan annuel réservations'!$E27)</f>
        <v>0.11666666666666667</v>
      </c>
      <c r="H9" s="75">
        <f ca="1">'Bilan annuel réservations'!$G$17</f>
        <v>0.21871117084826763</v>
      </c>
      <c r="I9" s="74">
        <f ca="1">IF('Bilan annuel réservations'!$F27=0,NA(),'Bilan annuel réservations'!$F27)</f>
        <v>64.5</v>
      </c>
      <c r="J9" s="74" t="e">
        <f t="shared" ca="1" si="2"/>
        <v>#N/A</v>
      </c>
      <c r="K9" s="76">
        <f ca="1">IF('Bilan annuel réservations'!$G27=0,NA(),'Bilan annuel réservations'!$G27)</f>
        <v>6738</v>
      </c>
      <c r="L9" s="76" t="e">
        <f t="shared" ca="1" si="3"/>
        <v>#N/A</v>
      </c>
      <c r="M9" s="99">
        <f ca="1">AVERAGE('Bilan annuel réservations'!$G$20:$G$31)</f>
        <v>15234.791666666666</v>
      </c>
    </row>
    <row r="10" spans="1:13" x14ac:dyDescent="0.2">
      <c r="A10" s="90" t="str">
        <f>'Bilan annuel réservations'!$A28:$B28</f>
        <v>SEPTEMBRE</v>
      </c>
      <c r="B10" s="73">
        <f ca="1">IF('Bilan annuel réservations'!$C28=0,NA(),'Bilan annuel réservations'!$C28)</f>
        <v>617</v>
      </c>
      <c r="C10" s="73" t="e">
        <f t="shared" ca="1" si="0"/>
        <v>#N/A</v>
      </c>
      <c r="D10" s="79">
        <f ca="1">'Bilan annuel réservations'!$C$17</f>
        <v>399.91666666666669</v>
      </c>
      <c r="E10" s="71">
        <f ca="1">IF('Bilan annuel réservations'!$D28=0,NA(),'Bilan annuel réservations'!$D28)</f>
        <v>0.10283333333333333</v>
      </c>
      <c r="F10" s="71" t="e">
        <f t="shared" ca="1" si="1"/>
        <v>#N/A</v>
      </c>
      <c r="G10" s="71">
        <f ca="1">IF('Bilan annuel réservations'!$E28=0,NA(),'Bilan annuel réservations'!$E28)</f>
        <v>0.34277777777777779</v>
      </c>
      <c r="H10" s="75">
        <f ca="1">'Bilan annuel réservations'!$G$17</f>
        <v>0.21871117084826763</v>
      </c>
      <c r="I10" s="74">
        <f ca="1">IF('Bilan annuel réservations'!$F28=0,NA(),'Bilan annuel réservations'!$F28)</f>
        <v>68</v>
      </c>
      <c r="J10" s="74" t="e">
        <f t="shared" ca="1" si="2"/>
        <v>#N/A</v>
      </c>
      <c r="K10" s="76">
        <f ca="1">IF('Bilan annuel réservations'!$G28=0,NA(),'Bilan annuel réservations'!$G28)</f>
        <v>5759</v>
      </c>
      <c r="L10" s="76" t="e">
        <f t="shared" ca="1" si="3"/>
        <v>#N/A</v>
      </c>
      <c r="M10" s="99">
        <f ca="1">AVERAGE('Bilan annuel réservations'!$G$20:$G$31)</f>
        <v>15234.791666666666</v>
      </c>
    </row>
    <row r="11" spans="1:13" x14ac:dyDescent="0.2">
      <c r="A11" s="90" t="str">
        <f>'Bilan annuel réservations'!$A29:$B29</f>
        <v>OCTOBRE</v>
      </c>
      <c r="B11" s="73">
        <f ca="1">IF('Bilan annuel réservations'!$C29=0,NA(),'Bilan annuel réservations'!$C29)</f>
        <v>178</v>
      </c>
      <c r="C11" s="73" t="e">
        <f t="shared" ca="1" si="0"/>
        <v>#N/A</v>
      </c>
      <c r="D11" s="79">
        <f ca="1">'Bilan annuel réservations'!$C$17</f>
        <v>399.91666666666669</v>
      </c>
      <c r="E11" s="71">
        <f ca="1">IF('Bilan annuel réservations'!$D29=0,NA(),'Bilan annuel réservations'!$D29)</f>
        <v>2.9666666666666668E-2</v>
      </c>
      <c r="F11" s="71" t="e">
        <f t="shared" ca="1" si="1"/>
        <v>#N/A</v>
      </c>
      <c r="G11" s="71">
        <f ca="1">IF('Bilan annuel réservations'!$E29=0,NA(),'Bilan annuel réservations'!$E29)</f>
        <v>9.56989247311828E-2</v>
      </c>
      <c r="H11" s="75">
        <f ca="1">'Bilan annuel réservations'!$G$17</f>
        <v>0.21871117084826763</v>
      </c>
      <c r="I11" s="74" t="e">
        <f ca="1">IF('Bilan annuel réservations'!$F29=0,NA(),'Bilan annuel réservations'!$F29)</f>
        <v>#N/A</v>
      </c>
      <c r="J11" s="74" t="e">
        <f t="shared" ca="1" si="2"/>
        <v>#N/A</v>
      </c>
      <c r="K11" s="76" t="e">
        <f ca="1">IF('Bilan annuel réservations'!$G29=0,NA(),'Bilan annuel réservations'!$G29)</f>
        <v>#N/A</v>
      </c>
      <c r="L11" s="76" t="e">
        <f t="shared" ca="1" si="3"/>
        <v>#N/A</v>
      </c>
      <c r="M11" s="99">
        <f ca="1">AVERAGE('Bilan annuel réservations'!$G$20:$G$31)</f>
        <v>15234.791666666666</v>
      </c>
    </row>
    <row r="12" spans="1:13" x14ac:dyDescent="0.2">
      <c r="A12" s="90" t="str">
        <f>'Bilan annuel réservations'!$A30:$B30</f>
        <v>NOVEMBRE</v>
      </c>
      <c r="B12" s="73" t="e">
        <f ca="1">IF('Bilan annuel réservations'!$C30=0,NA(),'Bilan annuel réservations'!$C30)</f>
        <v>#N/A</v>
      </c>
      <c r="C12" s="73" t="e">
        <f t="shared" ca="1" si="0"/>
        <v>#N/A</v>
      </c>
      <c r="D12" s="79">
        <f ca="1">'Bilan annuel réservations'!$C$17</f>
        <v>399.91666666666669</v>
      </c>
      <c r="E12" s="71" t="e">
        <f ca="1">IF('Bilan annuel réservations'!$D30=0,NA(),'Bilan annuel réservations'!$D30)</f>
        <v>#N/A</v>
      </c>
      <c r="F12" s="71" t="e">
        <f t="shared" ca="1" si="1"/>
        <v>#N/A</v>
      </c>
      <c r="G12" s="71" t="e">
        <f ca="1">IF('Bilan annuel réservations'!$E30=0,NA(),'Bilan annuel réservations'!$E30)</f>
        <v>#N/A</v>
      </c>
      <c r="H12" s="75">
        <f ca="1">'Bilan annuel réservations'!$G$17</f>
        <v>0.21871117084826763</v>
      </c>
      <c r="I12" s="74" t="e">
        <f ca="1">IF('Bilan annuel réservations'!$F30=0,NA(),'Bilan annuel réservations'!$F30)</f>
        <v>#N/A</v>
      </c>
      <c r="J12" s="74" t="e">
        <f t="shared" ca="1" si="2"/>
        <v>#N/A</v>
      </c>
      <c r="K12" s="76" t="e">
        <f ca="1">IF('Bilan annuel réservations'!$G30=0,NA(),'Bilan annuel réservations'!$G30)</f>
        <v>#N/A</v>
      </c>
      <c r="L12" s="76" t="e">
        <f t="shared" ca="1" si="3"/>
        <v>#N/A</v>
      </c>
      <c r="M12" s="99">
        <f ca="1">AVERAGE('Bilan annuel réservations'!$G$20:$G$31)</f>
        <v>15234.791666666666</v>
      </c>
    </row>
    <row r="13" spans="1:13" x14ac:dyDescent="0.2">
      <c r="A13" s="91" t="str">
        <f>'Bilan annuel réservations'!$A31:$B31</f>
        <v>DÉCEMBRE</v>
      </c>
      <c r="B13" s="92" t="e">
        <f ca="1">IF('Bilan annuel réservations'!$C31=0,NA(),'Bilan annuel réservations'!$C31)</f>
        <v>#N/A</v>
      </c>
      <c r="C13" s="92" t="e">
        <f t="shared" ca="1" si="0"/>
        <v>#N/A</v>
      </c>
      <c r="D13" s="93">
        <f ca="1">'Bilan annuel réservations'!$C$17</f>
        <v>399.91666666666669</v>
      </c>
      <c r="E13" s="94" t="e">
        <f ca="1">IF('Bilan annuel réservations'!$D31=0,NA(),'Bilan annuel réservations'!$D31)</f>
        <v>#N/A</v>
      </c>
      <c r="F13" s="94" t="e">
        <f t="shared" ca="1" si="1"/>
        <v>#N/A</v>
      </c>
      <c r="G13" s="94" t="e">
        <f ca="1">IF('Bilan annuel réservations'!$E31=0,NA(),'Bilan annuel réservations'!$E31)</f>
        <v>#N/A</v>
      </c>
      <c r="H13" s="95">
        <f ca="1">'Bilan annuel réservations'!$G$17</f>
        <v>0.21871117084826763</v>
      </c>
      <c r="I13" s="96" t="e">
        <f ca="1">IF('Bilan annuel réservations'!$F31=0,NA(),'Bilan annuel réservations'!$F31)</f>
        <v>#N/A</v>
      </c>
      <c r="J13" s="96" t="e">
        <f t="shared" ca="1" si="2"/>
        <v>#N/A</v>
      </c>
      <c r="K13" s="86" t="e">
        <f ca="1">IF('Bilan annuel réservations'!$G31=0,NA(),'Bilan annuel réservations'!$G31)</f>
        <v>#N/A</v>
      </c>
      <c r="L13" s="86" t="e">
        <f t="shared" ca="1" si="3"/>
        <v>#N/A</v>
      </c>
      <c r="M13" s="100">
        <f ca="1">AVERAGE('Bilan annuel réservations'!$G$20:$G$31)</f>
        <v>15234.791666666666</v>
      </c>
    </row>
  </sheetData>
  <conditionalFormatting sqref="B2:C13">
    <cfRule type="expression" dxfId="20" priority="5" stopIfTrue="1">
      <formula>ISNA(B2)</formula>
    </cfRule>
  </conditionalFormatting>
  <conditionalFormatting sqref="E2:F13">
    <cfRule type="expression" dxfId="19" priority="4" stopIfTrue="1">
      <formula>ISNA(E2)</formula>
    </cfRule>
  </conditionalFormatting>
  <conditionalFormatting sqref="I2:J13">
    <cfRule type="expression" dxfId="18" priority="3" stopIfTrue="1">
      <formula>ISNA(I2)</formula>
    </cfRule>
  </conditionalFormatting>
  <conditionalFormatting sqref="K2:L13">
    <cfRule type="expression" dxfId="17" priority="2" stopIfTrue="1">
      <formula>ISNA(K2)</formula>
    </cfRule>
  </conditionalFormatting>
  <conditionalFormatting sqref="G2:G13">
    <cfRule type="expression" dxfId="16" priority="1" stopIfTrue="1">
      <formula>ISNA(G2)</formula>
    </cfRule>
  </conditionalFormatting>
  <pageMargins left="0.7" right="0.7" top="0.75" bottom="0.75" header="0.3" footer="0.3"/>
  <pageSetup paperSize="9" orientation="portrait" r:id="rId1"/>
  <ignoredErrors>
    <ignoredError sqref="C8:C13 F8:F13 J8:J13 L8:L13" evalError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  <pageSetUpPr fitToPage="1"/>
  </sheetPr>
  <dimension ref="A1:X150"/>
  <sheetViews>
    <sheetView zoomScale="80" zoomScaleNormal="80" workbookViewId="0">
      <pane ySplit="1" topLeftCell="A2" activePane="bottomLeft" state="frozen"/>
      <selection pane="bottomLeft" activeCell="D5" sqref="D5"/>
    </sheetView>
  </sheetViews>
  <sheetFormatPr baseColWidth="10" defaultColWidth="13.33203125" defaultRowHeight="12.75" x14ac:dyDescent="0.2"/>
  <cols>
    <col min="1" max="1" width="53.33203125" style="155" customWidth="1"/>
    <col min="2" max="3" width="40.83203125" style="155" customWidth="1"/>
    <col min="4" max="4" width="35.83203125" style="155" customWidth="1"/>
    <col min="5" max="6" width="7.83203125" style="155" customWidth="1"/>
    <col min="7" max="7" width="13.33203125" style="154"/>
    <col min="8" max="8" width="5.83203125" style="4" customWidth="1"/>
    <col min="9" max="9" width="15.83203125" style="34" customWidth="1"/>
    <col min="10" max="10" width="5.83203125" style="34" customWidth="1"/>
    <col min="11" max="11" width="14.83203125" style="34" customWidth="1"/>
    <col min="12" max="12" width="26.5" style="34" bestFit="1" customWidth="1"/>
    <col min="13" max="13" width="5.83203125" style="34" customWidth="1"/>
    <col min="14" max="14" width="13.33203125" style="34"/>
    <col min="15" max="15" width="5.83203125" style="34" customWidth="1"/>
    <col min="16" max="16" width="17.83203125" style="34" customWidth="1"/>
    <col min="17" max="17" width="5.83203125" style="34" customWidth="1"/>
    <col min="18" max="18" width="7.83203125" style="4" customWidth="1"/>
    <col min="19" max="19" width="5.83203125" style="4" customWidth="1"/>
    <col min="20" max="20" width="6.83203125" style="4" customWidth="1"/>
    <col min="21" max="21" width="5.83203125" style="34" customWidth="1"/>
    <col min="22" max="22" width="9.83203125" style="34" customWidth="1"/>
    <col min="23" max="23" width="14.83203125" style="34" customWidth="1"/>
    <col min="24" max="24" width="10.83203125" style="34" customWidth="1"/>
    <col min="25" max="16384" width="13.33203125" style="34"/>
  </cols>
  <sheetData>
    <row r="1" spans="1:24" ht="30" customHeight="1" thickBot="1" x14ac:dyDescent="0.25">
      <c r="A1" s="156" t="s">
        <v>68</v>
      </c>
      <c r="B1" s="148" t="s">
        <v>138</v>
      </c>
      <c r="C1" s="148" t="s">
        <v>139</v>
      </c>
      <c r="D1" s="148" t="s">
        <v>131</v>
      </c>
      <c r="E1" s="148" t="s">
        <v>48</v>
      </c>
      <c r="F1" s="148" t="s">
        <v>49</v>
      </c>
      <c r="G1" s="48" t="s">
        <v>130</v>
      </c>
      <c r="H1" s="32"/>
      <c r="I1" s="16" t="s">
        <v>62</v>
      </c>
      <c r="J1" s="33"/>
      <c r="K1" s="360" t="s">
        <v>63</v>
      </c>
      <c r="L1" s="292"/>
      <c r="N1" s="36" t="s">
        <v>64</v>
      </c>
      <c r="P1" s="16" t="s">
        <v>29</v>
      </c>
      <c r="Q1" s="35"/>
      <c r="R1" s="59" t="s">
        <v>60</v>
      </c>
      <c r="S1" s="61"/>
      <c r="T1" s="57" t="s">
        <v>61</v>
      </c>
      <c r="V1" s="46" t="s">
        <v>69</v>
      </c>
      <c r="W1" s="47" t="s">
        <v>74</v>
      </c>
      <c r="X1" s="48" t="s">
        <v>78</v>
      </c>
    </row>
    <row r="2" spans="1:24" ht="24.95" customHeight="1" thickBot="1" x14ac:dyDescent="0.25">
      <c r="A2" s="157" t="s">
        <v>204</v>
      </c>
      <c r="B2" s="147" t="s">
        <v>299</v>
      </c>
      <c r="C2" s="147" t="s">
        <v>300</v>
      </c>
      <c r="D2" s="147" t="s">
        <v>395</v>
      </c>
      <c r="E2" s="151" t="s">
        <v>136</v>
      </c>
      <c r="F2" s="158">
        <v>59</v>
      </c>
      <c r="G2" s="177">
        <v>47</v>
      </c>
      <c r="H2" s="31"/>
      <c r="I2" s="63" t="s">
        <v>21</v>
      </c>
      <c r="J2" s="31"/>
      <c r="K2" s="111">
        <f>DATE(An,1,1)</f>
        <v>42736</v>
      </c>
      <c r="L2" s="112" t="s">
        <v>10</v>
      </c>
      <c r="N2" s="164">
        <v>2017</v>
      </c>
      <c r="P2" s="15" t="s">
        <v>27</v>
      </c>
      <c r="R2" s="62" t="s">
        <v>56</v>
      </c>
      <c r="S2" s="60"/>
      <c r="T2" s="58">
        <v>1</v>
      </c>
      <c r="V2" s="165" t="s">
        <v>70</v>
      </c>
      <c r="W2" s="166">
        <v>44</v>
      </c>
      <c r="X2" s="167">
        <v>41</v>
      </c>
    </row>
    <row r="3" spans="1:24" ht="24.95" customHeight="1" thickBot="1" x14ac:dyDescent="0.25">
      <c r="A3" s="157" t="s">
        <v>205</v>
      </c>
      <c r="B3" s="147" t="s">
        <v>300</v>
      </c>
      <c r="C3" s="147" t="s">
        <v>301</v>
      </c>
      <c r="D3" s="147" t="s">
        <v>396</v>
      </c>
      <c r="E3" s="151" t="s">
        <v>136</v>
      </c>
      <c r="F3" s="158">
        <v>91</v>
      </c>
      <c r="G3" s="177">
        <v>94</v>
      </c>
      <c r="H3" s="31"/>
      <c r="I3" s="63" t="s">
        <v>22</v>
      </c>
      <c r="J3" s="31"/>
      <c r="K3" s="113">
        <f>DATE(An,3,29.56+0.979*MOD(204-11*MOD(An,19),30)-WEEKDAY(DATE(An,3,28.56+0.979*MOD(204-11*MOD(An,19),30))))</f>
        <v>42841</v>
      </c>
      <c r="L3" s="114" t="s">
        <v>0</v>
      </c>
      <c r="N3" s="63">
        <v>2018</v>
      </c>
      <c r="P3" s="17" t="s">
        <v>51</v>
      </c>
      <c r="R3" s="63" t="s">
        <v>53</v>
      </c>
      <c r="S3" s="31"/>
      <c r="T3" s="188">
        <v>2</v>
      </c>
      <c r="V3" s="165" t="s">
        <v>72</v>
      </c>
      <c r="W3" s="166">
        <v>29</v>
      </c>
      <c r="X3" s="167">
        <v>29</v>
      </c>
    </row>
    <row r="4" spans="1:24" ht="24.95" customHeight="1" thickBot="1" x14ac:dyDescent="0.25">
      <c r="A4" s="157" t="s">
        <v>206</v>
      </c>
      <c r="B4" s="147" t="s">
        <v>301</v>
      </c>
      <c r="C4" s="147" t="s">
        <v>302</v>
      </c>
      <c r="D4" s="147" t="s">
        <v>397</v>
      </c>
      <c r="E4" s="150" t="s">
        <v>136</v>
      </c>
      <c r="F4" s="159">
        <v>61</v>
      </c>
      <c r="G4" s="177">
        <v>24</v>
      </c>
      <c r="H4" s="31"/>
      <c r="I4" s="63" t="s">
        <v>23</v>
      </c>
      <c r="J4" s="31"/>
      <c r="K4" s="113">
        <f>K3+1</f>
        <v>42842</v>
      </c>
      <c r="L4" s="114" t="s">
        <v>1</v>
      </c>
      <c r="N4" s="63">
        <v>2019</v>
      </c>
      <c r="P4" s="226" t="s">
        <v>28</v>
      </c>
      <c r="R4" s="63" t="s">
        <v>57</v>
      </c>
      <c r="S4" s="31"/>
      <c r="T4" s="188">
        <v>3</v>
      </c>
      <c r="V4" s="165" t="s">
        <v>73</v>
      </c>
      <c r="W4" s="166">
        <v>25</v>
      </c>
      <c r="X4" s="167">
        <v>25</v>
      </c>
    </row>
    <row r="5" spans="1:24" ht="24.95" customHeight="1" thickBot="1" x14ac:dyDescent="0.25">
      <c r="A5" s="157" t="s">
        <v>207</v>
      </c>
      <c r="B5" s="147" t="s">
        <v>302</v>
      </c>
      <c r="C5" s="147" t="s">
        <v>303</v>
      </c>
      <c r="D5" s="147" t="s">
        <v>398</v>
      </c>
      <c r="E5" s="150" t="s">
        <v>136</v>
      </c>
      <c r="F5" s="158">
        <v>76</v>
      </c>
      <c r="G5" s="177">
        <v>37</v>
      </c>
      <c r="H5" s="31"/>
      <c r="I5" s="63" t="s">
        <v>24</v>
      </c>
      <c r="J5" s="31"/>
      <c r="K5" s="113">
        <f>DATE(An,5,1)</f>
        <v>42856</v>
      </c>
      <c r="L5" s="114" t="s">
        <v>9</v>
      </c>
      <c r="N5" s="63">
        <v>2020</v>
      </c>
      <c r="P5" s="228" t="s">
        <v>188</v>
      </c>
      <c r="R5" s="63" t="s">
        <v>76</v>
      </c>
      <c r="S5" s="31"/>
      <c r="T5" s="188">
        <v>4</v>
      </c>
      <c r="V5" s="165" t="s">
        <v>71</v>
      </c>
      <c r="W5" s="166">
        <v>53</v>
      </c>
      <c r="X5" s="168">
        <v>48.5</v>
      </c>
    </row>
    <row r="6" spans="1:24" ht="24.95" customHeight="1" thickBot="1" x14ac:dyDescent="0.25">
      <c r="A6" s="157" t="s">
        <v>208</v>
      </c>
      <c r="B6" s="147" t="s">
        <v>303</v>
      </c>
      <c r="C6" s="147" t="s">
        <v>304</v>
      </c>
      <c r="D6" s="147" t="s">
        <v>399</v>
      </c>
      <c r="E6" s="150" t="s">
        <v>53</v>
      </c>
      <c r="F6" s="160">
        <v>28</v>
      </c>
      <c r="G6" s="177">
        <v>9</v>
      </c>
      <c r="H6" s="31"/>
      <c r="I6" s="63" t="s">
        <v>25</v>
      </c>
      <c r="J6" s="31"/>
      <c r="K6" s="113">
        <f>DATE(An,5,8)</f>
        <v>42863</v>
      </c>
      <c r="L6" s="114" t="s">
        <v>11</v>
      </c>
      <c r="N6" s="63">
        <v>2021</v>
      </c>
      <c r="P6" s="227" t="s">
        <v>187</v>
      </c>
      <c r="R6" s="63" t="s">
        <v>52</v>
      </c>
      <c r="S6" s="31"/>
      <c r="T6" s="188">
        <v>5</v>
      </c>
      <c r="V6" s="165" t="s">
        <v>140</v>
      </c>
      <c r="W6" s="166">
        <v>20</v>
      </c>
      <c r="X6" s="168">
        <v>20</v>
      </c>
    </row>
    <row r="7" spans="1:24" ht="24.95" customHeight="1" thickBot="1" x14ac:dyDescent="0.25">
      <c r="A7" s="157" t="s">
        <v>209</v>
      </c>
      <c r="B7" s="147" t="s">
        <v>304</v>
      </c>
      <c r="C7" s="147" t="s">
        <v>305</v>
      </c>
      <c r="D7" s="147" t="s">
        <v>400</v>
      </c>
      <c r="E7" s="151" t="s">
        <v>56</v>
      </c>
      <c r="F7" s="158">
        <v>59</v>
      </c>
      <c r="G7" s="177">
        <v>54</v>
      </c>
      <c r="H7" s="31"/>
      <c r="I7" s="63" t="s">
        <v>14</v>
      </c>
      <c r="J7" s="31"/>
      <c r="K7" s="113">
        <f>K3+39</f>
        <v>42880</v>
      </c>
      <c r="L7" s="114" t="s">
        <v>2</v>
      </c>
      <c r="N7" s="63">
        <v>2022</v>
      </c>
      <c r="R7" s="63" t="s">
        <v>136</v>
      </c>
      <c r="S7" s="31"/>
      <c r="T7" s="188">
        <v>6</v>
      </c>
      <c r="V7" s="165" t="s">
        <v>82</v>
      </c>
      <c r="W7" s="166">
        <v>41</v>
      </c>
      <c r="X7" s="167">
        <v>37</v>
      </c>
    </row>
    <row r="8" spans="1:24" ht="24.95" customHeight="1" thickBot="1" x14ac:dyDescent="0.25">
      <c r="A8" s="157" t="s">
        <v>210</v>
      </c>
      <c r="B8" s="147" t="s">
        <v>305</v>
      </c>
      <c r="C8" s="147" t="s">
        <v>306</v>
      </c>
      <c r="D8" s="147" t="s">
        <v>401</v>
      </c>
      <c r="E8" s="151" t="s">
        <v>56</v>
      </c>
      <c r="F8" s="158">
        <v>2</v>
      </c>
      <c r="G8" s="178">
        <v>169</v>
      </c>
      <c r="H8" s="31"/>
      <c r="I8" s="63" t="s">
        <v>15</v>
      </c>
      <c r="J8" s="31"/>
      <c r="K8" s="113">
        <f>K3+49</f>
        <v>42890</v>
      </c>
      <c r="L8" s="114" t="s">
        <v>3</v>
      </c>
      <c r="N8" s="63">
        <v>2023</v>
      </c>
      <c r="R8" s="63" t="s">
        <v>133</v>
      </c>
      <c r="S8" s="31"/>
      <c r="T8" s="188">
        <v>7</v>
      </c>
      <c r="V8" s="165" t="s">
        <v>83</v>
      </c>
      <c r="W8" s="166">
        <v>29</v>
      </c>
      <c r="X8" s="167">
        <v>29</v>
      </c>
    </row>
    <row r="9" spans="1:24" ht="24.95" customHeight="1" thickBot="1" x14ac:dyDescent="0.25">
      <c r="A9" s="157" t="s">
        <v>211</v>
      </c>
      <c r="B9" s="147" t="s">
        <v>306</v>
      </c>
      <c r="C9" s="147" t="s">
        <v>307</v>
      </c>
      <c r="D9" s="147" t="s">
        <v>402</v>
      </c>
      <c r="E9" s="150" t="s">
        <v>136</v>
      </c>
      <c r="F9" s="160">
        <v>27</v>
      </c>
      <c r="G9" s="177">
        <v>16</v>
      </c>
      <c r="H9" s="31"/>
      <c r="I9" s="63" t="s">
        <v>16</v>
      </c>
      <c r="J9" s="31"/>
      <c r="K9" s="113">
        <f>K8+1</f>
        <v>42891</v>
      </c>
      <c r="L9" s="114" t="s">
        <v>12</v>
      </c>
      <c r="N9" s="63">
        <v>2024</v>
      </c>
      <c r="R9" s="63" t="s">
        <v>134</v>
      </c>
      <c r="S9" s="31"/>
      <c r="T9" s="188">
        <v>8</v>
      </c>
      <c r="V9" s="165" t="s">
        <v>84</v>
      </c>
      <c r="W9" s="166">
        <v>25</v>
      </c>
      <c r="X9" s="167">
        <v>25</v>
      </c>
    </row>
    <row r="10" spans="1:24" ht="24.95" customHeight="1" thickBot="1" x14ac:dyDescent="0.25">
      <c r="A10" s="157" t="s">
        <v>212</v>
      </c>
      <c r="B10" s="147" t="s">
        <v>307</v>
      </c>
      <c r="C10" s="147" t="s">
        <v>308</v>
      </c>
      <c r="D10" s="147" t="s">
        <v>403</v>
      </c>
      <c r="E10" s="151" t="s">
        <v>54</v>
      </c>
      <c r="F10" s="158">
        <v>45</v>
      </c>
      <c r="G10" s="177">
        <v>50</v>
      </c>
      <c r="H10" s="31"/>
      <c r="I10" s="63" t="s">
        <v>17</v>
      </c>
      <c r="J10" s="31"/>
      <c r="K10" s="113">
        <f>DATE(An,7,14)</f>
        <v>42930</v>
      </c>
      <c r="L10" s="114" t="s">
        <v>8</v>
      </c>
      <c r="N10" s="63">
        <v>2025</v>
      </c>
      <c r="R10" s="63" t="s">
        <v>132</v>
      </c>
      <c r="S10" s="31"/>
      <c r="T10" s="188">
        <v>9</v>
      </c>
      <c r="V10" s="165" t="s">
        <v>85</v>
      </c>
      <c r="W10" s="166">
        <v>48</v>
      </c>
      <c r="X10" s="187">
        <v>44</v>
      </c>
    </row>
    <row r="11" spans="1:24" ht="24.95" customHeight="1" thickBot="1" x14ac:dyDescent="0.25">
      <c r="A11" s="157" t="s">
        <v>213</v>
      </c>
      <c r="B11" s="147" t="s">
        <v>308</v>
      </c>
      <c r="C11" s="147" t="s">
        <v>309</v>
      </c>
      <c r="D11" s="147" t="s">
        <v>404</v>
      </c>
      <c r="E11" s="151" t="s">
        <v>136</v>
      </c>
      <c r="F11" s="158">
        <v>2</v>
      </c>
      <c r="G11" s="177">
        <v>109</v>
      </c>
      <c r="H11" s="31"/>
      <c r="I11" s="63" t="s">
        <v>18</v>
      </c>
      <c r="J11" s="31"/>
      <c r="K11" s="113">
        <f>DATE(An,8,15)</f>
        <v>42962</v>
      </c>
      <c r="L11" s="114" t="s">
        <v>4</v>
      </c>
      <c r="N11" s="63">
        <v>2026</v>
      </c>
      <c r="R11" s="63" t="s">
        <v>135</v>
      </c>
      <c r="S11" s="31"/>
      <c r="T11" s="188">
        <v>10</v>
      </c>
      <c r="V11" s="165" t="s">
        <v>141</v>
      </c>
      <c r="W11" s="166">
        <v>17</v>
      </c>
      <c r="X11" s="187">
        <v>17</v>
      </c>
    </row>
    <row r="12" spans="1:24" ht="24.95" customHeight="1" thickBot="1" x14ac:dyDescent="0.25">
      <c r="A12" s="157" t="s">
        <v>214</v>
      </c>
      <c r="B12" s="147" t="s">
        <v>309</v>
      </c>
      <c r="C12" s="147" t="s">
        <v>310</v>
      </c>
      <c r="D12" s="147" t="s">
        <v>405</v>
      </c>
      <c r="E12" s="150" t="s">
        <v>136</v>
      </c>
      <c r="F12" s="160">
        <v>2</v>
      </c>
      <c r="G12" s="177">
        <v>33</v>
      </c>
      <c r="H12" s="31"/>
      <c r="I12" s="63" t="s">
        <v>19</v>
      </c>
      <c r="J12" s="31"/>
      <c r="K12" s="113">
        <f>DATE(An,11,1)</f>
        <v>43040</v>
      </c>
      <c r="L12" s="114" t="s">
        <v>5</v>
      </c>
      <c r="N12" s="173">
        <v>2027</v>
      </c>
      <c r="R12" s="63" t="s">
        <v>55</v>
      </c>
      <c r="S12" s="31"/>
      <c r="T12" s="188">
        <v>11</v>
      </c>
      <c r="V12" s="165" t="s">
        <v>147</v>
      </c>
      <c r="W12" s="166">
        <v>41</v>
      </c>
      <c r="X12" s="187">
        <v>41</v>
      </c>
    </row>
    <row r="13" spans="1:24" ht="24.95" customHeight="1" thickBot="1" x14ac:dyDescent="0.25">
      <c r="A13" s="157" t="s">
        <v>215</v>
      </c>
      <c r="B13" s="147" t="s">
        <v>310</v>
      </c>
      <c r="C13" s="147" t="s">
        <v>311</v>
      </c>
      <c r="D13" s="147" t="s">
        <v>406</v>
      </c>
      <c r="E13" s="149" t="s">
        <v>136</v>
      </c>
      <c r="F13" s="160">
        <v>2</v>
      </c>
      <c r="G13" s="177">
        <v>26</v>
      </c>
      <c r="H13" s="31"/>
      <c r="I13" s="173" t="s">
        <v>20</v>
      </c>
      <c r="J13" s="31"/>
      <c r="K13" s="113">
        <f>DATE(An,11,11)</f>
        <v>43050</v>
      </c>
      <c r="L13" s="114" t="s">
        <v>13</v>
      </c>
      <c r="R13" s="173" t="s">
        <v>54</v>
      </c>
      <c r="S13" s="31"/>
      <c r="T13" s="188">
        <v>12</v>
      </c>
      <c r="V13" s="169" t="s">
        <v>148</v>
      </c>
      <c r="W13" s="170">
        <v>15</v>
      </c>
      <c r="X13" s="171">
        <v>15</v>
      </c>
    </row>
    <row r="14" spans="1:24" ht="24.95" customHeight="1" thickBot="1" x14ac:dyDescent="0.25">
      <c r="A14" s="157" t="s">
        <v>216</v>
      </c>
      <c r="B14" s="147" t="s">
        <v>311</v>
      </c>
      <c r="C14" s="147" t="s">
        <v>312</v>
      </c>
      <c r="D14" s="147" t="s">
        <v>407</v>
      </c>
      <c r="E14" s="151" t="s">
        <v>136</v>
      </c>
      <c r="F14" s="158">
        <v>78</v>
      </c>
      <c r="G14" s="177">
        <v>95</v>
      </c>
      <c r="H14" s="31"/>
      <c r="I14" s="31"/>
      <c r="J14" s="31"/>
      <c r="K14" s="115">
        <f>DATE(An,12,25)</f>
        <v>43094</v>
      </c>
      <c r="L14" s="116" t="s">
        <v>7</v>
      </c>
      <c r="N14" s="33"/>
      <c r="R14" s="31"/>
      <c r="S14" s="31"/>
      <c r="T14" s="188">
        <v>13</v>
      </c>
    </row>
    <row r="15" spans="1:24" ht="24.95" customHeight="1" thickBot="1" x14ac:dyDescent="0.25">
      <c r="A15" s="157" t="s">
        <v>217</v>
      </c>
      <c r="B15" s="147" t="s">
        <v>312</v>
      </c>
      <c r="C15" s="147" t="s">
        <v>313</v>
      </c>
      <c r="D15" s="147" t="s">
        <v>408</v>
      </c>
      <c r="E15" s="150" t="s">
        <v>136</v>
      </c>
      <c r="F15" s="160">
        <v>27</v>
      </c>
      <c r="G15" s="177">
        <v>31</v>
      </c>
      <c r="H15" s="31"/>
      <c r="I15" s="31"/>
      <c r="J15" s="31"/>
      <c r="K15" s="117">
        <f>DATE(An+1,1,1)</f>
        <v>43101</v>
      </c>
      <c r="L15" s="118" t="s">
        <v>10</v>
      </c>
      <c r="N15" s="31"/>
      <c r="R15" s="31"/>
      <c r="S15" s="31"/>
      <c r="T15" s="188">
        <v>14</v>
      </c>
      <c r="W15" s="172" t="s">
        <v>77</v>
      </c>
    </row>
    <row r="16" spans="1:24" ht="24.95" customHeight="1" thickBot="1" x14ac:dyDescent="0.25">
      <c r="A16" s="157" t="s">
        <v>218</v>
      </c>
      <c r="B16" s="147" t="s">
        <v>313</v>
      </c>
      <c r="C16" s="147" t="s">
        <v>314</v>
      </c>
      <c r="D16" s="147" t="s">
        <v>409</v>
      </c>
      <c r="E16" s="151" t="s">
        <v>52</v>
      </c>
      <c r="F16" s="158">
        <v>95</v>
      </c>
      <c r="G16" s="178">
        <v>188</v>
      </c>
      <c r="H16" s="31"/>
      <c r="I16" s="31"/>
      <c r="J16" s="31"/>
      <c r="K16" s="119">
        <f>DATE(An+1,3,29.56+0.979*MOD(204-11*MOD(An+1,19),30)-WEEKDAY(DATE(An+1,3,28.56+0.979*MOD(204-11*MOD(An+1,19),30))))</f>
        <v>43191</v>
      </c>
      <c r="L16" s="118" t="s">
        <v>0</v>
      </c>
      <c r="N16" s="60"/>
      <c r="R16" s="31"/>
      <c r="S16" s="31"/>
      <c r="T16" s="188">
        <v>15</v>
      </c>
      <c r="W16" s="174">
        <v>0.5</v>
      </c>
    </row>
    <row r="17" spans="1:20" ht="24.95" customHeight="1" thickBot="1" x14ac:dyDescent="0.25">
      <c r="A17" s="157" t="s">
        <v>219</v>
      </c>
      <c r="B17" s="147" t="s">
        <v>314</v>
      </c>
      <c r="C17" s="147" t="s">
        <v>315</v>
      </c>
      <c r="D17" s="147" t="s">
        <v>410</v>
      </c>
      <c r="E17" s="151" t="s">
        <v>54</v>
      </c>
      <c r="F17" s="158">
        <v>93</v>
      </c>
      <c r="G17" s="177">
        <v>40</v>
      </c>
      <c r="H17" s="31"/>
      <c r="I17" s="31"/>
      <c r="J17" s="31"/>
      <c r="K17" s="119">
        <f>K16+1</f>
        <v>43192</v>
      </c>
      <c r="L17" s="118" t="s">
        <v>1</v>
      </c>
      <c r="N17" s="175"/>
      <c r="R17" s="31"/>
      <c r="S17" s="31"/>
      <c r="T17" s="188">
        <v>16</v>
      </c>
    </row>
    <row r="18" spans="1:20" ht="24.95" customHeight="1" thickBot="1" x14ac:dyDescent="0.25">
      <c r="A18" s="157" t="s">
        <v>220</v>
      </c>
      <c r="B18" s="147" t="s">
        <v>315</v>
      </c>
      <c r="C18" s="147" t="s">
        <v>316</v>
      </c>
      <c r="D18" s="147" t="s">
        <v>411</v>
      </c>
      <c r="E18" s="151" t="s">
        <v>136</v>
      </c>
      <c r="F18" s="158">
        <v>41</v>
      </c>
      <c r="G18" s="177">
        <v>48</v>
      </c>
      <c r="H18" s="31"/>
      <c r="I18" s="31"/>
      <c r="J18" s="31"/>
      <c r="K18" s="119">
        <f>DATE(An+1,5,1)</f>
        <v>43221</v>
      </c>
      <c r="L18" s="118" t="s">
        <v>9</v>
      </c>
      <c r="N18" s="175"/>
      <c r="R18" s="31"/>
      <c r="S18" s="31"/>
      <c r="T18" s="188">
        <v>17</v>
      </c>
    </row>
    <row r="19" spans="1:20" ht="24.95" customHeight="1" thickBot="1" x14ac:dyDescent="0.25">
      <c r="A19" s="157" t="s">
        <v>221</v>
      </c>
      <c r="B19" s="147" t="s">
        <v>316</v>
      </c>
      <c r="C19" s="147" t="s">
        <v>317</v>
      </c>
      <c r="D19" s="147" t="s">
        <v>412</v>
      </c>
      <c r="E19" s="150" t="s">
        <v>133</v>
      </c>
      <c r="F19" s="160">
        <v>2</v>
      </c>
      <c r="G19" s="177">
        <v>10</v>
      </c>
      <c r="H19" s="31"/>
      <c r="I19" s="31"/>
      <c r="J19" s="31"/>
      <c r="K19" s="119">
        <f>DATE(An+1,5,8)</f>
        <v>43228</v>
      </c>
      <c r="L19" s="118" t="s">
        <v>11</v>
      </c>
      <c r="R19" s="31"/>
      <c r="S19" s="31"/>
      <c r="T19" s="188">
        <v>18</v>
      </c>
    </row>
    <row r="20" spans="1:20" ht="24.95" customHeight="1" thickBot="1" x14ac:dyDescent="0.25">
      <c r="A20" s="157" t="s">
        <v>222</v>
      </c>
      <c r="B20" s="147" t="s">
        <v>317</v>
      </c>
      <c r="C20" s="147" t="s">
        <v>318</v>
      </c>
      <c r="D20" s="147" t="s">
        <v>413</v>
      </c>
      <c r="E20" s="150" t="s">
        <v>53</v>
      </c>
      <c r="F20" s="160">
        <v>41</v>
      </c>
      <c r="G20" s="177">
        <v>20</v>
      </c>
      <c r="H20" s="31"/>
      <c r="I20" s="31"/>
      <c r="J20" s="31"/>
      <c r="K20" s="119">
        <f>K16+39</f>
        <v>43230</v>
      </c>
      <c r="L20" s="118" t="s">
        <v>2</v>
      </c>
      <c r="R20" s="31"/>
      <c r="S20" s="31"/>
      <c r="T20" s="188">
        <v>19</v>
      </c>
    </row>
    <row r="21" spans="1:20" ht="24.95" customHeight="1" thickBot="1" x14ac:dyDescent="0.25">
      <c r="A21" s="157" t="s">
        <v>223</v>
      </c>
      <c r="B21" s="147" t="s">
        <v>318</v>
      </c>
      <c r="C21" s="147" t="s">
        <v>319</v>
      </c>
      <c r="D21" s="147" t="s">
        <v>414</v>
      </c>
      <c r="E21" s="151" t="s">
        <v>136</v>
      </c>
      <c r="F21" s="158">
        <v>44</v>
      </c>
      <c r="G21" s="177">
        <v>38</v>
      </c>
      <c r="H21" s="31"/>
      <c r="I21" s="31"/>
      <c r="J21" s="31"/>
      <c r="K21" s="119">
        <f>K16+49</f>
        <v>43240</v>
      </c>
      <c r="L21" s="118" t="s">
        <v>3</v>
      </c>
      <c r="R21" s="31"/>
      <c r="S21" s="31"/>
      <c r="T21" s="188">
        <v>20</v>
      </c>
    </row>
    <row r="22" spans="1:20" ht="24.95" customHeight="1" thickBot="1" x14ac:dyDescent="0.25">
      <c r="A22" s="157" t="s">
        <v>224</v>
      </c>
      <c r="B22" s="147" t="s">
        <v>319</v>
      </c>
      <c r="C22" s="147" t="s">
        <v>320</v>
      </c>
      <c r="D22" s="147" t="s">
        <v>415</v>
      </c>
      <c r="E22" s="151" t="s">
        <v>76</v>
      </c>
      <c r="F22" s="158">
        <v>76</v>
      </c>
      <c r="G22" s="178" t="s">
        <v>177</v>
      </c>
      <c r="H22" s="60"/>
      <c r="I22" s="31"/>
      <c r="J22" s="31"/>
      <c r="K22" s="119">
        <f>K21+1</f>
        <v>43241</v>
      </c>
      <c r="L22" s="118" t="s">
        <v>12</v>
      </c>
      <c r="R22" s="31"/>
      <c r="S22" s="31"/>
      <c r="T22" s="188">
        <v>21</v>
      </c>
    </row>
    <row r="23" spans="1:20" ht="24.95" customHeight="1" thickBot="1" x14ac:dyDescent="0.25">
      <c r="A23" s="157" t="s">
        <v>225</v>
      </c>
      <c r="B23" s="147" t="s">
        <v>320</v>
      </c>
      <c r="C23" s="147" t="s">
        <v>321</v>
      </c>
      <c r="D23" s="147" t="s">
        <v>416</v>
      </c>
      <c r="E23" s="151" t="s">
        <v>76</v>
      </c>
      <c r="F23" s="158">
        <v>1</v>
      </c>
      <c r="G23" s="178" t="s">
        <v>183</v>
      </c>
      <c r="H23" s="31"/>
      <c r="I23" s="31"/>
      <c r="J23" s="31"/>
      <c r="K23" s="119">
        <f>DATE(An+1,7,14)</f>
        <v>43295</v>
      </c>
      <c r="L23" s="118" t="s">
        <v>8</v>
      </c>
      <c r="R23" s="31"/>
      <c r="S23" s="60"/>
      <c r="T23" s="188">
        <v>22</v>
      </c>
    </row>
    <row r="24" spans="1:20" ht="24.95" customHeight="1" thickBot="1" x14ac:dyDescent="0.25">
      <c r="A24" s="157" t="s">
        <v>226</v>
      </c>
      <c r="B24" s="147" t="s">
        <v>321</v>
      </c>
      <c r="C24" s="147" t="s">
        <v>322</v>
      </c>
      <c r="D24" s="147" t="s">
        <v>417</v>
      </c>
      <c r="E24" s="151" t="s">
        <v>76</v>
      </c>
      <c r="F24" s="158">
        <v>19</v>
      </c>
      <c r="G24" s="178" t="s">
        <v>186</v>
      </c>
      <c r="H24" s="31"/>
      <c r="I24" s="31"/>
      <c r="J24" s="31"/>
      <c r="K24" s="119">
        <f>DATE(An+1,8,15)</f>
        <v>43327</v>
      </c>
      <c r="L24" s="118" t="s">
        <v>4</v>
      </c>
      <c r="R24" s="60"/>
      <c r="S24" s="31"/>
      <c r="T24" s="188">
        <v>23</v>
      </c>
    </row>
    <row r="25" spans="1:20" ht="24.95" customHeight="1" thickBot="1" x14ac:dyDescent="0.25">
      <c r="A25" s="157" t="s">
        <v>227</v>
      </c>
      <c r="B25" s="147" t="s">
        <v>322</v>
      </c>
      <c r="C25" s="147" t="s">
        <v>323</v>
      </c>
      <c r="D25" s="147" t="s">
        <v>418</v>
      </c>
      <c r="E25" s="151" t="s">
        <v>55</v>
      </c>
      <c r="F25" s="158">
        <v>59</v>
      </c>
      <c r="G25" s="178">
        <v>206</v>
      </c>
      <c r="H25" s="31"/>
      <c r="I25" s="31"/>
      <c r="J25" s="31"/>
      <c r="K25" s="119">
        <f>DATE(An+1,11,1)</f>
        <v>43405</v>
      </c>
      <c r="L25" s="118" t="s">
        <v>5</v>
      </c>
      <c r="R25" s="31"/>
      <c r="S25" s="31"/>
      <c r="T25" s="188">
        <v>24</v>
      </c>
    </row>
    <row r="26" spans="1:20" ht="24.95" customHeight="1" thickBot="1" x14ac:dyDescent="0.25">
      <c r="A26" s="157" t="s">
        <v>228</v>
      </c>
      <c r="B26" s="147" t="s">
        <v>323</v>
      </c>
      <c r="C26" s="147" t="s">
        <v>324</v>
      </c>
      <c r="D26" s="147" t="s">
        <v>419</v>
      </c>
      <c r="E26" s="151" t="s">
        <v>76</v>
      </c>
      <c r="F26" s="158">
        <v>75</v>
      </c>
      <c r="G26" s="178" t="s">
        <v>145</v>
      </c>
      <c r="H26" s="31"/>
      <c r="I26" s="31"/>
      <c r="J26" s="31"/>
      <c r="K26" s="119">
        <f>DATE(An+1,11,11)</f>
        <v>43415</v>
      </c>
      <c r="L26" s="118" t="s">
        <v>6</v>
      </c>
      <c r="R26" s="31"/>
      <c r="S26" s="31"/>
      <c r="T26" s="188">
        <v>25</v>
      </c>
    </row>
    <row r="27" spans="1:20" ht="24.95" customHeight="1" thickBot="1" x14ac:dyDescent="0.25">
      <c r="A27" s="157" t="s">
        <v>229</v>
      </c>
      <c r="B27" s="147" t="s">
        <v>324</v>
      </c>
      <c r="C27" s="147" t="s">
        <v>325</v>
      </c>
      <c r="D27" s="147" t="s">
        <v>420</v>
      </c>
      <c r="E27" s="151" t="s">
        <v>56</v>
      </c>
      <c r="F27" s="158">
        <v>80</v>
      </c>
      <c r="G27" s="178">
        <v>108</v>
      </c>
      <c r="H27" s="60"/>
      <c r="I27" s="31"/>
      <c r="J27" s="31"/>
      <c r="K27" s="120">
        <f>DATE(An+1,12,25)</f>
        <v>43459</v>
      </c>
      <c r="L27" s="121" t="s">
        <v>7</v>
      </c>
      <c r="R27" s="31"/>
      <c r="S27" s="31"/>
      <c r="T27" s="188">
        <v>26</v>
      </c>
    </row>
    <row r="28" spans="1:20" ht="24.95" customHeight="1" thickBot="1" x14ac:dyDescent="0.25">
      <c r="A28" s="157" t="s">
        <v>230</v>
      </c>
      <c r="B28" s="147" t="s">
        <v>325</v>
      </c>
      <c r="C28" s="147" t="s">
        <v>326</v>
      </c>
      <c r="D28" s="147" t="s">
        <v>421</v>
      </c>
      <c r="E28" s="151" t="s">
        <v>76</v>
      </c>
      <c r="F28" s="158">
        <v>80</v>
      </c>
      <c r="G28" s="178" t="s">
        <v>184</v>
      </c>
      <c r="H28" s="31"/>
      <c r="I28" s="31"/>
      <c r="J28" s="31"/>
      <c r="K28" s="122"/>
      <c r="R28" s="31"/>
      <c r="S28" s="60"/>
      <c r="T28" s="188">
        <v>27</v>
      </c>
    </row>
    <row r="29" spans="1:20" ht="24.95" customHeight="1" thickBot="1" x14ac:dyDescent="0.25">
      <c r="A29" s="157" t="s">
        <v>231</v>
      </c>
      <c r="B29" s="147" t="s">
        <v>326</v>
      </c>
      <c r="C29" s="147" t="s">
        <v>327</v>
      </c>
      <c r="D29" s="147" t="s">
        <v>422</v>
      </c>
      <c r="E29" s="151" t="s">
        <v>53</v>
      </c>
      <c r="F29" s="158">
        <v>2</v>
      </c>
      <c r="G29" s="177">
        <v>93</v>
      </c>
      <c r="H29" s="31"/>
      <c r="I29" s="31"/>
      <c r="J29" s="31"/>
      <c r="K29" s="122"/>
      <c r="R29" s="60"/>
      <c r="S29" s="31"/>
      <c r="T29" s="188">
        <v>28</v>
      </c>
    </row>
    <row r="30" spans="1:20" ht="24.95" customHeight="1" thickBot="1" x14ac:dyDescent="0.25">
      <c r="A30" s="157" t="s">
        <v>232</v>
      </c>
      <c r="B30" s="147" t="s">
        <v>327</v>
      </c>
      <c r="C30" s="147" t="s">
        <v>328</v>
      </c>
      <c r="D30" s="147" t="s">
        <v>423</v>
      </c>
      <c r="E30" s="150" t="s">
        <v>53</v>
      </c>
      <c r="F30" s="160">
        <v>77</v>
      </c>
      <c r="G30" s="177">
        <v>34</v>
      </c>
      <c r="H30" s="31"/>
      <c r="I30" s="31"/>
      <c r="J30" s="31"/>
      <c r="K30" s="122"/>
      <c r="R30" s="31"/>
      <c r="S30" s="31"/>
      <c r="T30" s="188">
        <v>29</v>
      </c>
    </row>
    <row r="31" spans="1:20" ht="24.95" customHeight="1" thickBot="1" x14ac:dyDescent="0.25">
      <c r="A31" s="157" t="s">
        <v>233</v>
      </c>
      <c r="B31" s="147" t="s">
        <v>328</v>
      </c>
      <c r="C31" s="147" t="s">
        <v>329</v>
      </c>
      <c r="D31" s="147" t="s">
        <v>424</v>
      </c>
      <c r="E31" s="151" t="s">
        <v>57</v>
      </c>
      <c r="F31" s="158">
        <v>78</v>
      </c>
      <c r="G31" s="177">
        <v>124</v>
      </c>
      <c r="H31" s="31"/>
      <c r="I31" s="31"/>
      <c r="J31" s="31"/>
      <c r="K31" s="122"/>
      <c r="R31" s="31"/>
      <c r="S31" s="31"/>
      <c r="T31" s="188">
        <v>30</v>
      </c>
    </row>
    <row r="32" spans="1:20" ht="24.95" customHeight="1" thickBot="1" x14ac:dyDescent="0.25">
      <c r="A32" s="157" t="s">
        <v>234</v>
      </c>
      <c r="B32" s="147" t="s">
        <v>329</v>
      </c>
      <c r="C32" s="147" t="s">
        <v>330</v>
      </c>
      <c r="D32" s="147" t="s">
        <v>425</v>
      </c>
      <c r="E32" s="151" t="s">
        <v>133</v>
      </c>
      <c r="F32" s="158">
        <v>80</v>
      </c>
      <c r="G32" s="177">
        <v>45</v>
      </c>
      <c r="H32" s="31"/>
      <c r="I32" s="31"/>
      <c r="J32" s="31"/>
      <c r="K32" s="122"/>
      <c r="R32" s="31"/>
      <c r="S32" s="31"/>
      <c r="T32" s="188">
        <v>31</v>
      </c>
    </row>
    <row r="33" spans="1:20" ht="24.95" customHeight="1" thickBot="1" x14ac:dyDescent="0.25">
      <c r="A33" s="157" t="s">
        <v>235</v>
      </c>
      <c r="B33" s="147" t="s">
        <v>330</v>
      </c>
      <c r="C33" s="147" t="s">
        <v>331</v>
      </c>
      <c r="D33" s="147" t="s">
        <v>426</v>
      </c>
      <c r="E33" s="150" t="s">
        <v>133</v>
      </c>
      <c r="F33" s="160" t="s">
        <v>58</v>
      </c>
      <c r="G33" s="177">
        <v>3</v>
      </c>
      <c r="H33" s="31"/>
      <c r="I33" s="31"/>
      <c r="J33" s="31"/>
      <c r="K33" s="122"/>
      <c r="R33" s="31"/>
      <c r="S33" s="31"/>
      <c r="T33" s="188">
        <v>32</v>
      </c>
    </row>
    <row r="34" spans="1:20" ht="24.95" customHeight="1" thickBot="1" x14ac:dyDescent="0.25">
      <c r="A34" s="157" t="s">
        <v>236</v>
      </c>
      <c r="B34" s="147" t="s">
        <v>331</v>
      </c>
      <c r="C34" s="147" t="s">
        <v>332</v>
      </c>
      <c r="D34" s="147" t="s">
        <v>427</v>
      </c>
      <c r="E34" s="150" t="s">
        <v>133</v>
      </c>
      <c r="F34" s="160" t="s">
        <v>58</v>
      </c>
      <c r="G34" s="177">
        <v>17</v>
      </c>
      <c r="H34" s="31"/>
      <c r="J34" s="31"/>
      <c r="K34" s="122"/>
      <c r="R34" s="31"/>
      <c r="S34" s="31"/>
      <c r="T34" s="188">
        <v>33</v>
      </c>
    </row>
    <row r="35" spans="1:20" ht="24.95" customHeight="1" thickBot="1" x14ac:dyDescent="0.25">
      <c r="A35" s="157" t="s">
        <v>237</v>
      </c>
      <c r="B35" s="147" t="s">
        <v>332</v>
      </c>
      <c r="C35" s="147" t="s">
        <v>333</v>
      </c>
      <c r="D35" s="147" t="s">
        <v>428</v>
      </c>
      <c r="E35" s="151" t="s">
        <v>53</v>
      </c>
      <c r="F35" s="158">
        <v>58</v>
      </c>
      <c r="G35" s="178"/>
      <c r="H35" s="34"/>
      <c r="K35" s="122"/>
      <c r="R35" s="31"/>
      <c r="S35" s="31"/>
      <c r="T35" s="188">
        <v>34</v>
      </c>
    </row>
    <row r="36" spans="1:20" ht="24.95" customHeight="1" thickBot="1" x14ac:dyDescent="0.25">
      <c r="A36" s="157" t="s">
        <v>238</v>
      </c>
      <c r="B36" s="147" t="s">
        <v>333</v>
      </c>
      <c r="C36" s="147" t="s">
        <v>334</v>
      </c>
      <c r="D36" s="147" t="s">
        <v>429</v>
      </c>
      <c r="E36" s="150" t="s">
        <v>136</v>
      </c>
      <c r="F36" s="160">
        <v>77</v>
      </c>
      <c r="G36" s="177">
        <v>14</v>
      </c>
      <c r="H36" s="34"/>
      <c r="K36" s="122"/>
      <c r="R36" s="31"/>
      <c r="S36" s="34"/>
      <c r="T36" s="188">
        <v>35</v>
      </c>
    </row>
    <row r="37" spans="1:20" ht="24.95" customHeight="1" thickBot="1" x14ac:dyDescent="0.25">
      <c r="A37" s="157" t="s">
        <v>239</v>
      </c>
      <c r="B37" s="147" t="s">
        <v>334</v>
      </c>
      <c r="C37" s="147" t="s">
        <v>335</v>
      </c>
      <c r="D37" s="147" t="s">
        <v>430</v>
      </c>
      <c r="E37" s="151" t="s">
        <v>136</v>
      </c>
      <c r="F37" s="158">
        <v>93</v>
      </c>
      <c r="G37" s="177">
        <v>41</v>
      </c>
      <c r="H37" s="34"/>
      <c r="K37" s="122"/>
      <c r="R37" s="34"/>
      <c r="S37" s="34"/>
      <c r="T37" s="188">
        <v>36</v>
      </c>
    </row>
    <row r="38" spans="1:20" ht="24.95" customHeight="1" thickBot="1" x14ac:dyDescent="0.25">
      <c r="A38" s="157" t="s">
        <v>240</v>
      </c>
      <c r="B38" s="147" t="s">
        <v>335</v>
      </c>
      <c r="C38" s="147" t="s">
        <v>336</v>
      </c>
      <c r="D38" s="147" t="s">
        <v>431</v>
      </c>
      <c r="E38" s="151" t="s">
        <v>53</v>
      </c>
      <c r="F38" s="158">
        <v>80</v>
      </c>
      <c r="G38" s="178">
        <v>197</v>
      </c>
      <c r="K38" s="122"/>
      <c r="R38" s="34"/>
      <c r="S38" s="34"/>
      <c r="T38" s="188">
        <v>37</v>
      </c>
    </row>
    <row r="39" spans="1:20" ht="24.95" customHeight="1" thickBot="1" x14ac:dyDescent="0.25">
      <c r="A39" s="157" t="s">
        <v>241</v>
      </c>
      <c r="B39" s="147" t="s">
        <v>336</v>
      </c>
      <c r="C39" s="147" t="s">
        <v>337</v>
      </c>
      <c r="D39" s="147" t="s">
        <v>432</v>
      </c>
      <c r="E39" s="150" t="s">
        <v>133</v>
      </c>
      <c r="F39" s="160" t="s">
        <v>59</v>
      </c>
      <c r="G39" s="177">
        <v>11</v>
      </c>
      <c r="K39" s="122"/>
      <c r="R39" s="34"/>
      <c r="T39" s="188">
        <v>38</v>
      </c>
    </row>
    <row r="40" spans="1:20" ht="24.95" customHeight="1" thickBot="1" x14ac:dyDescent="0.25">
      <c r="A40" s="157" t="s">
        <v>242</v>
      </c>
      <c r="B40" s="147" t="s">
        <v>337</v>
      </c>
      <c r="C40" s="147" t="s">
        <v>338</v>
      </c>
      <c r="D40" s="147" t="s">
        <v>433</v>
      </c>
      <c r="E40" s="150" t="s">
        <v>132</v>
      </c>
      <c r="F40" s="160">
        <v>80</v>
      </c>
      <c r="G40" s="177">
        <v>8</v>
      </c>
      <c r="K40" s="122"/>
      <c r="T40" s="188">
        <v>39</v>
      </c>
    </row>
    <row r="41" spans="1:20" ht="24.95" customHeight="1" thickBot="1" x14ac:dyDescent="0.25">
      <c r="A41" s="157" t="s">
        <v>243</v>
      </c>
      <c r="B41" s="147" t="s">
        <v>338</v>
      </c>
      <c r="C41" s="147" t="s">
        <v>339</v>
      </c>
      <c r="D41" s="147" t="s">
        <v>434</v>
      </c>
      <c r="E41" s="150" t="s">
        <v>132</v>
      </c>
      <c r="F41" s="160">
        <v>80</v>
      </c>
      <c r="G41" s="177">
        <v>32</v>
      </c>
      <c r="K41" s="122"/>
      <c r="T41" s="188">
        <v>40</v>
      </c>
    </row>
    <row r="42" spans="1:20" ht="24.95" customHeight="1" thickBot="1" x14ac:dyDescent="0.25">
      <c r="A42" s="157" t="s">
        <v>244</v>
      </c>
      <c r="B42" s="147" t="s">
        <v>339</v>
      </c>
      <c r="C42" s="147" t="s">
        <v>340</v>
      </c>
      <c r="D42" s="147" t="s">
        <v>435</v>
      </c>
      <c r="E42" s="151" t="s">
        <v>132</v>
      </c>
      <c r="F42" s="158">
        <v>80</v>
      </c>
      <c r="G42" s="178">
        <v>195</v>
      </c>
      <c r="K42" s="122"/>
      <c r="T42" s="188">
        <v>41</v>
      </c>
    </row>
    <row r="43" spans="1:20" ht="24.95" customHeight="1" thickBot="1" x14ac:dyDescent="0.25">
      <c r="A43" s="157" t="s">
        <v>245</v>
      </c>
      <c r="B43" s="147" t="s">
        <v>340</v>
      </c>
      <c r="C43" s="147" t="s">
        <v>341</v>
      </c>
      <c r="D43" s="147" t="s">
        <v>436</v>
      </c>
      <c r="E43" s="149" t="s">
        <v>132</v>
      </c>
      <c r="F43" s="160">
        <v>92</v>
      </c>
      <c r="G43" s="177">
        <v>21</v>
      </c>
      <c r="K43" s="122"/>
      <c r="T43" s="188">
        <v>42</v>
      </c>
    </row>
    <row r="44" spans="1:20" ht="24.95" customHeight="1" thickBot="1" x14ac:dyDescent="0.25">
      <c r="A44" s="157" t="s">
        <v>246</v>
      </c>
      <c r="B44" s="147" t="s">
        <v>341</v>
      </c>
      <c r="C44" s="147" t="s">
        <v>342</v>
      </c>
      <c r="D44" s="147" t="s">
        <v>437</v>
      </c>
      <c r="E44" s="151" t="s">
        <v>132</v>
      </c>
      <c r="F44" s="158">
        <v>60</v>
      </c>
      <c r="G44" s="177">
        <v>49</v>
      </c>
      <c r="T44" s="188">
        <v>43</v>
      </c>
    </row>
    <row r="45" spans="1:20" ht="24.95" customHeight="1" thickBot="1" x14ac:dyDescent="0.25">
      <c r="A45" s="157" t="s">
        <v>247</v>
      </c>
      <c r="B45" s="147" t="s">
        <v>342</v>
      </c>
      <c r="C45" s="147" t="s">
        <v>343</v>
      </c>
      <c r="D45" s="147" t="s">
        <v>438</v>
      </c>
      <c r="E45" s="150" t="s">
        <v>132</v>
      </c>
      <c r="F45" s="160">
        <v>78</v>
      </c>
      <c r="G45" s="177">
        <v>4</v>
      </c>
      <c r="T45" s="188">
        <v>44</v>
      </c>
    </row>
    <row r="46" spans="1:20" ht="24.95" customHeight="1" thickBot="1" x14ac:dyDescent="0.25">
      <c r="A46" s="157" t="s">
        <v>248</v>
      </c>
      <c r="B46" s="147" t="s">
        <v>343</v>
      </c>
      <c r="C46" s="147" t="s">
        <v>344</v>
      </c>
      <c r="D46" s="147" t="s">
        <v>439</v>
      </c>
      <c r="E46" s="149" t="s">
        <v>132</v>
      </c>
      <c r="F46" s="160">
        <v>80</v>
      </c>
      <c r="G46" s="177">
        <v>1</v>
      </c>
      <c r="T46" s="188">
        <v>45</v>
      </c>
    </row>
    <row r="47" spans="1:20" ht="24.95" customHeight="1" thickBot="1" x14ac:dyDescent="0.25">
      <c r="A47" s="157" t="s">
        <v>249</v>
      </c>
      <c r="B47" s="147" t="s">
        <v>344</v>
      </c>
      <c r="C47" s="147" t="s">
        <v>345</v>
      </c>
      <c r="D47" s="147" t="s">
        <v>440</v>
      </c>
      <c r="E47" s="151" t="s">
        <v>132</v>
      </c>
      <c r="F47" s="158">
        <v>80</v>
      </c>
      <c r="G47" s="177">
        <v>83</v>
      </c>
      <c r="T47" s="188">
        <v>46</v>
      </c>
    </row>
    <row r="48" spans="1:20" ht="24.95" customHeight="1" thickBot="1" x14ac:dyDescent="0.25">
      <c r="A48" s="157" t="s">
        <v>250</v>
      </c>
      <c r="B48" s="147" t="s">
        <v>345</v>
      </c>
      <c r="C48" s="147" t="s">
        <v>346</v>
      </c>
      <c r="D48" s="147" t="s">
        <v>441</v>
      </c>
      <c r="E48" s="151" t="s">
        <v>132</v>
      </c>
      <c r="F48" s="158">
        <v>59</v>
      </c>
      <c r="G48" s="177">
        <v>62</v>
      </c>
      <c r="T48" s="188">
        <v>47</v>
      </c>
    </row>
    <row r="49" spans="1:20" ht="24.95" customHeight="1" thickBot="1" x14ac:dyDescent="0.25">
      <c r="A49" s="157" t="s">
        <v>251</v>
      </c>
      <c r="B49" s="147" t="s">
        <v>346</v>
      </c>
      <c r="C49" s="147" t="s">
        <v>347</v>
      </c>
      <c r="D49" s="147" t="s">
        <v>442</v>
      </c>
      <c r="E49" s="151" t="s">
        <v>52</v>
      </c>
      <c r="F49" s="158">
        <v>51</v>
      </c>
      <c r="G49" s="177">
        <v>51</v>
      </c>
      <c r="T49" s="188">
        <v>48</v>
      </c>
    </row>
    <row r="50" spans="1:20" ht="24.95" customHeight="1" thickBot="1" x14ac:dyDescent="0.25">
      <c r="A50" s="157" t="s">
        <v>252</v>
      </c>
      <c r="B50" s="147" t="s">
        <v>347</v>
      </c>
      <c r="C50" s="147" t="s">
        <v>348</v>
      </c>
      <c r="D50" s="147" t="s">
        <v>443</v>
      </c>
      <c r="E50" s="150" t="s">
        <v>57</v>
      </c>
      <c r="F50" s="160">
        <v>51</v>
      </c>
      <c r="G50" s="177">
        <v>23</v>
      </c>
      <c r="T50" s="188">
        <v>49</v>
      </c>
    </row>
    <row r="51" spans="1:20" ht="24.95" customHeight="1" thickBot="1" x14ac:dyDescent="0.25">
      <c r="A51" s="157" t="s">
        <v>253</v>
      </c>
      <c r="B51" s="147" t="s">
        <v>348</v>
      </c>
      <c r="C51" s="147" t="s">
        <v>349</v>
      </c>
      <c r="D51" s="147" t="s">
        <v>444</v>
      </c>
      <c r="E51" s="151" t="s">
        <v>56</v>
      </c>
      <c r="F51" s="158">
        <v>94</v>
      </c>
      <c r="G51" s="177">
        <v>116</v>
      </c>
      <c r="T51" s="188">
        <v>50</v>
      </c>
    </row>
    <row r="52" spans="1:20" ht="24.95" customHeight="1" thickBot="1" x14ac:dyDescent="0.25">
      <c r="A52" s="157" t="s">
        <v>254</v>
      </c>
      <c r="B52" s="147" t="s">
        <v>349</v>
      </c>
      <c r="C52" s="147" t="s">
        <v>350</v>
      </c>
      <c r="D52" s="147" t="s">
        <v>445</v>
      </c>
      <c r="E52" s="150" t="s">
        <v>52</v>
      </c>
      <c r="F52" s="160">
        <v>67</v>
      </c>
      <c r="G52" s="177">
        <v>35</v>
      </c>
      <c r="T52" s="188">
        <v>51</v>
      </c>
    </row>
    <row r="53" spans="1:20" ht="24.95" customHeight="1" thickBot="1" x14ac:dyDescent="0.25">
      <c r="A53" s="157" t="s">
        <v>255</v>
      </c>
      <c r="B53" s="147" t="s">
        <v>350</v>
      </c>
      <c r="C53" s="147" t="s">
        <v>351</v>
      </c>
      <c r="D53" s="147" t="s">
        <v>446</v>
      </c>
      <c r="E53" s="151" t="s">
        <v>52</v>
      </c>
      <c r="F53" s="158">
        <v>62</v>
      </c>
      <c r="G53" s="177">
        <v>53</v>
      </c>
      <c r="T53" s="188">
        <v>52</v>
      </c>
    </row>
    <row r="54" spans="1:20" ht="24.95" customHeight="1" thickBot="1" x14ac:dyDescent="0.25">
      <c r="A54" s="157" t="s">
        <v>256</v>
      </c>
      <c r="B54" s="147" t="s">
        <v>351</v>
      </c>
      <c r="C54" s="147" t="s">
        <v>352</v>
      </c>
      <c r="D54" s="147" t="s">
        <v>447</v>
      </c>
      <c r="E54" s="151" t="s">
        <v>53</v>
      </c>
      <c r="F54" s="158">
        <v>58</v>
      </c>
      <c r="G54" s="178">
        <v>186</v>
      </c>
      <c r="T54" s="188">
        <v>53</v>
      </c>
    </row>
    <row r="55" spans="1:20" ht="24.95" customHeight="1" thickBot="1" x14ac:dyDescent="0.25">
      <c r="A55" s="157" t="s">
        <v>257</v>
      </c>
      <c r="B55" s="147" t="s">
        <v>352</v>
      </c>
      <c r="C55" s="147" t="s">
        <v>353</v>
      </c>
      <c r="D55" s="147" t="s">
        <v>448</v>
      </c>
      <c r="E55" s="151" t="s">
        <v>53</v>
      </c>
      <c r="F55" s="158">
        <v>2</v>
      </c>
      <c r="G55" s="177">
        <v>64</v>
      </c>
      <c r="T55" s="188">
        <v>54</v>
      </c>
    </row>
    <row r="56" spans="1:20" ht="24.95" customHeight="1" thickBot="1" x14ac:dyDescent="0.25">
      <c r="A56" s="157" t="s">
        <v>258</v>
      </c>
      <c r="B56" s="147" t="s">
        <v>353</v>
      </c>
      <c r="C56" s="147" t="s">
        <v>354</v>
      </c>
      <c r="D56" s="147" t="s">
        <v>449</v>
      </c>
      <c r="E56" s="150" t="s">
        <v>53</v>
      </c>
      <c r="F56" s="160">
        <v>17</v>
      </c>
      <c r="G56" s="177">
        <v>5</v>
      </c>
      <c r="T56" s="188">
        <v>55</v>
      </c>
    </row>
    <row r="57" spans="1:20" ht="24.95" customHeight="1" thickBot="1" x14ac:dyDescent="0.25">
      <c r="A57" s="157" t="s">
        <v>259</v>
      </c>
      <c r="B57" s="147" t="s">
        <v>354</v>
      </c>
      <c r="C57" s="147" t="s">
        <v>355</v>
      </c>
      <c r="D57" s="147" t="s">
        <v>450</v>
      </c>
      <c r="E57" s="151" t="s">
        <v>76</v>
      </c>
      <c r="F57" s="158">
        <v>2</v>
      </c>
      <c r="G57" s="178" t="s">
        <v>144</v>
      </c>
      <c r="T57" s="188">
        <v>56</v>
      </c>
    </row>
    <row r="58" spans="1:20" ht="24.95" customHeight="1" thickBot="1" x14ac:dyDescent="0.25">
      <c r="A58" s="157" t="s">
        <v>260</v>
      </c>
      <c r="B58" s="147" t="s">
        <v>355</v>
      </c>
      <c r="C58" s="147" t="s">
        <v>356</v>
      </c>
      <c r="D58" s="147" t="s">
        <v>451</v>
      </c>
      <c r="E58" s="151" t="s">
        <v>54</v>
      </c>
      <c r="F58" s="158">
        <v>91</v>
      </c>
      <c r="G58" s="177">
        <v>55</v>
      </c>
      <c r="T58" s="188">
        <v>57</v>
      </c>
    </row>
    <row r="59" spans="1:20" ht="24.95" customHeight="1" thickBot="1" x14ac:dyDescent="0.25">
      <c r="A59" s="157" t="s">
        <v>261</v>
      </c>
      <c r="B59" s="147" t="s">
        <v>356</v>
      </c>
      <c r="C59" s="147" t="s">
        <v>357</v>
      </c>
      <c r="D59" s="147" t="s">
        <v>452</v>
      </c>
      <c r="E59" s="151" t="s">
        <v>76</v>
      </c>
      <c r="F59" s="158">
        <v>95</v>
      </c>
      <c r="G59" s="178" t="s">
        <v>146</v>
      </c>
      <c r="T59" s="188">
        <v>58</v>
      </c>
    </row>
    <row r="60" spans="1:20" ht="24.95" customHeight="1" thickBot="1" x14ac:dyDescent="0.25">
      <c r="A60" s="157" t="s">
        <v>262</v>
      </c>
      <c r="B60" s="147" t="s">
        <v>357</v>
      </c>
      <c r="C60" s="147" t="s">
        <v>358</v>
      </c>
      <c r="D60" s="147" t="s">
        <v>453</v>
      </c>
      <c r="E60" s="151" t="s">
        <v>76</v>
      </c>
      <c r="F60" s="158">
        <v>76</v>
      </c>
      <c r="G60" s="178" t="s">
        <v>182</v>
      </c>
      <c r="T60" s="188">
        <v>59</v>
      </c>
    </row>
    <row r="61" spans="1:20" ht="24.95" customHeight="1" thickBot="1" x14ac:dyDescent="0.25">
      <c r="A61" s="157" t="s">
        <v>263</v>
      </c>
      <c r="B61" s="147" t="s">
        <v>358</v>
      </c>
      <c r="C61" s="147" t="s">
        <v>359</v>
      </c>
      <c r="D61" s="147" t="s">
        <v>454</v>
      </c>
      <c r="E61" s="151" t="s">
        <v>76</v>
      </c>
      <c r="F61" s="158">
        <v>78</v>
      </c>
      <c r="G61" s="178">
        <v>204</v>
      </c>
      <c r="T61" s="188">
        <v>60</v>
      </c>
    </row>
    <row r="62" spans="1:20" ht="24.95" customHeight="1" thickBot="1" x14ac:dyDescent="0.25">
      <c r="A62" s="157" t="s">
        <v>264</v>
      </c>
      <c r="B62" s="147" t="s">
        <v>359</v>
      </c>
      <c r="C62" s="147" t="s">
        <v>360</v>
      </c>
      <c r="D62" s="147" t="s">
        <v>455</v>
      </c>
      <c r="E62" s="150" t="s">
        <v>136</v>
      </c>
      <c r="F62" s="160">
        <v>59</v>
      </c>
      <c r="G62" s="177">
        <v>18</v>
      </c>
      <c r="T62" s="188">
        <v>61</v>
      </c>
    </row>
    <row r="63" spans="1:20" ht="24.95" customHeight="1" thickBot="1" x14ac:dyDescent="0.25">
      <c r="A63" s="157" t="s">
        <v>265</v>
      </c>
      <c r="B63" s="147" t="s">
        <v>360</v>
      </c>
      <c r="C63" s="147" t="s">
        <v>361</v>
      </c>
      <c r="D63" s="147" t="s">
        <v>456</v>
      </c>
      <c r="E63" s="151" t="s">
        <v>54</v>
      </c>
      <c r="F63" s="158">
        <v>18</v>
      </c>
      <c r="G63" s="177">
        <v>97</v>
      </c>
      <c r="T63" s="188">
        <v>62</v>
      </c>
    </row>
    <row r="64" spans="1:20" ht="24.95" customHeight="1" thickBot="1" x14ac:dyDescent="0.25">
      <c r="A64" s="157" t="s">
        <v>266</v>
      </c>
      <c r="B64" s="147" t="s">
        <v>361</v>
      </c>
      <c r="C64" s="147" t="s">
        <v>362</v>
      </c>
      <c r="D64" s="147" t="s">
        <v>457</v>
      </c>
      <c r="E64" s="150" t="s">
        <v>136</v>
      </c>
      <c r="F64" s="158">
        <v>36</v>
      </c>
      <c r="G64" s="177">
        <v>36</v>
      </c>
      <c r="T64" s="188">
        <v>63</v>
      </c>
    </row>
    <row r="65" spans="1:20" ht="24.95" customHeight="1" thickBot="1" x14ac:dyDescent="0.25">
      <c r="A65" s="157" t="s">
        <v>267</v>
      </c>
      <c r="B65" s="147" t="s">
        <v>362</v>
      </c>
      <c r="C65" s="147" t="s">
        <v>363</v>
      </c>
      <c r="D65" s="147" t="s">
        <v>458</v>
      </c>
      <c r="E65" s="151" t="s">
        <v>136</v>
      </c>
      <c r="F65" s="158">
        <v>93</v>
      </c>
      <c r="G65" s="178">
        <v>237</v>
      </c>
      <c r="T65" s="188">
        <v>64</v>
      </c>
    </row>
    <row r="66" spans="1:20" ht="24.95" customHeight="1" thickBot="1" x14ac:dyDescent="0.25">
      <c r="A66" s="157" t="s">
        <v>268</v>
      </c>
      <c r="B66" s="147" t="s">
        <v>363</v>
      </c>
      <c r="C66" s="147" t="s">
        <v>364</v>
      </c>
      <c r="D66" s="147" t="s">
        <v>459</v>
      </c>
      <c r="E66" s="150" t="s">
        <v>132</v>
      </c>
      <c r="F66" s="160">
        <v>57</v>
      </c>
      <c r="G66" s="177">
        <v>12</v>
      </c>
      <c r="T66" s="188">
        <v>65</v>
      </c>
    </row>
    <row r="67" spans="1:20" ht="24.95" customHeight="1" thickBot="1" x14ac:dyDescent="0.25">
      <c r="A67" s="157" t="s">
        <v>269</v>
      </c>
      <c r="B67" s="147" t="s">
        <v>364</v>
      </c>
      <c r="C67" s="147" t="s">
        <v>365</v>
      </c>
      <c r="D67" s="147" t="s">
        <v>460</v>
      </c>
      <c r="E67" s="151" t="s">
        <v>54</v>
      </c>
      <c r="F67" s="158">
        <v>80</v>
      </c>
      <c r="G67" s="178"/>
      <c r="T67" s="188">
        <v>66</v>
      </c>
    </row>
    <row r="68" spans="1:20" ht="24.95" customHeight="1" thickBot="1" x14ac:dyDescent="0.25">
      <c r="A68" s="157" t="s">
        <v>270</v>
      </c>
      <c r="B68" s="147" t="s">
        <v>365</v>
      </c>
      <c r="C68" s="147" t="s">
        <v>366</v>
      </c>
      <c r="D68" s="147" t="s">
        <v>461</v>
      </c>
      <c r="E68" s="151" t="s">
        <v>134</v>
      </c>
      <c r="F68" s="158">
        <v>8</v>
      </c>
      <c r="G68" s="177">
        <v>39</v>
      </c>
      <c r="T68" s="188">
        <v>67</v>
      </c>
    </row>
    <row r="69" spans="1:20" ht="24.95" customHeight="1" thickBot="1" x14ac:dyDescent="0.25">
      <c r="A69" s="157" t="s">
        <v>271</v>
      </c>
      <c r="B69" s="147" t="s">
        <v>366</v>
      </c>
      <c r="C69" s="147" t="s">
        <v>367</v>
      </c>
      <c r="D69" s="147" t="s">
        <v>462</v>
      </c>
      <c r="E69" s="151" t="s">
        <v>134</v>
      </c>
      <c r="F69" s="158">
        <v>75</v>
      </c>
      <c r="G69" s="177">
        <v>46</v>
      </c>
      <c r="T69" s="188">
        <v>68</v>
      </c>
    </row>
    <row r="70" spans="1:20" ht="24.95" customHeight="1" thickBot="1" x14ac:dyDescent="0.25">
      <c r="A70" s="157" t="s">
        <v>272</v>
      </c>
      <c r="B70" s="147" t="s">
        <v>367</v>
      </c>
      <c r="C70" s="147" t="s">
        <v>368</v>
      </c>
      <c r="D70" s="147" t="s">
        <v>463</v>
      </c>
      <c r="E70" s="151"/>
      <c r="F70" s="158"/>
      <c r="G70" s="178"/>
      <c r="T70" s="188">
        <v>69</v>
      </c>
    </row>
    <row r="71" spans="1:20" ht="24.95" customHeight="1" thickBot="1" x14ac:dyDescent="0.25">
      <c r="A71" s="157" t="s">
        <v>273</v>
      </c>
      <c r="B71" s="147" t="s">
        <v>368</v>
      </c>
      <c r="C71" s="147" t="s">
        <v>369</v>
      </c>
      <c r="D71" s="147" t="s">
        <v>464</v>
      </c>
      <c r="E71" s="151" t="s">
        <v>76</v>
      </c>
      <c r="F71" s="158">
        <v>60</v>
      </c>
      <c r="G71" s="178" t="s">
        <v>181</v>
      </c>
      <c r="T71" s="188">
        <v>70</v>
      </c>
    </row>
    <row r="72" spans="1:20" ht="24.95" customHeight="1" thickBot="1" x14ac:dyDescent="0.25">
      <c r="A72" s="157" t="s">
        <v>274</v>
      </c>
      <c r="B72" s="147" t="s">
        <v>369</v>
      </c>
      <c r="C72" s="147" t="s">
        <v>370</v>
      </c>
      <c r="D72" s="147" t="s">
        <v>465</v>
      </c>
      <c r="E72" s="151" t="s">
        <v>136</v>
      </c>
      <c r="F72" s="158">
        <v>13</v>
      </c>
      <c r="G72" s="177">
        <v>92</v>
      </c>
      <c r="T72" s="188">
        <v>71</v>
      </c>
    </row>
    <row r="73" spans="1:20" ht="24.95" customHeight="1" thickBot="1" x14ac:dyDescent="0.25">
      <c r="A73" s="157" t="s">
        <v>275</v>
      </c>
      <c r="B73" s="147" t="s">
        <v>370</v>
      </c>
      <c r="C73" s="147" t="s">
        <v>371</v>
      </c>
      <c r="D73" s="147" t="s">
        <v>466</v>
      </c>
      <c r="E73" s="151" t="s">
        <v>54</v>
      </c>
      <c r="F73" s="158">
        <v>60</v>
      </c>
      <c r="G73" s="177">
        <v>42</v>
      </c>
      <c r="T73" s="188">
        <v>72</v>
      </c>
    </row>
    <row r="74" spans="1:20" ht="24.95" customHeight="1" thickBot="1" x14ac:dyDescent="0.25">
      <c r="A74" s="157" t="s">
        <v>276</v>
      </c>
      <c r="B74" s="147" t="s">
        <v>371</v>
      </c>
      <c r="C74" s="147" t="s">
        <v>372</v>
      </c>
      <c r="D74" s="147" t="s">
        <v>467</v>
      </c>
      <c r="E74" s="151" t="s">
        <v>56</v>
      </c>
      <c r="F74" s="158">
        <v>60</v>
      </c>
      <c r="G74" s="178">
        <v>189</v>
      </c>
      <c r="T74" s="188">
        <v>73</v>
      </c>
    </row>
    <row r="75" spans="1:20" ht="24.95" customHeight="1" thickBot="1" x14ac:dyDescent="0.25">
      <c r="A75" s="157" t="s">
        <v>277</v>
      </c>
      <c r="B75" s="147" t="s">
        <v>372</v>
      </c>
      <c r="C75" s="147" t="s">
        <v>373</v>
      </c>
      <c r="D75" s="147" t="s">
        <v>468</v>
      </c>
      <c r="E75" s="150" t="s">
        <v>56</v>
      </c>
      <c r="F75" s="160">
        <v>95</v>
      </c>
      <c r="G75" s="177">
        <v>15</v>
      </c>
      <c r="T75" s="188">
        <v>74</v>
      </c>
    </row>
    <row r="76" spans="1:20" ht="24.95" customHeight="1" thickBot="1" x14ac:dyDescent="0.25">
      <c r="A76" s="157" t="s">
        <v>278</v>
      </c>
      <c r="B76" s="147" t="s">
        <v>373</v>
      </c>
      <c r="C76" s="147" t="s">
        <v>374</v>
      </c>
      <c r="D76" s="147" t="s">
        <v>469</v>
      </c>
      <c r="E76" s="151" t="s">
        <v>56</v>
      </c>
      <c r="F76" s="158">
        <v>59</v>
      </c>
      <c r="G76" s="177">
        <v>96</v>
      </c>
      <c r="T76" s="188">
        <v>75</v>
      </c>
    </row>
    <row r="77" spans="1:20" ht="24.95" customHeight="1" thickBot="1" x14ac:dyDescent="0.25">
      <c r="A77" s="157" t="s">
        <v>279</v>
      </c>
      <c r="B77" s="147" t="s">
        <v>374</v>
      </c>
      <c r="C77" s="147" t="s">
        <v>375</v>
      </c>
      <c r="D77" s="147" t="s">
        <v>470</v>
      </c>
      <c r="E77" s="151" t="s">
        <v>54</v>
      </c>
      <c r="F77" s="158">
        <v>76</v>
      </c>
      <c r="G77" s="177">
        <v>115</v>
      </c>
      <c r="T77" s="188">
        <v>76</v>
      </c>
    </row>
    <row r="78" spans="1:20" ht="24.95" customHeight="1" thickBot="1" x14ac:dyDescent="0.25">
      <c r="A78" s="157" t="s">
        <v>280</v>
      </c>
      <c r="B78" s="147" t="s">
        <v>375</v>
      </c>
      <c r="C78" s="147" t="s">
        <v>376</v>
      </c>
      <c r="D78" s="147" t="s">
        <v>471</v>
      </c>
      <c r="E78" s="150" t="s">
        <v>136</v>
      </c>
      <c r="F78" s="160">
        <v>76</v>
      </c>
      <c r="G78" s="177">
        <v>22</v>
      </c>
      <c r="T78" s="188">
        <v>77</v>
      </c>
    </row>
    <row r="79" spans="1:20" ht="24.95" customHeight="1" thickBot="1" x14ac:dyDescent="0.25">
      <c r="A79" s="157" t="s">
        <v>281</v>
      </c>
      <c r="B79" s="147" t="s">
        <v>376</v>
      </c>
      <c r="C79" s="147" t="s">
        <v>377</v>
      </c>
      <c r="D79" s="147" t="s">
        <v>472</v>
      </c>
      <c r="E79" s="151" t="s">
        <v>76</v>
      </c>
      <c r="F79" s="158">
        <v>88</v>
      </c>
      <c r="G79" s="178" t="s">
        <v>185</v>
      </c>
      <c r="T79" s="188">
        <v>78</v>
      </c>
    </row>
    <row r="80" spans="1:20" ht="24.95" customHeight="1" thickBot="1" x14ac:dyDescent="0.25">
      <c r="A80" s="157" t="s">
        <v>282</v>
      </c>
      <c r="B80" s="147" t="s">
        <v>377</v>
      </c>
      <c r="C80" s="147" t="s">
        <v>378</v>
      </c>
      <c r="D80" s="147" t="s">
        <v>473</v>
      </c>
      <c r="E80" s="150" t="s">
        <v>132</v>
      </c>
      <c r="F80" s="160">
        <v>95</v>
      </c>
      <c r="G80" s="177">
        <v>27</v>
      </c>
      <c r="T80" s="188">
        <v>79</v>
      </c>
    </row>
    <row r="81" spans="1:20" ht="24.95" customHeight="1" thickBot="1" x14ac:dyDescent="0.25">
      <c r="A81" s="157" t="s">
        <v>283</v>
      </c>
      <c r="B81" s="147" t="s">
        <v>378</v>
      </c>
      <c r="C81" s="147" t="s">
        <v>379</v>
      </c>
      <c r="D81" s="147" t="s">
        <v>474</v>
      </c>
      <c r="E81" s="150" t="s">
        <v>53</v>
      </c>
      <c r="F81" s="160">
        <v>78</v>
      </c>
      <c r="G81" s="177">
        <v>29</v>
      </c>
      <c r="T81" s="188">
        <v>80</v>
      </c>
    </row>
    <row r="82" spans="1:20" ht="24.95" customHeight="1" thickBot="1" x14ac:dyDescent="0.25">
      <c r="A82" s="157" t="s">
        <v>284</v>
      </c>
      <c r="B82" s="147" t="s">
        <v>379</v>
      </c>
      <c r="C82" s="147" t="s">
        <v>380</v>
      </c>
      <c r="D82" s="147" t="s">
        <v>475</v>
      </c>
      <c r="E82" s="151" t="s">
        <v>76</v>
      </c>
      <c r="F82" s="158">
        <v>45</v>
      </c>
      <c r="G82" s="178" t="s">
        <v>180</v>
      </c>
      <c r="T82" s="188">
        <v>81</v>
      </c>
    </row>
    <row r="83" spans="1:20" ht="24.95" customHeight="1" thickBot="1" x14ac:dyDescent="0.25">
      <c r="A83" s="157" t="s">
        <v>285</v>
      </c>
      <c r="B83" s="147" t="s">
        <v>380</v>
      </c>
      <c r="C83" s="147" t="s">
        <v>381</v>
      </c>
      <c r="D83" s="147" t="s">
        <v>476</v>
      </c>
      <c r="E83" s="151" t="s">
        <v>53</v>
      </c>
      <c r="F83" s="158">
        <v>61</v>
      </c>
      <c r="G83" s="177">
        <v>44</v>
      </c>
      <c r="T83" s="188">
        <v>82</v>
      </c>
    </row>
    <row r="84" spans="1:20" ht="24.95" customHeight="1" thickBot="1" x14ac:dyDescent="0.25">
      <c r="A84" s="157" t="s">
        <v>286</v>
      </c>
      <c r="B84" s="147" t="s">
        <v>381</v>
      </c>
      <c r="C84" s="147" t="s">
        <v>382</v>
      </c>
      <c r="D84" s="147" t="s">
        <v>477</v>
      </c>
      <c r="E84" s="151"/>
      <c r="F84" s="158"/>
      <c r="G84" s="178"/>
      <c r="T84" s="188">
        <v>83</v>
      </c>
    </row>
    <row r="85" spans="1:20" ht="24.95" customHeight="1" thickBot="1" x14ac:dyDescent="0.25">
      <c r="A85" s="157" t="s">
        <v>287</v>
      </c>
      <c r="B85" s="147" t="s">
        <v>382</v>
      </c>
      <c r="C85" s="147" t="s">
        <v>383</v>
      </c>
      <c r="D85" s="147" t="s">
        <v>478</v>
      </c>
      <c r="E85" s="151" t="s">
        <v>53</v>
      </c>
      <c r="F85" s="158">
        <v>59</v>
      </c>
      <c r="G85" s="177">
        <v>127</v>
      </c>
      <c r="T85" s="188">
        <v>84</v>
      </c>
    </row>
    <row r="86" spans="1:20" ht="24.95" customHeight="1" thickBot="1" x14ac:dyDescent="0.25">
      <c r="A86" s="157" t="s">
        <v>288</v>
      </c>
      <c r="B86" s="147" t="s">
        <v>383</v>
      </c>
      <c r="C86" s="147" t="s">
        <v>384</v>
      </c>
      <c r="D86" s="147" t="s">
        <v>479</v>
      </c>
      <c r="E86" s="150" t="s">
        <v>54</v>
      </c>
      <c r="F86" s="160">
        <v>59</v>
      </c>
      <c r="G86" s="177">
        <v>2</v>
      </c>
      <c r="T86" s="188">
        <v>85</v>
      </c>
    </row>
    <row r="87" spans="1:20" ht="24.95" customHeight="1" thickBot="1" x14ac:dyDescent="0.25">
      <c r="A87" s="157" t="s">
        <v>289</v>
      </c>
      <c r="B87" s="147" t="s">
        <v>384</v>
      </c>
      <c r="C87" s="147" t="s">
        <v>385</v>
      </c>
      <c r="D87" s="147" t="s">
        <v>480</v>
      </c>
      <c r="E87" s="150" t="s">
        <v>54</v>
      </c>
      <c r="F87" s="160">
        <v>59</v>
      </c>
      <c r="G87" s="177">
        <v>6</v>
      </c>
      <c r="T87" s="188">
        <v>86</v>
      </c>
    </row>
    <row r="88" spans="1:20" ht="24.95" customHeight="1" thickBot="1" x14ac:dyDescent="0.25">
      <c r="A88" s="157" t="s">
        <v>290</v>
      </c>
      <c r="B88" s="147" t="s">
        <v>385</v>
      </c>
      <c r="C88" s="147" t="s">
        <v>386</v>
      </c>
      <c r="D88" s="147" t="s">
        <v>481</v>
      </c>
      <c r="E88" s="151" t="s">
        <v>76</v>
      </c>
      <c r="F88" s="158">
        <v>95</v>
      </c>
      <c r="G88" s="178">
        <v>170</v>
      </c>
      <c r="T88" s="188">
        <v>87</v>
      </c>
    </row>
    <row r="89" spans="1:20" ht="24.95" customHeight="1" thickBot="1" x14ac:dyDescent="0.25">
      <c r="A89" s="157" t="s">
        <v>291</v>
      </c>
      <c r="B89" s="147" t="s">
        <v>386</v>
      </c>
      <c r="C89" s="147" t="s">
        <v>387</v>
      </c>
      <c r="D89" s="147" t="s">
        <v>482</v>
      </c>
      <c r="E89" s="150" t="s">
        <v>52</v>
      </c>
      <c r="F89" s="160" t="s">
        <v>58</v>
      </c>
      <c r="G89" s="177">
        <v>28</v>
      </c>
      <c r="T89" s="188">
        <v>88</v>
      </c>
    </row>
    <row r="90" spans="1:20" ht="24.95" customHeight="1" thickBot="1" x14ac:dyDescent="0.25">
      <c r="A90" s="157" t="s">
        <v>292</v>
      </c>
      <c r="B90" s="147" t="s">
        <v>387</v>
      </c>
      <c r="C90" s="147" t="s">
        <v>388</v>
      </c>
      <c r="D90" s="147" t="s">
        <v>483</v>
      </c>
      <c r="E90" s="151"/>
      <c r="F90" s="158"/>
      <c r="G90" s="178"/>
      <c r="T90" s="188">
        <v>89</v>
      </c>
    </row>
    <row r="91" spans="1:20" ht="24.95" customHeight="1" thickBot="1" x14ac:dyDescent="0.25">
      <c r="A91" s="157" t="s">
        <v>293</v>
      </c>
      <c r="B91" s="147" t="s">
        <v>388</v>
      </c>
      <c r="C91" s="147" t="s">
        <v>389</v>
      </c>
      <c r="D91" s="147" t="s">
        <v>484</v>
      </c>
      <c r="E91" s="150" t="s">
        <v>132</v>
      </c>
      <c r="F91" s="160">
        <v>60</v>
      </c>
      <c r="G91" s="177">
        <v>13</v>
      </c>
      <c r="T91" s="188">
        <v>90</v>
      </c>
    </row>
    <row r="92" spans="1:20" ht="24.95" customHeight="1" thickBot="1" x14ac:dyDescent="0.25">
      <c r="A92" s="157" t="s">
        <v>294</v>
      </c>
      <c r="B92" s="147" t="s">
        <v>389</v>
      </c>
      <c r="C92" s="147" t="s">
        <v>390</v>
      </c>
      <c r="D92" s="147" t="s">
        <v>485</v>
      </c>
      <c r="E92" s="151" t="s">
        <v>53</v>
      </c>
      <c r="F92" s="158">
        <v>68</v>
      </c>
      <c r="G92" s="178">
        <v>192</v>
      </c>
      <c r="T92" s="188">
        <v>91</v>
      </c>
    </row>
    <row r="93" spans="1:20" ht="24.95" customHeight="1" thickBot="1" x14ac:dyDescent="0.25">
      <c r="A93" s="157" t="s">
        <v>295</v>
      </c>
      <c r="B93" s="147" t="s">
        <v>390</v>
      </c>
      <c r="C93" s="147" t="s">
        <v>391</v>
      </c>
      <c r="D93" s="147" t="s">
        <v>486</v>
      </c>
      <c r="E93" s="150" t="s">
        <v>136</v>
      </c>
      <c r="F93" s="160">
        <v>72</v>
      </c>
      <c r="G93" s="177">
        <v>30</v>
      </c>
      <c r="T93" s="188">
        <v>92</v>
      </c>
    </row>
    <row r="94" spans="1:20" ht="24.95" customHeight="1" thickBot="1" x14ac:dyDescent="0.25">
      <c r="A94" s="157" t="s">
        <v>296</v>
      </c>
      <c r="B94" s="147" t="s">
        <v>391</v>
      </c>
      <c r="C94" s="147" t="s">
        <v>392</v>
      </c>
      <c r="D94" s="147" t="s">
        <v>487</v>
      </c>
      <c r="E94" s="150" t="s">
        <v>135</v>
      </c>
      <c r="F94" s="160" t="s">
        <v>58</v>
      </c>
      <c r="G94" s="177">
        <v>25</v>
      </c>
      <c r="T94" s="188">
        <v>93</v>
      </c>
    </row>
    <row r="95" spans="1:20" ht="24.95" customHeight="1" thickBot="1" x14ac:dyDescent="0.25">
      <c r="A95" s="157" t="s">
        <v>297</v>
      </c>
      <c r="B95" s="147" t="s">
        <v>392</v>
      </c>
      <c r="C95" s="147" t="s">
        <v>393</v>
      </c>
      <c r="D95" s="147" t="s">
        <v>488</v>
      </c>
      <c r="E95" s="150" t="s">
        <v>136</v>
      </c>
      <c r="F95" s="159">
        <v>91</v>
      </c>
      <c r="G95" s="177">
        <v>19</v>
      </c>
      <c r="T95" s="188">
        <v>94</v>
      </c>
    </row>
    <row r="96" spans="1:20" ht="24.95" customHeight="1" x14ac:dyDescent="0.2">
      <c r="A96" s="157" t="s">
        <v>298</v>
      </c>
      <c r="B96" s="147" t="s">
        <v>393</v>
      </c>
      <c r="C96" s="147" t="s">
        <v>394</v>
      </c>
      <c r="D96" s="147" t="s">
        <v>489</v>
      </c>
      <c r="E96" s="150" t="s">
        <v>133</v>
      </c>
      <c r="F96" s="160" t="s">
        <v>59</v>
      </c>
      <c r="G96" s="177">
        <v>7</v>
      </c>
      <c r="T96" s="188">
        <v>95</v>
      </c>
    </row>
    <row r="97" spans="1:20" ht="24.95" customHeight="1" x14ac:dyDescent="0.2">
      <c r="A97" s="161"/>
      <c r="B97" s="152"/>
      <c r="C97" s="152"/>
      <c r="D97" s="152"/>
      <c r="E97" s="151"/>
      <c r="F97" s="158"/>
      <c r="G97" s="178"/>
      <c r="T97" s="188" t="s">
        <v>59</v>
      </c>
    </row>
    <row r="98" spans="1:20" ht="24.95" customHeight="1" thickBot="1" x14ac:dyDescent="0.25">
      <c r="A98" s="161"/>
      <c r="B98" s="152"/>
      <c r="C98" s="152"/>
      <c r="D98" s="152"/>
      <c r="E98" s="151"/>
      <c r="F98" s="158"/>
      <c r="G98" s="178"/>
      <c r="T98" s="189" t="s">
        <v>58</v>
      </c>
    </row>
    <row r="99" spans="1:20" ht="24.95" customHeight="1" x14ac:dyDescent="0.2">
      <c r="A99" s="162"/>
      <c r="B99" s="151"/>
      <c r="C99" s="151"/>
      <c r="D99" s="151"/>
      <c r="E99" s="151"/>
      <c r="F99" s="158"/>
      <c r="G99" s="178"/>
    </row>
    <row r="100" spans="1:20" ht="24.95" customHeight="1" x14ac:dyDescent="0.2">
      <c r="A100" s="162"/>
      <c r="B100" s="151"/>
      <c r="C100" s="151"/>
      <c r="D100" s="151"/>
      <c r="E100" s="151"/>
      <c r="F100" s="158"/>
      <c r="G100" s="178"/>
    </row>
    <row r="101" spans="1:20" ht="24.95" customHeight="1" x14ac:dyDescent="0.2">
      <c r="A101" s="162"/>
      <c r="B101" s="151"/>
      <c r="C101" s="151"/>
      <c r="D101" s="151"/>
      <c r="E101" s="151"/>
      <c r="F101" s="158"/>
      <c r="G101" s="178"/>
    </row>
    <row r="102" spans="1:20" ht="24.95" customHeight="1" x14ac:dyDescent="0.2">
      <c r="A102" s="162"/>
      <c r="B102" s="151"/>
      <c r="C102" s="151"/>
      <c r="D102" s="151"/>
      <c r="E102" s="151"/>
      <c r="F102" s="158"/>
      <c r="G102" s="178"/>
    </row>
    <row r="103" spans="1:20" ht="24.95" customHeight="1" x14ac:dyDescent="0.2">
      <c r="A103" s="162"/>
      <c r="B103" s="151"/>
      <c r="C103" s="151"/>
      <c r="D103" s="151"/>
      <c r="E103" s="151"/>
      <c r="F103" s="158"/>
      <c r="G103" s="178"/>
    </row>
    <row r="104" spans="1:20" ht="24.95" customHeight="1" x14ac:dyDescent="0.2">
      <c r="A104" s="162"/>
      <c r="B104" s="151"/>
      <c r="C104" s="151"/>
      <c r="D104" s="151"/>
      <c r="E104" s="151"/>
      <c r="F104" s="158"/>
      <c r="G104" s="178"/>
    </row>
    <row r="105" spans="1:20" ht="24.95" customHeight="1" x14ac:dyDescent="0.2">
      <c r="A105" s="162"/>
      <c r="B105" s="151"/>
      <c r="C105" s="151"/>
      <c r="D105" s="151"/>
      <c r="E105" s="151"/>
      <c r="F105" s="158"/>
      <c r="G105" s="178"/>
    </row>
    <row r="106" spans="1:20" ht="24.95" customHeight="1" x14ac:dyDescent="0.2">
      <c r="A106" s="162"/>
      <c r="B106" s="151"/>
      <c r="C106" s="151"/>
      <c r="D106" s="151"/>
      <c r="E106" s="151"/>
      <c r="F106" s="158"/>
      <c r="G106" s="178"/>
    </row>
    <row r="107" spans="1:20" ht="24.95" customHeight="1" x14ac:dyDescent="0.2">
      <c r="A107" s="162"/>
      <c r="B107" s="151"/>
      <c r="C107" s="151"/>
      <c r="D107" s="151"/>
      <c r="E107" s="151"/>
      <c r="F107" s="158"/>
      <c r="G107" s="178"/>
    </row>
    <row r="108" spans="1:20" ht="24.95" customHeight="1" x14ac:dyDescent="0.2">
      <c r="A108" s="162"/>
      <c r="B108" s="151"/>
      <c r="C108" s="151"/>
      <c r="D108" s="151"/>
      <c r="E108" s="151"/>
      <c r="F108" s="158"/>
      <c r="G108" s="178"/>
    </row>
    <row r="109" spans="1:20" ht="24.95" customHeight="1" x14ac:dyDescent="0.2">
      <c r="A109" s="162"/>
      <c r="B109" s="151"/>
      <c r="C109" s="151"/>
      <c r="D109" s="151"/>
      <c r="E109" s="151"/>
      <c r="F109" s="158"/>
      <c r="G109" s="178"/>
    </row>
    <row r="110" spans="1:20" ht="24.95" customHeight="1" x14ac:dyDescent="0.2">
      <c r="A110" s="162"/>
      <c r="B110" s="151"/>
      <c r="C110" s="151"/>
      <c r="D110" s="151"/>
      <c r="E110" s="151"/>
      <c r="F110" s="158"/>
      <c r="G110" s="178"/>
    </row>
    <row r="111" spans="1:20" ht="24.95" customHeight="1" x14ac:dyDescent="0.2">
      <c r="A111" s="162"/>
      <c r="B111" s="151"/>
      <c r="C111" s="151"/>
      <c r="D111" s="151"/>
      <c r="E111" s="151"/>
      <c r="F111" s="158"/>
      <c r="G111" s="178"/>
    </row>
    <row r="112" spans="1:20" ht="24.95" customHeight="1" x14ac:dyDescent="0.2">
      <c r="A112" s="162"/>
      <c r="B112" s="151"/>
      <c r="C112" s="151"/>
      <c r="D112" s="151"/>
      <c r="E112" s="151"/>
      <c r="F112" s="158"/>
      <c r="G112" s="178"/>
    </row>
    <row r="113" spans="1:7" ht="24.95" customHeight="1" x14ac:dyDescent="0.2">
      <c r="A113" s="162"/>
      <c r="B113" s="151"/>
      <c r="C113" s="151"/>
      <c r="D113" s="151"/>
      <c r="E113" s="151"/>
      <c r="F113" s="158"/>
      <c r="G113" s="178"/>
    </row>
    <row r="114" spans="1:7" ht="24.95" customHeight="1" x14ac:dyDescent="0.2">
      <c r="A114" s="162"/>
      <c r="B114" s="151"/>
      <c r="C114" s="151"/>
      <c r="D114" s="151"/>
      <c r="E114" s="151"/>
      <c r="F114" s="158"/>
      <c r="G114" s="178"/>
    </row>
    <row r="115" spans="1:7" ht="24.95" customHeight="1" x14ac:dyDescent="0.2">
      <c r="A115" s="162"/>
      <c r="B115" s="151"/>
      <c r="C115" s="151"/>
      <c r="D115" s="151"/>
      <c r="E115" s="151"/>
      <c r="F115" s="158"/>
      <c r="G115" s="178"/>
    </row>
    <row r="116" spans="1:7" ht="24.95" customHeight="1" x14ac:dyDescent="0.2">
      <c r="A116" s="162"/>
      <c r="B116" s="151"/>
      <c r="C116" s="151"/>
      <c r="D116" s="151"/>
      <c r="E116" s="151"/>
      <c r="F116" s="158"/>
      <c r="G116" s="178"/>
    </row>
    <row r="117" spans="1:7" ht="24.95" customHeight="1" x14ac:dyDescent="0.2">
      <c r="A117" s="162"/>
      <c r="B117" s="151"/>
      <c r="C117" s="151"/>
      <c r="D117" s="151"/>
      <c r="E117" s="151"/>
      <c r="F117" s="158"/>
      <c r="G117" s="178"/>
    </row>
    <row r="118" spans="1:7" ht="24.95" customHeight="1" x14ac:dyDescent="0.2">
      <c r="A118" s="162"/>
      <c r="B118" s="151"/>
      <c r="C118" s="151"/>
      <c r="D118" s="151"/>
      <c r="E118" s="151"/>
      <c r="F118" s="158"/>
      <c r="G118" s="178"/>
    </row>
    <row r="119" spans="1:7" ht="24.95" customHeight="1" x14ac:dyDescent="0.2">
      <c r="A119" s="162"/>
      <c r="B119" s="151"/>
      <c r="C119" s="151"/>
      <c r="D119" s="151"/>
      <c r="E119" s="151"/>
      <c r="F119" s="158"/>
      <c r="G119" s="178"/>
    </row>
    <row r="120" spans="1:7" ht="24.95" customHeight="1" x14ac:dyDescent="0.2">
      <c r="A120" s="162"/>
      <c r="B120" s="151"/>
      <c r="C120" s="151"/>
      <c r="D120" s="151"/>
      <c r="E120" s="151"/>
      <c r="F120" s="158"/>
      <c r="G120" s="178"/>
    </row>
    <row r="121" spans="1:7" ht="24.95" customHeight="1" x14ac:dyDescent="0.2">
      <c r="A121" s="162"/>
      <c r="B121" s="151"/>
      <c r="C121" s="151"/>
      <c r="D121" s="151"/>
      <c r="E121" s="151"/>
      <c r="F121" s="158"/>
      <c r="G121" s="178"/>
    </row>
    <row r="122" spans="1:7" ht="24.95" customHeight="1" x14ac:dyDescent="0.2">
      <c r="A122" s="162"/>
      <c r="B122" s="151"/>
      <c r="C122" s="151"/>
      <c r="D122" s="151"/>
      <c r="E122" s="151"/>
      <c r="F122" s="158"/>
      <c r="G122" s="178"/>
    </row>
    <row r="123" spans="1:7" ht="24.95" customHeight="1" x14ac:dyDescent="0.2">
      <c r="A123" s="162"/>
      <c r="B123" s="151"/>
      <c r="C123" s="151"/>
      <c r="D123" s="151"/>
      <c r="E123" s="151"/>
      <c r="F123" s="158"/>
      <c r="G123" s="178"/>
    </row>
    <row r="124" spans="1:7" ht="24.95" customHeight="1" x14ac:dyDescent="0.2">
      <c r="A124" s="162"/>
      <c r="B124" s="151"/>
      <c r="C124" s="151"/>
      <c r="D124" s="151"/>
      <c r="E124" s="151"/>
      <c r="F124" s="158"/>
      <c r="G124" s="178"/>
    </row>
    <row r="125" spans="1:7" ht="24.95" customHeight="1" x14ac:dyDescent="0.2">
      <c r="A125" s="162"/>
      <c r="B125" s="151"/>
      <c r="C125" s="151"/>
      <c r="D125" s="151"/>
      <c r="E125" s="151"/>
      <c r="F125" s="158"/>
      <c r="G125" s="178"/>
    </row>
    <row r="126" spans="1:7" ht="24.95" customHeight="1" x14ac:dyDescent="0.2">
      <c r="A126" s="162"/>
      <c r="B126" s="151"/>
      <c r="C126" s="151"/>
      <c r="D126" s="151"/>
      <c r="E126" s="151"/>
      <c r="F126" s="158"/>
      <c r="G126" s="178"/>
    </row>
    <row r="127" spans="1:7" ht="24.95" customHeight="1" x14ac:dyDescent="0.2">
      <c r="A127" s="162"/>
      <c r="B127" s="151"/>
      <c r="C127" s="151"/>
      <c r="D127" s="151"/>
      <c r="E127" s="151"/>
      <c r="F127" s="158"/>
      <c r="G127" s="178"/>
    </row>
    <row r="128" spans="1:7" ht="24.95" customHeight="1" x14ac:dyDescent="0.2">
      <c r="A128" s="162"/>
      <c r="B128" s="151"/>
      <c r="C128" s="151"/>
      <c r="D128" s="151"/>
      <c r="E128" s="151"/>
      <c r="F128" s="158"/>
      <c r="G128" s="178"/>
    </row>
    <row r="129" spans="1:7" ht="24.95" customHeight="1" x14ac:dyDescent="0.2">
      <c r="A129" s="162"/>
      <c r="B129" s="151"/>
      <c r="C129" s="151"/>
      <c r="D129" s="151"/>
      <c r="E129" s="151"/>
      <c r="F129" s="158"/>
      <c r="G129" s="178"/>
    </row>
    <row r="130" spans="1:7" ht="24.95" customHeight="1" x14ac:dyDescent="0.2">
      <c r="A130" s="162"/>
      <c r="B130" s="151"/>
      <c r="C130" s="151"/>
      <c r="D130" s="151"/>
      <c r="E130" s="151"/>
      <c r="F130" s="158"/>
      <c r="G130" s="178"/>
    </row>
    <row r="131" spans="1:7" ht="24.95" customHeight="1" x14ac:dyDescent="0.2">
      <c r="A131" s="162"/>
      <c r="B131" s="151"/>
      <c r="C131" s="151"/>
      <c r="D131" s="151"/>
      <c r="E131" s="151"/>
      <c r="F131" s="158"/>
      <c r="G131" s="178"/>
    </row>
    <row r="132" spans="1:7" ht="24.95" customHeight="1" x14ac:dyDescent="0.2">
      <c r="A132" s="162"/>
      <c r="B132" s="151"/>
      <c r="C132" s="151"/>
      <c r="D132" s="151"/>
      <c r="E132" s="151"/>
      <c r="F132" s="158"/>
      <c r="G132" s="178"/>
    </row>
    <row r="133" spans="1:7" ht="24.95" customHeight="1" x14ac:dyDescent="0.2">
      <c r="A133" s="162"/>
      <c r="B133" s="151"/>
      <c r="C133" s="151"/>
      <c r="D133" s="151"/>
      <c r="E133" s="151"/>
      <c r="F133" s="158"/>
      <c r="G133" s="178"/>
    </row>
    <row r="134" spans="1:7" ht="24.95" customHeight="1" x14ac:dyDescent="0.2">
      <c r="A134" s="162"/>
      <c r="B134" s="151"/>
      <c r="C134" s="151"/>
      <c r="D134" s="151"/>
      <c r="E134" s="151"/>
      <c r="F134" s="158"/>
      <c r="G134" s="178"/>
    </row>
    <row r="135" spans="1:7" ht="24.95" customHeight="1" x14ac:dyDescent="0.2">
      <c r="A135" s="162"/>
      <c r="B135" s="151"/>
      <c r="C135" s="151"/>
      <c r="D135" s="151"/>
      <c r="E135" s="151"/>
      <c r="F135" s="158"/>
      <c r="G135" s="178"/>
    </row>
    <row r="136" spans="1:7" ht="24.95" customHeight="1" x14ac:dyDescent="0.2">
      <c r="A136" s="162"/>
      <c r="B136" s="151"/>
      <c r="C136" s="151"/>
      <c r="D136" s="151"/>
      <c r="E136" s="151"/>
      <c r="F136" s="158"/>
      <c r="G136" s="178"/>
    </row>
    <row r="137" spans="1:7" ht="24.95" customHeight="1" x14ac:dyDescent="0.2">
      <c r="A137" s="162"/>
      <c r="B137" s="151"/>
      <c r="C137" s="151"/>
      <c r="D137" s="151"/>
      <c r="E137" s="151"/>
      <c r="F137" s="158"/>
      <c r="G137" s="178"/>
    </row>
    <row r="138" spans="1:7" ht="24.95" customHeight="1" x14ac:dyDescent="0.2">
      <c r="A138" s="162"/>
      <c r="B138" s="151"/>
      <c r="C138" s="151"/>
      <c r="D138" s="151"/>
      <c r="E138" s="151"/>
      <c r="F138" s="158"/>
      <c r="G138" s="178"/>
    </row>
    <row r="139" spans="1:7" ht="24.95" customHeight="1" x14ac:dyDescent="0.2">
      <c r="A139" s="162"/>
      <c r="B139" s="151"/>
      <c r="C139" s="151"/>
      <c r="D139" s="151"/>
      <c r="E139" s="151"/>
      <c r="F139" s="158"/>
      <c r="G139" s="178"/>
    </row>
    <row r="140" spans="1:7" ht="24.95" customHeight="1" x14ac:dyDescent="0.2">
      <c r="A140" s="162"/>
      <c r="B140" s="151"/>
      <c r="C140" s="151"/>
      <c r="D140" s="151"/>
      <c r="E140" s="151"/>
      <c r="F140" s="158"/>
      <c r="G140" s="178"/>
    </row>
    <row r="141" spans="1:7" ht="24.95" customHeight="1" x14ac:dyDescent="0.2">
      <c r="A141" s="162"/>
      <c r="B141" s="151"/>
      <c r="C141" s="151"/>
      <c r="D141" s="151"/>
      <c r="E141" s="151"/>
      <c r="F141" s="158"/>
      <c r="G141" s="178"/>
    </row>
    <row r="142" spans="1:7" ht="24.95" customHeight="1" x14ac:dyDescent="0.2">
      <c r="A142" s="162"/>
      <c r="B142" s="151"/>
      <c r="C142" s="151"/>
      <c r="D142" s="151"/>
      <c r="E142" s="151"/>
      <c r="F142" s="158"/>
      <c r="G142" s="178"/>
    </row>
    <row r="143" spans="1:7" ht="24.95" customHeight="1" x14ac:dyDescent="0.2">
      <c r="A143" s="162"/>
      <c r="B143" s="151"/>
      <c r="C143" s="151"/>
      <c r="D143" s="151"/>
      <c r="E143" s="151"/>
      <c r="F143" s="158"/>
      <c r="G143" s="178"/>
    </row>
    <row r="144" spans="1:7" ht="24.95" customHeight="1" x14ac:dyDescent="0.2">
      <c r="A144" s="162"/>
      <c r="B144" s="151"/>
      <c r="C144" s="151"/>
      <c r="D144" s="151"/>
      <c r="E144" s="151"/>
      <c r="F144" s="158"/>
      <c r="G144" s="178"/>
    </row>
    <row r="145" spans="1:7" ht="24.95" customHeight="1" x14ac:dyDescent="0.2">
      <c r="A145" s="162"/>
      <c r="B145" s="151"/>
      <c r="C145" s="151"/>
      <c r="D145" s="151"/>
      <c r="E145" s="151"/>
      <c r="F145" s="158"/>
      <c r="G145" s="178"/>
    </row>
    <row r="146" spans="1:7" ht="24.95" customHeight="1" x14ac:dyDescent="0.2">
      <c r="A146" s="162"/>
      <c r="B146" s="151"/>
      <c r="C146" s="151"/>
      <c r="D146" s="151"/>
      <c r="E146" s="151"/>
      <c r="F146" s="158"/>
      <c r="G146" s="178"/>
    </row>
    <row r="147" spans="1:7" ht="24.95" customHeight="1" x14ac:dyDescent="0.2">
      <c r="A147" s="162"/>
      <c r="B147" s="151"/>
      <c r="C147" s="151"/>
      <c r="D147" s="151"/>
      <c r="E147" s="151"/>
      <c r="F147" s="158"/>
      <c r="G147" s="178"/>
    </row>
    <row r="148" spans="1:7" ht="24.95" customHeight="1" x14ac:dyDescent="0.2">
      <c r="A148" s="162"/>
      <c r="B148" s="151"/>
      <c r="C148" s="151"/>
      <c r="D148" s="151"/>
      <c r="E148" s="151"/>
      <c r="F148" s="158"/>
      <c r="G148" s="178"/>
    </row>
    <row r="149" spans="1:7" ht="24.95" customHeight="1" x14ac:dyDescent="0.2">
      <c r="A149" s="162"/>
      <c r="B149" s="151"/>
      <c r="C149" s="151"/>
      <c r="D149" s="151"/>
      <c r="E149" s="151"/>
      <c r="F149" s="158"/>
      <c r="G149" s="178"/>
    </row>
    <row r="150" spans="1:7" ht="24.95" customHeight="1" thickBot="1" x14ac:dyDescent="0.25">
      <c r="A150" s="163"/>
      <c r="B150" s="153"/>
      <c r="C150" s="153"/>
      <c r="D150" s="153"/>
      <c r="E150" s="153"/>
      <c r="F150" s="176"/>
      <c r="G150" s="179"/>
    </row>
  </sheetData>
  <autoFilter ref="A1:G1">
    <sortState ref="A2:G96">
      <sortCondition ref="A1"/>
    </sortState>
  </autoFilter>
  <mergeCells count="1">
    <mergeCell ref="K1:L1"/>
  </mergeCells>
  <phoneticPr fontId="0" type="noConversion"/>
  <dataValidations count="3">
    <dataValidation type="list" allowBlank="1" showInputMessage="1" showErrorMessage="1" sqref="H30 R32 S31">
      <formula1>$A$2:$A$26</formula1>
    </dataValidation>
    <dataValidation type="list" allowBlank="1" showInputMessage="1" showErrorMessage="1" sqref="E2:E149">
      <formula1>Liste_Cat</formula1>
    </dataValidation>
    <dataValidation type="list" allowBlank="1" showInputMessage="1" showErrorMessage="1" sqref="F2:F150">
      <formula1>Liste_Orgn</formula1>
    </dataValidation>
  </dataValidations>
  <pageMargins left="0.7" right="0.7" top="0.75" bottom="0.75" header="0.3" footer="0.3"/>
  <pageSetup paperSize="9" scale="6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H81"/>
  <sheetViews>
    <sheetView topLeftCell="A4" zoomScale="80" zoomScaleNormal="80" workbookViewId="0">
      <selection activeCell="N59" sqref="N59"/>
    </sheetView>
  </sheetViews>
  <sheetFormatPr baseColWidth="10" defaultRowHeight="12.75" x14ac:dyDescent="0.2"/>
  <cols>
    <col min="1" max="2" width="23.5" customWidth="1"/>
    <col min="4" max="5" width="10.83203125" customWidth="1"/>
    <col min="6" max="6" width="9.83203125" customWidth="1"/>
    <col min="7" max="7" width="27.83203125" customWidth="1"/>
    <col min="8" max="8" width="22.83203125" customWidth="1"/>
  </cols>
  <sheetData>
    <row r="1" spans="1:8" x14ac:dyDescent="0.2">
      <c r="A1" s="364" t="s">
        <v>158</v>
      </c>
      <c r="B1" s="365"/>
      <c r="C1" s="365"/>
      <c r="D1" s="365"/>
      <c r="E1" s="365"/>
      <c r="F1" s="365"/>
      <c r="G1" s="365"/>
      <c r="H1" s="366"/>
    </row>
    <row r="2" spans="1:8" ht="13.5" thickBot="1" x14ac:dyDescent="0.25">
      <c r="A2" s="367"/>
      <c r="B2" s="368"/>
      <c r="C2" s="368"/>
      <c r="D2" s="368"/>
      <c r="E2" s="368"/>
      <c r="F2" s="368"/>
      <c r="G2" s="368"/>
      <c r="H2" s="369"/>
    </row>
    <row r="3" spans="1:8" ht="15.75" x14ac:dyDescent="0.2">
      <c r="A3" s="363" t="s">
        <v>159</v>
      </c>
      <c r="B3" s="363"/>
      <c r="C3" s="363"/>
      <c r="D3" s="363"/>
      <c r="E3" s="363"/>
      <c r="F3" s="363"/>
      <c r="G3" s="363"/>
      <c r="H3" s="363"/>
    </row>
    <row r="4" spans="1:8" ht="15.75" x14ac:dyDescent="0.2">
      <c r="A4" s="362" t="s">
        <v>160</v>
      </c>
      <c r="B4" s="362"/>
      <c r="C4" s="362"/>
      <c r="D4" s="362"/>
      <c r="E4" s="362"/>
      <c r="F4" s="362"/>
      <c r="G4" s="362"/>
      <c r="H4" s="362"/>
    </row>
    <row r="5" spans="1:8" ht="15.75" x14ac:dyDescent="0.25">
      <c r="A5" s="222"/>
      <c r="B5" s="222"/>
      <c r="C5" s="222"/>
      <c r="D5" s="222"/>
      <c r="E5" s="222"/>
      <c r="F5" s="264"/>
      <c r="G5" s="266">
        <v>1</v>
      </c>
      <c r="H5" s="266">
        <v>5</v>
      </c>
    </row>
    <row r="6" spans="1:8" ht="15.75" x14ac:dyDescent="0.25">
      <c r="A6" s="222"/>
      <c r="B6" s="222"/>
      <c r="C6" s="222"/>
      <c r="D6" s="222"/>
      <c r="E6" s="222"/>
      <c r="F6" s="222"/>
      <c r="G6" s="222"/>
      <c r="H6" s="222"/>
    </row>
    <row r="7" spans="1:8" ht="15.75" x14ac:dyDescent="0.25">
      <c r="A7" s="222"/>
      <c r="B7" s="222"/>
      <c r="C7" s="370" t="s">
        <v>161</v>
      </c>
      <c r="D7" s="370"/>
      <c r="E7" s="370"/>
      <c r="F7" s="370"/>
      <c r="G7" s="372" t="s">
        <v>162</v>
      </c>
      <c r="H7" s="372" t="s">
        <v>163</v>
      </c>
    </row>
    <row r="8" spans="1:8" ht="15.75" x14ac:dyDescent="0.25">
      <c r="A8" s="370" t="s">
        <v>164</v>
      </c>
      <c r="B8" s="371"/>
      <c r="C8" s="372" t="s">
        <v>165</v>
      </c>
      <c r="D8" s="372" t="s">
        <v>166</v>
      </c>
      <c r="E8" s="372" t="s">
        <v>105</v>
      </c>
      <c r="F8" s="372" t="s">
        <v>167</v>
      </c>
      <c r="G8" s="372"/>
      <c r="H8" s="372"/>
    </row>
    <row r="9" spans="1:8" ht="15.75" x14ac:dyDescent="0.25">
      <c r="A9" s="223" t="s">
        <v>168</v>
      </c>
      <c r="B9" s="224" t="s">
        <v>169</v>
      </c>
      <c r="C9" s="372"/>
      <c r="D9" s="372"/>
      <c r="E9" s="372"/>
      <c r="F9" s="372"/>
      <c r="G9" s="372"/>
      <c r="H9" s="372"/>
    </row>
    <row r="10" spans="1:8" ht="15.75" x14ac:dyDescent="0.25">
      <c r="A10" s="205">
        <f>IF('Saisie réservations'!B2&gt;=DATE(An,$G$5,1),IF('Saisie réservations'!B2&lt;=DATE(An,$H$5,31),'Saisie réservations'!B2,""),"")</f>
        <v>42788</v>
      </c>
      <c r="B10" s="206">
        <f>IF($A10&lt;&gt;"",'Saisie réservations'!C2,"")</f>
        <v>42790</v>
      </c>
      <c r="C10" s="237">
        <f>IF(A10="","",'Saisie réservations'!AA2)</f>
        <v>2</v>
      </c>
      <c r="D10" s="223">
        <f>IF($A10="","",DATEDIF($A10,$B10,"D"))</f>
        <v>2</v>
      </c>
      <c r="E10" s="223">
        <f>IF($A10="","",$C10*$D10)</f>
        <v>4</v>
      </c>
      <c r="F10" s="207">
        <f t="shared" ref="F10:F30" si="0">IF(A10&lt;&gt;"",Taxe,0)</f>
        <v>0.5</v>
      </c>
      <c r="G10" s="207">
        <f>IF($E10="","",$E10*$F10)</f>
        <v>2</v>
      </c>
      <c r="H10" s="223">
        <f>IF(A10="","",'Saisie réservations'!J2)</f>
        <v>2</v>
      </c>
    </row>
    <row r="11" spans="1:8" ht="15.75" x14ac:dyDescent="0.25">
      <c r="A11" s="205">
        <f>IF('Saisie réservations'!B3&gt;=DATE(An,$G$5,1),IF('Saisie réservations'!B3&lt;=DATE(An,$H$5,31),'Saisie réservations'!B3,""),"")</f>
        <v>42792</v>
      </c>
      <c r="B11" s="206">
        <f>IF($A11&lt;&gt;"",'Saisie réservations'!C3,"")</f>
        <v>42795</v>
      </c>
      <c r="C11" s="237">
        <f>IF(A11="","",'Saisie réservations'!AA3)</f>
        <v>19</v>
      </c>
      <c r="D11" s="237">
        <f t="shared" ref="D11:D30" si="1">IF($A11="","",DATEDIF($A11,$B11,"D"))</f>
        <v>3</v>
      </c>
      <c r="E11" s="237">
        <f t="shared" ref="E11:E30" si="2">IF($A11="","",$C11*$D11)</f>
        <v>57</v>
      </c>
      <c r="F11" s="207">
        <f t="shared" si="0"/>
        <v>0.5</v>
      </c>
      <c r="G11" s="207">
        <f t="shared" ref="G11:G30" si="3">IF($E11="","",$E11*$F11)</f>
        <v>28.5</v>
      </c>
      <c r="H11" s="237">
        <f>IF(A11="","",'Saisie réservations'!J3)</f>
        <v>22</v>
      </c>
    </row>
    <row r="12" spans="1:8" ht="15.75" x14ac:dyDescent="0.25">
      <c r="A12" s="205">
        <f>IF('Saisie réservations'!B4&gt;=DATE(An,$G$5,1),IF('Saisie réservations'!B4&lt;=DATE(An,$H$5,31),'Saisie réservations'!B4,""),"")</f>
        <v>42800</v>
      </c>
      <c r="B12" s="206">
        <f>IF($A12&lt;&gt;"",'Saisie réservations'!C4,"")</f>
        <v>42801</v>
      </c>
      <c r="C12" s="237">
        <f>IF(A12="","",'Saisie réservations'!AA4)</f>
        <v>24</v>
      </c>
      <c r="D12" s="237">
        <f t="shared" si="1"/>
        <v>1</v>
      </c>
      <c r="E12" s="237">
        <f t="shared" si="2"/>
        <v>24</v>
      </c>
      <c r="F12" s="207">
        <f t="shared" si="0"/>
        <v>0.5</v>
      </c>
      <c r="G12" s="207">
        <f t="shared" si="3"/>
        <v>12</v>
      </c>
      <c r="H12" s="237">
        <f>IF(A12="","",'Saisie réservations'!J4)</f>
        <v>28</v>
      </c>
    </row>
    <row r="13" spans="1:8" ht="15.75" x14ac:dyDescent="0.25">
      <c r="A13" s="205">
        <f>IF('Saisie réservations'!B5&gt;=DATE(An,$G$5,1),IF('Saisie réservations'!B5&lt;=DATE(An,$H$5,31),'Saisie réservations'!B5,""),"")</f>
        <v>42807</v>
      </c>
      <c r="B13" s="206">
        <f>IF($A13&lt;&gt;"",'Saisie réservations'!C5,"")</f>
        <v>42808</v>
      </c>
      <c r="C13" s="237">
        <f>IF(A13="","",'Saisie réservations'!AA5)</f>
        <v>0</v>
      </c>
      <c r="D13" s="237">
        <f t="shared" si="1"/>
        <v>1</v>
      </c>
      <c r="E13" s="237">
        <f t="shared" si="2"/>
        <v>0</v>
      </c>
      <c r="F13" s="207">
        <f t="shared" si="0"/>
        <v>0.5</v>
      </c>
      <c r="G13" s="207">
        <f t="shared" si="3"/>
        <v>0</v>
      </c>
      <c r="H13" s="237">
        <f>IF(A13="","",'Saisie réservations'!J5)</f>
        <v>61</v>
      </c>
    </row>
    <row r="14" spans="1:8" ht="15.75" x14ac:dyDescent="0.25">
      <c r="A14" s="205">
        <f>IF('Saisie réservations'!B6&gt;=DATE(An,$G$5,1),IF('Saisie réservations'!B6&lt;=DATE(An,$H$5,31),'Saisie réservations'!B6,""),"")</f>
        <v>42811</v>
      </c>
      <c r="B14" s="206">
        <f>IF($A14&lt;&gt;"",'Saisie réservations'!C6,"")</f>
        <v>42812</v>
      </c>
      <c r="C14" s="237">
        <f>IF(A14="","",'Saisie réservations'!AA6)</f>
        <v>4</v>
      </c>
      <c r="D14" s="237">
        <f t="shared" si="1"/>
        <v>1</v>
      </c>
      <c r="E14" s="237">
        <f t="shared" si="2"/>
        <v>4</v>
      </c>
      <c r="F14" s="207">
        <f t="shared" si="0"/>
        <v>0.5</v>
      </c>
      <c r="G14" s="207">
        <f t="shared" si="3"/>
        <v>2</v>
      </c>
      <c r="H14" s="237">
        <f>IF(A14="","",'Saisie réservations'!J6)</f>
        <v>4</v>
      </c>
    </row>
    <row r="15" spans="1:8" ht="15.75" x14ac:dyDescent="0.25">
      <c r="A15" s="205">
        <f>IF('Saisie réservations'!B7&gt;=DATE(An,$G$5,1),IF('Saisie réservations'!B7&lt;=DATE(An,$H$5,31),'Saisie réservations'!B7,""),"")</f>
        <v>42811</v>
      </c>
      <c r="B15" s="206">
        <f>IF($A15&lt;&gt;"",'Saisie réservations'!C7,"")</f>
        <v>42813</v>
      </c>
      <c r="C15" s="237">
        <f>IF(A15="","",'Saisie réservations'!AA7)</f>
        <v>30</v>
      </c>
      <c r="D15" s="237">
        <f t="shared" si="1"/>
        <v>2</v>
      </c>
      <c r="E15" s="237">
        <f t="shared" si="2"/>
        <v>60</v>
      </c>
      <c r="F15" s="207">
        <f t="shared" si="0"/>
        <v>0.5</v>
      </c>
      <c r="G15" s="207">
        <f t="shared" si="3"/>
        <v>30</v>
      </c>
      <c r="H15" s="237">
        <f>IF(A15="","",'Saisie réservations'!J7)</f>
        <v>30</v>
      </c>
    </row>
    <row r="16" spans="1:8" ht="15.75" x14ac:dyDescent="0.25">
      <c r="A16" s="205">
        <f>IF('Saisie réservations'!B8&gt;=DATE(An,$G$5,1),IF('Saisie réservations'!B8&lt;=DATE(An,$H$5,31),'Saisie réservations'!B8,""),"")</f>
        <v>42814</v>
      </c>
      <c r="B16" s="206">
        <f>IF($A16&lt;&gt;"",'Saisie réservations'!C8,"")</f>
        <v>42816</v>
      </c>
      <c r="C16" s="237">
        <f>IF(A16="","",'Saisie réservations'!AA8)</f>
        <v>0</v>
      </c>
      <c r="D16" s="237">
        <f t="shared" si="1"/>
        <v>2</v>
      </c>
      <c r="E16" s="237">
        <f t="shared" si="2"/>
        <v>0</v>
      </c>
      <c r="F16" s="207">
        <f t="shared" si="0"/>
        <v>0.5</v>
      </c>
      <c r="G16" s="207">
        <f t="shared" si="3"/>
        <v>0</v>
      </c>
      <c r="H16" s="237">
        <f>IF(A16="","",'Saisie réservations'!J8)</f>
        <v>42</v>
      </c>
    </row>
    <row r="17" spans="1:8" ht="15.75" x14ac:dyDescent="0.25">
      <c r="A17" s="205">
        <f>IF('Saisie réservations'!B9&gt;=DATE(An,$G$5,1),IF('Saisie réservations'!B9&lt;=DATE(An,$H$5,31),'Saisie réservations'!B9,""),"")</f>
        <v>42818</v>
      </c>
      <c r="B17" s="206">
        <f>IF($A17&lt;&gt;"",'Saisie réservations'!C9,"")</f>
        <v>42820</v>
      </c>
      <c r="C17" s="237">
        <f>IF(A17="","",'Saisie réservations'!AA9)</f>
        <v>12</v>
      </c>
      <c r="D17" s="237">
        <f t="shared" si="1"/>
        <v>2</v>
      </c>
      <c r="E17" s="237">
        <f t="shared" si="2"/>
        <v>24</v>
      </c>
      <c r="F17" s="207">
        <f t="shared" si="0"/>
        <v>0.5</v>
      </c>
      <c r="G17" s="207">
        <f t="shared" si="3"/>
        <v>12</v>
      </c>
      <c r="H17" s="237">
        <f>IF(A17="","",'Saisie réservations'!J9)</f>
        <v>12</v>
      </c>
    </row>
    <row r="18" spans="1:8" ht="15.75" x14ac:dyDescent="0.25">
      <c r="A18" s="205">
        <f>IF('Saisie réservations'!B10&gt;=DATE(An,$G$5,1),IF('Saisie réservations'!B10&lt;=DATE(An,$H$5,31),'Saisie réservations'!B10,""),"")</f>
        <v>42824</v>
      </c>
      <c r="B18" s="206">
        <f>IF($A18&lt;&gt;"",'Saisie réservations'!C10,"")</f>
        <v>42825</v>
      </c>
      <c r="C18" s="237">
        <f>IF(A18="","",'Saisie réservations'!AA10)</f>
        <v>0</v>
      </c>
      <c r="D18" s="237">
        <f t="shared" si="1"/>
        <v>1</v>
      </c>
      <c r="E18" s="237">
        <f t="shared" si="2"/>
        <v>0</v>
      </c>
      <c r="F18" s="207">
        <f t="shared" si="0"/>
        <v>0.5</v>
      </c>
      <c r="G18" s="207">
        <f t="shared" si="3"/>
        <v>0</v>
      </c>
      <c r="H18" s="237">
        <f>IF(A18="","",'Saisie réservations'!J10)</f>
        <v>50</v>
      </c>
    </row>
    <row r="19" spans="1:8" ht="15.75" x14ac:dyDescent="0.25">
      <c r="A19" s="205">
        <f>IF('Saisie réservations'!B11&gt;=DATE(An,$G$5,1),IF('Saisie réservations'!B11&lt;=DATE(An,$H$5,31),'Saisie réservations'!B11,""),"")</f>
        <v>42828</v>
      </c>
      <c r="B19" s="206">
        <f>IF($A19&lt;&gt;"",'Saisie réservations'!C11,"")</f>
        <v>42829</v>
      </c>
      <c r="C19" s="237">
        <f>IF(A19="","",'Saisie réservations'!AA11)</f>
        <v>0</v>
      </c>
      <c r="D19" s="237">
        <f t="shared" si="1"/>
        <v>1</v>
      </c>
      <c r="E19" s="237">
        <f t="shared" si="2"/>
        <v>0</v>
      </c>
      <c r="F19" s="207">
        <f t="shared" si="0"/>
        <v>0.5</v>
      </c>
      <c r="G19" s="207">
        <f t="shared" si="3"/>
        <v>0</v>
      </c>
      <c r="H19" s="237">
        <f>IF(A19="","",'Saisie réservations'!J11)</f>
        <v>50</v>
      </c>
    </row>
    <row r="20" spans="1:8" ht="15.75" x14ac:dyDescent="0.25">
      <c r="A20" s="205">
        <f>IF('Saisie réservations'!B12&gt;=DATE(An,$G$5,1),IF('Saisie réservations'!B12&lt;=DATE(An,$H$5,31),'Saisie réservations'!B12,""),"")</f>
        <v>42829</v>
      </c>
      <c r="B20" s="206">
        <f>IF($A20&lt;&gt;"",'Saisie réservations'!C12,"")</f>
        <v>42831</v>
      </c>
      <c r="C20" s="237">
        <f>IF(A20="","",'Saisie réservations'!AA12)</f>
        <v>4</v>
      </c>
      <c r="D20" s="237">
        <f t="shared" si="1"/>
        <v>2</v>
      </c>
      <c r="E20" s="237">
        <f t="shared" si="2"/>
        <v>8</v>
      </c>
      <c r="F20" s="207">
        <f t="shared" si="0"/>
        <v>0.5</v>
      </c>
      <c r="G20" s="207">
        <f t="shared" si="3"/>
        <v>4</v>
      </c>
      <c r="H20" s="237">
        <f>IF(A20="","",'Saisie réservations'!J12)</f>
        <v>17</v>
      </c>
    </row>
    <row r="21" spans="1:8" ht="15.75" x14ac:dyDescent="0.25">
      <c r="A21" s="205">
        <f>IF('Saisie réservations'!B13&gt;=DATE(An,$G$5,1),IF('Saisie réservations'!B13&lt;=DATE(An,$H$5,31),'Saisie réservations'!B13,""),"")</f>
        <v>42831</v>
      </c>
      <c r="B21" s="206">
        <f>IF($A21&lt;&gt;"",'Saisie réservations'!C13,"")</f>
        <v>42833</v>
      </c>
      <c r="C21" s="237">
        <f>IF(A21="","",'Saisie réservations'!AA13)</f>
        <v>36</v>
      </c>
      <c r="D21" s="237">
        <f t="shared" si="1"/>
        <v>2</v>
      </c>
      <c r="E21" s="237">
        <f t="shared" si="2"/>
        <v>72</v>
      </c>
      <c r="F21" s="207">
        <f t="shared" si="0"/>
        <v>0.5</v>
      </c>
      <c r="G21" s="207">
        <f t="shared" si="3"/>
        <v>36</v>
      </c>
      <c r="H21" s="237">
        <f>IF(A21="","",'Saisie réservations'!J13)</f>
        <v>36</v>
      </c>
    </row>
    <row r="22" spans="1:8" ht="15.75" x14ac:dyDescent="0.25">
      <c r="A22" s="205">
        <f>IF('Saisie réservations'!B14&gt;=DATE(An,$G$5,1),IF('Saisie réservations'!B14&lt;=DATE(An,$H$5,31),'Saisie réservations'!B14,""),"")</f>
        <v>42833</v>
      </c>
      <c r="B22" s="206">
        <f>IF($A22&lt;&gt;"",'Saisie réservations'!C14,"")</f>
        <v>42835</v>
      </c>
      <c r="C22" s="237">
        <f>IF(A22="","",'Saisie réservations'!AA14)</f>
        <v>3</v>
      </c>
      <c r="D22" s="237">
        <f t="shared" si="1"/>
        <v>2</v>
      </c>
      <c r="E22" s="237">
        <f t="shared" si="2"/>
        <v>6</v>
      </c>
      <c r="F22" s="207">
        <f t="shared" si="0"/>
        <v>0.5</v>
      </c>
      <c r="G22" s="207">
        <f t="shared" si="3"/>
        <v>3</v>
      </c>
      <c r="H22" s="237">
        <f>IF(A22="","",'Saisie réservations'!J14)</f>
        <v>3</v>
      </c>
    </row>
    <row r="23" spans="1:8" ht="15.75" x14ac:dyDescent="0.25">
      <c r="A23" s="205">
        <f>IF('Saisie réservations'!B15&gt;=DATE(An,$G$5,1),IF('Saisie réservations'!B15&lt;=DATE(An,$H$5,31),'Saisie réservations'!B15,""),"")</f>
        <v>42833</v>
      </c>
      <c r="B23" s="206">
        <f>IF($A23&lt;&gt;"",'Saisie réservations'!C15,"")</f>
        <v>42834</v>
      </c>
      <c r="C23" s="237">
        <f>IF(A23="","",'Saisie réservations'!AA15)</f>
        <v>4</v>
      </c>
      <c r="D23" s="237">
        <f t="shared" si="1"/>
        <v>1</v>
      </c>
      <c r="E23" s="237">
        <f t="shared" si="2"/>
        <v>4</v>
      </c>
      <c r="F23" s="207">
        <f t="shared" si="0"/>
        <v>0.5</v>
      </c>
      <c r="G23" s="207">
        <f t="shared" si="3"/>
        <v>2</v>
      </c>
      <c r="H23" s="237">
        <f>IF(A23="","",'Saisie réservations'!J15)</f>
        <v>4</v>
      </c>
    </row>
    <row r="24" spans="1:8" ht="15.75" x14ac:dyDescent="0.25">
      <c r="A24" s="205">
        <f>IF('Saisie réservations'!B16&gt;=DATE(An,$G$5,1),IF('Saisie réservations'!B16&lt;=DATE(An,$H$5,31),'Saisie réservations'!B16,""),"")</f>
        <v>42834</v>
      </c>
      <c r="B24" s="206">
        <f>IF($A24&lt;&gt;"",'Saisie réservations'!C16,"")</f>
        <v>42839</v>
      </c>
      <c r="C24" s="237">
        <f>IF(A24="","",'Saisie réservations'!AA16)</f>
        <v>35</v>
      </c>
      <c r="D24" s="237">
        <f t="shared" si="1"/>
        <v>5</v>
      </c>
      <c r="E24" s="237">
        <f t="shared" si="2"/>
        <v>175</v>
      </c>
      <c r="F24" s="207">
        <f t="shared" si="0"/>
        <v>0.5</v>
      </c>
      <c r="G24" s="207">
        <f t="shared" si="3"/>
        <v>87.5</v>
      </c>
      <c r="H24" s="237">
        <f>IF(A24="","",'Saisie réservations'!J16)</f>
        <v>35</v>
      </c>
    </row>
    <row r="25" spans="1:8" ht="15.75" x14ac:dyDescent="0.25">
      <c r="A25" s="205">
        <f>IF('Saisie réservations'!B17&gt;=DATE(An,$G$5,1),IF('Saisie réservations'!B17&lt;=DATE(An,$H$5,31),'Saisie réservations'!B17,""),"")</f>
        <v>42835</v>
      </c>
      <c r="B25" s="206">
        <f>IF($A25&lt;&gt;"",'Saisie réservations'!C17,"")</f>
        <v>42839</v>
      </c>
      <c r="C25" s="237">
        <f>IF(A25="","",'Saisie réservations'!AA17)</f>
        <v>0</v>
      </c>
      <c r="D25" s="237">
        <f t="shared" si="1"/>
        <v>4</v>
      </c>
      <c r="E25" s="237">
        <f t="shared" si="2"/>
        <v>0</v>
      </c>
      <c r="F25" s="207">
        <f t="shared" si="0"/>
        <v>0.5</v>
      </c>
      <c r="G25" s="207">
        <f t="shared" si="3"/>
        <v>0</v>
      </c>
      <c r="H25" s="237">
        <f>IF(A25="","",'Saisie réservations'!J17)</f>
        <v>19</v>
      </c>
    </row>
    <row r="26" spans="1:8" ht="15.75" x14ac:dyDescent="0.25">
      <c r="A26" s="205">
        <f>IF('Saisie réservations'!B18&gt;=DATE(An,$G$5,1),IF('Saisie réservations'!B18&lt;=DATE(An,$H$5,31),'Saisie réservations'!B18,""),"")</f>
        <v>42839</v>
      </c>
      <c r="B26" s="206">
        <f>IF($A26&lt;&gt;"",'Saisie réservations'!C18,"")</f>
        <v>42840</v>
      </c>
      <c r="C26" s="237">
        <f>IF(A26="","",'Saisie réservations'!AA18)</f>
        <v>18</v>
      </c>
      <c r="D26" s="237">
        <f t="shared" si="1"/>
        <v>1</v>
      </c>
      <c r="E26" s="237">
        <f t="shared" si="2"/>
        <v>18</v>
      </c>
      <c r="F26" s="207">
        <f t="shared" si="0"/>
        <v>0.5</v>
      </c>
      <c r="G26" s="207">
        <f t="shared" si="3"/>
        <v>9</v>
      </c>
      <c r="H26" s="237">
        <f>IF(A26="","",'Saisie réservations'!J18)</f>
        <v>18</v>
      </c>
    </row>
    <row r="27" spans="1:8" ht="15.75" x14ac:dyDescent="0.25">
      <c r="A27" s="205">
        <f>IF('Saisie réservations'!B19&gt;=DATE(An,$G$5,1),IF('Saisie réservations'!B19&lt;=DATE(An,$H$5,31),'Saisie réservations'!B19,""),"")</f>
        <v>42840</v>
      </c>
      <c r="B27" s="206">
        <f>IF($A27&lt;&gt;"",'Saisie réservations'!C19,"")</f>
        <v>42842</v>
      </c>
      <c r="C27" s="237">
        <f>IF(A27="","",'Saisie réservations'!AA19)</f>
        <v>26</v>
      </c>
      <c r="D27" s="237">
        <f t="shared" si="1"/>
        <v>2</v>
      </c>
      <c r="E27" s="237">
        <f t="shared" si="2"/>
        <v>52</v>
      </c>
      <c r="F27" s="207">
        <f t="shared" si="0"/>
        <v>0.5</v>
      </c>
      <c r="G27" s="207">
        <f t="shared" si="3"/>
        <v>26</v>
      </c>
      <c r="H27" s="237">
        <f>IF(A27="","",'Saisie réservations'!J19)</f>
        <v>30</v>
      </c>
    </row>
    <row r="28" spans="1:8" ht="15.75" x14ac:dyDescent="0.25">
      <c r="A28" s="205">
        <f>IF('Saisie réservations'!B20&gt;=DATE(An,$G$5,1),IF('Saisie réservations'!B20&lt;=DATE(An,$H$5,31),'Saisie réservations'!B20,""),"")</f>
        <v>42844</v>
      </c>
      <c r="B28" s="206">
        <f>IF($A28&lt;&gt;"",'Saisie réservations'!C20,"")</f>
        <v>42846</v>
      </c>
      <c r="C28" s="237">
        <f>IF(A28="","",'Saisie réservations'!AA20)</f>
        <v>47</v>
      </c>
      <c r="D28" s="237">
        <f t="shared" si="1"/>
        <v>2</v>
      </c>
      <c r="E28" s="237">
        <f t="shared" si="2"/>
        <v>94</v>
      </c>
      <c r="F28" s="207">
        <f t="shared" si="0"/>
        <v>0.5</v>
      </c>
      <c r="G28" s="207">
        <f t="shared" si="3"/>
        <v>47</v>
      </c>
      <c r="H28" s="237">
        <f>IF(A28="","",'Saisie réservations'!J20)</f>
        <v>52</v>
      </c>
    </row>
    <row r="29" spans="1:8" ht="15.75" x14ac:dyDescent="0.25">
      <c r="A29" s="205">
        <f>IF('Saisie réservations'!B21&gt;=DATE(An,$G$5,1),IF('Saisie réservations'!B21&lt;=DATE(An,$H$5,31),'Saisie réservations'!B21,""),"")</f>
        <v>42849</v>
      </c>
      <c r="B29" s="206">
        <f>IF($A29&lt;&gt;"",'Saisie réservations'!C21,"")</f>
        <v>42850</v>
      </c>
      <c r="C29" s="237">
        <f>IF(A29="","",'Saisie réservations'!AA21)</f>
        <v>53</v>
      </c>
      <c r="D29" s="237">
        <f t="shared" si="1"/>
        <v>1</v>
      </c>
      <c r="E29" s="237">
        <f t="shared" si="2"/>
        <v>53</v>
      </c>
      <c r="F29" s="207">
        <f t="shared" si="0"/>
        <v>0.5</v>
      </c>
      <c r="G29" s="207">
        <f t="shared" si="3"/>
        <v>26.5</v>
      </c>
      <c r="H29" s="237">
        <f>IF(A29="","",'Saisie réservations'!J21)</f>
        <v>58</v>
      </c>
    </row>
    <row r="30" spans="1:8" ht="15.75" x14ac:dyDescent="0.25">
      <c r="A30" s="205">
        <f>IF('Saisie réservations'!B22&gt;=DATE(An,$G$5,1),IF('Saisie réservations'!B22&lt;=DATE(An,$H$5,31),'Saisie réservations'!B22,""),"")</f>
        <v>42850</v>
      </c>
      <c r="B30" s="206">
        <f>IF($A30&lt;&gt;"",'Saisie réservations'!C22,"")</f>
        <v>42853</v>
      </c>
      <c r="C30" s="237">
        <f>IF(A30="","",'Saisie réservations'!AA22)</f>
        <v>48</v>
      </c>
      <c r="D30" s="237">
        <f t="shared" si="1"/>
        <v>3</v>
      </c>
      <c r="E30" s="237">
        <f t="shared" si="2"/>
        <v>144</v>
      </c>
      <c r="F30" s="207">
        <f t="shared" si="0"/>
        <v>0.5</v>
      </c>
      <c r="G30" s="207">
        <f t="shared" si="3"/>
        <v>72</v>
      </c>
      <c r="H30" s="237">
        <f>IF(A30="","",'Saisie réservations'!J22)</f>
        <v>55</v>
      </c>
    </row>
    <row r="31" spans="1:8" s="254" customFormat="1" ht="16.5" x14ac:dyDescent="0.3">
      <c r="A31" s="247"/>
      <c r="B31" s="248" t="str">
        <f>"Total"&amp;IF(COUNTIFS(Saisie[Date d''arrivée],"&gt;="&amp;DATE(An,1,1),Saisie[Date d''arrivée],"&lt;="&amp;DATE(An,5,31))&gt;COUNTA($A$10:$A31)," à reporter","")</f>
        <v>Total à reporter</v>
      </c>
      <c r="C31" s="249"/>
      <c r="D31" s="250"/>
      <c r="E31" s="251">
        <f>SUM($E10:$E30)</f>
        <v>799</v>
      </c>
      <c r="F31" s="252">
        <f t="shared" ref="F31" si="4">Taxe</f>
        <v>0.5</v>
      </c>
      <c r="G31" s="252">
        <f>$E31*$F31</f>
        <v>399.5</v>
      </c>
      <c r="H31" s="253"/>
    </row>
    <row r="32" spans="1:8" s="254" customFormat="1" ht="16.5" x14ac:dyDescent="0.3">
      <c r="A32" s="255"/>
      <c r="B32" s="248" t="s">
        <v>170</v>
      </c>
      <c r="C32" s="249"/>
      <c r="D32" s="250"/>
      <c r="E32" s="251">
        <f>$E31</f>
        <v>799</v>
      </c>
      <c r="F32" s="252">
        <f t="shared" ref="F32:F76" si="5">Taxe</f>
        <v>0.5</v>
      </c>
      <c r="G32" s="252">
        <f>$E32*$F32</f>
        <v>399.5</v>
      </c>
      <c r="H32" s="256"/>
    </row>
    <row r="33" spans="1:8" ht="15.75" x14ac:dyDescent="0.25">
      <c r="A33" s="205">
        <f>IF('Saisie réservations'!B23&gt;=DATE(An,1,1),IF('Saisie réservations'!B23&lt;=DATE(An,5,31),'Saisie réservations'!B23,""),"")</f>
        <v>42854</v>
      </c>
      <c r="B33" s="206">
        <f>IF($A33&lt;&gt;"",'Saisie réservations'!C23,"")</f>
        <v>42855</v>
      </c>
      <c r="C33" s="223">
        <f>IF(A33="","",'Saisie réservations'!AA23)</f>
        <v>49</v>
      </c>
      <c r="D33" s="223">
        <f>IF($A33="","",DATEDIF($A33,$B33,"D"))</f>
        <v>1</v>
      </c>
      <c r="E33" s="223">
        <f>IF($A33="","",$C33*$D33)</f>
        <v>49</v>
      </c>
      <c r="F33" s="207">
        <f t="shared" ref="F33:F53" si="6">IF(A33&lt;&gt;"",Taxe,0)</f>
        <v>0.5</v>
      </c>
      <c r="G33" s="207">
        <f t="shared" ref="G33:G53" si="7">IF($E33="","",$E33*$F33)</f>
        <v>24.5</v>
      </c>
      <c r="H33" s="237">
        <f>IF(A33="","",'Saisie réservations'!J23)</f>
        <v>51</v>
      </c>
    </row>
    <row r="34" spans="1:8" ht="15.75" x14ac:dyDescent="0.25">
      <c r="A34" s="205">
        <f>IF('Saisie réservations'!B24&gt;=DATE(An,1,1),IF('Saisie réservations'!B24&lt;=DATE(An,5,31),'Saisie réservations'!B24,""),"")</f>
        <v>42856</v>
      </c>
      <c r="B34" s="206">
        <f>IF($A34&lt;&gt;"",'Saisie réservations'!C24,"")</f>
        <v>42859</v>
      </c>
      <c r="C34" s="237">
        <f>IF(A34="","",'Saisie réservations'!AA24)</f>
        <v>31</v>
      </c>
      <c r="D34" s="237">
        <f t="shared" ref="D34:D53" si="8">IF($A34="","",DATEDIF($A34,$B34,"D"))</f>
        <v>3</v>
      </c>
      <c r="E34" s="237">
        <f t="shared" ref="E34:E53" si="9">IF($A34="","",$C34*$D34)</f>
        <v>93</v>
      </c>
      <c r="F34" s="207">
        <f t="shared" si="6"/>
        <v>0.5</v>
      </c>
      <c r="G34" s="207">
        <f t="shared" si="7"/>
        <v>46.5</v>
      </c>
      <c r="H34" s="237">
        <f>IF(A34="","",'Saisie réservations'!J24)</f>
        <v>31</v>
      </c>
    </row>
    <row r="35" spans="1:8" ht="15.75" x14ac:dyDescent="0.25">
      <c r="A35" s="205">
        <f>IF('Saisie réservations'!B25&gt;=DATE(An,1,1),IF('Saisie réservations'!B25&lt;=DATE(An,5,31),'Saisie réservations'!B25,""),"")</f>
        <v>42859</v>
      </c>
      <c r="B35" s="206">
        <f>IF($A35&lt;&gt;"",'Saisie réservations'!C25,"")</f>
        <v>42860</v>
      </c>
      <c r="C35" s="237">
        <f>IF(A35="","",'Saisie réservations'!AA25)</f>
        <v>0</v>
      </c>
      <c r="D35" s="237">
        <f t="shared" si="8"/>
        <v>1</v>
      </c>
      <c r="E35" s="237">
        <f t="shared" si="9"/>
        <v>0</v>
      </c>
      <c r="F35" s="207">
        <f t="shared" si="6"/>
        <v>0.5</v>
      </c>
      <c r="G35" s="207">
        <f t="shared" si="7"/>
        <v>0</v>
      </c>
      <c r="H35" s="237">
        <f>IF(A35="","",'Saisie réservations'!J25)</f>
        <v>40</v>
      </c>
    </row>
    <row r="36" spans="1:8" ht="15.75" x14ac:dyDescent="0.25">
      <c r="A36" s="205">
        <f>IF('Saisie réservations'!B26&gt;=DATE(An,1,1),IF('Saisie réservations'!B26&lt;=DATE(An,5,31),'Saisie réservations'!B26,""),"")</f>
        <v>42861</v>
      </c>
      <c r="B36" s="206">
        <f>IF($A36&lt;&gt;"",'Saisie réservations'!C26,"")</f>
        <v>42862</v>
      </c>
      <c r="C36" s="237">
        <f>IF(A36="","",'Saisie réservations'!AA26)</f>
        <v>40</v>
      </c>
      <c r="D36" s="237">
        <f t="shared" si="8"/>
        <v>1</v>
      </c>
      <c r="E36" s="237">
        <f t="shared" si="9"/>
        <v>40</v>
      </c>
      <c r="F36" s="207">
        <f t="shared" si="6"/>
        <v>0.5</v>
      </c>
      <c r="G36" s="207">
        <f t="shared" si="7"/>
        <v>20</v>
      </c>
      <c r="H36" s="237">
        <f>IF(A36="","",'Saisie réservations'!J26)</f>
        <v>46</v>
      </c>
    </row>
    <row r="37" spans="1:8" ht="15.75" x14ac:dyDescent="0.25">
      <c r="A37" s="205">
        <f>IF('Saisie réservations'!B27&gt;=DATE(An,1,1),IF('Saisie réservations'!B27&lt;=DATE(An,5,31),'Saisie réservations'!B27,""),"")</f>
        <v>42862</v>
      </c>
      <c r="B37" s="206">
        <f>IF($A37&lt;&gt;"",'Saisie réservations'!C27,"")</f>
        <v>42863</v>
      </c>
      <c r="C37" s="237">
        <f>IF(A37="","",'Saisie réservations'!AA27)</f>
        <v>28</v>
      </c>
      <c r="D37" s="237">
        <f t="shared" si="8"/>
        <v>1</v>
      </c>
      <c r="E37" s="237">
        <f t="shared" si="9"/>
        <v>28</v>
      </c>
      <c r="F37" s="207">
        <f t="shared" si="6"/>
        <v>0.5</v>
      </c>
      <c r="G37" s="207">
        <f t="shared" si="7"/>
        <v>14</v>
      </c>
      <c r="H37" s="237">
        <f>IF(A37="","",'Saisie réservations'!J27)</f>
        <v>34</v>
      </c>
    </row>
    <row r="38" spans="1:8" ht="15.75" x14ac:dyDescent="0.25">
      <c r="A38" s="205">
        <f>IF('Saisie réservations'!B28&gt;=DATE(An,1,1),IF('Saisie réservations'!B28&lt;=DATE(An,5,31),'Saisie réservations'!B28,""),"")</f>
        <v>42864</v>
      </c>
      <c r="B38" s="206">
        <f>IF($A38&lt;&gt;"",'Saisie réservations'!C28,"")</f>
        <v>42865</v>
      </c>
      <c r="C38" s="237">
        <f>IF(A38="","",'Saisie réservations'!AA28)</f>
        <v>0</v>
      </c>
      <c r="D38" s="237">
        <f t="shared" si="8"/>
        <v>1</v>
      </c>
      <c r="E38" s="237">
        <f t="shared" si="9"/>
        <v>0</v>
      </c>
      <c r="F38" s="207">
        <f t="shared" si="6"/>
        <v>0.5</v>
      </c>
      <c r="G38" s="207">
        <f t="shared" si="7"/>
        <v>0</v>
      </c>
      <c r="H38" s="237">
        <f>IF(A38="","",'Saisie réservations'!J28)</f>
        <v>57</v>
      </c>
    </row>
    <row r="39" spans="1:8" ht="15.75" x14ac:dyDescent="0.25">
      <c r="A39" s="205">
        <f>IF('Saisie réservations'!B29&gt;=DATE(An,1,1),IF('Saisie réservations'!B29&lt;=DATE(An,5,31),'Saisie réservations'!B29,""),"")</f>
        <v>42865</v>
      </c>
      <c r="B39" s="206">
        <f>IF($A39&lt;&gt;"",'Saisie réservations'!C29,"")</f>
        <v>42867</v>
      </c>
      <c r="C39" s="237">
        <f>IF(A39="","",'Saisie réservations'!AA29)</f>
        <v>0</v>
      </c>
      <c r="D39" s="237">
        <f t="shared" si="8"/>
        <v>2</v>
      </c>
      <c r="E39" s="237">
        <f t="shared" si="9"/>
        <v>0</v>
      </c>
      <c r="F39" s="207">
        <f t="shared" si="6"/>
        <v>0.5</v>
      </c>
      <c r="G39" s="207">
        <f t="shared" si="7"/>
        <v>0</v>
      </c>
      <c r="H39" s="237">
        <f>IF(A39="","",'Saisie réservations'!J29)</f>
        <v>51</v>
      </c>
    </row>
    <row r="40" spans="1:8" ht="15.75" x14ac:dyDescent="0.25">
      <c r="A40" s="205">
        <f>IF('Saisie réservations'!B30&gt;=DATE(An,1,1),IF('Saisie réservations'!B30&lt;=DATE(An,5,31),'Saisie réservations'!B30,""),"")</f>
        <v>42868</v>
      </c>
      <c r="B40" s="206">
        <f>IF($A40&lt;&gt;"",'Saisie réservations'!C30,"")</f>
        <v>42869</v>
      </c>
      <c r="C40" s="237">
        <f>IF(A40="","",'Saisie réservations'!AA30)</f>
        <v>15</v>
      </c>
      <c r="D40" s="237">
        <f t="shared" si="8"/>
        <v>1</v>
      </c>
      <c r="E40" s="237">
        <f t="shared" si="9"/>
        <v>15</v>
      </c>
      <c r="F40" s="207">
        <f t="shared" si="6"/>
        <v>0.5</v>
      </c>
      <c r="G40" s="207">
        <f t="shared" si="7"/>
        <v>7.5</v>
      </c>
      <c r="H40" s="237">
        <f>IF(A40="","",'Saisie réservations'!J30)</f>
        <v>15</v>
      </c>
    </row>
    <row r="41" spans="1:8" ht="15.75" x14ac:dyDescent="0.25">
      <c r="A41" s="205">
        <f>IF('Saisie réservations'!B31&gt;=DATE(An,1,1),IF('Saisie réservations'!B31&lt;=DATE(An,5,31),'Saisie réservations'!B31,""),"")</f>
        <v>42868</v>
      </c>
      <c r="B41" s="206">
        <f>IF($A41&lt;&gt;"",'Saisie réservations'!C31,"")</f>
        <v>42869</v>
      </c>
      <c r="C41" s="237">
        <f>IF(A41="","",'Saisie réservations'!AA31)</f>
        <v>21</v>
      </c>
      <c r="D41" s="237">
        <f t="shared" si="8"/>
        <v>1</v>
      </c>
      <c r="E41" s="237">
        <f t="shared" si="9"/>
        <v>21</v>
      </c>
      <c r="F41" s="207">
        <f t="shared" si="6"/>
        <v>0.5</v>
      </c>
      <c r="G41" s="207">
        <f t="shared" si="7"/>
        <v>10.5</v>
      </c>
      <c r="H41" s="237">
        <f>IF(A41="","",'Saisie réservations'!J31)</f>
        <v>24</v>
      </c>
    </row>
    <row r="42" spans="1:8" ht="15.75" x14ac:dyDescent="0.25">
      <c r="A42" s="205">
        <f>IF('Saisie réservations'!B32&gt;=DATE(An,1,1),IF('Saisie réservations'!B32&lt;=DATE(An,5,31),'Saisie réservations'!B32,""),"")</f>
        <v>42870</v>
      </c>
      <c r="B42" s="206">
        <f>IF($A42&lt;&gt;"",'Saisie réservations'!C32,"")</f>
        <v>42874</v>
      </c>
      <c r="C42" s="237">
        <f>IF(A42="","",'Saisie réservations'!AA32)</f>
        <v>0</v>
      </c>
      <c r="D42" s="237">
        <f t="shared" si="8"/>
        <v>4</v>
      </c>
      <c r="E42" s="237">
        <f t="shared" si="9"/>
        <v>0</v>
      </c>
      <c r="F42" s="207">
        <f t="shared" si="6"/>
        <v>0.5</v>
      </c>
      <c r="G42" s="207">
        <f t="shared" si="7"/>
        <v>0</v>
      </c>
      <c r="H42" s="237">
        <f>IF(A42="","",'Saisie réservations'!J32)</f>
        <v>47</v>
      </c>
    </row>
    <row r="43" spans="1:8" ht="15.75" x14ac:dyDescent="0.25">
      <c r="A43" s="205">
        <f>IF('Saisie réservations'!B33&gt;=DATE(An,1,1),IF('Saisie réservations'!B33&lt;=DATE(An,5,31),'Saisie réservations'!B33,""),"")</f>
        <v>42874</v>
      </c>
      <c r="B43" s="206">
        <f>IF($A43&lt;&gt;"",'Saisie réservations'!C33,"")</f>
        <v>42875</v>
      </c>
      <c r="C43" s="237">
        <f>IF(A43="","",'Saisie réservations'!AA33)</f>
        <v>5</v>
      </c>
      <c r="D43" s="237">
        <f t="shared" si="8"/>
        <v>1</v>
      </c>
      <c r="E43" s="237">
        <f t="shared" si="9"/>
        <v>5</v>
      </c>
      <c r="F43" s="207">
        <f t="shared" si="6"/>
        <v>0.5</v>
      </c>
      <c r="G43" s="207">
        <f t="shared" si="7"/>
        <v>2.5</v>
      </c>
      <c r="H43" s="237">
        <f>IF(A43="","",'Saisie réservations'!J33)</f>
        <v>5</v>
      </c>
    </row>
    <row r="44" spans="1:8" ht="15.75" x14ac:dyDescent="0.25">
      <c r="A44" s="205">
        <f>IF('Saisie réservations'!B34&gt;=DATE(An,1,1),IF('Saisie réservations'!B34&lt;=DATE(An,5,31),'Saisie réservations'!B34,""),"")</f>
        <v>42874</v>
      </c>
      <c r="B44" s="206">
        <f>IF($A44&lt;&gt;"",'Saisie réservations'!C34,"")</f>
        <v>42876</v>
      </c>
      <c r="C44" s="237">
        <f>IF(A44="","",'Saisie réservations'!AA34)</f>
        <v>22</v>
      </c>
      <c r="D44" s="237">
        <f t="shared" si="8"/>
        <v>2</v>
      </c>
      <c r="E44" s="237">
        <f t="shared" si="9"/>
        <v>44</v>
      </c>
      <c r="F44" s="207">
        <f t="shared" si="6"/>
        <v>0.5</v>
      </c>
      <c r="G44" s="207">
        <f t="shared" si="7"/>
        <v>22</v>
      </c>
      <c r="H44" s="237">
        <f>IF(A44="","",'Saisie réservations'!J34)</f>
        <v>23</v>
      </c>
    </row>
    <row r="45" spans="1:8" ht="15.75" x14ac:dyDescent="0.25">
      <c r="A45" s="205">
        <f>IF('Saisie réservations'!B35&gt;=DATE(An,1,1),IF('Saisie réservations'!B35&lt;=DATE(An,5,31),'Saisie réservations'!B35,""),"")</f>
        <v>42875</v>
      </c>
      <c r="B45" s="206">
        <f>IF($A45&lt;&gt;"",'Saisie réservations'!C35,"")</f>
        <v>42876</v>
      </c>
      <c r="C45" s="237">
        <f>IF(A45="","",'Saisie réservations'!AA35)</f>
        <v>21</v>
      </c>
      <c r="D45" s="237">
        <f t="shared" si="8"/>
        <v>1</v>
      </c>
      <c r="E45" s="237">
        <f t="shared" si="9"/>
        <v>21</v>
      </c>
      <c r="F45" s="207">
        <f t="shared" si="6"/>
        <v>0.5</v>
      </c>
      <c r="G45" s="207">
        <f t="shared" si="7"/>
        <v>10.5</v>
      </c>
      <c r="H45" s="237">
        <f>IF(A45="","",'Saisie réservations'!J35)</f>
        <v>21</v>
      </c>
    </row>
    <row r="46" spans="1:8" ht="15.75" x14ac:dyDescent="0.25">
      <c r="A46" s="205">
        <f>IF('Saisie réservations'!B36&gt;=DATE(An,1,1),IF('Saisie réservations'!B36&lt;=DATE(An,5,31),'Saisie réservations'!B36,""),"")</f>
        <v>42877</v>
      </c>
      <c r="B46" s="206">
        <f>IF($A46&lt;&gt;"",'Saisie réservations'!C36,"")</f>
        <v>42880</v>
      </c>
      <c r="C46" s="237">
        <f>IF(A46="","",'Saisie réservations'!AA36)</f>
        <v>0</v>
      </c>
      <c r="D46" s="237">
        <f t="shared" si="8"/>
        <v>3</v>
      </c>
      <c r="E46" s="237">
        <f t="shared" si="9"/>
        <v>0</v>
      </c>
      <c r="F46" s="207">
        <f t="shared" si="6"/>
        <v>0.5</v>
      </c>
      <c r="G46" s="207">
        <f t="shared" si="7"/>
        <v>0</v>
      </c>
      <c r="H46" s="237">
        <f>IF(A46="","",'Saisie réservations'!J36)</f>
        <v>55</v>
      </c>
    </row>
    <row r="47" spans="1:8" ht="15.75" x14ac:dyDescent="0.25">
      <c r="A47" s="205">
        <f>IF('Saisie réservations'!B37&gt;=DATE(An,1,1),IF('Saisie réservations'!B37&lt;=DATE(An,5,31),'Saisie réservations'!B37,""),"")</f>
        <v>42880</v>
      </c>
      <c r="B47" s="206">
        <f>IF($A47&lt;&gt;"",'Saisie réservations'!C37,"")</f>
        <v>42881</v>
      </c>
      <c r="C47" s="237">
        <f>IF(A47="","",'Saisie réservations'!AA37)</f>
        <v>28</v>
      </c>
      <c r="D47" s="237">
        <f t="shared" si="8"/>
        <v>1</v>
      </c>
      <c r="E47" s="237">
        <f t="shared" si="9"/>
        <v>28</v>
      </c>
      <c r="F47" s="207">
        <f t="shared" si="6"/>
        <v>0.5</v>
      </c>
      <c r="G47" s="207">
        <f t="shared" si="7"/>
        <v>14</v>
      </c>
      <c r="H47" s="237">
        <f>IF(A47="","",'Saisie réservations'!J37)</f>
        <v>42</v>
      </c>
    </row>
    <row r="48" spans="1:8" ht="15.75" x14ac:dyDescent="0.25">
      <c r="A48" s="205">
        <f>IF('Saisie réservations'!B38&gt;=DATE(An,1,1),IF('Saisie réservations'!B38&lt;=DATE(An,5,31),'Saisie réservations'!B38,""),"")</f>
        <v>42881</v>
      </c>
      <c r="B48" s="206">
        <f>IF($A48&lt;&gt;"",'Saisie réservations'!C38,"")</f>
        <v>42883</v>
      </c>
      <c r="C48" s="237">
        <f>IF(A48="","",'Saisie réservations'!AA38)</f>
        <v>2</v>
      </c>
      <c r="D48" s="237">
        <f t="shared" si="8"/>
        <v>2</v>
      </c>
      <c r="E48" s="237">
        <f t="shared" si="9"/>
        <v>4</v>
      </c>
      <c r="F48" s="207">
        <f t="shared" si="6"/>
        <v>0.5</v>
      </c>
      <c r="G48" s="207">
        <f t="shared" si="7"/>
        <v>2</v>
      </c>
      <c r="H48" s="237">
        <f>IF(A48="","",'Saisie réservations'!J38)</f>
        <v>2</v>
      </c>
    </row>
    <row r="49" spans="1:8" ht="15.75" x14ac:dyDescent="0.25">
      <c r="A49" s="205">
        <f>IF('Saisie réservations'!B39&gt;=DATE(An,1,1),IF('Saisie réservations'!B39&lt;=DATE(An,5,31),'Saisie réservations'!B39,""),"")</f>
        <v>42881</v>
      </c>
      <c r="B49" s="206">
        <f>IF($A49&lt;&gt;"",'Saisie réservations'!C39,"")</f>
        <v>42882</v>
      </c>
      <c r="C49" s="237">
        <f>IF(A49="","",'Saisie réservations'!AA39)</f>
        <v>2</v>
      </c>
      <c r="D49" s="237">
        <f t="shared" si="8"/>
        <v>1</v>
      </c>
      <c r="E49" s="237">
        <f t="shared" si="9"/>
        <v>2</v>
      </c>
      <c r="F49" s="207">
        <f t="shared" si="6"/>
        <v>0.5</v>
      </c>
      <c r="G49" s="207">
        <f t="shared" si="7"/>
        <v>1</v>
      </c>
      <c r="H49" s="237">
        <f>IF(A49="","",'Saisie réservations'!J39)</f>
        <v>2</v>
      </c>
    </row>
    <row r="50" spans="1:8" ht="15.75" x14ac:dyDescent="0.25">
      <c r="A50" s="205">
        <f>IF('Saisie réservations'!B40&gt;=DATE(An,1,1),IF('Saisie réservations'!B40&lt;=DATE(An,5,31),'Saisie réservations'!B40,""),"")</f>
        <v>42881</v>
      </c>
      <c r="B50" s="206">
        <f>IF($A50&lt;&gt;"",'Saisie réservations'!C40,"")</f>
        <v>42882</v>
      </c>
      <c r="C50" s="237">
        <f>IF(A50="","",'Saisie réservations'!AA40)</f>
        <v>2</v>
      </c>
      <c r="D50" s="237">
        <f t="shared" si="8"/>
        <v>1</v>
      </c>
      <c r="E50" s="237">
        <f t="shared" si="9"/>
        <v>2</v>
      </c>
      <c r="F50" s="207">
        <f t="shared" si="6"/>
        <v>0.5</v>
      </c>
      <c r="G50" s="207">
        <f t="shared" si="7"/>
        <v>1</v>
      </c>
      <c r="H50" s="237">
        <f>IF(A50="","",'Saisie réservations'!J40)</f>
        <v>2</v>
      </c>
    </row>
    <row r="51" spans="1:8" ht="15.75" x14ac:dyDescent="0.25">
      <c r="A51" s="205">
        <f>IF('Saisie réservations'!B41&gt;=DATE(An,1,1),IF('Saisie réservations'!B41&lt;=DATE(An,5,31),'Saisie réservations'!B41,""),"")</f>
        <v>42881</v>
      </c>
      <c r="B51" s="206">
        <f>IF($A51&lt;&gt;"",'Saisie réservations'!C41,"")</f>
        <v>42883</v>
      </c>
      <c r="C51" s="237">
        <f>IF(A51="","",'Saisie réservations'!AA41)</f>
        <v>6</v>
      </c>
      <c r="D51" s="237">
        <f t="shared" si="8"/>
        <v>2</v>
      </c>
      <c r="E51" s="237">
        <f t="shared" si="9"/>
        <v>12</v>
      </c>
      <c r="F51" s="207">
        <f t="shared" si="6"/>
        <v>0.5</v>
      </c>
      <c r="G51" s="207">
        <f t="shared" si="7"/>
        <v>6</v>
      </c>
      <c r="H51" s="237">
        <f>IF(A51="","",'Saisie réservations'!J41)</f>
        <v>6</v>
      </c>
    </row>
    <row r="52" spans="1:8" ht="15.75" x14ac:dyDescent="0.25">
      <c r="A52" s="205">
        <f>IF('Saisie réservations'!B42&gt;=DATE(An,1,1),IF('Saisie réservations'!B42&lt;=DATE(An,5,31),'Saisie réservations'!B42,""),"")</f>
        <v>42884</v>
      </c>
      <c r="B52" s="206">
        <f>IF($A52&lt;&gt;"",'Saisie réservations'!C42,"")</f>
        <v>42886</v>
      </c>
      <c r="C52" s="237">
        <f>IF(A52="","",'Saisie réservations'!AA42)</f>
        <v>46</v>
      </c>
      <c r="D52" s="237">
        <f t="shared" si="8"/>
        <v>2</v>
      </c>
      <c r="E52" s="237">
        <f t="shared" si="9"/>
        <v>92</v>
      </c>
      <c r="F52" s="207">
        <f t="shared" si="6"/>
        <v>0.5</v>
      </c>
      <c r="G52" s="207">
        <f t="shared" si="7"/>
        <v>46</v>
      </c>
      <c r="H52" s="237">
        <f>IF(A52="","",'Saisie réservations'!J42)</f>
        <v>54</v>
      </c>
    </row>
    <row r="53" spans="1:8" ht="15.75" x14ac:dyDescent="0.25">
      <c r="A53" s="205">
        <f>IF('Saisie réservations'!B43&gt;=DATE(An,1,1),IF('Saisie réservations'!B43&lt;=DATE(An,5,31),'Saisie réservations'!B43,""),"")</f>
        <v>42886</v>
      </c>
      <c r="B53" s="206">
        <f>IF($A53&lt;&gt;"",'Saisie réservations'!C43,"")</f>
        <v>42887</v>
      </c>
      <c r="C53" s="237">
        <f>IF(A53="","",'Saisie réservations'!AA43)</f>
        <v>0</v>
      </c>
      <c r="D53" s="237">
        <f t="shared" si="8"/>
        <v>1</v>
      </c>
      <c r="E53" s="237">
        <f t="shared" si="9"/>
        <v>0</v>
      </c>
      <c r="F53" s="207">
        <f t="shared" si="6"/>
        <v>0.5</v>
      </c>
      <c r="G53" s="207">
        <f t="shared" si="7"/>
        <v>0</v>
      </c>
      <c r="H53" s="237">
        <f>IF(A53="","",'Saisie réservations'!J43)</f>
        <v>49</v>
      </c>
    </row>
    <row r="54" spans="1:8" s="254" customFormat="1" ht="16.5" x14ac:dyDescent="0.3">
      <c r="A54" s="257"/>
      <c r="B54" s="248" t="str">
        <f>"Total"&amp;IF(COUNTIFS(Saisie[Date d''arrivée],"&gt;="&amp;DATE(An,1,1),Saisie[Date d''arrivée],"&lt;="&amp;DATE(An,5,31))&gt;COUNTA($A$10:$A54)," à reporter","")</f>
        <v>Total</v>
      </c>
      <c r="C54" s="258"/>
      <c r="D54" s="259"/>
      <c r="E54" s="251">
        <f>SUM($E32:$E53)</f>
        <v>1255</v>
      </c>
      <c r="F54" s="252">
        <v>0.5</v>
      </c>
      <c r="G54" s="260">
        <f>$E54*$F54</f>
        <v>627.5</v>
      </c>
      <c r="H54" s="253"/>
    </row>
    <row r="55" spans="1:8" s="254" customFormat="1" ht="16.5" x14ac:dyDescent="0.3">
      <c r="A55" s="267"/>
      <c r="B55" s="248" t="s">
        <v>170</v>
      </c>
      <c r="C55" s="249"/>
      <c r="D55" s="250"/>
      <c r="E55" s="251">
        <f>$E54</f>
        <v>1255</v>
      </c>
      <c r="F55" s="252">
        <f t="shared" si="5"/>
        <v>0.5</v>
      </c>
      <c r="G55" s="252">
        <f>$E55*$F55</f>
        <v>627.5</v>
      </c>
      <c r="H55" s="256"/>
    </row>
    <row r="56" spans="1:8" ht="15.75" x14ac:dyDescent="0.25">
      <c r="A56" s="268" t="str">
        <f>IF('Saisie réservations'!B44&gt;=DATE(An,$G$5,1),IF('Saisie réservations'!B44&lt;=DATE(An,$H$5,31),'Saisie réservations'!B44,""),"")</f>
        <v/>
      </c>
      <c r="B56" s="206" t="str">
        <f>IF($A56&lt;&gt;"",'Saisie réservations'!C44,"")</f>
        <v/>
      </c>
      <c r="C56" s="237" t="str">
        <f>IF(A56="","",'Saisie réservations'!AA44)</f>
        <v/>
      </c>
      <c r="D56" s="237" t="str">
        <f>IF($A56="","",DATEDIF($A56,$B56,"D"))</f>
        <v/>
      </c>
      <c r="E56" s="237" t="str">
        <f>IF($A56="","",$C56*$D56)</f>
        <v/>
      </c>
      <c r="F56" s="207">
        <f t="shared" si="5"/>
        <v>0.5</v>
      </c>
      <c r="G56" s="207" t="str">
        <f t="shared" ref="G56:G76" si="10">IF($E56="","",$E56*$F56)</f>
        <v/>
      </c>
      <c r="H56" s="237" t="str">
        <f>IF(A56="","",'Saisie réservations'!J44)</f>
        <v/>
      </c>
    </row>
    <row r="57" spans="1:8" ht="15.75" x14ac:dyDescent="0.25">
      <c r="A57" s="268" t="str">
        <f>IF('Saisie réservations'!B45&gt;=DATE(An,1,1),IF('Saisie réservations'!B45&lt;=DATE(An,5,31),'Saisie réservations'!B45,""),"")</f>
        <v/>
      </c>
      <c r="B57" s="206" t="str">
        <f>IF($A57&lt;&gt;"",'Saisie réservations'!C45,"")</f>
        <v/>
      </c>
      <c r="C57" s="237" t="str">
        <f>IF(A57="","",'Saisie réservations'!AA45)</f>
        <v/>
      </c>
      <c r="D57" s="237" t="str">
        <f t="shared" ref="D57:D76" si="11">IF($A57="","",DATEDIF($A57,$B57,"D"))</f>
        <v/>
      </c>
      <c r="E57" s="237" t="str">
        <f t="shared" ref="E57:E76" si="12">IF($A57="","",$C57*$D57)</f>
        <v/>
      </c>
      <c r="F57" s="207">
        <f t="shared" si="5"/>
        <v>0.5</v>
      </c>
      <c r="G57" s="207" t="str">
        <f t="shared" si="10"/>
        <v/>
      </c>
      <c r="H57" s="237" t="str">
        <f>IF(A57="","",'Saisie réservations'!J45)</f>
        <v/>
      </c>
    </row>
    <row r="58" spans="1:8" ht="15.75" x14ac:dyDescent="0.25">
      <c r="A58" s="268" t="str">
        <f>IF('Saisie réservations'!B46&gt;=DATE(An,1,1),IF('Saisie réservations'!B46&lt;=DATE(An,5,31),'Saisie réservations'!B46,""),"")</f>
        <v/>
      </c>
      <c r="B58" s="206" t="str">
        <f>IF($A58&lt;&gt;"",'Saisie réservations'!C46,"")</f>
        <v/>
      </c>
      <c r="C58" s="237" t="str">
        <f>IF(A58="","",'Saisie réservations'!AA46)</f>
        <v/>
      </c>
      <c r="D58" s="237" t="str">
        <f t="shared" si="11"/>
        <v/>
      </c>
      <c r="E58" s="237" t="str">
        <f t="shared" si="12"/>
        <v/>
      </c>
      <c r="F58" s="207">
        <f t="shared" si="5"/>
        <v>0.5</v>
      </c>
      <c r="G58" s="207" t="str">
        <f t="shared" si="10"/>
        <v/>
      </c>
      <c r="H58" s="237" t="str">
        <f>IF(A58="","",'Saisie réservations'!J46)</f>
        <v/>
      </c>
    </row>
    <row r="59" spans="1:8" ht="15.75" x14ac:dyDescent="0.25">
      <c r="A59" s="268" t="str">
        <f>IF('Saisie réservations'!B47&gt;=DATE(An,1,1),IF('Saisie réservations'!B47&lt;=DATE(An,5,31),'Saisie réservations'!B47,""),"")</f>
        <v/>
      </c>
      <c r="B59" s="206" t="str">
        <f>IF($A59&lt;&gt;"",'Saisie réservations'!C47,"")</f>
        <v/>
      </c>
      <c r="C59" s="237" t="str">
        <f>IF(A59="","",'Saisie réservations'!AA47)</f>
        <v/>
      </c>
      <c r="D59" s="237" t="str">
        <f t="shared" si="11"/>
        <v/>
      </c>
      <c r="E59" s="237" t="str">
        <f t="shared" si="12"/>
        <v/>
      </c>
      <c r="F59" s="207">
        <f t="shared" si="5"/>
        <v>0.5</v>
      </c>
      <c r="G59" s="207" t="str">
        <f t="shared" si="10"/>
        <v/>
      </c>
      <c r="H59" s="237" t="str">
        <f>IF(A59="","",'Saisie réservations'!J47)</f>
        <v/>
      </c>
    </row>
    <row r="60" spans="1:8" ht="15.75" x14ac:dyDescent="0.25">
      <c r="A60" s="268" t="str">
        <f>IF('Saisie réservations'!B48&gt;=DATE(An,1,1),IF('Saisie réservations'!B48&lt;=DATE(An,5,31),'Saisie réservations'!B48,""),"")</f>
        <v/>
      </c>
      <c r="B60" s="206" t="str">
        <f>IF($A60&lt;&gt;"",'Saisie réservations'!C48,"")</f>
        <v/>
      </c>
      <c r="C60" s="237" t="str">
        <f>IF(A60="","",'Saisie réservations'!AA48)</f>
        <v/>
      </c>
      <c r="D60" s="237" t="str">
        <f t="shared" si="11"/>
        <v/>
      </c>
      <c r="E60" s="237" t="str">
        <f t="shared" si="12"/>
        <v/>
      </c>
      <c r="F60" s="207">
        <f t="shared" si="5"/>
        <v>0.5</v>
      </c>
      <c r="G60" s="207" t="str">
        <f t="shared" si="10"/>
        <v/>
      </c>
      <c r="H60" s="237" t="str">
        <f>IF(A60="","",'Saisie réservations'!J48)</f>
        <v/>
      </c>
    </row>
    <row r="61" spans="1:8" ht="15.75" x14ac:dyDescent="0.25">
      <c r="A61" s="268" t="str">
        <f>IF('Saisie réservations'!B49&gt;=DATE(An,1,1),IF('Saisie réservations'!B49&lt;=DATE(An,5,31),'Saisie réservations'!B49,""),"")</f>
        <v/>
      </c>
      <c r="B61" s="206" t="str">
        <f>IF($A61&lt;&gt;"",'Saisie réservations'!C49,"")</f>
        <v/>
      </c>
      <c r="C61" s="237" t="str">
        <f>IF(A61="","",'Saisie réservations'!AA49)</f>
        <v/>
      </c>
      <c r="D61" s="237" t="str">
        <f t="shared" si="11"/>
        <v/>
      </c>
      <c r="E61" s="237" t="str">
        <f t="shared" si="12"/>
        <v/>
      </c>
      <c r="F61" s="207">
        <f t="shared" si="5"/>
        <v>0.5</v>
      </c>
      <c r="G61" s="207" t="str">
        <f t="shared" si="10"/>
        <v/>
      </c>
      <c r="H61" s="237" t="str">
        <f>IF(A61="","",'Saisie réservations'!J49)</f>
        <v/>
      </c>
    </row>
    <row r="62" spans="1:8" ht="15.75" x14ac:dyDescent="0.25">
      <c r="A62" s="268" t="str">
        <f>IF('Saisie réservations'!B50&gt;=DATE(An,1,1),IF('Saisie réservations'!B50&lt;=DATE(An,5,31),'Saisie réservations'!B50,""),"")</f>
        <v/>
      </c>
      <c r="B62" s="206" t="str">
        <f>IF($A62&lt;&gt;"",'Saisie réservations'!C50,"")</f>
        <v/>
      </c>
      <c r="C62" s="237" t="str">
        <f>IF(A62="","",'Saisie réservations'!AA50)</f>
        <v/>
      </c>
      <c r="D62" s="237" t="str">
        <f t="shared" si="11"/>
        <v/>
      </c>
      <c r="E62" s="237" t="str">
        <f t="shared" si="12"/>
        <v/>
      </c>
      <c r="F62" s="207">
        <f t="shared" si="5"/>
        <v>0.5</v>
      </c>
      <c r="G62" s="207" t="str">
        <f t="shared" si="10"/>
        <v/>
      </c>
      <c r="H62" s="237" t="str">
        <f>IF(A62="","",'Saisie réservations'!J50)</f>
        <v/>
      </c>
    </row>
    <row r="63" spans="1:8" ht="15.75" x14ac:dyDescent="0.25">
      <c r="A63" s="268" t="str">
        <f>IF('Saisie réservations'!B51&gt;=DATE(An,1,1),IF('Saisie réservations'!B51&lt;=DATE(An,5,31),'Saisie réservations'!B51,""),"")</f>
        <v/>
      </c>
      <c r="B63" s="206" t="str">
        <f>IF($A63&lt;&gt;"",'Saisie réservations'!C51,"")</f>
        <v/>
      </c>
      <c r="C63" s="237" t="str">
        <f>IF(A63="","",'Saisie réservations'!AA51)</f>
        <v/>
      </c>
      <c r="D63" s="237" t="str">
        <f t="shared" si="11"/>
        <v/>
      </c>
      <c r="E63" s="237" t="str">
        <f t="shared" si="12"/>
        <v/>
      </c>
      <c r="F63" s="207">
        <f t="shared" si="5"/>
        <v>0.5</v>
      </c>
      <c r="G63" s="207" t="str">
        <f t="shared" si="10"/>
        <v/>
      </c>
      <c r="H63" s="237" t="str">
        <f>IF(A63="","",'Saisie réservations'!J51)</f>
        <v/>
      </c>
    </row>
    <row r="64" spans="1:8" ht="15.75" x14ac:dyDescent="0.25">
      <c r="A64" s="268" t="str">
        <f>IF('Saisie réservations'!B52&gt;=DATE(An,1,1),IF('Saisie réservations'!B52&lt;=DATE(An,5,31),'Saisie réservations'!B52,""),"")</f>
        <v/>
      </c>
      <c r="B64" s="206" t="str">
        <f>IF($A64&lt;&gt;"",'Saisie réservations'!C52,"")</f>
        <v/>
      </c>
      <c r="C64" s="237" t="str">
        <f>IF(A64="","",'Saisie réservations'!AA52)</f>
        <v/>
      </c>
      <c r="D64" s="237" t="str">
        <f t="shared" si="11"/>
        <v/>
      </c>
      <c r="E64" s="237" t="str">
        <f t="shared" si="12"/>
        <v/>
      </c>
      <c r="F64" s="207">
        <f t="shared" si="5"/>
        <v>0.5</v>
      </c>
      <c r="G64" s="207" t="str">
        <f t="shared" si="10"/>
        <v/>
      </c>
      <c r="H64" s="237" t="str">
        <f>IF(A64="","",'Saisie réservations'!J52)</f>
        <v/>
      </c>
    </row>
    <row r="65" spans="1:8" ht="15.75" x14ac:dyDescent="0.25">
      <c r="A65" s="268" t="str">
        <f>IF('Saisie réservations'!B53&gt;=DATE(An,1,1),IF('Saisie réservations'!B53&lt;=DATE(An,5,31),'Saisie réservations'!B53,""),"")</f>
        <v/>
      </c>
      <c r="B65" s="206" t="str">
        <f>IF($A65&lt;&gt;"",'Saisie réservations'!C53,"")</f>
        <v/>
      </c>
      <c r="C65" s="237" t="str">
        <f>IF(A65="","",'Saisie réservations'!AA53)</f>
        <v/>
      </c>
      <c r="D65" s="237" t="str">
        <f t="shared" si="11"/>
        <v/>
      </c>
      <c r="E65" s="237" t="str">
        <f t="shared" si="12"/>
        <v/>
      </c>
      <c r="F65" s="207">
        <f t="shared" si="5"/>
        <v>0.5</v>
      </c>
      <c r="G65" s="207" t="str">
        <f t="shared" si="10"/>
        <v/>
      </c>
      <c r="H65" s="237" t="str">
        <f>IF(A65="","",'Saisie réservations'!J53)</f>
        <v/>
      </c>
    </row>
    <row r="66" spans="1:8" ht="15.75" x14ac:dyDescent="0.25">
      <c r="A66" s="268" t="str">
        <f>IF('Saisie réservations'!B54&gt;=DATE(An,1,1),IF('Saisie réservations'!B54&lt;=DATE(An,5,31),'Saisie réservations'!B54,""),"")</f>
        <v/>
      </c>
      <c r="B66" s="206" t="str">
        <f>IF($A66&lt;&gt;"",'Saisie réservations'!C54,"")</f>
        <v/>
      </c>
      <c r="C66" s="237" t="str">
        <f>IF(A66="","",'Saisie réservations'!AA54)</f>
        <v/>
      </c>
      <c r="D66" s="237" t="str">
        <f t="shared" si="11"/>
        <v/>
      </c>
      <c r="E66" s="237" t="str">
        <f t="shared" si="12"/>
        <v/>
      </c>
      <c r="F66" s="207">
        <f t="shared" si="5"/>
        <v>0.5</v>
      </c>
      <c r="G66" s="207" t="str">
        <f t="shared" si="10"/>
        <v/>
      </c>
      <c r="H66" s="237" t="str">
        <f>IF(A66="","",'Saisie réservations'!J54)</f>
        <v/>
      </c>
    </row>
    <row r="67" spans="1:8" ht="15.75" x14ac:dyDescent="0.25">
      <c r="A67" s="268" t="str">
        <f>IF('Saisie réservations'!B55&gt;=DATE(An,1,1),IF('Saisie réservations'!B55&lt;=DATE(An,5,31),'Saisie réservations'!B55,""),"")</f>
        <v/>
      </c>
      <c r="B67" s="206" t="str">
        <f>IF($A67&lt;&gt;"",'Saisie réservations'!C55,"")</f>
        <v/>
      </c>
      <c r="C67" s="237" t="str">
        <f>IF(A67="","",'Saisie réservations'!AA55)</f>
        <v/>
      </c>
      <c r="D67" s="237" t="str">
        <f t="shared" si="11"/>
        <v/>
      </c>
      <c r="E67" s="237" t="str">
        <f t="shared" si="12"/>
        <v/>
      </c>
      <c r="F67" s="207">
        <f t="shared" si="5"/>
        <v>0.5</v>
      </c>
      <c r="G67" s="207" t="str">
        <f t="shared" si="10"/>
        <v/>
      </c>
      <c r="H67" s="237" t="str">
        <f>IF(A67="","",'Saisie réservations'!J55)</f>
        <v/>
      </c>
    </row>
    <row r="68" spans="1:8" ht="15.75" x14ac:dyDescent="0.25">
      <c r="A68" s="268" t="str">
        <f>IF('Saisie réservations'!B56&gt;=DATE(An,1,1),IF('Saisie réservations'!B56&lt;=DATE(An,5,31),'Saisie réservations'!B56,""),"")</f>
        <v/>
      </c>
      <c r="B68" s="206" t="str">
        <f>IF($A68&lt;&gt;"",'Saisie réservations'!C56,"")</f>
        <v/>
      </c>
      <c r="C68" s="237" t="str">
        <f>IF(A68="","",'Saisie réservations'!AA56)</f>
        <v/>
      </c>
      <c r="D68" s="237" t="str">
        <f t="shared" si="11"/>
        <v/>
      </c>
      <c r="E68" s="237" t="str">
        <f t="shared" si="12"/>
        <v/>
      </c>
      <c r="F68" s="207">
        <f t="shared" si="5"/>
        <v>0.5</v>
      </c>
      <c r="G68" s="207" t="str">
        <f t="shared" si="10"/>
        <v/>
      </c>
      <c r="H68" s="237" t="str">
        <f>IF(A68="","",'Saisie réservations'!J56)</f>
        <v/>
      </c>
    </row>
    <row r="69" spans="1:8" ht="15.75" x14ac:dyDescent="0.25">
      <c r="A69" s="268" t="str">
        <f>IF('Saisie réservations'!B57&gt;=DATE(An,1,1),IF('Saisie réservations'!B57&lt;=DATE(An,5,31),'Saisie réservations'!B57,""),"")</f>
        <v/>
      </c>
      <c r="B69" s="206" t="str">
        <f>IF($A69&lt;&gt;"",'Saisie réservations'!C57,"")</f>
        <v/>
      </c>
      <c r="C69" s="237" t="str">
        <f>IF(A69="","",'Saisie réservations'!AA57)</f>
        <v/>
      </c>
      <c r="D69" s="237" t="str">
        <f t="shared" si="11"/>
        <v/>
      </c>
      <c r="E69" s="237" t="str">
        <f t="shared" si="12"/>
        <v/>
      </c>
      <c r="F69" s="207">
        <f t="shared" si="5"/>
        <v>0.5</v>
      </c>
      <c r="G69" s="207" t="str">
        <f t="shared" si="10"/>
        <v/>
      </c>
      <c r="H69" s="237" t="str">
        <f>IF(A69="","",'Saisie réservations'!J57)</f>
        <v/>
      </c>
    </row>
    <row r="70" spans="1:8" ht="15.75" x14ac:dyDescent="0.25">
      <c r="A70" s="268" t="str">
        <f>IF('Saisie réservations'!B58&gt;=DATE(An,1,1),IF('Saisie réservations'!B58&lt;=DATE(An,5,31),'Saisie réservations'!B58,""),"")</f>
        <v/>
      </c>
      <c r="B70" s="206" t="str">
        <f>IF($A70&lt;&gt;"",'Saisie réservations'!C58,"")</f>
        <v/>
      </c>
      <c r="C70" s="237" t="str">
        <f>IF(A70="","",'Saisie réservations'!AA58)</f>
        <v/>
      </c>
      <c r="D70" s="237" t="str">
        <f t="shared" si="11"/>
        <v/>
      </c>
      <c r="E70" s="237" t="str">
        <f t="shared" si="12"/>
        <v/>
      </c>
      <c r="F70" s="207">
        <f t="shared" si="5"/>
        <v>0.5</v>
      </c>
      <c r="G70" s="207" t="str">
        <f t="shared" si="10"/>
        <v/>
      </c>
      <c r="H70" s="237" t="str">
        <f>IF(A70="","",'Saisie réservations'!J58)</f>
        <v/>
      </c>
    </row>
    <row r="71" spans="1:8" ht="15.75" x14ac:dyDescent="0.25">
      <c r="A71" s="268" t="str">
        <f>IF('Saisie réservations'!B59&gt;=DATE(An,1,1),IF('Saisie réservations'!B59&lt;=DATE(An,5,31),'Saisie réservations'!B59,""),"")</f>
        <v/>
      </c>
      <c r="B71" s="206" t="str">
        <f>IF($A71&lt;&gt;"",'Saisie réservations'!C59,"")</f>
        <v/>
      </c>
      <c r="C71" s="237" t="str">
        <f>IF(A71="","",'Saisie réservations'!AA59)</f>
        <v/>
      </c>
      <c r="D71" s="237" t="str">
        <f t="shared" si="11"/>
        <v/>
      </c>
      <c r="E71" s="237" t="str">
        <f t="shared" si="12"/>
        <v/>
      </c>
      <c r="F71" s="207">
        <f t="shared" si="5"/>
        <v>0.5</v>
      </c>
      <c r="G71" s="207" t="str">
        <f t="shared" si="10"/>
        <v/>
      </c>
      <c r="H71" s="237" t="str">
        <f>IF(A71="","",'Saisie réservations'!J59)</f>
        <v/>
      </c>
    </row>
    <row r="72" spans="1:8" ht="15.75" x14ac:dyDescent="0.25">
      <c r="A72" s="268" t="str">
        <f>IF('Saisie réservations'!B60&gt;=DATE(An,1,1),IF('Saisie réservations'!B60&lt;=DATE(An,5,31),'Saisie réservations'!B60,""),"")</f>
        <v/>
      </c>
      <c r="B72" s="206" t="str">
        <f>IF($A72&lt;&gt;"",'Saisie réservations'!C60,"")</f>
        <v/>
      </c>
      <c r="C72" s="237" t="str">
        <f>IF(A72="","",'Saisie réservations'!AA60)</f>
        <v/>
      </c>
      <c r="D72" s="237" t="str">
        <f t="shared" si="11"/>
        <v/>
      </c>
      <c r="E72" s="237" t="str">
        <f t="shared" si="12"/>
        <v/>
      </c>
      <c r="F72" s="207">
        <f t="shared" si="5"/>
        <v>0.5</v>
      </c>
      <c r="G72" s="207" t="str">
        <f t="shared" si="10"/>
        <v/>
      </c>
      <c r="H72" s="237" t="str">
        <f>IF(A72="","",'Saisie réservations'!J60)</f>
        <v/>
      </c>
    </row>
    <row r="73" spans="1:8" ht="15.75" x14ac:dyDescent="0.25">
      <c r="A73" s="268" t="str">
        <f>IF('Saisie réservations'!B61&gt;=DATE(An,1,1),IF('Saisie réservations'!B61&lt;=DATE(An,5,31),'Saisie réservations'!B61,""),"")</f>
        <v/>
      </c>
      <c r="B73" s="206" t="str">
        <f>IF($A73&lt;&gt;"",'Saisie réservations'!C61,"")</f>
        <v/>
      </c>
      <c r="C73" s="237" t="str">
        <f>IF(A73="","",'Saisie réservations'!AA61)</f>
        <v/>
      </c>
      <c r="D73" s="237" t="str">
        <f t="shared" si="11"/>
        <v/>
      </c>
      <c r="E73" s="237" t="str">
        <f t="shared" si="12"/>
        <v/>
      </c>
      <c r="F73" s="207">
        <f t="shared" si="5"/>
        <v>0.5</v>
      </c>
      <c r="G73" s="207" t="str">
        <f t="shared" si="10"/>
        <v/>
      </c>
      <c r="H73" s="237" t="str">
        <f>IF(A73="","",'Saisie réservations'!J61)</f>
        <v/>
      </c>
    </row>
    <row r="74" spans="1:8" ht="15.75" x14ac:dyDescent="0.25">
      <c r="A74" s="268" t="str">
        <f>IF('Saisie réservations'!B62&gt;=DATE(An,1,1),IF('Saisie réservations'!B62&lt;=DATE(An,5,31),'Saisie réservations'!B62,""),"")</f>
        <v/>
      </c>
      <c r="B74" s="206" t="str">
        <f>IF($A74&lt;&gt;"",'Saisie réservations'!C62,"")</f>
        <v/>
      </c>
      <c r="C74" s="237" t="str">
        <f>IF(A74="","",'Saisie réservations'!AA62)</f>
        <v/>
      </c>
      <c r="D74" s="237" t="str">
        <f t="shared" si="11"/>
        <v/>
      </c>
      <c r="E74" s="237" t="str">
        <f t="shared" si="12"/>
        <v/>
      </c>
      <c r="F74" s="207">
        <f t="shared" si="5"/>
        <v>0.5</v>
      </c>
      <c r="G74" s="207" t="str">
        <f t="shared" si="10"/>
        <v/>
      </c>
      <c r="H74" s="237" t="str">
        <f>IF(A74="","",'Saisie réservations'!J62)</f>
        <v/>
      </c>
    </row>
    <row r="75" spans="1:8" ht="15.75" x14ac:dyDescent="0.25">
      <c r="A75" s="268" t="str">
        <f>IF('Saisie réservations'!B63&gt;=DATE(An,1,1),IF('Saisie réservations'!B63&lt;=DATE(An,5,31),'Saisie réservations'!B63,""),"")</f>
        <v/>
      </c>
      <c r="B75" s="206" t="str">
        <f>IF($A75&lt;&gt;"",'Saisie réservations'!C63,"")</f>
        <v/>
      </c>
      <c r="C75" s="237" t="str">
        <f>IF(A75="","",'Saisie réservations'!AA63)</f>
        <v/>
      </c>
      <c r="D75" s="237" t="str">
        <f t="shared" si="11"/>
        <v/>
      </c>
      <c r="E75" s="237" t="str">
        <f t="shared" si="12"/>
        <v/>
      </c>
      <c r="F75" s="207">
        <f t="shared" si="5"/>
        <v>0.5</v>
      </c>
      <c r="G75" s="207" t="str">
        <f t="shared" si="10"/>
        <v/>
      </c>
      <c r="H75" s="237" t="str">
        <f>IF(A75="","",'Saisie réservations'!J63)</f>
        <v/>
      </c>
    </row>
    <row r="76" spans="1:8" ht="15.75" x14ac:dyDescent="0.25">
      <c r="A76" s="268" t="str">
        <f>IF('Saisie réservations'!B64&gt;=DATE(An,1,1),IF('Saisie réservations'!B64&lt;=DATE(An,5,31),'Saisie réservations'!B64,""),"")</f>
        <v/>
      </c>
      <c r="B76" s="206" t="str">
        <f>IF($A76&lt;&gt;"",'Saisie réservations'!C64,"")</f>
        <v/>
      </c>
      <c r="C76" s="237" t="str">
        <f>IF(A76="","",'Saisie réservations'!AA64)</f>
        <v/>
      </c>
      <c r="D76" s="237" t="str">
        <f t="shared" si="11"/>
        <v/>
      </c>
      <c r="E76" s="237" t="str">
        <f t="shared" si="12"/>
        <v/>
      </c>
      <c r="F76" s="207">
        <f t="shared" si="5"/>
        <v>0.5</v>
      </c>
      <c r="G76" s="207" t="str">
        <f t="shared" si="10"/>
        <v/>
      </c>
      <c r="H76" s="237" t="str">
        <f>IF(A76="","",'Saisie réservations'!J64)</f>
        <v/>
      </c>
    </row>
    <row r="77" spans="1:8" s="254" customFormat="1" ht="16.5" x14ac:dyDescent="0.3">
      <c r="A77" s="269"/>
      <c r="B77" s="248" t="str">
        <f>"Total"&amp;IF(COUNTIFS(Saisie[Date d''arrivée],"&gt;="&amp;DATE(An,1,1),Saisie[Date d''arrivée],"&lt;="&amp;DATE(An,5,31))&gt;COUNTA($A$10:$A77)," à reporter","")</f>
        <v>Total</v>
      </c>
      <c r="C77" s="258"/>
      <c r="D77" s="259"/>
      <c r="E77" s="251">
        <f>SUM($E55:$E76)</f>
        <v>1255</v>
      </c>
      <c r="F77" s="252">
        <v>0.5</v>
      </c>
      <c r="G77" s="246">
        <f>$E77*$F77</f>
        <v>627.5</v>
      </c>
      <c r="H77" s="253"/>
    </row>
    <row r="78" spans="1:8" ht="15.75" x14ac:dyDescent="0.25">
      <c r="A78" s="239"/>
      <c r="B78" s="239"/>
      <c r="C78" s="239"/>
      <c r="D78" s="239"/>
      <c r="E78" s="239"/>
      <c r="F78" s="239"/>
      <c r="G78" s="208"/>
      <c r="H78" s="209"/>
    </row>
    <row r="79" spans="1:8" ht="15.75" x14ac:dyDescent="0.25">
      <c r="A79" s="239"/>
      <c r="B79" s="239"/>
      <c r="C79" s="211"/>
      <c r="D79" s="211"/>
      <c r="E79" s="211"/>
      <c r="F79" s="239"/>
      <c r="G79" s="210"/>
      <c r="H79" s="212"/>
    </row>
    <row r="80" spans="1:8" ht="15.75" x14ac:dyDescent="0.25">
      <c r="A80" s="361" t="s">
        <v>176</v>
      </c>
      <c r="B80" s="361"/>
      <c r="C80" s="361"/>
      <c r="D80" s="211"/>
      <c r="E80" s="239" t="s">
        <v>171</v>
      </c>
      <c r="F80" s="215"/>
      <c r="G80" s="210"/>
      <c r="H80" s="212"/>
    </row>
    <row r="81" spans="1:8" ht="15.75" x14ac:dyDescent="0.25">
      <c r="A81" s="239"/>
      <c r="B81" s="239"/>
      <c r="C81" s="211"/>
      <c r="D81" s="211"/>
      <c r="E81" s="211"/>
      <c r="F81" s="239"/>
      <c r="G81" s="213"/>
      <c r="H81" s="214"/>
    </row>
  </sheetData>
  <mergeCells count="12">
    <mergeCell ref="A80:C80"/>
    <mergeCell ref="A4:H4"/>
    <mergeCell ref="A3:H3"/>
    <mergeCell ref="A1:H2"/>
    <mergeCell ref="A8:B8"/>
    <mergeCell ref="C8:C9"/>
    <mergeCell ref="D8:D9"/>
    <mergeCell ref="E8:E9"/>
    <mergeCell ref="H7:H9"/>
    <mergeCell ref="F8:F9"/>
    <mergeCell ref="C7:F7"/>
    <mergeCell ref="G7:G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landscape" horizontalDpi="4294967293" verticalDpi="0" r:id="rId1"/>
  <rowBreaks count="2" manualBreakCount="2">
    <brk id="31" max="16383" man="1"/>
    <brk id="5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J81"/>
  <sheetViews>
    <sheetView tabSelected="1" topLeftCell="A37" zoomScale="80" zoomScaleNormal="80" workbookViewId="0">
      <selection activeCell="H5" sqref="H5"/>
    </sheetView>
  </sheetViews>
  <sheetFormatPr baseColWidth="10" defaultRowHeight="12.75" x14ac:dyDescent="0.2"/>
  <cols>
    <col min="1" max="2" width="23.5" customWidth="1"/>
    <col min="4" max="5" width="10.83203125" customWidth="1"/>
    <col min="6" max="6" width="9.83203125" customWidth="1"/>
    <col min="7" max="7" width="27.83203125" customWidth="1"/>
    <col min="8" max="8" width="22.83203125" customWidth="1"/>
    <col min="10" max="10" width="16.83203125" customWidth="1"/>
  </cols>
  <sheetData>
    <row r="1" spans="1:10" x14ac:dyDescent="0.2">
      <c r="A1" s="364" t="s">
        <v>158</v>
      </c>
      <c r="B1" s="365"/>
      <c r="C1" s="365"/>
      <c r="D1" s="365"/>
      <c r="E1" s="365"/>
      <c r="F1" s="365"/>
      <c r="G1" s="365"/>
      <c r="H1" s="366"/>
    </row>
    <row r="2" spans="1:10" ht="13.5" thickBot="1" x14ac:dyDescent="0.25">
      <c r="A2" s="367"/>
      <c r="B2" s="368"/>
      <c r="C2" s="368"/>
      <c r="D2" s="368"/>
      <c r="E2" s="368"/>
      <c r="F2" s="368"/>
      <c r="G2" s="368"/>
      <c r="H2" s="369"/>
    </row>
    <row r="3" spans="1:10" ht="15.75" x14ac:dyDescent="0.2">
      <c r="A3" s="363" t="s">
        <v>159</v>
      </c>
      <c r="B3" s="363"/>
      <c r="C3" s="363"/>
      <c r="D3" s="363"/>
      <c r="E3" s="363"/>
      <c r="F3" s="363"/>
      <c r="G3" s="363"/>
      <c r="H3" s="363"/>
    </row>
    <row r="4" spans="1:10" ht="15.75" x14ac:dyDescent="0.2">
      <c r="A4" s="362" t="s">
        <v>160</v>
      </c>
      <c r="B4" s="362"/>
      <c r="C4" s="362"/>
      <c r="D4" s="362"/>
      <c r="E4" s="362"/>
      <c r="F4" s="362"/>
      <c r="G4" s="362"/>
      <c r="H4" s="362"/>
    </row>
    <row r="5" spans="1:10" ht="15.75" x14ac:dyDescent="0.25">
      <c r="A5" s="239"/>
      <c r="B5" s="239"/>
      <c r="C5" s="239"/>
      <c r="D5" s="239"/>
      <c r="E5" s="239"/>
      <c r="F5" s="265">
        <f>COUNTIF('Taxe de séjour Janv-Mai'!A10:A100,"&gt;0")</f>
        <v>42</v>
      </c>
      <c r="G5" s="266">
        <v>6</v>
      </c>
      <c r="H5" s="266">
        <v>8</v>
      </c>
    </row>
    <row r="6" spans="1:10" ht="15.75" x14ac:dyDescent="0.25">
      <c r="A6" s="239"/>
      <c r="B6" s="239"/>
      <c r="C6" s="239"/>
      <c r="D6" s="239"/>
      <c r="E6" s="239"/>
      <c r="F6" s="239"/>
      <c r="G6" s="239"/>
      <c r="H6" s="239"/>
    </row>
    <row r="7" spans="1:10" ht="15.75" x14ac:dyDescent="0.25">
      <c r="A7" s="239"/>
      <c r="B7" s="239"/>
      <c r="C7" s="370" t="s">
        <v>161</v>
      </c>
      <c r="D7" s="370"/>
      <c r="E7" s="370"/>
      <c r="F7" s="370"/>
      <c r="G7" s="372" t="s">
        <v>162</v>
      </c>
      <c r="H7" s="372" t="s">
        <v>163</v>
      </c>
    </row>
    <row r="8" spans="1:10" ht="15.75" x14ac:dyDescent="0.25">
      <c r="A8" s="370" t="s">
        <v>164</v>
      </c>
      <c r="B8" s="371"/>
      <c r="C8" s="372" t="s">
        <v>165</v>
      </c>
      <c r="D8" s="372" t="s">
        <v>166</v>
      </c>
      <c r="E8" s="372" t="s">
        <v>105</v>
      </c>
      <c r="F8" s="372" t="s">
        <v>167</v>
      </c>
      <c r="G8" s="372"/>
      <c r="H8" s="372"/>
    </row>
    <row r="9" spans="1:10" ht="15.75" x14ac:dyDescent="0.25">
      <c r="A9" s="237" t="s">
        <v>168</v>
      </c>
      <c r="B9" s="238" t="s">
        <v>169</v>
      </c>
      <c r="C9" s="372"/>
      <c r="D9" s="372"/>
      <c r="E9" s="372"/>
      <c r="F9" s="372"/>
      <c r="G9" s="372"/>
      <c r="H9" s="372"/>
    </row>
    <row r="10" spans="1:10" ht="15.75" x14ac:dyDescent="0.25">
      <c r="A10" s="205">
        <f ca="1">IF(OFFSET('Saisie réservations'!B2,$F$5,0)&gt;=DATE(An,$G$5,1),IF(OFFSET('Saisie réservations'!B2,$F$5,0)&lt;=DATE(An,$H$5,31),OFFSET('Saisie réservations'!B2,$F$5,0),""),"")</f>
        <v>42887</v>
      </c>
      <c r="B10" s="206">
        <f ca="1">IF($A10&lt;&gt;"",OFFSET('Saisie réservations'!C2,$F$5,0),"")</f>
        <v>42888</v>
      </c>
      <c r="C10" s="237">
        <f ca="1">IF(A10="","",OFFSET('Saisie réservations'!AA2,$F$5,0))</f>
        <v>0</v>
      </c>
      <c r="D10" s="237">
        <f ca="1">IF($A10="","",DATEDIF($A10,$B10,"D"))</f>
        <v>1</v>
      </c>
      <c r="E10" s="237">
        <f ca="1">IF($A10="","",$C10*$D10)</f>
        <v>0</v>
      </c>
      <c r="F10" s="207">
        <f t="shared" ref="F10:F30" ca="1" si="0">IF(A10&lt;&gt;"",Taxe,0)</f>
        <v>0.5</v>
      </c>
      <c r="G10" s="207">
        <f ca="1">IF($E10="","",$E10*$F10)</f>
        <v>0</v>
      </c>
      <c r="H10" s="237">
        <f ca="1">IF(A10="","",OFFSET('Saisie réservations'!J2,$F$5,0))</f>
        <v>33</v>
      </c>
      <c r="J10" s="263"/>
    </row>
    <row r="11" spans="1:10" ht="15.75" x14ac:dyDescent="0.25">
      <c r="A11" s="205">
        <f ca="1">IF(OFFSET('Saisie réservations'!B3,$F$5,0)&gt;=DATE(An,$G$5,1),IF(OFFSET('Saisie réservations'!B3,$F$5,0)&lt;=DATE(An,$H$5,31),OFFSET('Saisie réservations'!B3,$F$5,0),""),"")</f>
        <v>42888</v>
      </c>
      <c r="B11" s="206">
        <f ca="1">IF($A11&lt;&gt;"",OFFSET('Saisie réservations'!C3,$F$5,0),"")</f>
        <v>42889</v>
      </c>
      <c r="C11" s="237">
        <f ca="1">IF(A11="","",OFFSET('Saisie réservations'!AA3,$F$5,0))</f>
        <v>3</v>
      </c>
      <c r="D11" s="237">
        <f t="shared" ref="D11:D30" ca="1" si="1">IF($A11="","",DATEDIF($A11,$B11,"D"))</f>
        <v>1</v>
      </c>
      <c r="E11" s="237">
        <f t="shared" ref="E11:E30" ca="1" si="2">IF($A11="","",$C11*$D11)</f>
        <v>3</v>
      </c>
      <c r="F11" s="207">
        <f t="shared" ca="1" si="0"/>
        <v>0.5</v>
      </c>
      <c r="G11" s="207">
        <f t="shared" ref="G11:G30" ca="1" si="3">IF($E11="","",$E11*$F11)</f>
        <v>1.5</v>
      </c>
      <c r="H11" s="237">
        <f ca="1">IF(A11="","",OFFSET('Saisie réservations'!J3,$F$5,0))</f>
        <v>3</v>
      </c>
    </row>
    <row r="12" spans="1:10" ht="15.75" x14ac:dyDescent="0.25">
      <c r="A12" s="205">
        <f ca="1">IF(OFFSET('Saisie réservations'!B4,$F$5,0)&gt;=DATE(An,$G$5,1),IF(OFFSET('Saisie réservations'!B4,$F$5,0)&lt;=DATE(An,$H$5,31),OFFSET('Saisie réservations'!B4,$F$5,0),""),"")</f>
        <v>42889</v>
      </c>
      <c r="B12" s="206">
        <f ca="1">IF($A12&lt;&gt;"",OFFSET('Saisie réservations'!C4,$F$5,0),"")</f>
        <v>42891</v>
      </c>
      <c r="C12" s="237">
        <f ca="1">IF(A12="","",OFFSET('Saisie réservations'!AA4,$F$5,0))</f>
        <v>23</v>
      </c>
      <c r="D12" s="237">
        <f t="shared" ca="1" si="1"/>
        <v>2</v>
      </c>
      <c r="E12" s="237">
        <f t="shared" ca="1" si="2"/>
        <v>46</v>
      </c>
      <c r="F12" s="207">
        <f t="shared" ca="1" si="0"/>
        <v>0.5</v>
      </c>
      <c r="G12" s="207">
        <f t="shared" ca="1" si="3"/>
        <v>23</v>
      </c>
      <c r="H12" s="237">
        <f ca="1">IF(A12="","",OFFSET('Saisie réservations'!J4,$F$5,0))</f>
        <v>23</v>
      </c>
    </row>
    <row r="13" spans="1:10" ht="15.75" x14ac:dyDescent="0.25">
      <c r="A13" s="205">
        <f ca="1">IF(OFFSET('Saisie réservations'!B5,$F$5,0)&gt;=DATE(An,$G$5,1),IF(OFFSET('Saisie réservations'!B5,$F$5,0)&lt;=DATE(An,$H$5,31),OFFSET('Saisie réservations'!B5,$F$5,0),""),"")</f>
        <v>42889</v>
      </c>
      <c r="B13" s="206">
        <f ca="1">IF($A13&lt;&gt;"",OFFSET('Saisie réservations'!C5,$F$5,0),"")</f>
        <v>42891</v>
      </c>
      <c r="C13" s="237">
        <f ca="1">IF(A13="","",OFFSET('Saisie réservations'!AA5,$F$5,0))</f>
        <v>19</v>
      </c>
      <c r="D13" s="237">
        <f t="shared" ca="1" si="1"/>
        <v>2</v>
      </c>
      <c r="E13" s="237">
        <f t="shared" ca="1" si="2"/>
        <v>38</v>
      </c>
      <c r="F13" s="207">
        <f t="shared" ca="1" si="0"/>
        <v>0.5</v>
      </c>
      <c r="G13" s="207">
        <f t="shared" ca="1" si="3"/>
        <v>19</v>
      </c>
      <c r="H13" s="237">
        <f ca="1">IF(A13="","",OFFSET('Saisie réservations'!J5,$F$5,0))</f>
        <v>19</v>
      </c>
    </row>
    <row r="14" spans="1:10" ht="15.75" x14ac:dyDescent="0.25">
      <c r="A14" s="205">
        <f ca="1">IF(OFFSET('Saisie réservations'!B6,$F$5,0)&gt;=DATE(An,$G$5,1),IF(OFFSET('Saisie réservations'!B6,$F$5,0)&lt;=DATE(An,$H$5,31),OFFSET('Saisie réservations'!B6,$F$5,0),""),"")</f>
        <v>42892</v>
      </c>
      <c r="B14" s="206">
        <f ca="1">IF($A14&lt;&gt;"",OFFSET('Saisie réservations'!C6,$F$5,0),"")</f>
        <v>42895</v>
      </c>
      <c r="C14" s="237">
        <f ca="1">IF(A14="","",OFFSET('Saisie réservations'!AA6,$F$5,0))</f>
        <v>27</v>
      </c>
      <c r="D14" s="237">
        <f t="shared" ca="1" si="1"/>
        <v>3</v>
      </c>
      <c r="E14" s="237">
        <f t="shared" ca="1" si="2"/>
        <v>81</v>
      </c>
      <c r="F14" s="207">
        <f t="shared" ca="1" si="0"/>
        <v>0.5</v>
      </c>
      <c r="G14" s="207">
        <f t="shared" ca="1" si="3"/>
        <v>40.5</v>
      </c>
      <c r="H14" s="237">
        <f ca="1">IF(A14="","",OFFSET('Saisie réservations'!J6,$F$5,0))</f>
        <v>28</v>
      </c>
    </row>
    <row r="15" spans="1:10" ht="15.75" x14ac:dyDescent="0.25">
      <c r="A15" s="205">
        <f ca="1">IF(OFFSET('Saisie réservations'!B7,$F$5,0)&gt;=DATE(An,$G$5,1),IF(OFFSET('Saisie réservations'!B7,$F$5,0)&lt;=DATE(An,$H$5,31),OFFSET('Saisie réservations'!B7,$F$5,0),""),"")</f>
        <v>42895</v>
      </c>
      <c r="B15" s="206">
        <f ca="1">IF($A15&lt;&gt;"",OFFSET('Saisie réservations'!C7,$F$5,0),"")</f>
        <v>42897</v>
      </c>
      <c r="C15" s="237">
        <f ca="1">IF(A15="","",OFFSET('Saisie réservations'!AA7,$F$5,0))</f>
        <v>20</v>
      </c>
      <c r="D15" s="237">
        <f t="shared" ca="1" si="1"/>
        <v>2</v>
      </c>
      <c r="E15" s="237">
        <f t="shared" ca="1" si="2"/>
        <v>40</v>
      </c>
      <c r="F15" s="207">
        <f t="shared" ca="1" si="0"/>
        <v>0.5</v>
      </c>
      <c r="G15" s="207">
        <f t="shared" ca="1" si="3"/>
        <v>20</v>
      </c>
      <c r="H15" s="237">
        <f ca="1">IF(A15="","",OFFSET('Saisie réservations'!J7,$F$5,0))</f>
        <v>25</v>
      </c>
    </row>
    <row r="16" spans="1:10" ht="15.75" x14ac:dyDescent="0.25">
      <c r="A16" s="205">
        <f ca="1">IF(OFFSET('Saisie réservations'!B8,$F$5,0)&gt;=DATE(An,$G$5,1),IF(OFFSET('Saisie réservations'!B8,$F$5,0)&lt;=DATE(An,$H$5,31),OFFSET('Saisie réservations'!B8,$F$5,0),""),"")</f>
        <v>42897</v>
      </c>
      <c r="B16" s="206">
        <f ca="1">IF($A16&lt;&gt;"",OFFSET('Saisie réservations'!C8,$F$5,0),"")</f>
        <v>42898</v>
      </c>
      <c r="C16" s="237">
        <f ca="1">IF(A16="","",OFFSET('Saisie réservations'!AA8,$F$5,0))</f>
        <v>2</v>
      </c>
      <c r="D16" s="237">
        <f t="shared" ca="1" si="1"/>
        <v>1</v>
      </c>
      <c r="E16" s="237">
        <f t="shared" ca="1" si="2"/>
        <v>2</v>
      </c>
      <c r="F16" s="207">
        <f t="shared" ca="1" si="0"/>
        <v>0.5</v>
      </c>
      <c r="G16" s="207">
        <f t="shared" ca="1" si="3"/>
        <v>1</v>
      </c>
      <c r="H16" s="237">
        <f ca="1">IF(A16="","",OFFSET('Saisie réservations'!J8,$F$5,0))</f>
        <v>2</v>
      </c>
    </row>
    <row r="17" spans="1:8" ht="15.75" x14ac:dyDescent="0.25">
      <c r="A17" s="205">
        <f ca="1">IF(OFFSET('Saisie réservations'!B9,$F$5,0)&gt;=DATE(An,$G$5,1),IF(OFFSET('Saisie réservations'!B9,$F$5,0)&lt;=DATE(An,$H$5,31),OFFSET('Saisie réservations'!B9,$F$5,0),""),"")</f>
        <v>42898</v>
      </c>
      <c r="B17" s="206">
        <f ca="1">IF($A17&lt;&gt;"",OFFSET('Saisie réservations'!C9,$F$5,0),"")</f>
        <v>42899</v>
      </c>
      <c r="C17" s="237">
        <f ca="1">IF(A17="","",OFFSET('Saisie réservations'!AA9,$F$5,0))</f>
        <v>0</v>
      </c>
      <c r="D17" s="237">
        <f t="shared" ca="1" si="1"/>
        <v>1</v>
      </c>
      <c r="E17" s="237">
        <f t="shared" ca="1" si="2"/>
        <v>0</v>
      </c>
      <c r="F17" s="207">
        <f t="shared" ca="1" si="0"/>
        <v>0.5</v>
      </c>
      <c r="G17" s="207">
        <f t="shared" ca="1" si="3"/>
        <v>0</v>
      </c>
      <c r="H17" s="237">
        <f ca="1">IF(A17="","",OFFSET('Saisie réservations'!J9,$F$5,0))</f>
        <v>33</v>
      </c>
    </row>
    <row r="18" spans="1:8" ht="15.75" x14ac:dyDescent="0.25">
      <c r="A18" s="205">
        <f ca="1">IF(OFFSET('Saisie réservations'!B10,$F$5,0)&gt;=DATE(An,$G$5,1),IF(OFFSET('Saisie réservations'!B10,$F$5,0)&lt;=DATE(An,$H$5,31),OFFSET('Saisie réservations'!B10,$F$5,0),""),"")</f>
        <v>42899</v>
      </c>
      <c r="B18" s="206">
        <f ca="1">IF($A18&lt;&gt;"",OFFSET('Saisie réservations'!C10,$F$5,0),"")</f>
        <v>42900</v>
      </c>
      <c r="C18" s="237">
        <f ca="1">IF(A18="","",OFFSET('Saisie réservations'!AA10,$F$5,0))</f>
        <v>0</v>
      </c>
      <c r="D18" s="237">
        <f t="shared" ca="1" si="1"/>
        <v>1</v>
      </c>
      <c r="E18" s="237">
        <f t="shared" ca="1" si="2"/>
        <v>0</v>
      </c>
      <c r="F18" s="207">
        <f t="shared" ca="1" si="0"/>
        <v>0.5</v>
      </c>
      <c r="G18" s="207">
        <f t="shared" ca="1" si="3"/>
        <v>0</v>
      </c>
      <c r="H18" s="237">
        <f ca="1">IF(A18="","",OFFSET('Saisie réservations'!J10,$F$5,0))</f>
        <v>61</v>
      </c>
    </row>
    <row r="19" spans="1:8" ht="15.75" x14ac:dyDescent="0.25">
      <c r="A19" s="205">
        <f ca="1">IF(OFFSET('Saisie réservations'!B11,$F$5,0)&gt;=DATE(An,$G$5,1),IF(OFFSET('Saisie réservations'!B11,$F$5,0)&lt;=DATE(An,$H$5,31),OFFSET('Saisie réservations'!B11,$F$5,0),""),"")</f>
        <v>42900</v>
      </c>
      <c r="B19" s="206">
        <f ca="1">IF($A19&lt;&gt;"",OFFSET('Saisie réservations'!C11,$F$5,0),"")</f>
        <v>42901</v>
      </c>
      <c r="C19" s="237">
        <f ca="1">IF(A19="","",OFFSET('Saisie réservations'!AA11,$F$5,0))</f>
        <v>0</v>
      </c>
      <c r="D19" s="237">
        <f t="shared" ca="1" si="1"/>
        <v>1</v>
      </c>
      <c r="E19" s="237">
        <f t="shared" ca="1" si="2"/>
        <v>0</v>
      </c>
      <c r="F19" s="207">
        <f t="shared" ca="1" si="0"/>
        <v>0.5</v>
      </c>
      <c r="G19" s="207">
        <f t="shared" ca="1" si="3"/>
        <v>0</v>
      </c>
      <c r="H19" s="237">
        <f ca="1">IF(A19="","",OFFSET('Saisie réservations'!J11,$F$5,0))</f>
        <v>54</v>
      </c>
    </row>
    <row r="20" spans="1:8" ht="15.75" x14ac:dyDescent="0.25">
      <c r="A20" s="205">
        <f ca="1">IF(OFFSET('Saisie réservations'!B12,$F$5,0)&gt;=DATE(An,$G$5,1),IF(OFFSET('Saisie réservations'!B12,$F$5,0)&lt;=DATE(An,$H$5,31),OFFSET('Saisie réservations'!B12,$F$5,0),""),"")</f>
        <v>42901</v>
      </c>
      <c r="B20" s="206">
        <f ca="1">IF($A20&lt;&gt;"",OFFSET('Saisie réservations'!C12,$F$5,0),"")</f>
        <v>42902</v>
      </c>
      <c r="C20" s="237">
        <f ca="1">IF(A20="","",OFFSET('Saisie réservations'!AA12,$F$5,0))</f>
        <v>21</v>
      </c>
      <c r="D20" s="237">
        <f t="shared" ca="1" si="1"/>
        <v>1</v>
      </c>
      <c r="E20" s="237">
        <f t="shared" ca="1" si="2"/>
        <v>21</v>
      </c>
      <c r="F20" s="207">
        <f t="shared" ca="1" si="0"/>
        <v>0.5</v>
      </c>
      <c r="G20" s="207">
        <f t="shared" ca="1" si="3"/>
        <v>10.5</v>
      </c>
      <c r="H20" s="237">
        <f ca="1">IF(A20="","",OFFSET('Saisie réservations'!J12,$F$5,0))</f>
        <v>21</v>
      </c>
    </row>
    <row r="21" spans="1:8" ht="15.75" x14ac:dyDescent="0.25">
      <c r="A21" s="205">
        <f ca="1">IF(OFFSET('Saisie réservations'!B13,$F$5,0)&gt;=DATE(An,$G$5,1),IF(OFFSET('Saisie réservations'!B13,$F$5,0)&lt;=DATE(An,$H$5,31),OFFSET('Saisie réservations'!B13,$F$5,0),""),"")</f>
        <v>42905</v>
      </c>
      <c r="B21" s="206">
        <f ca="1">IF($A21&lt;&gt;"",OFFSET('Saisie réservations'!C13,$F$5,0),"")</f>
        <v>42909</v>
      </c>
      <c r="C21" s="237">
        <f ca="1">IF(A21="","",OFFSET('Saisie réservations'!AA13,$F$5,0))</f>
        <v>34</v>
      </c>
      <c r="D21" s="237">
        <f t="shared" ca="1" si="1"/>
        <v>4</v>
      </c>
      <c r="E21" s="237">
        <f t="shared" ca="1" si="2"/>
        <v>136</v>
      </c>
      <c r="F21" s="207">
        <f t="shared" ca="1" si="0"/>
        <v>0.5</v>
      </c>
      <c r="G21" s="207">
        <f t="shared" ca="1" si="3"/>
        <v>68</v>
      </c>
      <c r="H21" s="237">
        <f ca="1">IF(A21="","",OFFSET('Saisie réservations'!J13,$F$5,0))</f>
        <v>34</v>
      </c>
    </row>
    <row r="22" spans="1:8" ht="15.75" x14ac:dyDescent="0.25">
      <c r="A22" s="205">
        <f ca="1">IF(OFFSET('Saisie réservations'!B14,$F$5,0)&gt;=DATE(An,$G$5,1),IF(OFFSET('Saisie réservations'!B14,$F$5,0)&lt;=DATE(An,$H$5,31),OFFSET('Saisie réservations'!B14,$F$5,0),""),"")</f>
        <v>42905</v>
      </c>
      <c r="B22" s="206">
        <f ca="1">IF($A22&lt;&gt;"",OFFSET('Saisie réservations'!C14,$F$5,0),"")</f>
        <v>42909</v>
      </c>
      <c r="C22" s="237">
        <f ca="1">IF(A22="","",OFFSET('Saisie réservations'!AA14,$F$5,0))</f>
        <v>6</v>
      </c>
      <c r="D22" s="237">
        <f t="shared" ca="1" si="1"/>
        <v>4</v>
      </c>
      <c r="E22" s="237">
        <f t="shared" ca="1" si="2"/>
        <v>24</v>
      </c>
      <c r="F22" s="207">
        <f t="shared" ca="1" si="0"/>
        <v>0.5</v>
      </c>
      <c r="G22" s="207">
        <f t="shared" ca="1" si="3"/>
        <v>12</v>
      </c>
      <c r="H22" s="237">
        <f ca="1">IF(A22="","",OFFSET('Saisie réservations'!J14,$F$5,0))</f>
        <v>6</v>
      </c>
    </row>
    <row r="23" spans="1:8" ht="15.75" x14ac:dyDescent="0.25">
      <c r="A23" s="205">
        <f ca="1">IF(OFFSET('Saisie réservations'!B15,$F$5,0)&gt;=DATE(An,$G$5,1),IF(OFFSET('Saisie réservations'!B15,$F$5,0)&lt;=DATE(An,$H$5,31),OFFSET('Saisie réservations'!B15,$F$5,0),""),"")</f>
        <v>42910</v>
      </c>
      <c r="B23" s="206">
        <f ca="1">IF($A23&lt;&gt;"",OFFSET('Saisie réservations'!C15,$F$5,0),"")</f>
        <v>42911</v>
      </c>
      <c r="C23" s="237">
        <f ca="1">IF(A23="","",OFFSET('Saisie réservations'!AA15,$F$5,0))</f>
        <v>16</v>
      </c>
      <c r="D23" s="237">
        <f t="shared" ca="1" si="1"/>
        <v>1</v>
      </c>
      <c r="E23" s="237">
        <f t="shared" ca="1" si="2"/>
        <v>16</v>
      </c>
      <c r="F23" s="207">
        <f t="shared" ca="1" si="0"/>
        <v>0.5</v>
      </c>
      <c r="G23" s="207">
        <f t="shared" ca="1" si="3"/>
        <v>8</v>
      </c>
      <c r="H23" s="237">
        <f ca="1">IF(A23="","",OFFSET('Saisie réservations'!J15,$F$5,0))</f>
        <v>16</v>
      </c>
    </row>
    <row r="24" spans="1:8" ht="15.75" x14ac:dyDescent="0.25">
      <c r="A24" s="205">
        <f ca="1">IF(OFFSET('Saisie réservations'!B16,$F$5,0)&gt;=DATE(An,$G$5,1),IF(OFFSET('Saisie réservations'!B16,$F$5,0)&lt;=DATE(An,$H$5,31),OFFSET('Saisie réservations'!B16,$F$5,0),""),"")</f>
        <v>42910</v>
      </c>
      <c r="B24" s="206">
        <f ca="1">IF($A24&lt;&gt;"",OFFSET('Saisie réservations'!C16,$F$5,0),"")</f>
        <v>42911</v>
      </c>
      <c r="C24" s="237">
        <f ca="1">IF(A24="","",OFFSET('Saisie réservations'!AA16,$F$5,0))</f>
        <v>17</v>
      </c>
      <c r="D24" s="237">
        <f t="shared" ca="1" si="1"/>
        <v>1</v>
      </c>
      <c r="E24" s="237">
        <f t="shared" ca="1" si="2"/>
        <v>17</v>
      </c>
      <c r="F24" s="207">
        <f t="shared" ca="1" si="0"/>
        <v>0.5</v>
      </c>
      <c r="G24" s="207">
        <f t="shared" ca="1" si="3"/>
        <v>8.5</v>
      </c>
      <c r="H24" s="237">
        <f ca="1">IF(A24="","",OFFSET('Saisie réservations'!J16,$F$5,0))</f>
        <v>18</v>
      </c>
    </row>
    <row r="25" spans="1:8" ht="15.75" x14ac:dyDescent="0.25">
      <c r="A25" s="205">
        <f ca="1">IF(OFFSET('Saisie réservations'!B17,$F$5,0)&gt;=DATE(An,$G$5,1),IF(OFFSET('Saisie réservations'!B17,$F$5,0)&lt;=DATE(An,$H$5,31),OFFSET('Saisie réservations'!B17,$F$5,0),""),"")</f>
        <v>42912</v>
      </c>
      <c r="B25" s="206">
        <f ca="1">IF($A25&lt;&gt;"",OFFSET('Saisie réservations'!C17,$F$5,0),"")</f>
        <v>42917</v>
      </c>
      <c r="C25" s="237">
        <f ca="1">IF(A25="","",OFFSET('Saisie réservations'!AA17,$F$5,0))</f>
        <v>7</v>
      </c>
      <c r="D25" s="237">
        <f t="shared" ca="1" si="1"/>
        <v>5</v>
      </c>
      <c r="E25" s="237">
        <f t="shared" ca="1" si="2"/>
        <v>35</v>
      </c>
      <c r="F25" s="207">
        <f t="shared" ca="1" si="0"/>
        <v>0.5</v>
      </c>
      <c r="G25" s="207">
        <f t="shared" ca="1" si="3"/>
        <v>17.5</v>
      </c>
      <c r="H25" s="237">
        <f ca="1">IF(A25="","",OFFSET('Saisie réservations'!J17,$F$5,0))</f>
        <v>17</v>
      </c>
    </row>
    <row r="26" spans="1:8" ht="15.75" x14ac:dyDescent="0.25">
      <c r="A26" s="205">
        <f ca="1">IF(OFFSET('Saisie réservations'!B18,$F$5,0)&gt;=DATE(An,$G$5,1),IF(OFFSET('Saisie réservations'!B18,$F$5,0)&lt;=DATE(An,$H$5,31),OFFSET('Saisie réservations'!B18,$F$5,0),""),"")</f>
        <v>42912</v>
      </c>
      <c r="B26" s="206">
        <f ca="1">IF($A26&lt;&gt;"",OFFSET('Saisie réservations'!C18,$F$5,0),"")</f>
        <v>42915</v>
      </c>
      <c r="C26" s="237">
        <f ca="1">IF(A26="","",OFFSET('Saisie réservations'!AA18,$F$5,0))</f>
        <v>7</v>
      </c>
      <c r="D26" s="237">
        <f t="shared" ca="1" si="1"/>
        <v>3</v>
      </c>
      <c r="E26" s="237">
        <f t="shared" ca="1" si="2"/>
        <v>21</v>
      </c>
      <c r="F26" s="207">
        <f t="shared" ca="1" si="0"/>
        <v>0.5</v>
      </c>
      <c r="G26" s="207">
        <f t="shared" ca="1" si="3"/>
        <v>10.5</v>
      </c>
      <c r="H26" s="237">
        <f ca="1">IF(A26="","",OFFSET('Saisie réservations'!J18,$F$5,0))</f>
        <v>20</v>
      </c>
    </row>
    <row r="27" spans="1:8" ht="15.75" x14ac:dyDescent="0.25">
      <c r="A27" s="205">
        <f ca="1">IF(OFFSET('Saisie réservations'!B19,$F$5,0)&gt;=DATE(An,$G$5,1),IF(OFFSET('Saisie réservations'!B19,$F$5,0)&lt;=DATE(An,$H$5,31),OFFSET('Saisie réservations'!B19,$F$5,0),""),"")</f>
        <v>42917</v>
      </c>
      <c r="B27" s="206">
        <f ca="1">IF($A27&lt;&gt;"",OFFSET('Saisie réservations'!C19,$F$5,0),"")</f>
        <v>42918</v>
      </c>
      <c r="C27" s="237">
        <f ca="1">IF(A27="","",OFFSET('Saisie réservations'!AA19,$F$5,0))</f>
        <v>18</v>
      </c>
      <c r="D27" s="237">
        <f t="shared" ca="1" si="1"/>
        <v>1</v>
      </c>
      <c r="E27" s="237">
        <f t="shared" ca="1" si="2"/>
        <v>18</v>
      </c>
      <c r="F27" s="207">
        <f t="shared" ca="1" si="0"/>
        <v>0.5</v>
      </c>
      <c r="G27" s="207">
        <f t="shared" ca="1" si="3"/>
        <v>9</v>
      </c>
      <c r="H27" s="237">
        <f ca="1">IF(A27="","",OFFSET('Saisie réservations'!J19,$F$5,0))</f>
        <v>20</v>
      </c>
    </row>
    <row r="28" spans="1:8" ht="15.75" x14ac:dyDescent="0.25">
      <c r="A28" s="205">
        <f ca="1">IF(OFFSET('Saisie réservations'!B20,$F$5,0)&gt;=DATE(An,$G$5,1),IF(OFFSET('Saisie réservations'!B20,$F$5,0)&lt;=DATE(An,$H$5,31),OFFSET('Saisie réservations'!B20,$F$5,0),""),"")</f>
        <v>42919</v>
      </c>
      <c r="B28" s="206">
        <f ca="1">IF($A28&lt;&gt;"",OFFSET('Saisie réservations'!C20,$F$5,0),"")</f>
        <v>42923</v>
      </c>
      <c r="C28" s="237">
        <f ca="1">IF(A28="","",OFFSET('Saisie réservations'!AA20,$F$5,0))</f>
        <v>6</v>
      </c>
      <c r="D28" s="237">
        <f t="shared" ca="1" si="1"/>
        <v>4</v>
      </c>
      <c r="E28" s="237">
        <f t="shared" ca="1" si="2"/>
        <v>24</v>
      </c>
      <c r="F28" s="207">
        <f t="shared" ca="1" si="0"/>
        <v>0.5</v>
      </c>
      <c r="G28" s="207">
        <f t="shared" ca="1" si="3"/>
        <v>12</v>
      </c>
      <c r="H28" s="237">
        <f ca="1">IF(A28="","",OFFSET('Saisie réservations'!J20,$F$5,0))</f>
        <v>41</v>
      </c>
    </row>
    <row r="29" spans="1:8" ht="15.75" x14ac:dyDescent="0.25">
      <c r="A29" s="205">
        <f ca="1">IF(OFFSET('Saisie réservations'!B21,$F$5,0)&gt;=DATE(An,$G$5,1),IF(OFFSET('Saisie réservations'!B21,$F$5,0)&lt;=DATE(An,$H$5,31),OFFSET('Saisie réservations'!B21,$F$5,0),""),"")</f>
        <v>42924</v>
      </c>
      <c r="B29" s="206">
        <f ca="1">IF($A29&lt;&gt;"",OFFSET('Saisie réservations'!C21,$F$5,0),"")</f>
        <v>42925</v>
      </c>
      <c r="C29" s="237">
        <f ca="1">IF(A29="","",OFFSET('Saisie réservations'!AA21,$F$5,0))</f>
        <v>6</v>
      </c>
      <c r="D29" s="237">
        <f t="shared" ca="1" si="1"/>
        <v>1</v>
      </c>
      <c r="E29" s="237">
        <f t="shared" ca="1" si="2"/>
        <v>6</v>
      </c>
      <c r="F29" s="207">
        <f t="shared" ca="1" si="0"/>
        <v>0.5</v>
      </c>
      <c r="G29" s="207">
        <f t="shared" ca="1" si="3"/>
        <v>3</v>
      </c>
      <c r="H29" s="237">
        <f ca="1">IF(A29="","",OFFSET('Saisie réservations'!J21,$F$5,0))</f>
        <v>6</v>
      </c>
    </row>
    <row r="30" spans="1:8" ht="15.75" x14ac:dyDescent="0.25">
      <c r="A30" s="205">
        <f ca="1">IF(OFFSET('Saisie réservations'!B22,$F$5,0)&gt;=DATE(An,$G$5,1),IF(OFFSET('Saisie réservations'!B22,$F$5,0)&lt;=DATE(An,$H$5,31),OFFSET('Saisie réservations'!B22,$F$5,0),""),"")</f>
        <v>42924</v>
      </c>
      <c r="B30" s="206">
        <f ca="1">IF($A30&lt;&gt;"",OFFSET('Saisie réservations'!C22,$F$5,0),"")</f>
        <v>42930</v>
      </c>
      <c r="C30" s="237">
        <f ca="1">IF(A30="","",OFFSET('Saisie réservations'!AA22,$F$5,0))</f>
        <v>5</v>
      </c>
      <c r="D30" s="237">
        <f t="shared" ca="1" si="1"/>
        <v>6</v>
      </c>
      <c r="E30" s="237">
        <f t="shared" ca="1" si="2"/>
        <v>30</v>
      </c>
      <c r="F30" s="207">
        <f t="shared" ca="1" si="0"/>
        <v>0.5</v>
      </c>
      <c r="G30" s="207">
        <f t="shared" ca="1" si="3"/>
        <v>15</v>
      </c>
      <c r="H30" s="237">
        <f ca="1">IF(A30="","",OFFSET('Saisie réservations'!J22,$F$5,0))</f>
        <v>35</v>
      </c>
    </row>
    <row r="31" spans="1:8" s="254" customFormat="1" ht="16.5" x14ac:dyDescent="0.3">
      <c r="A31" s="247"/>
      <c r="B31" s="248" t="str">
        <f ca="1">"Total"&amp;IF(COUNTIFS(Saisie[Date d''arrivée],"&gt;="&amp;DATE(An,1,1),Saisie[Date d''arrivée],"&lt;="&amp;DATE(An,5,31))&gt;COUNTA($A$10:$A31)," à reporter","")</f>
        <v>Total à reporter</v>
      </c>
      <c r="C31" s="249"/>
      <c r="D31" s="250"/>
      <c r="E31" s="251">
        <f ca="1">SUM($E10:$E30)</f>
        <v>558</v>
      </c>
      <c r="F31" s="252">
        <f t="shared" ref="F31:F55" si="4">Taxe</f>
        <v>0.5</v>
      </c>
      <c r="G31" s="252">
        <f ca="1">$E31*$F31</f>
        <v>279</v>
      </c>
      <c r="H31" s="253"/>
    </row>
    <row r="32" spans="1:8" s="254" customFormat="1" ht="16.5" x14ac:dyDescent="0.3">
      <c r="A32" s="255"/>
      <c r="B32" s="248" t="s">
        <v>170</v>
      </c>
      <c r="C32" s="249"/>
      <c r="D32" s="250"/>
      <c r="E32" s="251">
        <f ca="1">$E31</f>
        <v>558</v>
      </c>
      <c r="F32" s="252">
        <f t="shared" si="4"/>
        <v>0.5</v>
      </c>
      <c r="G32" s="252">
        <f ca="1">$E32*$F32</f>
        <v>279</v>
      </c>
      <c r="H32" s="256"/>
    </row>
    <row r="33" spans="1:8" ht="15.75" x14ac:dyDescent="0.25">
      <c r="A33" s="205">
        <f ca="1">IF(OFFSET('Saisie réservations'!B23,$F$5,0)&gt;=DATE(An,$G$5,1),IF(OFFSET('Saisie réservations'!B23,$F$5,0)&lt;=DATE(An,$H$5,31),OFFSET('Saisie réservations'!B23,$F$5,0),""),"")</f>
        <v>42926</v>
      </c>
      <c r="B33" s="206">
        <f ca="1">IF($A33&lt;&gt;"",OFFSET('Saisie réservations'!C23,$F$5,0),"")</f>
        <v>42929</v>
      </c>
      <c r="C33" s="237">
        <f ca="1">IF(A33="","",OFFSET('Saisie réservations'!AA23,$F$5,0))</f>
        <v>2</v>
      </c>
      <c r="D33" s="237">
        <f ca="1">IF($A33="","",DATEDIF($A33,$B33,"D"))</f>
        <v>3</v>
      </c>
      <c r="E33" s="237">
        <f ca="1">IF($A33="","",$C33*$D33)</f>
        <v>6</v>
      </c>
      <c r="F33" s="207">
        <f t="shared" ref="F33:F53" ca="1" si="5">IF(A33&lt;&gt;"",Taxe,0)</f>
        <v>0.5</v>
      </c>
      <c r="G33" s="207">
        <f t="shared" ref="G33:G53" ca="1" si="6">IF($E33="","",$E33*$F33)</f>
        <v>3</v>
      </c>
      <c r="H33" s="237">
        <f ca="1">IF(A33="","",OFFSET('Saisie réservations'!J23,$F$5,0))</f>
        <v>2</v>
      </c>
    </row>
    <row r="34" spans="1:8" ht="15.75" x14ac:dyDescent="0.25">
      <c r="A34" s="205">
        <f ca="1">IF(OFFSET('Saisie réservations'!B24,$F$5,0)&gt;=DATE(An,$G$5,1),IF(OFFSET('Saisie réservations'!B24,$F$5,0)&lt;=DATE(An,$H$5,31),OFFSET('Saisie réservations'!B24,$F$5,0),""),"")</f>
        <v>42927</v>
      </c>
      <c r="B34" s="206">
        <f ca="1">IF($A34&lt;&gt;"",OFFSET('Saisie réservations'!C24,$F$5,0),"")</f>
        <v>42928</v>
      </c>
      <c r="C34" s="237">
        <f ca="1">IF(A34="","",OFFSET('Saisie réservations'!AA24,$F$5,0))</f>
        <v>2</v>
      </c>
      <c r="D34" s="237">
        <f t="shared" ref="D34:D53" ca="1" si="7">IF($A34="","",DATEDIF($A34,$B34,"D"))</f>
        <v>1</v>
      </c>
      <c r="E34" s="237">
        <f t="shared" ref="E34:E53" ca="1" si="8">IF($A34="","",$C34*$D34)</f>
        <v>2</v>
      </c>
      <c r="F34" s="207">
        <f t="shared" ca="1" si="5"/>
        <v>0.5</v>
      </c>
      <c r="G34" s="207">
        <f t="shared" ca="1" si="6"/>
        <v>1</v>
      </c>
      <c r="H34" s="237">
        <f ca="1">IF(A34="","",OFFSET('Saisie réservations'!J24,$F$5,0))</f>
        <v>2</v>
      </c>
    </row>
    <row r="35" spans="1:8" ht="15.75" x14ac:dyDescent="0.25">
      <c r="A35" s="205">
        <f ca="1">IF(OFFSET('Saisie réservations'!B25,$F$5,0)&gt;=DATE(An,$G$5,1),IF(OFFSET('Saisie réservations'!B25,$F$5,0)&lt;=DATE(An,$H$5,31),OFFSET('Saisie réservations'!B25,$F$5,0),""),"")</f>
        <v>42933</v>
      </c>
      <c r="B35" s="206">
        <f ca="1">IF($A35&lt;&gt;"",OFFSET('Saisie réservations'!C25,$F$5,0),"")</f>
        <v>42937</v>
      </c>
      <c r="C35" s="237">
        <f ca="1">IF(A35="","",OFFSET('Saisie réservations'!AA25,$F$5,0))</f>
        <v>2</v>
      </c>
      <c r="D35" s="237">
        <f t="shared" ca="1" si="7"/>
        <v>4</v>
      </c>
      <c r="E35" s="237">
        <f t="shared" ca="1" si="8"/>
        <v>8</v>
      </c>
      <c r="F35" s="207">
        <f t="shared" ca="1" si="5"/>
        <v>0.5</v>
      </c>
      <c r="G35" s="207">
        <f t="shared" ca="1" si="6"/>
        <v>4</v>
      </c>
      <c r="H35" s="237">
        <f ca="1">IF(A35="","",OFFSET('Saisie réservations'!J25,$F$5,0))</f>
        <v>2</v>
      </c>
    </row>
    <row r="36" spans="1:8" ht="15.75" x14ac:dyDescent="0.25">
      <c r="A36" s="205">
        <f ca="1">IF(OFFSET('Saisie réservations'!B26,$F$5,0)&gt;=DATE(An,$G$5,1),IF(OFFSET('Saisie réservations'!B26,$F$5,0)&lt;=DATE(An,$H$5,31),OFFSET('Saisie réservations'!B26,$F$5,0),""),"")</f>
        <v>42933</v>
      </c>
      <c r="B36" s="206">
        <f ca="1">IF($A36&lt;&gt;"",OFFSET('Saisie réservations'!C26,$F$5,0),"")</f>
        <v>42935</v>
      </c>
      <c r="C36" s="237">
        <f ca="1">IF(A36="","",OFFSET('Saisie réservations'!AA26,$F$5,0))</f>
        <v>3</v>
      </c>
      <c r="D36" s="237">
        <f t="shared" ca="1" si="7"/>
        <v>2</v>
      </c>
      <c r="E36" s="237">
        <f t="shared" ca="1" si="8"/>
        <v>6</v>
      </c>
      <c r="F36" s="207">
        <f t="shared" ca="1" si="5"/>
        <v>0.5</v>
      </c>
      <c r="G36" s="207">
        <f t="shared" ca="1" si="6"/>
        <v>3</v>
      </c>
      <c r="H36" s="237">
        <f ca="1">IF(A36="","",OFFSET('Saisie réservations'!J26,$F$5,0))</f>
        <v>17</v>
      </c>
    </row>
    <row r="37" spans="1:8" ht="15.75" x14ac:dyDescent="0.25">
      <c r="A37" s="205">
        <f ca="1">IF(OFFSET('Saisie réservations'!B27,$F$5,0)&gt;=DATE(An,$G$5,1),IF(OFFSET('Saisie réservations'!B27,$F$5,0)&lt;=DATE(An,$H$5,31),OFFSET('Saisie réservations'!B27,$F$5,0),""),"")</f>
        <v>42933</v>
      </c>
      <c r="B37" s="206">
        <f ca="1">IF($A37&lt;&gt;"",OFFSET('Saisie réservations'!C27,$F$5,0),"")</f>
        <v>42937</v>
      </c>
      <c r="C37" s="237">
        <f ca="1">IF(A37="","",OFFSET('Saisie réservations'!AA27,$F$5,0))</f>
        <v>4</v>
      </c>
      <c r="D37" s="237">
        <f t="shared" ca="1" si="7"/>
        <v>4</v>
      </c>
      <c r="E37" s="237">
        <f t="shared" ca="1" si="8"/>
        <v>16</v>
      </c>
      <c r="F37" s="207">
        <f t="shared" ca="1" si="5"/>
        <v>0.5</v>
      </c>
      <c r="G37" s="207">
        <f t="shared" ca="1" si="6"/>
        <v>8</v>
      </c>
      <c r="H37" s="237">
        <f ca="1">IF(A37="","",OFFSET('Saisie réservations'!J27,$F$5,0))</f>
        <v>24</v>
      </c>
    </row>
    <row r="38" spans="1:8" ht="15.75" x14ac:dyDescent="0.25">
      <c r="A38" s="205">
        <f ca="1">IF(OFFSET('Saisie réservations'!B28,$F$5,0)&gt;=DATE(An,$G$5,1),IF(OFFSET('Saisie réservations'!B28,$F$5,0)&lt;=DATE(An,$H$5,31),OFFSET('Saisie réservations'!B28,$F$5,0),""),"")</f>
        <v>42940</v>
      </c>
      <c r="B38" s="206">
        <f ca="1">IF($A38&lt;&gt;"",OFFSET('Saisie réservations'!C28,$F$5,0),"")</f>
        <v>42941</v>
      </c>
      <c r="C38" s="237">
        <f ca="1">IF(A38="","",OFFSET('Saisie réservations'!AA28,$F$5,0))</f>
        <v>4</v>
      </c>
      <c r="D38" s="237">
        <f t="shared" ca="1" si="7"/>
        <v>1</v>
      </c>
      <c r="E38" s="237">
        <f t="shared" ca="1" si="8"/>
        <v>4</v>
      </c>
      <c r="F38" s="207">
        <f t="shared" ca="1" si="5"/>
        <v>0.5</v>
      </c>
      <c r="G38" s="207">
        <f t="shared" ca="1" si="6"/>
        <v>2</v>
      </c>
      <c r="H38" s="237">
        <f ca="1">IF(A38="","",OFFSET('Saisie réservations'!J28,$F$5,0))</f>
        <v>12</v>
      </c>
    </row>
    <row r="39" spans="1:8" ht="15.75" x14ac:dyDescent="0.25">
      <c r="A39" s="205">
        <f ca="1">IF(OFFSET('Saisie réservations'!B29,$F$5,0)&gt;=DATE(An,$G$5,1),IF(OFFSET('Saisie réservations'!B29,$F$5,0)&lt;=DATE(An,$H$5,31),OFFSET('Saisie réservations'!B29,$F$5,0),""),"")</f>
        <v>42941</v>
      </c>
      <c r="B39" s="206">
        <f ca="1">IF($A39&lt;&gt;"",OFFSET('Saisie réservations'!C29,$F$5,0),"")</f>
        <v>42942</v>
      </c>
      <c r="C39" s="237">
        <f ca="1">IF(A39="","",OFFSET('Saisie réservations'!AA29,$F$5,0))</f>
        <v>5</v>
      </c>
      <c r="D39" s="237">
        <f t="shared" ca="1" si="7"/>
        <v>1</v>
      </c>
      <c r="E39" s="237">
        <f t="shared" ca="1" si="8"/>
        <v>5</v>
      </c>
      <c r="F39" s="207">
        <f t="shared" ca="1" si="5"/>
        <v>0.5</v>
      </c>
      <c r="G39" s="207">
        <f t="shared" ca="1" si="6"/>
        <v>2.5</v>
      </c>
      <c r="H39" s="237">
        <f ca="1">IF(A39="","",OFFSET('Saisie réservations'!J29,$F$5,0))</f>
        <v>11</v>
      </c>
    </row>
    <row r="40" spans="1:8" ht="15.75" x14ac:dyDescent="0.25">
      <c r="A40" s="205">
        <f ca="1">IF(OFFSET('Saisie réservations'!B30,$F$5,0)&gt;=DATE(An,$G$5,1),IF(OFFSET('Saisie réservations'!B30,$F$5,0)&lt;=DATE(An,$H$5,31),OFFSET('Saisie réservations'!B30,$F$5,0),""),"")</f>
        <v>42941</v>
      </c>
      <c r="B40" s="206">
        <f ca="1">IF($A40&lt;&gt;"",OFFSET('Saisie réservations'!C30,$F$5,0),"")</f>
        <v>42943</v>
      </c>
      <c r="C40" s="237">
        <f ca="1">IF(A40="","",OFFSET('Saisie réservations'!AA30,$F$5,0))</f>
        <v>4</v>
      </c>
      <c r="D40" s="237">
        <f t="shared" ca="1" si="7"/>
        <v>2</v>
      </c>
      <c r="E40" s="237">
        <f t="shared" ca="1" si="8"/>
        <v>8</v>
      </c>
      <c r="F40" s="207">
        <f t="shared" ca="1" si="5"/>
        <v>0.5</v>
      </c>
      <c r="G40" s="207">
        <f t="shared" ca="1" si="6"/>
        <v>4</v>
      </c>
      <c r="H40" s="237">
        <f ca="1">IF(A40="","",OFFSET('Saisie réservations'!J30,$F$5,0))</f>
        <v>36</v>
      </c>
    </row>
    <row r="41" spans="1:8" ht="15.75" x14ac:dyDescent="0.25">
      <c r="A41" s="205">
        <f ca="1">IF(OFFSET('Saisie réservations'!B31,$F$5,0)&gt;=DATE(An,$G$5,1),IF(OFFSET('Saisie réservations'!B31,$F$5,0)&lt;=DATE(An,$H$5,31),OFFSET('Saisie réservations'!B31,$F$5,0),""),"")</f>
        <v>42942</v>
      </c>
      <c r="B41" s="206">
        <f ca="1">IF($A41&lt;&gt;"",OFFSET('Saisie réservations'!C31,$F$5,0),"")</f>
        <v>42943</v>
      </c>
      <c r="C41" s="237">
        <f ca="1">IF(A41="","",OFFSET('Saisie réservations'!AA31,$F$5,0))</f>
        <v>3</v>
      </c>
      <c r="D41" s="237">
        <f t="shared" ca="1" si="7"/>
        <v>1</v>
      </c>
      <c r="E41" s="237">
        <f t="shared" ca="1" si="8"/>
        <v>3</v>
      </c>
      <c r="F41" s="207">
        <f t="shared" ca="1" si="5"/>
        <v>0.5</v>
      </c>
      <c r="G41" s="207">
        <f t="shared" ca="1" si="6"/>
        <v>1.5</v>
      </c>
      <c r="H41" s="237">
        <f ca="1">IF(A41="","",OFFSET('Saisie réservations'!J31,$F$5,0))</f>
        <v>3</v>
      </c>
    </row>
    <row r="42" spans="1:8" ht="15.75" x14ac:dyDescent="0.25">
      <c r="A42" s="205">
        <f ca="1">IF(OFFSET('Saisie réservations'!B32,$F$5,0)&gt;=DATE(An,$G$5,1),IF(OFFSET('Saisie réservations'!B32,$F$5,0)&lt;=DATE(An,$H$5,31),OFFSET('Saisie réservations'!B32,$F$5,0),""),"")</f>
        <v>42943</v>
      </c>
      <c r="B42" s="206">
        <f ca="1">IF($A42&lt;&gt;"",OFFSET('Saisie réservations'!C32,$F$5,0),"")</f>
        <v>42946</v>
      </c>
      <c r="C42" s="237">
        <f ca="1">IF(A42="","",OFFSET('Saisie réservations'!AA32,$F$5,0))</f>
        <v>10</v>
      </c>
      <c r="D42" s="237">
        <f t="shared" ca="1" si="7"/>
        <v>3</v>
      </c>
      <c r="E42" s="237">
        <f t="shared" ca="1" si="8"/>
        <v>30</v>
      </c>
      <c r="F42" s="207">
        <f t="shared" ca="1" si="5"/>
        <v>0.5</v>
      </c>
      <c r="G42" s="207">
        <f t="shared" ca="1" si="6"/>
        <v>15</v>
      </c>
      <c r="H42" s="237">
        <f ca="1">IF(A42="","",OFFSET('Saisie réservations'!J32,$F$5,0))</f>
        <v>12</v>
      </c>
    </row>
    <row r="43" spans="1:8" ht="15.75" x14ac:dyDescent="0.25">
      <c r="A43" s="205">
        <f ca="1">IF(OFFSET('Saisie réservations'!B33,$F$5,0)&gt;=DATE(An,$G$5,1),IF(OFFSET('Saisie réservations'!B33,$F$5,0)&lt;=DATE(An,$H$5,31),OFFSET('Saisie réservations'!B33,$F$5,0),""),"")</f>
        <v>42944</v>
      </c>
      <c r="B43" s="206">
        <f ca="1">IF($A43&lt;&gt;"",OFFSET('Saisie réservations'!C33,$F$5,0),"")</f>
        <v>42945</v>
      </c>
      <c r="C43" s="237">
        <f ca="1">IF(A43="","",OFFSET('Saisie réservations'!AA33,$F$5,0))</f>
        <v>4</v>
      </c>
      <c r="D43" s="237">
        <f t="shared" ca="1" si="7"/>
        <v>1</v>
      </c>
      <c r="E43" s="237">
        <f t="shared" ca="1" si="8"/>
        <v>4</v>
      </c>
      <c r="F43" s="207">
        <f t="shared" ca="1" si="5"/>
        <v>0.5</v>
      </c>
      <c r="G43" s="207">
        <f t="shared" ca="1" si="6"/>
        <v>2</v>
      </c>
      <c r="H43" s="237">
        <f ca="1">IF(A43="","",OFFSET('Saisie réservations'!J33,$F$5,0))</f>
        <v>4</v>
      </c>
    </row>
    <row r="44" spans="1:8" ht="15.75" x14ac:dyDescent="0.25">
      <c r="A44" s="205">
        <f ca="1">IF(OFFSET('Saisie réservations'!B34,$F$5,0)&gt;=DATE(An,$G$5,1),IF(OFFSET('Saisie réservations'!B34,$F$5,0)&lt;=DATE(An,$H$5,31),OFFSET('Saisie réservations'!B34,$F$5,0),""),"")</f>
        <v>42945</v>
      </c>
      <c r="B44" s="206">
        <f ca="1">IF($A44&lt;&gt;"",OFFSET('Saisie réservations'!C34,$F$5,0),"")</f>
        <v>42946</v>
      </c>
      <c r="C44" s="237">
        <f ca="1">IF(A44="","",OFFSET('Saisie réservations'!AA34,$F$5,0))</f>
        <v>30</v>
      </c>
      <c r="D44" s="237">
        <f t="shared" ca="1" si="7"/>
        <v>1</v>
      </c>
      <c r="E44" s="237">
        <f t="shared" ca="1" si="8"/>
        <v>30</v>
      </c>
      <c r="F44" s="207">
        <f t="shared" ca="1" si="5"/>
        <v>0.5</v>
      </c>
      <c r="G44" s="207">
        <f t="shared" ca="1" si="6"/>
        <v>15</v>
      </c>
      <c r="H44" s="237">
        <f ca="1">IF(A44="","",OFFSET('Saisie réservations'!J34,$F$5,0))</f>
        <v>30</v>
      </c>
    </row>
    <row r="45" spans="1:8" ht="15.75" x14ac:dyDescent="0.25">
      <c r="A45" s="205">
        <f ca="1">IF(OFFSET('Saisie réservations'!B35,$F$5,0)&gt;=DATE(An,$G$5,1),IF(OFFSET('Saisie réservations'!B35,$F$5,0)&lt;=DATE(An,$H$5,31),OFFSET('Saisie réservations'!B35,$F$5,0),""),"")</f>
        <v>42949</v>
      </c>
      <c r="B45" s="206">
        <f ca="1">IF($A45&lt;&gt;"",OFFSET('Saisie réservations'!C35,$F$5,0),"")</f>
        <v>42951</v>
      </c>
      <c r="C45" s="237">
        <f ca="1">IF(A45="","",OFFSET('Saisie réservations'!AA35,$F$5,0))</f>
        <v>4</v>
      </c>
      <c r="D45" s="237">
        <f t="shared" ca="1" si="7"/>
        <v>2</v>
      </c>
      <c r="E45" s="237">
        <f t="shared" ca="1" si="8"/>
        <v>8</v>
      </c>
      <c r="F45" s="207">
        <f t="shared" ca="1" si="5"/>
        <v>0.5</v>
      </c>
      <c r="G45" s="207">
        <f t="shared" ca="1" si="6"/>
        <v>4</v>
      </c>
      <c r="H45" s="237">
        <f ca="1">IF(A45="","",OFFSET('Saisie réservations'!J35,$F$5,0))</f>
        <v>4</v>
      </c>
    </row>
    <row r="46" spans="1:8" ht="15.75" x14ac:dyDescent="0.25">
      <c r="A46" s="205">
        <f ca="1">IF(OFFSET('Saisie réservations'!B36,$F$5,0)&gt;=DATE(An,$G$5,1),IF(OFFSET('Saisie réservations'!B36,$F$5,0)&lt;=DATE(An,$H$5,31),OFFSET('Saisie réservations'!B36,$F$5,0),""),"")</f>
        <v>42955</v>
      </c>
      <c r="B46" s="206">
        <f ca="1">IF($A46&lt;&gt;"",OFFSET('Saisie réservations'!C36,$F$5,0),"")</f>
        <v>42956</v>
      </c>
      <c r="C46" s="237">
        <f ca="1">IF(A46="","",OFFSET('Saisie réservations'!AA36,$F$5,0))</f>
        <v>4</v>
      </c>
      <c r="D46" s="237">
        <f t="shared" ca="1" si="7"/>
        <v>1</v>
      </c>
      <c r="E46" s="237">
        <f t="shared" ca="1" si="8"/>
        <v>4</v>
      </c>
      <c r="F46" s="207">
        <f t="shared" ca="1" si="5"/>
        <v>0.5</v>
      </c>
      <c r="G46" s="207">
        <f t="shared" ca="1" si="6"/>
        <v>2</v>
      </c>
      <c r="H46" s="237">
        <f ca="1">IF(A46="","",OFFSET('Saisie réservations'!J36,$F$5,0))</f>
        <v>8</v>
      </c>
    </row>
    <row r="47" spans="1:8" ht="15.75" x14ac:dyDescent="0.25">
      <c r="A47" s="205">
        <f ca="1">IF(OFFSET('Saisie réservations'!B37,$F$5,0)&gt;=DATE(An,$G$5,1),IF(OFFSET('Saisie réservations'!B37,$F$5,0)&lt;=DATE(An,$H$5,31),OFFSET('Saisie réservations'!B37,$F$5,0),""),"")</f>
        <v>42956</v>
      </c>
      <c r="B47" s="206">
        <f ca="1">IF($A47&lt;&gt;"",OFFSET('Saisie réservations'!C37,$F$5,0),"")</f>
        <v>42958</v>
      </c>
      <c r="C47" s="237">
        <f ca="1">IF(A47="","",OFFSET('Saisie réservations'!AA37,$F$5,0))</f>
        <v>2</v>
      </c>
      <c r="D47" s="237">
        <f t="shared" ca="1" si="7"/>
        <v>2</v>
      </c>
      <c r="E47" s="237">
        <f t="shared" ca="1" si="8"/>
        <v>4</v>
      </c>
      <c r="F47" s="207">
        <f t="shared" ca="1" si="5"/>
        <v>0.5</v>
      </c>
      <c r="G47" s="207">
        <f t="shared" ca="1" si="6"/>
        <v>2</v>
      </c>
      <c r="H47" s="237">
        <f ca="1">IF(A47="","",OFFSET('Saisie réservations'!J37,$F$5,0))</f>
        <v>12</v>
      </c>
    </row>
    <row r="48" spans="1:8" ht="15.75" x14ac:dyDescent="0.25">
      <c r="A48" s="205">
        <f ca="1">IF(OFFSET('Saisie réservations'!B38,$F$5,0)&gt;=DATE(An,$G$5,1),IF(OFFSET('Saisie réservations'!B38,$F$5,0)&lt;=DATE(An,$H$5,31),OFFSET('Saisie réservations'!B38,$F$5,0),""),"")</f>
        <v>42957</v>
      </c>
      <c r="B48" s="206">
        <f ca="1">IF($A48&lt;&gt;"",OFFSET('Saisie réservations'!C38,$F$5,0),"")</f>
        <v>42959</v>
      </c>
      <c r="C48" s="237">
        <f ca="1">IF(A48="","",OFFSET('Saisie réservations'!AA38,$F$5,0))</f>
        <v>2</v>
      </c>
      <c r="D48" s="237">
        <f t="shared" ca="1" si="7"/>
        <v>2</v>
      </c>
      <c r="E48" s="237">
        <f t="shared" ca="1" si="8"/>
        <v>4</v>
      </c>
      <c r="F48" s="207">
        <f t="shared" ca="1" si="5"/>
        <v>0.5</v>
      </c>
      <c r="G48" s="207">
        <f t="shared" ca="1" si="6"/>
        <v>2</v>
      </c>
      <c r="H48" s="237">
        <f ca="1">IF(A48="","",OFFSET('Saisie réservations'!J38,$F$5,0))</f>
        <v>2</v>
      </c>
    </row>
    <row r="49" spans="1:8" ht="15.75" x14ac:dyDescent="0.25">
      <c r="A49" s="205">
        <f ca="1">IF(OFFSET('Saisie réservations'!B39,$F$5,0)&gt;=DATE(An,$G$5,1),IF(OFFSET('Saisie réservations'!B39,$F$5,0)&lt;=DATE(An,$H$5,31),OFFSET('Saisie réservations'!B39,$F$5,0),""),"")</f>
        <v>42959</v>
      </c>
      <c r="B49" s="206">
        <f ca="1">IF($A49&lt;&gt;"",OFFSET('Saisie réservations'!C39,$F$5,0),"")</f>
        <v>42960</v>
      </c>
      <c r="C49" s="237">
        <f ca="1">IF(A49="","",OFFSET('Saisie réservations'!AA39,$F$5,0))</f>
        <v>1</v>
      </c>
      <c r="D49" s="237">
        <f t="shared" ca="1" si="7"/>
        <v>1</v>
      </c>
      <c r="E49" s="237">
        <f t="shared" ca="1" si="8"/>
        <v>1</v>
      </c>
      <c r="F49" s="207">
        <f t="shared" ca="1" si="5"/>
        <v>0.5</v>
      </c>
      <c r="G49" s="207">
        <f t="shared" ca="1" si="6"/>
        <v>0.5</v>
      </c>
      <c r="H49" s="237">
        <f ca="1">IF(A49="","",OFFSET('Saisie réservations'!J39,$F$5,0))</f>
        <v>3</v>
      </c>
    </row>
    <row r="50" spans="1:8" ht="15.75" x14ac:dyDescent="0.25">
      <c r="A50" s="205">
        <f ca="1">IF(OFFSET('Saisie réservations'!B40,$F$5,0)&gt;=DATE(An,$G$5,1),IF(OFFSET('Saisie réservations'!B40,$F$5,0)&lt;=DATE(An,$H$5,31),OFFSET('Saisie réservations'!B40,$F$5,0),""),"")</f>
        <v>42961</v>
      </c>
      <c r="B50" s="206">
        <f ca="1">IF($A50&lt;&gt;"",OFFSET('Saisie réservations'!C40,$F$5,0),"")</f>
        <v>42965</v>
      </c>
      <c r="C50" s="237">
        <f ca="1">IF(A50="","",OFFSET('Saisie réservations'!AA40,$F$5,0))</f>
        <v>2</v>
      </c>
      <c r="D50" s="237">
        <f t="shared" ca="1" si="7"/>
        <v>4</v>
      </c>
      <c r="E50" s="237">
        <f t="shared" ca="1" si="8"/>
        <v>8</v>
      </c>
      <c r="F50" s="207">
        <f t="shared" ca="1" si="5"/>
        <v>0.5</v>
      </c>
      <c r="G50" s="207">
        <f t="shared" ca="1" si="6"/>
        <v>4</v>
      </c>
      <c r="H50" s="237">
        <f ca="1">IF(A50="","",OFFSET('Saisie réservations'!J40,$F$5,0))</f>
        <v>2</v>
      </c>
    </row>
    <row r="51" spans="1:8" ht="15.75" x14ac:dyDescent="0.25">
      <c r="A51" s="205">
        <f ca="1">IF(OFFSET('Saisie réservations'!B41,$F$5,0)&gt;=DATE(An,$G$5,1),IF(OFFSET('Saisie réservations'!B41,$F$5,0)&lt;=DATE(An,$H$5,31),OFFSET('Saisie réservations'!B41,$F$5,0),""),"")</f>
        <v>42967</v>
      </c>
      <c r="B51" s="206">
        <f ca="1">IF($A51&lt;&gt;"",OFFSET('Saisie réservations'!C41,$F$5,0),"")</f>
        <v>42971</v>
      </c>
      <c r="C51" s="237">
        <f ca="1">IF(A51="","",OFFSET('Saisie réservations'!AA41,$F$5,0))</f>
        <v>13</v>
      </c>
      <c r="D51" s="237">
        <f t="shared" ca="1" si="7"/>
        <v>4</v>
      </c>
      <c r="E51" s="237">
        <f t="shared" ca="1" si="8"/>
        <v>52</v>
      </c>
      <c r="F51" s="207">
        <f t="shared" ca="1" si="5"/>
        <v>0.5</v>
      </c>
      <c r="G51" s="207">
        <f t="shared" ca="1" si="6"/>
        <v>26</v>
      </c>
      <c r="H51" s="237">
        <f ca="1">IF(A51="","",OFFSET('Saisie réservations'!J41,$F$5,0))</f>
        <v>13</v>
      </c>
    </row>
    <row r="52" spans="1:8" ht="15.75" x14ac:dyDescent="0.25">
      <c r="A52" s="205">
        <f ca="1">IF(OFFSET('Saisie réservations'!B42,$F$5,0)&gt;=DATE(An,$G$5,1),IF(OFFSET('Saisie réservations'!B42,$F$5,0)&lt;=DATE(An,$H$5,31),OFFSET('Saisie réservations'!B42,$F$5,0),""),"")</f>
        <v>42968</v>
      </c>
      <c r="B52" s="206">
        <f ca="1">IF($A52&lt;&gt;"",OFFSET('Saisie réservations'!C42,$F$5,0),"")</f>
        <v>42972</v>
      </c>
      <c r="C52" s="237">
        <f ca="1">IF(A52="","",OFFSET('Saisie réservations'!AA42,$F$5,0))</f>
        <v>0</v>
      </c>
      <c r="D52" s="237">
        <f t="shared" ca="1" si="7"/>
        <v>4</v>
      </c>
      <c r="E52" s="237">
        <f t="shared" ca="1" si="8"/>
        <v>0</v>
      </c>
      <c r="F52" s="207">
        <f t="shared" ca="1" si="5"/>
        <v>0.5</v>
      </c>
      <c r="G52" s="207">
        <f t="shared" ca="1" si="6"/>
        <v>0</v>
      </c>
      <c r="H52" s="237">
        <f ca="1">IF(A52="","",OFFSET('Saisie réservations'!J42,$F$5,0))</f>
        <v>14</v>
      </c>
    </row>
    <row r="53" spans="1:8" ht="15.75" x14ac:dyDescent="0.25">
      <c r="A53" s="205">
        <f ca="1">IF(OFFSET('Saisie réservations'!B43,$F$5,0)&gt;=DATE(An,$G$5,1),IF(OFFSET('Saisie réservations'!B43,$F$5,0)&lt;=DATE(An,$H$5,31),OFFSET('Saisie réservations'!B43,$F$5,0),""),"")</f>
        <v>42971</v>
      </c>
      <c r="B53" s="206">
        <f ca="1">IF($A53&lt;&gt;"",OFFSET('Saisie réservations'!C43,$F$5,0),"")</f>
        <v>42974</v>
      </c>
      <c r="C53" s="237">
        <f ca="1">IF(A53="","",OFFSET('Saisie réservations'!AA43,$F$5,0))</f>
        <v>0</v>
      </c>
      <c r="D53" s="237">
        <f t="shared" ca="1" si="7"/>
        <v>3</v>
      </c>
      <c r="E53" s="237">
        <f t="shared" ca="1" si="8"/>
        <v>0</v>
      </c>
      <c r="F53" s="207">
        <f t="shared" ca="1" si="5"/>
        <v>0.5</v>
      </c>
      <c r="G53" s="207">
        <f t="shared" ca="1" si="6"/>
        <v>0</v>
      </c>
      <c r="H53" s="237">
        <f ca="1">IF(A53="","",OFFSET('Saisie réservations'!J43,$F$5,0))</f>
        <v>2</v>
      </c>
    </row>
    <row r="54" spans="1:8" s="254" customFormat="1" ht="16.5" x14ac:dyDescent="0.3">
      <c r="A54" s="257"/>
      <c r="B54" s="248" t="str">
        <f ca="1">"Total"&amp;IF(COUNTIFS(Saisie[Date d''arrivée],"&gt;="&amp;DATE(An,1,1),Saisie[Date d''arrivée],"&lt;="&amp;DATE(An,5,31))&gt;COUNTA($A$10:$A54)," à reporter","")</f>
        <v>Total</v>
      </c>
      <c r="C54" s="258"/>
      <c r="D54" s="259"/>
      <c r="E54" s="251">
        <f ca="1">SUM($E32:$E53)</f>
        <v>761</v>
      </c>
      <c r="F54" s="252">
        <v>0.5</v>
      </c>
      <c r="G54" s="260">
        <f ca="1">$E54*$F54</f>
        <v>380.5</v>
      </c>
      <c r="H54" s="253"/>
    </row>
    <row r="55" spans="1:8" s="254" customFormat="1" ht="16.5" x14ac:dyDescent="0.3">
      <c r="A55" s="255"/>
      <c r="B55" s="248" t="s">
        <v>170</v>
      </c>
      <c r="C55" s="249"/>
      <c r="D55" s="250"/>
      <c r="E55" s="251">
        <f ca="1">$E54</f>
        <v>761</v>
      </c>
      <c r="F55" s="252">
        <f t="shared" si="4"/>
        <v>0.5</v>
      </c>
      <c r="G55" s="252">
        <f ca="1">$E55*$F55</f>
        <v>380.5</v>
      </c>
      <c r="H55" s="256"/>
    </row>
    <row r="56" spans="1:8" ht="15.75" x14ac:dyDescent="0.25">
      <c r="A56" s="205">
        <f ca="1">IF(OFFSET('Saisie réservations'!B44,$F$5,0)&gt;=DATE(An,$G$5,1),IF(OFFSET('Saisie réservations'!B44,$F$5,0)&lt;=DATE(An,$H$5,31),OFFSET('Saisie réservations'!B44,$F$5,0),""),"")</f>
        <v>42973</v>
      </c>
      <c r="B56" s="206">
        <f ca="1">IF($A56&lt;&gt;"",OFFSET('Saisie réservations'!C44,$F$5,0),"")</f>
        <v>42974</v>
      </c>
      <c r="C56" s="237">
        <f ca="1">IF(A56="","",OFFSET('Saisie réservations'!AA44,$F$5,0))</f>
        <v>48</v>
      </c>
      <c r="D56" s="237">
        <f ca="1">IF($A56="","",DATEDIF($A56,$B56,"D"))</f>
        <v>1</v>
      </c>
      <c r="E56" s="237">
        <f ca="1">IF($A56="","",$C56*$D56)</f>
        <v>48</v>
      </c>
      <c r="F56" s="207">
        <f t="shared" ref="F56:F76" ca="1" si="9">IF(A56&lt;&gt;"",Taxe,0)</f>
        <v>0.5</v>
      </c>
      <c r="G56" s="207">
        <f t="shared" ref="G56:G76" ca="1" si="10">IF($E56="","",$E56*$F56)</f>
        <v>24</v>
      </c>
      <c r="H56" s="237">
        <f ca="1">IF(A56="","",OFFSET('Saisie réservations'!J44,$F$5,0))</f>
        <v>48</v>
      </c>
    </row>
    <row r="57" spans="1:8" ht="15.75" x14ac:dyDescent="0.25">
      <c r="A57" s="205">
        <f ca="1">IF(OFFSET('Saisie réservations'!B45,$F$5,0)&gt;=DATE(An,$G$5,1),IF(OFFSET('Saisie réservations'!B45,$F$5,0)&lt;=DATE(An,$H$5,31),OFFSET('Saisie réservations'!B45,$F$5,0),""),"")</f>
        <v>42975</v>
      </c>
      <c r="B57" s="206">
        <f ca="1">IF($A57&lt;&gt;"",OFFSET('Saisie réservations'!C45,$F$5,0),"")</f>
        <v>42980</v>
      </c>
      <c r="C57" s="237">
        <f ca="1">IF(A57="","",OFFSET('Saisie réservations'!AA45,$F$5,0))</f>
        <v>0</v>
      </c>
      <c r="D57" s="237">
        <f t="shared" ref="D57:D76" ca="1" si="11">IF($A57="","",DATEDIF($A57,$B57,"D"))</f>
        <v>5</v>
      </c>
      <c r="E57" s="237">
        <f t="shared" ref="E57:E76" ca="1" si="12">IF($A57="","",$C57*$D57)</f>
        <v>0</v>
      </c>
      <c r="F57" s="207">
        <f t="shared" ca="1" si="9"/>
        <v>0.5</v>
      </c>
      <c r="G57" s="207">
        <f t="shared" ca="1" si="10"/>
        <v>0</v>
      </c>
      <c r="H57" s="237">
        <f ca="1">IF(A57="","",OFFSET('Saisie réservations'!J45,$F$5,0))</f>
        <v>0</v>
      </c>
    </row>
    <row r="58" spans="1:8" ht="15.75" x14ac:dyDescent="0.25">
      <c r="A58" s="205" t="str">
        <f ca="1">IF(OFFSET('Saisie réservations'!B46,$F$5,0)&gt;=DATE(An,$G$5,1),IF(OFFSET('Saisie réservations'!B46,$F$5,0)&lt;=DATE(An,$H$5,31),OFFSET('Saisie réservations'!B46,$F$5,0),""),"")</f>
        <v/>
      </c>
      <c r="B58" s="206" t="str">
        <f ca="1">IF($A58&lt;&gt;"",OFFSET('Saisie réservations'!C46,$F$5,0),"")</f>
        <v/>
      </c>
      <c r="C58" s="237" t="str">
        <f ca="1">IF(A58="","",OFFSET('Saisie réservations'!AA46,$F$5,0))</f>
        <v/>
      </c>
      <c r="D58" s="237" t="str">
        <f t="shared" ca="1" si="11"/>
        <v/>
      </c>
      <c r="E58" s="237" t="str">
        <f t="shared" ca="1" si="12"/>
        <v/>
      </c>
      <c r="F58" s="207">
        <f t="shared" ca="1" si="9"/>
        <v>0</v>
      </c>
      <c r="G58" s="207" t="str">
        <f t="shared" ca="1" si="10"/>
        <v/>
      </c>
      <c r="H58" s="237" t="str">
        <f ca="1">IF(A58="","",OFFSET('Saisie réservations'!J46,$F$5,0))</f>
        <v/>
      </c>
    </row>
    <row r="59" spans="1:8" ht="15.75" x14ac:dyDescent="0.25">
      <c r="A59" s="205" t="str">
        <f ca="1">IF(OFFSET('Saisie réservations'!B47,$F$5,0)&gt;=DATE(An,$G$5,1),IF(OFFSET('Saisie réservations'!B47,$F$5,0)&lt;=DATE(An,$H$5,31),OFFSET('Saisie réservations'!B47,$F$5,0),""),"")</f>
        <v/>
      </c>
      <c r="B59" s="206" t="str">
        <f ca="1">IF($A59&lt;&gt;"",OFFSET('Saisie réservations'!C47,$F$5,0),"")</f>
        <v/>
      </c>
      <c r="C59" s="237" t="str">
        <f ca="1">IF(A59="","",OFFSET('Saisie réservations'!AA47,$F$5,0))</f>
        <v/>
      </c>
      <c r="D59" s="237" t="str">
        <f t="shared" ca="1" si="11"/>
        <v/>
      </c>
      <c r="E59" s="237" t="str">
        <f t="shared" ca="1" si="12"/>
        <v/>
      </c>
      <c r="F59" s="207">
        <f t="shared" ca="1" si="9"/>
        <v>0</v>
      </c>
      <c r="G59" s="207" t="str">
        <f t="shared" ca="1" si="10"/>
        <v/>
      </c>
      <c r="H59" s="237" t="str">
        <f ca="1">IF(A59="","",OFFSET('Saisie réservations'!J47,$F$5,0))</f>
        <v/>
      </c>
    </row>
    <row r="60" spans="1:8" ht="15.75" x14ac:dyDescent="0.25">
      <c r="A60" s="205" t="str">
        <f ca="1">IF(OFFSET('Saisie réservations'!B48,$F$5,0)&gt;=DATE(An,$G$5,1),IF(OFFSET('Saisie réservations'!B48,$F$5,0)&lt;=DATE(An,$H$5,31),OFFSET('Saisie réservations'!B48,$F$5,0),""),"")</f>
        <v/>
      </c>
      <c r="B60" s="206" t="str">
        <f ca="1">IF($A60&lt;&gt;"",OFFSET('Saisie réservations'!C48,$F$5,0),"")</f>
        <v/>
      </c>
      <c r="C60" s="237" t="str">
        <f ca="1">IF(A60="","",OFFSET('Saisie réservations'!AA48,$F$5,0))</f>
        <v/>
      </c>
      <c r="D60" s="237" t="str">
        <f t="shared" ca="1" si="11"/>
        <v/>
      </c>
      <c r="E60" s="237" t="str">
        <f t="shared" ca="1" si="12"/>
        <v/>
      </c>
      <c r="F60" s="207">
        <f t="shared" ca="1" si="9"/>
        <v>0</v>
      </c>
      <c r="G60" s="207" t="str">
        <f t="shared" ca="1" si="10"/>
        <v/>
      </c>
      <c r="H60" s="237" t="str">
        <f ca="1">IF(A60="","",OFFSET('Saisie réservations'!J48,$F$5,0))</f>
        <v/>
      </c>
    </row>
    <row r="61" spans="1:8" ht="15.75" x14ac:dyDescent="0.25">
      <c r="A61" s="205" t="str">
        <f ca="1">IF(OFFSET('Saisie réservations'!B49,$F$5,0)&gt;=DATE(An,$G$5,1),IF(OFFSET('Saisie réservations'!B49,$F$5,0)&lt;=DATE(An,$H$5,31),OFFSET('Saisie réservations'!B49,$F$5,0),""),"")</f>
        <v/>
      </c>
      <c r="B61" s="206" t="str">
        <f ca="1">IF($A61&lt;&gt;"",OFFSET('Saisie réservations'!C49,$F$5,0),"")</f>
        <v/>
      </c>
      <c r="C61" s="237" t="str">
        <f ca="1">IF(A61="","",OFFSET('Saisie réservations'!AA49,$F$5,0))</f>
        <v/>
      </c>
      <c r="D61" s="237" t="str">
        <f t="shared" ca="1" si="11"/>
        <v/>
      </c>
      <c r="E61" s="237" t="str">
        <f t="shared" ca="1" si="12"/>
        <v/>
      </c>
      <c r="F61" s="207">
        <f t="shared" ca="1" si="9"/>
        <v>0</v>
      </c>
      <c r="G61" s="207" t="str">
        <f t="shared" ca="1" si="10"/>
        <v/>
      </c>
      <c r="H61" s="237" t="str">
        <f ca="1">IF(A61="","",OFFSET('Saisie réservations'!J49,$F$5,0))</f>
        <v/>
      </c>
    </row>
    <row r="62" spans="1:8" ht="15.75" x14ac:dyDescent="0.25">
      <c r="A62" s="205" t="str">
        <f ca="1">IF(OFFSET('Saisie réservations'!B50,$F$5,0)&gt;=DATE(An,$G$5,1),IF(OFFSET('Saisie réservations'!B50,$F$5,0)&lt;=DATE(An,$H$5,31),OFFSET('Saisie réservations'!B50,$F$5,0),""),"")</f>
        <v/>
      </c>
      <c r="B62" s="206" t="str">
        <f ca="1">IF($A62&lt;&gt;"",OFFSET('Saisie réservations'!C50,$F$5,0),"")</f>
        <v/>
      </c>
      <c r="C62" s="237" t="str">
        <f ca="1">IF(A62="","",OFFSET('Saisie réservations'!AA50,$F$5,0))</f>
        <v/>
      </c>
      <c r="D62" s="237" t="str">
        <f t="shared" ca="1" si="11"/>
        <v/>
      </c>
      <c r="E62" s="237" t="str">
        <f t="shared" ca="1" si="12"/>
        <v/>
      </c>
      <c r="F62" s="207">
        <f t="shared" ca="1" si="9"/>
        <v>0</v>
      </c>
      <c r="G62" s="207" t="str">
        <f t="shared" ca="1" si="10"/>
        <v/>
      </c>
      <c r="H62" s="237" t="str">
        <f ca="1">IF(A62="","",OFFSET('Saisie réservations'!J50,$F$5,0))</f>
        <v/>
      </c>
    </row>
    <row r="63" spans="1:8" ht="15.75" x14ac:dyDescent="0.25">
      <c r="A63" s="205" t="str">
        <f ca="1">IF(OFFSET('Saisie réservations'!B51,$F$5,0)&gt;=DATE(An,$G$5,1),IF(OFFSET('Saisie réservations'!B51,$F$5,0)&lt;=DATE(An,$H$5,31),OFFSET('Saisie réservations'!B51,$F$5,0),""),"")</f>
        <v/>
      </c>
      <c r="B63" s="206" t="str">
        <f ca="1">IF($A63&lt;&gt;"",OFFSET('Saisie réservations'!C51,$F$5,0),"")</f>
        <v/>
      </c>
      <c r="C63" s="237" t="str">
        <f ca="1">IF(A63="","",OFFSET('Saisie réservations'!AA51,$F$5,0))</f>
        <v/>
      </c>
      <c r="D63" s="237" t="str">
        <f t="shared" ca="1" si="11"/>
        <v/>
      </c>
      <c r="E63" s="237" t="str">
        <f t="shared" ca="1" si="12"/>
        <v/>
      </c>
      <c r="F63" s="207">
        <f t="shared" ca="1" si="9"/>
        <v>0</v>
      </c>
      <c r="G63" s="207" t="str">
        <f t="shared" ca="1" si="10"/>
        <v/>
      </c>
      <c r="H63" s="237" t="str">
        <f ca="1">IF(A63="","",OFFSET('Saisie réservations'!J51,$F$5,0))</f>
        <v/>
      </c>
    </row>
    <row r="64" spans="1:8" ht="15.75" x14ac:dyDescent="0.25">
      <c r="A64" s="205" t="str">
        <f ca="1">IF(OFFSET('Saisie réservations'!B52,$F$5,0)&gt;=DATE(An,$G$5,1),IF(OFFSET('Saisie réservations'!B52,$F$5,0)&lt;=DATE(An,$H$5,31),OFFSET('Saisie réservations'!B52,$F$5,0),""),"")</f>
        <v/>
      </c>
      <c r="B64" s="206" t="str">
        <f ca="1">IF($A64&lt;&gt;"",OFFSET('Saisie réservations'!C52,$F$5,0),"")</f>
        <v/>
      </c>
      <c r="C64" s="237" t="str">
        <f ca="1">IF(A64="","",OFFSET('Saisie réservations'!AA52,$F$5,0))</f>
        <v/>
      </c>
      <c r="D64" s="237" t="str">
        <f t="shared" ca="1" si="11"/>
        <v/>
      </c>
      <c r="E64" s="237" t="str">
        <f t="shared" ca="1" si="12"/>
        <v/>
      </c>
      <c r="F64" s="207">
        <f t="shared" ca="1" si="9"/>
        <v>0</v>
      </c>
      <c r="G64" s="207" t="str">
        <f t="shared" ca="1" si="10"/>
        <v/>
      </c>
      <c r="H64" s="237" t="str">
        <f ca="1">IF(A64="","",OFFSET('Saisie réservations'!J52,$F$5,0))</f>
        <v/>
      </c>
    </row>
    <row r="65" spans="1:8" ht="15.75" x14ac:dyDescent="0.25">
      <c r="A65" s="205" t="str">
        <f ca="1">IF(OFFSET('Saisie réservations'!B53,$F$5,0)&gt;=DATE(An,$G$5,1),IF(OFFSET('Saisie réservations'!B53,$F$5,0)&lt;=DATE(An,$H$5,31),OFFSET('Saisie réservations'!B53,$F$5,0),""),"")</f>
        <v/>
      </c>
      <c r="B65" s="206" t="str">
        <f ca="1">IF($A65&lt;&gt;"",OFFSET('Saisie réservations'!C53,$F$5,0),"")</f>
        <v/>
      </c>
      <c r="C65" s="237" t="str">
        <f ca="1">IF(A65="","",OFFSET('Saisie réservations'!AA53,$F$5,0))</f>
        <v/>
      </c>
      <c r="D65" s="237" t="str">
        <f t="shared" ca="1" si="11"/>
        <v/>
      </c>
      <c r="E65" s="237" t="str">
        <f t="shared" ca="1" si="12"/>
        <v/>
      </c>
      <c r="F65" s="207">
        <f t="shared" ca="1" si="9"/>
        <v>0</v>
      </c>
      <c r="G65" s="207" t="str">
        <f t="shared" ca="1" si="10"/>
        <v/>
      </c>
      <c r="H65" s="237" t="str">
        <f ca="1">IF(A65="","",OFFSET('Saisie réservations'!J53,$F$5,0))</f>
        <v/>
      </c>
    </row>
    <row r="66" spans="1:8" ht="15.75" x14ac:dyDescent="0.25">
      <c r="A66" s="205" t="str">
        <f ca="1">IF(OFFSET('Saisie réservations'!B54,$F$5,0)&gt;=DATE(An,$G$5,1),IF(OFFSET('Saisie réservations'!B54,$F$5,0)&lt;=DATE(An,$H$5,31),OFFSET('Saisie réservations'!B54,$F$5,0),""),"")</f>
        <v/>
      </c>
      <c r="B66" s="206" t="str">
        <f ca="1">IF($A66&lt;&gt;"",OFFSET('Saisie réservations'!C54,$F$5,0),"")</f>
        <v/>
      </c>
      <c r="C66" s="237" t="str">
        <f ca="1">IF(A66="","",OFFSET('Saisie réservations'!AA54,$F$5,0))</f>
        <v/>
      </c>
      <c r="D66" s="237" t="str">
        <f t="shared" ca="1" si="11"/>
        <v/>
      </c>
      <c r="E66" s="237" t="str">
        <f t="shared" ca="1" si="12"/>
        <v/>
      </c>
      <c r="F66" s="207">
        <f t="shared" ca="1" si="9"/>
        <v>0</v>
      </c>
      <c r="G66" s="207" t="str">
        <f t="shared" ca="1" si="10"/>
        <v/>
      </c>
      <c r="H66" s="237" t="str">
        <f ca="1">IF(A66="","",OFFSET('Saisie réservations'!J54,$F$5,0))</f>
        <v/>
      </c>
    </row>
    <row r="67" spans="1:8" ht="15.75" x14ac:dyDescent="0.25">
      <c r="A67" s="205" t="str">
        <f ca="1">IF(OFFSET('Saisie réservations'!B55,$F$5,0)&gt;=DATE(An,$G$5,1),IF(OFFSET('Saisie réservations'!B55,$F$5,0)&lt;=DATE(An,$H$5,31),OFFSET('Saisie réservations'!B55,$F$5,0),""),"")</f>
        <v/>
      </c>
      <c r="B67" s="206" t="str">
        <f ca="1">IF($A67&lt;&gt;"",OFFSET('Saisie réservations'!C55,$F$5,0),"")</f>
        <v/>
      </c>
      <c r="C67" s="237" t="str">
        <f ca="1">IF(A67="","",OFFSET('Saisie réservations'!AA55,$F$5,0))</f>
        <v/>
      </c>
      <c r="D67" s="237" t="str">
        <f t="shared" ca="1" si="11"/>
        <v/>
      </c>
      <c r="E67" s="237" t="str">
        <f t="shared" ca="1" si="12"/>
        <v/>
      </c>
      <c r="F67" s="207">
        <f t="shared" ca="1" si="9"/>
        <v>0</v>
      </c>
      <c r="G67" s="207" t="str">
        <f t="shared" ca="1" si="10"/>
        <v/>
      </c>
      <c r="H67" s="237" t="str">
        <f ca="1">IF(A67="","",OFFSET('Saisie réservations'!J55,$F$5,0))</f>
        <v/>
      </c>
    </row>
    <row r="68" spans="1:8" ht="15.75" x14ac:dyDescent="0.25">
      <c r="A68" s="205" t="str">
        <f ca="1">IF(OFFSET('Saisie réservations'!B56,$F$5,0)&gt;=DATE(An,$G$5,1),IF(OFFSET('Saisie réservations'!B56,$F$5,0)&lt;=DATE(An,$H$5,31),OFFSET('Saisie réservations'!B56,$F$5,0),""),"")</f>
        <v/>
      </c>
      <c r="B68" s="206" t="str">
        <f ca="1">IF($A68&lt;&gt;"",OFFSET('Saisie réservations'!C56,$F$5,0),"")</f>
        <v/>
      </c>
      <c r="C68" s="237" t="str">
        <f ca="1">IF(A68="","",OFFSET('Saisie réservations'!AA56,$F$5,0))</f>
        <v/>
      </c>
      <c r="D68" s="237" t="str">
        <f t="shared" ca="1" si="11"/>
        <v/>
      </c>
      <c r="E68" s="237" t="str">
        <f t="shared" ca="1" si="12"/>
        <v/>
      </c>
      <c r="F68" s="207">
        <f t="shared" ca="1" si="9"/>
        <v>0</v>
      </c>
      <c r="G68" s="207" t="str">
        <f t="shared" ca="1" si="10"/>
        <v/>
      </c>
      <c r="H68" s="237" t="str">
        <f ca="1">IF(A68="","",OFFSET('Saisie réservations'!J56,$F$5,0))</f>
        <v/>
      </c>
    </row>
    <row r="69" spans="1:8" ht="15.75" x14ac:dyDescent="0.25">
      <c r="A69" s="205" t="str">
        <f ca="1">IF(OFFSET('Saisie réservations'!B57,$F$5,0)&gt;=DATE(An,$G$5,1),IF(OFFSET('Saisie réservations'!B57,$F$5,0)&lt;=DATE(An,$H$5,31),OFFSET('Saisie réservations'!B57,$F$5,0),""),"")</f>
        <v/>
      </c>
      <c r="B69" s="206" t="str">
        <f ca="1">IF($A69&lt;&gt;"",OFFSET('Saisie réservations'!C57,$F$5,0),"")</f>
        <v/>
      </c>
      <c r="C69" s="237" t="str">
        <f ca="1">IF(A69="","",OFFSET('Saisie réservations'!AA57,$F$5,0))</f>
        <v/>
      </c>
      <c r="D69" s="237" t="str">
        <f t="shared" ca="1" si="11"/>
        <v/>
      </c>
      <c r="E69" s="237" t="str">
        <f t="shared" ca="1" si="12"/>
        <v/>
      </c>
      <c r="F69" s="207">
        <f t="shared" ca="1" si="9"/>
        <v>0</v>
      </c>
      <c r="G69" s="207" t="str">
        <f t="shared" ca="1" si="10"/>
        <v/>
      </c>
      <c r="H69" s="237" t="str">
        <f ca="1">IF(A69="","",OFFSET('Saisie réservations'!J57,$F$5,0))</f>
        <v/>
      </c>
    </row>
    <row r="70" spans="1:8" ht="15.75" x14ac:dyDescent="0.25">
      <c r="A70" s="205" t="str">
        <f ca="1">IF(OFFSET('Saisie réservations'!B58,$F$5,0)&gt;=DATE(An,$G$5,1),IF(OFFSET('Saisie réservations'!B58,$F$5,0)&lt;=DATE(An,$H$5,31),OFFSET('Saisie réservations'!B58,$F$5,0),""),"")</f>
        <v/>
      </c>
      <c r="B70" s="206" t="str">
        <f ca="1">IF($A70&lt;&gt;"",OFFSET('Saisie réservations'!C58,$F$5,0),"")</f>
        <v/>
      </c>
      <c r="C70" s="237" t="str">
        <f ca="1">IF(A70="","",OFFSET('Saisie réservations'!AA58,$F$5,0))</f>
        <v/>
      </c>
      <c r="D70" s="237" t="str">
        <f t="shared" ca="1" si="11"/>
        <v/>
      </c>
      <c r="E70" s="237" t="str">
        <f t="shared" ca="1" si="12"/>
        <v/>
      </c>
      <c r="F70" s="207">
        <f t="shared" ca="1" si="9"/>
        <v>0</v>
      </c>
      <c r="G70" s="207" t="str">
        <f t="shared" ca="1" si="10"/>
        <v/>
      </c>
      <c r="H70" s="237" t="str">
        <f ca="1">IF(A70="","",OFFSET('Saisie réservations'!J58,$F$5,0))</f>
        <v/>
      </c>
    </row>
    <row r="71" spans="1:8" ht="15.75" x14ac:dyDescent="0.25">
      <c r="A71" s="205" t="str">
        <f ca="1">IF(OFFSET('Saisie réservations'!B59,$F$5,0)&gt;=DATE(An,$G$5,1),IF(OFFSET('Saisie réservations'!B59,$F$5,0)&lt;=DATE(An,$H$5,31),OFFSET('Saisie réservations'!B59,$F$5,0),""),"")</f>
        <v/>
      </c>
      <c r="B71" s="206" t="str">
        <f ca="1">IF($A71&lt;&gt;"",OFFSET('Saisie réservations'!C59,$F$5,0),"")</f>
        <v/>
      </c>
      <c r="C71" s="237" t="str">
        <f ca="1">IF(A71="","",OFFSET('Saisie réservations'!AA59,$F$5,0))</f>
        <v/>
      </c>
      <c r="D71" s="237" t="str">
        <f t="shared" ca="1" si="11"/>
        <v/>
      </c>
      <c r="E71" s="237" t="str">
        <f t="shared" ca="1" si="12"/>
        <v/>
      </c>
      <c r="F71" s="207">
        <f t="shared" ca="1" si="9"/>
        <v>0</v>
      </c>
      <c r="G71" s="207" t="str">
        <f t="shared" ca="1" si="10"/>
        <v/>
      </c>
      <c r="H71" s="237" t="str">
        <f ca="1">IF(A71="","",OFFSET('Saisie réservations'!J59,$F$5,0))</f>
        <v/>
      </c>
    </row>
    <row r="72" spans="1:8" ht="15.75" x14ac:dyDescent="0.25">
      <c r="A72" s="205" t="str">
        <f ca="1">IF(OFFSET('Saisie réservations'!B60,$F$5,0)&gt;=DATE(An,$G$5,1),IF(OFFSET('Saisie réservations'!B60,$F$5,0)&lt;=DATE(An,$H$5,31),OFFSET('Saisie réservations'!B60,$F$5,0),""),"")</f>
        <v/>
      </c>
      <c r="B72" s="206" t="str">
        <f ca="1">IF($A72&lt;&gt;"",OFFSET('Saisie réservations'!C60,$F$5,0),"")</f>
        <v/>
      </c>
      <c r="C72" s="237" t="str">
        <f ca="1">IF(A72="","",OFFSET('Saisie réservations'!AA60,$F$5,0))</f>
        <v/>
      </c>
      <c r="D72" s="237" t="str">
        <f t="shared" ca="1" si="11"/>
        <v/>
      </c>
      <c r="E72" s="237" t="str">
        <f t="shared" ca="1" si="12"/>
        <v/>
      </c>
      <c r="F72" s="207">
        <f t="shared" ca="1" si="9"/>
        <v>0</v>
      </c>
      <c r="G72" s="207" t="str">
        <f t="shared" ca="1" si="10"/>
        <v/>
      </c>
      <c r="H72" s="237" t="str">
        <f ca="1">IF(A72="","",OFFSET('Saisie réservations'!J60,$F$5,0))</f>
        <v/>
      </c>
    </row>
    <row r="73" spans="1:8" ht="15.75" x14ac:dyDescent="0.25">
      <c r="A73" s="205" t="str">
        <f ca="1">IF(OFFSET('Saisie réservations'!B61,$F$5,0)&gt;=DATE(An,$G$5,1),IF(OFFSET('Saisie réservations'!B61,$F$5,0)&lt;=DATE(An,$H$5,31),OFFSET('Saisie réservations'!B61,$F$5,0),""),"")</f>
        <v/>
      </c>
      <c r="B73" s="206" t="str">
        <f ca="1">IF($A73&lt;&gt;"",OFFSET('Saisie réservations'!C61,$F$5,0),"")</f>
        <v/>
      </c>
      <c r="C73" s="237" t="str">
        <f ca="1">IF(A73="","",OFFSET('Saisie réservations'!AA61,$F$5,0))</f>
        <v/>
      </c>
      <c r="D73" s="237" t="str">
        <f t="shared" ca="1" si="11"/>
        <v/>
      </c>
      <c r="E73" s="237" t="str">
        <f t="shared" ca="1" si="12"/>
        <v/>
      </c>
      <c r="F73" s="207">
        <f t="shared" ca="1" si="9"/>
        <v>0</v>
      </c>
      <c r="G73" s="207" t="str">
        <f t="shared" ca="1" si="10"/>
        <v/>
      </c>
      <c r="H73" s="237" t="str">
        <f ca="1">IF(A73="","",OFFSET('Saisie réservations'!J61,$F$5,0))</f>
        <v/>
      </c>
    </row>
    <row r="74" spans="1:8" ht="15.75" x14ac:dyDescent="0.25">
      <c r="A74" s="205" t="str">
        <f ca="1">IF(OFFSET('Saisie réservations'!B62,$F$5,0)&gt;=DATE(An,$G$5,1),IF(OFFSET('Saisie réservations'!B62,$F$5,0)&lt;=DATE(An,$H$5,31),OFFSET('Saisie réservations'!B62,$F$5,0),""),"")</f>
        <v/>
      </c>
      <c r="B74" s="206" t="str">
        <f ca="1">IF($A74&lt;&gt;"",OFFSET('Saisie réservations'!C62,$F$5,0),"")</f>
        <v/>
      </c>
      <c r="C74" s="237" t="str">
        <f ca="1">IF(A74="","",OFFSET('Saisie réservations'!AA62,$F$5,0))</f>
        <v/>
      </c>
      <c r="D74" s="237" t="str">
        <f t="shared" ca="1" si="11"/>
        <v/>
      </c>
      <c r="E74" s="237" t="str">
        <f t="shared" ca="1" si="12"/>
        <v/>
      </c>
      <c r="F74" s="207">
        <f t="shared" ca="1" si="9"/>
        <v>0</v>
      </c>
      <c r="G74" s="207" t="str">
        <f t="shared" ca="1" si="10"/>
        <v/>
      </c>
      <c r="H74" s="237" t="str">
        <f ca="1">IF(A74="","",OFFSET('Saisie réservations'!J62,$F$5,0))</f>
        <v/>
      </c>
    </row>
    <row r="75" spans="1:8" ht="15.75" x14ac:dyDescent="0.25">
      <c r="A75" s="205" t="str">
        <f ca="1">IF(OFFSET('Saisie réservations'!B63,$F$5,0)&gt;=DATE(An,$G$5,1),IF(OFFSET('Saisie réservations'!B63,$F$5,0)&lt;=DATE(An,$H$5,31),OFFSET('Saisie réservations'!B63,$F$5,0),""),"")</f>
        <v/>
      </c>
      <c r="B75" s="206" t="str">
        <f ca="1">IF($A75&lt;&gt;"",OFFSET('Saisie réservations'!C63,$F$5,0),"")</f>
        <v/>
      </c>
      <c r="C75" s="237" t="str">
        <f ca="1">IF(A75="","",OFFSET('Saisie réservations'!AA63,$F$5,0))</f>
        <v/>
      </c>
      <c r="D75" s="237" t="str">
        <f t="shared" ca="1" si="11"/>
        <v/>
      </c>
      <c r="E75" s="237" t="str">
        <f t="shared" ca="1" si="12"/>
        <v/>
      </c>
      <c r="F75" s="207">
        <f t="shared" ca="1" si="9"/>
        <v>0</v>
      </c>
      <c r="G75" s="207" t="str">
        <f t="shared" ca="1" si="10"/>
        <v/>
      </c>
      <c r="H75" s="237" t="str">
        <f ca="1">IF(A75="","",OFFSET('Saisie réservations'!J63,$F$5,0))</f>
        <v/>
      </c>
    </row>
    <row r="76" spans="1:8" ht="15.75" x14ac:dyDescent="0.25">
      <c r="A76" s="205" t="str">
        <f ca="1">IF(OFFSET('Saisie réservations'!B64,$F$5,0)&gt;=DATE(An,$G$5,1),IF(OFFSET('Saisie réservations'!B64,$F$5,0)&lt;=DATE(An,$H$5,31),OFFSET('Saisie réservations'!B64,$F$5,0),""),"")</f>
        <v/>
      </c>
      <c r="B76" s="206" t="str">
        <f ca="1">IF($A76&lt;&gt;"",OFFSET('Saisie réservations'!C64,$F$5,0),"")</f>
        <v/>
      </c>
      <c r="C76" s="237" t="str">
        <f ca="1">IF(A76="","",OFFSET('Saisie réservations'!AA64,$F$5,0))</f>
        <v/>
      </c>
      <c r="D76" s="237" t="str">
        <f t="shared" ca="1" si="11"/>
        <v/>
      </c>
      <c r="E76" s="237" t="str">
        <f t="shared" ca="1" si="12"/>
        <v/>
      </c>
      <c r="F76" s="207">
        <f t="shared" ca="1" si="9"/>
        <v>0</v>
      </c>
      <c r="G76" s="207" t="str">
        <f t="shared" ca="1" si="10"/>
        <v/>
      </c>
      <c r="H76" s="237" t="str">
        <f ca="1">IF(A76="","",OFFSET('Saisie réservations'!J64,$F$5,0))</f>
        <v/>
      </c>
    </row>
    <row r="77" spans="1:8" s="254" customFormat="1" ht="16.5" x14ac:dyDescent="0.3">
      <c r="A77" s="257"/>
      <c r="B77" s="248" t="str">
        <f ca="1">"Total"&amp;IF(COUNTIFS(Saisie[Date d''arrivée],"&gt;="&amp;DATE(An,1,1),Saisie[Date d''arrivée],"&lt;="&amp;DATE(An,5,31))&gt;COUNTA($A$10:$A77)," à reporter","")</f>
        <v>Total</v>
      </c>
      <c r="C77" s="258"/>
      <c r="D77" s="259"/>
      <c r="E77" s="251">
        <f ca="1">SUM($E55:$E76)</f>
        <v>809</v>
      </c>
      <c r="F77" s="252">
        <v>0.5</v>
      </c>
      <c r="G77" s="260">
        <f ca="1">$E77*$F77</f>
        <v>404.5</v>
      </c>
      <c r="H77" s="253"/>
    </row>
    <row r="78" spans="1:8" ht="15.75" x14ac:dyDescent="0.25">
      <c r="A78" s="239"/>
      <c r="B78" s="239"/>
      <c r="C78" s="239"/>
      <c r="D78" s="239"/>
      <c r="E78" s="239"/>
      <c r="F78" s="239"/>
      <c r="G78" s="208"/>
      <c r="H78" s="209"/>
    </row>
    <row r="79" spans="1:8" ht="15.75" x14ac:dyDescent="0.25">
      <c r="A79" s="239"/>
      <c r="B79" s="239"/>
      <c r="C79" s="211"/>
      <c r="D79" s="211"/>
      <c r="E79" s="211"/>
      <c r="F79" s="239"/>
      <c r="G79" s="210"/>
      <c r="H79" s="212"/>
    </row>
    <row r="80" spans="1:8" ht="15.75" x14ac:dyDescent="0.25">
      <c r="A80" s="361" t="s">
        <v>176</v>
      </c>
      <c r="B80" s="361"/>
      <c r="C80" s="361"/>
      <c r="D80" s="211"/>
      <c r="E80" s="239" t="s">
        <v>171</v>
      </c>
      <c r="F80" s="215"/>
      <c r="G80" s="210"/>
      <c r="H80" s="212"/>
    </row>
    <row r="81" spans="1:8" ht="15.75" x14ac:dyDescent="0.25">
      <c r="A81" s="239"/>
      <c r="B81" s="239"/>
      <c r="C81" s="211"/>
      <c r="D81" s="211"/>
      <c r="E81" s="211"/>
      <c r="F81" s="239"/>
      <c r="G81" s="213"/>
      <c r="H81" s="214"/>
    </row>
  </sheetData>
  <mergeCells count="12">
    <mergeCell ref="F8:F9"/>
    <mergeCell ref="A80:C80"/>
    <mergeCell ref="A1:H2"/>
    <mergeCell ref="A3:H3"/>
    <mergeCell ref="A4:H4"/>
    <mergeCell ref="C7:F7"/>
    <mergeCell ref="G7:G9"/>
    <mergeCell ref="H7:H9"/>
    <mergeCell ref="A8:B8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landscape" horizontalDpi="4294967293" verticalDpi="0" r:id="rId1"/>
  <rowBreaks count="2" manualBreakCount="2">
    <brk id="31" max="16383" man="1"/>
    <brk id="54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81"/>
  <sheetViews>
    <sheetView topLeftCell="A40" zoomScale="80" zoomScaleNormal="80" workbookViewId="0">
      <selection activeCell="J83" sqref="J83"/>
    </sheetView>
  </sheetViews>
  <sheetFormatPr baseColWidth="10" defaultRowHeight="12.75" x14ac:dyDescent="0.2"/>
  <cols>
    <col min="1" max="2" width="23.5" customWidth="1"/>
    <col min="4" max="5" width="10.83203125" customWidth="1"/>
    <col min="6" max="6" width="9.83203125" customWidth="1"/>
    <col min="7" max="7" width="27.83203125" customWidth="1"/>
    <col min="8" max="8" width="22.83203125" customWidth="1"/>
    <col min="10" max="10" width="16.83203125" customWidth="1"/>
  </cols>
  <sheetData>
    <row r="1" spans="1:10" x14ac:dyDescent="0.2">
      <c r="A1" s="364" t="s">
        <v>158</v>
      </c>
      <c r="B1" s="365"/>
      <c r="C1" s="365"/>
      <c r="D1" s="365"/>
      <c r="E1" s="365"/>
      <c r="F1" s="365"/>
      <c r="G1" s="365"/>
      <c r="H1" s="366"/>
    </row>
    <row r="2" spans="1:10" ht="13.5" thickBot="1" x14ac:dyDescent="0.25">
      <c r="A2" s="367"/>
      <c r="B2" s="368"/>
      <c r="C2" s="368"/>
      <c r="D2" s="368"/>
      <c r="E2" s="368"/>
      <c r="F2" s="368"/>
      <c r="G2" s="368"/>
      <c r="H2" s="369"/>
    </row>
    <row r="3" spans="1:10" ht="15.75" x14ac:dyDescent="0.2">
      <c r="A3" s="363" t="s">
        <v>159</v>
      </c>
      <c r="B3" s="363"/>
      <c r="C3" s="363"/>
      <c r="D3" s="363"/>
      <c r="E3" s="363"/>
      <c r="F3" s="363"/>
      <c r="G3" s="363"/>
      <c r="H3" s="363"/>
    </row>
    <row r="4" spans="1:10" ht="15.75" x14ac:dyDescent="0.2">
      <c r="A4" s="362" t="s">
        <v>160</v>
      </c>
      <c r="B4" s="362"/>
      <c r="C4" s="362"/>
      <c r="D4" s="362"/>
      <c r="E4" s="362"/>
      <c r="F4" s="362"/>
      <c r="G4" s="362"/>
      <c r="H4" s="362"/>
    </row>
    <row r="5" spans="1:10" ht="15.75" x14ac:dyDescent="0.25">
      <c r="A5" s="239"/>
      <c r="B5" s="239"/>
      <c r="C5" s="239"/>
      <c r="D5" s="239"/>
      <c r="E5" s="239"/>
      <c r="F5" s="265">
        <f ca="1">COUNTIF('Taxe de séjour Janv-Mai'!A10:A100,"&gt;0")+COUNTIF('Taxe de séjour Juin-Août'!A10:A100,"&gt;0")</f>
        <v>86</v>
      </c>
      <c r="G5" s="266">
        <v>9</v>
      </c>
      <c r="H5" s="266">
        <v>12</v>
      </c>
    </row>
    <row r="6" spans="1:10" ht="15.75" x14ac:dyDescent="0.25">
      <c r="A6" s="239"/>
      <c r="B6" s="239"/>
      <c r="C6" s="239"/>
      <c r="D6" s="239"/>
      <c r="E6" s="239"/>
      <c r="F6" s="239"/>
      <c r="G6" s="239"/>
      <c r="H6" s="239"/>
    </row>
    <row r="7" spans="1:10" ht="15.75" x14ac:dyDescent="0.25">
      <c r="A7" s="239"/>
      <c r="B7" s="239"/>
      <c r="C7" s="370" t="s">
        <v>161</v>
      </c>
      <c r="D7" s="370"/>
      <c r="E7" s="370"/>
      <c r="F7" s="370"/>
      <c r="G7" s="372" t="s">
        <v>162</v>
      </c>
      <c r="H7" s="372" t="s">
        <v>163</v>
      </c>
    </row>
    <row r="8" spans="1:10" ht="15.75" x14ac:dyDescent="0.25">
      <c r="A8" s="370" t="s">
        <v>164</v>
      </c>
      <c r="B8" s="371"/>
      <c r="C8" s="372" t="s">
        <v>165</v>
      </c>
      <c r="D8" s="372" t="s">
        <v>166</v>
      </c>
      <c r="E8" s="372" t="s">
        <v>105</v>
      </c>
      <c r="F8" s="372" t="s">
        <v>167</v>
      </c>
      <c r="G8" s="372"/>
      <c r="H8" s="372"/>
    </row>
    <row r="9" spans="1:10" ht="15.75" x14ac:dyDescent="0.25">
      <c r="A9" s="237" t="s">
        <v>168</v>
      </c>
      <c r="B9" s="238" t="s">
        <v>169</v>
      </c>
      <c r="C9" s="372"/>
      <c r="D9" s="372"/>
      <c r="E9" s="372"/>
      <c r="F9" s="372"/>
      <c r="G9" s="372"/>
      <c r="H9" s="372"/>
    </row>
    <row r="10" spans="1:10" ht="15.75" x14ac:dyDescent="0.25">
      <c r="A10" s="205">
        <f ca="1">IF(OFFSET('Saisie réservations'!B2,$F$5,0)&gt;=DATE(An,$G$5,1),IF(OFFSET('Saisie réservations'!B2,$F$5,0)&lt;=DATE(An,$H$5,31),OFFSET('Saisie réservations'!B2,$F$5,0),""),"")</f>
        <v>42980</v>
      </c>
      <c r="B10" s="206">
        <f ca="1">IF($A10&lt;&gt;"",OFFSET('Saisie réservations'!C2,$F$5,0),"")</f>
        <v>42986</v>
      </c>
      <c r="C10" s="237">
        <f ca="1">IF(A10="","",OFFSET('Saisie réservations'!AA2,$F$5,0))</f>
        <v>18</v>
      </c>
      <c r="D10" s="237">
        <f ca="1">IF($A10="","",DATEDIF($A10,$B10,"D"))</f>
        <v>6</v>
      </c>
      <c r="E10" s="237">
        <f ca="1">IF($A10="","",$C10*$D10)</f>
        <v>108</v>
      </c>
      <c r="F10" s="207">
        <f t="shared" ref="F10:F30" ca="1" si="0">IF(A10&lt;&gt;"",Taxe,0)</f>
        <v>0.5</v>
      </c>
      <c r="G10" s="207">
        <f ca="1">IF($E10="","",$E10*$F10)</f>
        <v>54</v>
      </c>
      <c r="H10" s="237">
        <f ca="1">IF(A10="","",OFFSET('Saisie réservations'!J2,$F$5,0))</f>
        <v>18</v>
      </c>
      <c r="J10" s="263"/>
    </row>
    <row r="11" spans="1:10" ht="15.75" x14ac:dyDescent="0.25">
      <c r="A11" s="205">
        <f ca="1">IF(OFFSET('Saisie réservations'!B3,$F$5,0)&gt;=DATE(An,$G$5,1),IF(OFFSET('Saisie réservations'!B3,$F$5,0)&lt;=DATE(An,$H$5,31),OFFSET('Saisie réservations'!B3,$F$5,0),""),"")</f>
        <v>42980</v>
      </c>
      <c r="B11" s="206">
        <f ca="1">IF($A11&lt;&gt;"",OFFSET('Saisie réservations'!C3,$F$5,0),"")</f>
        <v>42987</v>
      </c>
      <c r="C11" s="237">
        <f ca="1">IF(A11="","",OFFSET('Saisie réservations'!AA3,$F$5,0))</f>
        <v>0</v>
      </c>
      <c r="D11" s="237">
        <f t="shared" ref="D11:D30" ca="1" si="1">IF($A11="","",DATEDIF($A11,$B11,"D"))</f>
        <v>7</v>
      </c>
      <c r="E11" s="237">
        <f t="shared" ref="E11:E30" ca="1" si="2">IF($A11="","",$C11*$D11)</f>
        <v>0</v>
      </c>
      <c r="F11" s="207">
        <f t="shared" ca="1" si="0"/>
        <v>0.5</v>
      </c>
      <c r="G11" s="207">
        <f t="shared" ref="G11:G30" ca="1" si="3">IF($E11="","",$E11*$F11)</f>
        <v>0</v>
      </c>
      <c r="H11" s="237">
        <f ca="1">IF(A11="","",OFFSET('Saisie réservations'!J3,$F$5,0))</f>
        <v>24</v>
      </c>
    </row>
    <row r="12" spans="1:10" ht="15.75" x14ac:dyDescent="0.25">
      <c r="A12" s="205">
        <f ca="1">IF(OFFSET('Saisie réservations'!B4,$F$5,0)&gt;=DATE(An,$G$5,1),IF(OFFSET('Saisie réservations'!B4,$F$5,0)&lt;=DATE(An,$H$5,31),OFFSET('Saisie réservations'!B4,$F$5,0),""),"")</f>
        <v>42986</v>
      </c>
      <c r="B12" s="206">
        <f ca="1">IF($A12&lt;&gt;"",OFFSET('Saisie réservations'!C4,$F$5,0),"")</f>
        <v>42988</v>
      </c>
      <c r="C12" s="237">
        <f ca="1">IF(A12="","",OFFSET('Saisie réservations'!AA4,$F$5,0))</f>
        <v>0</v>
      </c>
      <c r="D12" s="237">
        <f t="shared" ca="1" si="1"/>
        <v>2</v>
      </c>
      <c r="E12" s="237">
        <f t="shared" ca="1" si="2"/>
        <v>0</v>
      </c>
      <c r="F12" s="207">
        <f t="shared" ca="1" si="0"/>
        <v>0.5</v>
      </c>
      <c r="G12" s="207">
        <f t="shared" ca="1" si="3"/>
        <v>0</v>
      </c>
      <c r="H12" s="237">
        <f ca="1">IF(A12="","",OFFSET('Saisie réservations'!J4,$F$5,0))</f>
        <v>0</v>
      </c>
    </row>
    <row r="13" spans="1:10" ht="15.75" x14ac:dyDescent="0.25">
      <c r="A13" s="205">
        <f ca="1">IF(OFFSET('Saisie réservations'!B5,$F$5,0)&gt;=DATE(An,$G$5,1),IF(OFFSET('Saisie réservations'!B5,$F$5,0)&lt;=DATE(An,$H$5,31),OFFSET('Saisie réservations'!B5,$F$5,0),""),"")</f>
        <v>42986</v>
      </c>
      <c r="B13" s="206">
        <f ca="1">IF($A13&lt;&gt;"",OFFSET('Saisie réservations'!C5,$F$5,0),"")</f>
        <v>42987</v>
      </c>
      <c r="C13" s="237">
        <f ca="1">IF(A13="","",OFFSET('Saisie réservations'!AA5,$F$5,0))</f>
        <v>13</v>
      </c>
      <c r="D13" s="237">
        <f t="shared" ca="1" si="1"/>
        <v>1</v>
      </c>
      <c r="E13" s="237">
        <f t="shared" ca="1" si="2"/>
        <v>13</v>
      </c>
      <c r="F13" s="207">
        <f t="shared" ca="1" si="0"/>
        <v>0.5</v>
      </c>
      <c r="G13" s="207">
        <f t="shared" ca="1" si="3"/>
        <v>6.5</v>
      </c>
      <c r="H13" s="237">
        <f ca="1">IF(A13="","",OFFSET('Saisie réservations'!J5,$F$5,0))</f>
        <v>13</v>
      </c>
    </row>
    <row r="14" spans="1:10" ht="15.75" x14ac:dyDescent="0.25">
      <c r="A14" s="205">
        <f ca="1">IF(OFFSET('Saisie réservations'!B6,$F$5,0)&gt;=DATE(An,$G$5,1),IF(OFFSET('Saisie réservations'!B6,$F$5,0)&lt;=DATE(An,$H$5,31),OFFSET('Saisie réservations'!B6,$F$5,0),""),"")</f>
        <v>42987</v>
      </c>
      <c r="B14" s="206">
        <f ca="1">IF($A14&lt;&gt;"",OFFSET('Saisie réservations'!C6,$F$5,0),"")</f>
        <v>42988</v>
      </c>
      <c r="C14" s="237">
        <f ca="1">IF(A14="","",OFFSET('Saisie réservations'!AA6,$F$5,0))</f>
        <v>0</v>
      </c>
      <c r="D14" s="237">
        <f t="shared" ca="1" si="1"/>
        <v>1</v>
      </c>
      <c r="E14" s="237">
        <f t="shared" ca="1" si="2"/>
        <v>0</v>
      </c>
      <c r="F14" s="207">
        <f t="shared" ca="1" si="0"/>
        <v>0.5</v>
      </c>
      <c r="G14" s="207">
        <f t="shared" ca="1" si="3"/>
        <v>0</v>
      </c>
      <c r="H14" s="237">
        <f ca="1">IF(A14="","",OFFSET('Saisie réservations'!J6,$F$5,0))</f>
        <v>27</v>
      </c>
    </row>
    <row r="15" spans="1:10" ht="15.75" x14ac:dyDescent="0.25">
      <c r="A15" s="205">
        <f ca="1">IF(OFFSET('Saisie réservations'!B7,$F$5,0)&gt;=DATE(An,$G$5,1),IF(OFFSET('Saisie réservations'!B7,$F$5,0)&lt;=DATE(An,$H$5,31),OFFSET('Saisie réservations'!B7,$F$5,0),""),"")</f>
        <v>42988</v>
      </c>
      <c r="B15" s="206">
        <f ca="1">IF($A15&lt;&gt;"",OFFSET('Saisie réservations'!C7,$F$5,0),"")</f>
        <v>42989</v>
      </c>
      <c r="C15" s="237">
        <f ca="1">IF(A15="","",OFFSET('Saisie réservations'!AA7,$F$5,0))</f>
        <v>0</v>
      </c>
      <c r="D15" s="237">
        <f t="shared" ca="1" si="1"/>
        <v>1</v>
      </c>
      <c r="E15" s="237">
        <f t="shared" ca="1" si="2"/>
        <v>0</v>
      </c>
      <c r="F15" s="207">
        <f t="shared" ca="1" si="0"/>
        <v>0.5</v>
      </c>
      <c r="G15" s="207">
        <f t="shared" ca="1" si="3"/>
        <v>0</v>
      </c>
      <c r="H15" s="237">
        <f ca="1">IF(A15="","",OFFSET('Saisie réservations'!J7,$F$5,0))</f>
        <v>25</v>
      </c>
    </row>
    <row r="16" spans="1:10" ht="15.75" x14ac:dyDescent="0.25">
      <c r="A16" s="205">
        <f ca="1">IF(OFFSET('Saisie réservations'!B8,$F$5,0)&gt;=DATE(An,$G$5,1),IF(OFFSET('Saisie réservations'!B8,$F$5,0)&lt;=DATE(An,$H$5,31),OFFSET('Saisie réservations'!B8,$F$5,0),""),"")</f>
        <v>42989</v>
      </c>
      <c r="B16" s="206">
        <f ca="1">IF($A16&lt;&gt;"",OFFSET('Saisie réservations'!C8,$F$5,0),"")</f>
        <v>42991</v>
      </c>
      <c r="C16" s="237">
        <f ca="1">IF(A16="","",OFFSET('Saisie réservations'!AA8,$F$5,0))</f>
        <v>0</v>
      </c>
      <c r="D16" s="237">
        <f t="shared" ca="1" si="1"/>
        <v>2</v>
      </c>
      <c r="E16" s="237">
        <f t="shared" ca="1" si="2"/>
        <v>0</v>
      </c>
      <c r="F16" s="207">
        <f t="shared" ca="1" si="0"/>
        <v>0.5</v>
      </c>
      <c r="G16" s="207">
        <f t="shared" ca="1" si="3"/>
        <v>0</v>
      </c>
      <c r="H16" s="237">
        <f ca="1">IF(A16="","",OFFSET('Saisie réservations'!J8,$F$5,0))</f>
        <v>12</v>
      </c>
    </row>
    <row r="17" spans="1:8" ht="15.75" x14ac:dyDescent="0.25">
      <c r="A17" s="205">
        <f ca="1">IF(OFFSET('Saisie réservations'!B9,$F$5,0)&gt;=DATE(An,$G$5,1),IF(OFFSET('Saisie réservations'!B9,$F$5,0)&lt;=DATE(An,$H$5,31),OFFSET('Saisie réservations'!B9,$F$5,0),""),"")</f>
        <v>42992</v>
      </c>
      <c r="B17" s="206">
        <f ca="1">IF($A17&lt;&gt;"",OFFSET('Saisie réservations'!C9,$F$5,0),"")</f>
        <v>42993</v>
      </c>
      <c r="C17" s="237">
        <f ca="1">IF(A17="","",OFFSET('Saisie réservations'!AA9,$F$5,0))</f>
        <v>0</v>
      </c>
      <c r="D17" s="237">
        <f t="shared" ca="1" si="1"/>
        <v>1</v>
      </c>
      <c r="E17" s="237">
        <f t="shared" ca="1" si="2"/>
        <v>0</v>
      </c>
      <c r="F17" s="207">
        <f t="shared" ca="1" si="0"/>
        <v>0.5</v>
      </c>
      <c r="G17" s="207">
        <f t="shared" ca="1" si="3"/>
        <v>0</v>
      </c>
      <c r="H17" s="237">
        <f ca="1">IF(A17="","",OFFSET('Saisie réservations'!J9,$F$5,0))</f>
        <v>31</v>
      </c>
    </row>
    <row r="18" spans="1:8" ht="15.75" x14ac:dyDescent="0.25">
      <c r="A18" s="205">
        <f ca="1">IF(OFFSET('Saisie réservations'!B10,$F$5,0)&gt;=DATE(An,$G$5,1),IF(OFFSET('Saisie réservations'!B10,$F$5,0)&lt;=DATE(An,$H$5,31),OFFSET('Saisie réservations'!B10,$F$5,0),""),"")</f>
        <v>42992</v>
      </c>
      <c r="B18" s="206">
        <f ca="1">IF($A18&lt;&gt;"",OFFSET('Saisie réservations'!C10,$F$5,0),"")</f>
        <v>42993</v>
      </c>
      <c r="C18" s="237">
        <f ca="1">IF(A18="","",OFFSET('Saisie réservations'!AA10,$F$5,0))</f>
        <v>15</v>
      </c>
      <c r="D18" s="237">
        <f t="shared" ca="1" si="1"/>
        <v>1</v>
      </c>
      <c r="E18" s="237">
        <f t="shared" ca="1" si="2"/>
        <v>15</v>
      </c>
      <c r="F18" s="207">
        <f t="shared" ca="1" si="0"/>
        <v>0.5</v>
      </c>
      <c r="G18" s="207">
        <f t="shared" ca="1" si="3"/>
        <v>7.5</v>
      </c>
      <c r="H18" s="237">
        <f ca="1">IF(A18="","",OFFSET('Saisie réservations'!J10,$F$5,0))</f>
        <v>15</v>
      </c>
    </row>
    <row r="19" spans="1:8" ht="15.75" x14ac:dyDescent="0.25">
      <c r="A19" s="205">
        <f ca="1">IF(OFFSET('Saisie réservations'!B11,$F$5,0)&gt;=DATE(An,$G$5,1),IF(OFFSET('Saisie réservations'!B11,$F$5,0)&lt;=DATE(An,$H$5,31),OFFSET('Saisie réservations'!B11,$F$5,0),""),"")</f>
        <v>42993</v>
      </c>
      <c r="B19" s="206">
        <f ca="1">IF($A19&lt;&gt;"",OFFSET('Saisie réservations'!C11,$F$5,0),"")</f>
        <v>42995</v>
      </c>
      <c r="C19" s="237">
        <f ca="1">IF(A19="","",OFFSET('Saisie réservations'!AA11,$F$5,0))</f>
        <v>0</v>
      </c>
      <c r="D19" s="237">
        <f t="shared" ca="1" si="1"/>
        <v>2</v>
      </c>
      <c r="E19" s="237">
        <f t="shared" ca="1" si="2"/>
        <v>0</v>
      </c>
      <c r="F19" s="207">
        <f t="shared" ca="1" si="0"/>
        <v>0.5</v>
      </c>
      <c r="G19" s="207">
        <f t="shared" ca="1" si="3"/>
        <v>0</v>
      </c>
      <c r="H19" s="237">
        <f ca="1">IF(A19="","",OFFSET('Saisie réservations'!J11,$F$5,0))</f>
        <v>25</v>
      </c>
    </row>
    <row r="20" spans="1:8" ht="15.75" x14ac:dyDescent="0.25">
      <c r="A20" s="205">
        <f ca="1">IF(OFFSET('Saisie réservations'!B12,$F$5,0)&gt;=DATE(An,$G$5,1),IF(OFFSET('Saisie réservations'!B12,$F$5,0)&lt;=DATE(An,$H$5,31),OFFSET('Saisie réservations'!B12,$F$5,0),""),"")</f>
        <v>42996</v>
      </c>
      <c r="B20" s="206">
        <f ca="1">IF($A20&lt;&gt;"",OFFSET('Saisie réservations'!C12,$F$5,0),"")</f>
        <v>43000</v>
      </c>
      <c r="C20" s="237">
        <f ca="1">IF(A20="","",OFFSET('Saisie réservations'!AA12,$F$5,0))</f>
        <v>0</v>
      </c>
      <c r="D20" s="237">
        <f t="shared" ca="1" si="1"/>
        <v>4</v>
      </c>
      <c r="E20" s="237">
        <f t="shared" ca="1" si="2"/>
        <v>0</v>
      </c>
      <c r="F20" s="207">
        <f t="shared" ca="1" si="0"/>
        <v>0.5</v>
      </c>
      <c r="G20" s="207">
        <f t="shared" ca="1" si="3"/>
        <v>0</v>
      </c>
      <c r="H20" s="237">
        <f ca="1">IF(A20="","",OFFSET('Saisie réservations'!J12,$F$5,0))</f>
        <v>10</v>
      </c>
    </row>
    <row r="21" spans="1:8" ht="15.75" x14ac:dyDescent="0.25">
      <c r="A21" s="205">
        <f ca="1">IF(OFFSET('Saisie réservations'!B13,$F$5,0)&gt;=DATE(An,$G$5,1),IF(OFFSET('Saisie réservations'!B13,$F$5,0)&lt;=DATE(An,$H$5,31),OFFSET('Saisie réservations'!B13,$F$5,0),""),"")</f>
        <v>43000</v>
      </c>
      <c r="B21" s="206">
        <f ca="1">IF($A21&lt;&gt;"",OFFSET('Saisie réservations'!C13,$F$5,0),"")</f>
        <v>43002</v>
      </c>
      <c r="C21" s="237">
        <f ca="1">IF(A21="","",OFFSET('Saisie réservations'!AA13,$F$5,0))</f>
        <v>0</v>
      </c>
      <c r="D21" s="237">
        <f t="shared" ca="1" si="1"/>
        <v>2</v>
      </c>
      <c r="E21" s="237">
        <f t="shared" ca="1" si="2"/>
        <v>0</v>
      </c>
      <c r="F21" s="207">
        <f t="shared" ca="1" si="0"/>
        <v>0.5</v>
      </c>
      <c r="G21" s="207">
        <f t="shared" ca="1" si="3"/>
        <v>0</v>
      </c>
      <c r="H21" s="237">
        <f ca="1">IF(A21="","",OFFSET('Saisie réservations'!J13,$F$5,0))</f>
        <v>19</v>
      </c>
    </row>
    <row r="22" spans="1:8" ht="15.75" x14ac:dyDescent="0.25">
      <c r="A22" s="205">
        <f ca="1">IF(OFFSET('Saisie réservations'!B14,$F$5,0)&gt;=DATE(An,$G$5,1),IF(OFFSET('Saisie réservations'!B14,$F$5,0)&lt;=DATE(An,$H$5,31),OFFSET('Saisie réservations'!B14,$F$5,0),""),"")</f>
        <v>43001</v>
      </c>
      <c r="B22" s="206">
        <f ca="1">IF($A22&lt;&gt;"",OFFSET('Saisie réservations'!C14,$F$5,0),"")</f>
        <v>43002</v>
      </c>
      <c r="C22" s="237">
        <f ca="1">IF(A22="","",OFFSET('Saisie réservations'!AA14,$F$5,0))</f>
        <v>0</v>
      </c>
      <c r="D22" s="237">
        <f t="shared" ca="1" si="1"/>
        <v>1</v>
      </c>
      <c r="E22" s="237">
        <f t="shared" ca="1" si="2"/>
        <v>0</v>
      </c>
      <c r="F22" s="207">
        <f t="shared" ca="1" si="0"/>
        <v>0.5</v>
      </c>
      <c r="G22" s="207">
        <f t="shared" ca="1" si="3"/>
        <v>0</v>
      </c>
      <c r="H22" s="237">
        <f ca="1">IF(A22="","",OFFSET('Saisie réservations'!J14,$F$5,0))</f>
        <v>30</v>
      </c>
    </row>
    <row r="23" spans="1:8" ht="15.75" x14ac:dyDescent="0.25">
      <c r="A23" s="205">
        <f ca="1">IF(OFFSET('Saisie réservations'!B15,$F$5,0)&gt;=DATE(An,$G$5,1),IF(OFFSET('Saisie réservations'!B15,$F$5,0)&lt;=DATE(An,$H$5,31),OFFSET('Saisie réservations'!B15,$F$5,0),""),"")</f>
        <v>43003</v>
      </c>
      <c r="B23" s="206">
        <f ca="1">IF($A23&lt;&gt;"",OFFSET('Saisie réservations'!C15,$F$5,0),"")</f>
        <v>43005</v>
      </c>
      <c r="C23" s="237">
        <f ca="1">IF(A23="","",OFFSET('Saisie réservations'!AA15,$F$5,0))</f>
        <v>0</v>
      </c>
      <c r="D23" s="237">
        <f t="shared" ca="1" si="1"/>
        <v>2</v>
      </c>
      <c r="E23" s="237">
        <f t="shared" ca="1" si="2"/>
        <v>0</v>
      </c>
      <c r="F23" s="207">
        <f t="shared" ca="1" si="0"/>
        <v>0.5</v>
      </c>
      <c r="G23" s="207">
        <f t="shared" ca="1" si="3"/>
        <v>0</v>
      </c>
      <c r="H23" s="237">
        <f ca="1">IF(A23="","",OFFSET('Saisie réservations'!J15,$F$5,0))</f>
        <v>0</v>
      </c>
    </row>
    <row r="24" spans="1:8" ht="15.75" x14ac:dyDescent="0.25">
      <c r="A24" s="205">
        <f ca="1">IF(OFFSET('Saisie réservations'!B16,$F$5,0)&gt;=DATE(An,$G$5,1),IF(OFFSET('Saisie réservations'!B16,$F$5,0)&lt;=DATE(An,$H$5,31),OFFSET('Saisie réservations'!B16,$F$5,0),""),"")</f>
        <v>43004</v>
      </c>
      <c r="B24" s="206">
        <f ca="1">IF($A24&lt;&gt;"",OFFSET('Saisie réservations'!C16,$F$5,0),"")</f>
        <v>43005</v>
      </c>
      <c r="C24" s="237">
        <f ca="1">IF(A24="","",OFFSET('Saisie réservations'!AA16,$F$5,0))</f>
        <v>0</v>
      </c>
      <c r="D24" s="237">
        <f t="shared" ca="1" si="1"/>
        <v>1</v>
      </c>
      <c r="E24" s="237">
        <f t="shared" ca="1" si="2"/>
        <v>0</v>
      </c>
      <c r="F24" s="207">
        <f t="shared" ca="1" si="0"/>
        <v>0.5</v>
      </c>
      <c r="G24" s="207">
        <f t="shared" ca="1" si="3"/>
        <v>0</v>
      </c>
      <c r="H24" s="237">
        <f ca="1">IF(A24="","",OFFSET('Saisie réservations'!J16,$F$5,0))</f>
        <v>18</v>
      </c>
    </row>
    <row r="25" spans="1:8" ht="15.75" x14ac:dyDescent="0.25">
      <c r="A25" s="205">
        <f ca="1">IF(OFFSET('Saisie réservations'!B17,$F$5,0)&gt;=DATE(An,$G$5,1),IF(OFFSET('Saisie réservations'!B17,$F$5,0)&lt;=DATE(An,$H$5,31),OFFSET('Saisie réservations'!B17,$F$5,0),""),"")</f>
        <v>43008</v>
      </c>
      <c r="B25" s="206">
        <f ca="1">IF($A25&lt;&gt;"",OFFSET('Saisie réservations'!C17,$F$5,0),"")</f>
        <v>43014</v>
      </c>
      <c r="C25" s="237">
        <f ca="1">IF(A25="","",OFFSET('Saisie réservations'!AA17,$F$5,0))</f>
        <v>0</v>
      </c>
      <c r="D25" s="237">
        <f t="shared" ca="1" si="1"/>
        <v>6</v>
      </c>
      <c r="E25" s="237">
        <f t="shared" ca="1" si="2"/>
        <v>0</v>
      </c>
      <c r="F25" s="207">
        <f t="shared" ca="1" si="0"/>
        <v>0.5</v>
      </c>
      <c r="G25" s="207">
        <f t="shared" ca="1" si="3"/>
        <v>0</v>
      </c>
      <c r="H25" s="237">
        <f ca="1">IF(A25="","",OFFSET('Saisie réservations'!J17,$F$5,0))</f>
        <v>30</v>
      </c>
    </row>
    <row r="26" spans="1:8" ht="15.75" x14ac:dyDescent="0.25">
      <c r="A26" s="205">
        <f ca="1">IF(OFFSET('Saisie réservations'!B18,$F$5,0)&gt;=DATE(An,$G$5,1),IF(OFFSET('Saisie réservations'!B18,$F$5,0)&lt;=DATE(An,$H$5,31),OFFSET('Saisie réservations'!B18,$F$5,0),""),"")</f>
        <v>43015</v>
      </c>
      <c r="B26" s="206">
        <f ca="1">IF($A26&lt;&gt;"",OFFSET('Saisie réservations'!C18,$F$5,0),"")</f>
        <v>43016</v>
      </c>
      <c r="C26" s="237">
        <f ca="1">IF(A26="","",OFFSET('Saisie réservations'!AA18,$F$5,0))</f>
        <v>0</v>
      </c>
      <c r="D26" s="237">
        <f t="shared" ca="1" si="1"/>
        <v>1</v>
      </c>
      <c r="E26" s="237">
        <f t="shared" ca="1" si="2"/>
        <v>0</v>
      </c>
      <c r="F26" s="207">
        <f t="shared" ca="1" si="0"/>
        <v>0.5</v>
      </c>
      <c r="G26" s="207">
        <f t="shared" ca="1" si="3"/>
        <v>0</v>
      </c>
      <c r="H26" s="237">
        <f ca="1">IF(A26="","",OFFSET('Saisie réservations'!J18,$F$5,0))</f>
        <v>38</v>
      </c>
    </row>
    <row r="27" spans="1:8" ht="15.75" x14ac:dyDescent="0.25">
      <c r="A27" s="205">
        <f ca="1">IF(OFFSET('Saisie réservations'!B19,$F$5,0)&gt;=DATE(An,$G$5,1),IF(OFFSET('Saisie réservations'!B19,$F$5,0)&lt;=DATE(An,$H$5,31),OFFSET('Saisie réservations'!B19,$F$5,0),""),"")</f>
        <v>43017</v>
      </c>
      <c r="B27" s="206">
        <f ca="1">IF($A27&lt;&gt;"",OFFSET('Saisie réservations'!C19,$F$5,0),"")</f>
        <v>43018</v>
      </c>
      <c r="C27" s="237">
        <f ca="1">IF(A27="","",OFFSET('Saisie réservations'!AA19,$F$5,0))</f>
        <v>0</v>
      </c>
      <c r="D27" s="237">
        <f t="shared" ca="1" si="1"/>
        <v>1</v>
      </c>
      <c r="E27" s="237">
        <f t="shared" ca="1" si="2"/>
        <v>0</v>
      </c>
      <c r="F27" s="207">
        <f t="shared" ca="1" si="0"/>
        <v>0.5</v>
      </c>
      <c r="G27" s="207">
        <f t="shared" ca="1" si="3"/>
        <v>0</v>
      </c>
      <c r="H27" s="237">
        <f ca="1">IF(A27="","",OFFSET('Saisie réservations'!J19,$F$5,0))</f>
        <v>47</v>
      </c>
    </row>
    <row r="28" spans="1:8" ht="15.75" x14ac:dyDescent="0.25">
      <c r="A28" s="205">
        <f ca="1">IF(OFFSET('Saisie réservations'!B20,$F$5,0)&gt;=DATE(An,$G$5,1),IF(OFFSET('Saisie réservations'!B20,$F$5,0)&lt;=DATE(An,$H$5,31),OFFSET('Saisie réservations'!B20,$F$5,0),""),"")</f>
        <v>43022</v>
      </c>
      <c r="B28" s="206">
        <f ca="1">IF($A28&lt;&gt;"",OFFSET('Saisie réservations'!C20,$F$5,0),"")</f>
        <v>43023</v>
      </c>
      <c r="C28" s="237">
        <f ca="1">IF(A28="","",OFFSET('Saisie réservations'!AA20,$F$5,0))</f>
        <v>0</v>
      </c>
      <c r="D28" s="237">
        <f t="shared" ca="1" si="1"/>
        <v>1</v>
      </c>
      <c r="E28" s="237">
        <f t="shared" ca="1" si="2"/>
        <v>0</v>
      </c>
      <c r="F28" s="207">
        <f t="shared" ca="1" si="0"/>
        <v>0.5</v>
      </c>
      <c r="G28" s="207">
        <f t="shared" ca="1" si="3"/>
        <v>0</v>
      </c>
      <c r="H28" s="237">
        <f ca="1">IF(A28="","",OFFSET('Saisie réservations'!J20,$F$5,0))</f>
        <v>21</v>
      </c>
    </row>
    <row r="29" spans="1:8" ht="15.75" x14ac:dyDescent="0.25">
      <c r="A29" s="205">
        <f ca="1">IF(OFFSET('Saisie réservations'!B21,$F$5,0)&gt;=DATE(An,$G$5,1),IF(OFFSET('Saisie réservations'!B21,$F$5,0)&lt;=DATE(An,$H$5,31),OFFSET('Saisie réservations'!B21,$F$5,0),""),"")</f>
        <v>43025</v>
      </c>
      <c r="B29" s="206">
        <f ca="1">IF($A29&lt;&gt;"",OFFSET('Saisie réservations'!C21,$F$5,0),"")</f>
        <v>43027</v>
      </c>
      <c r="C29" s="237">
        <f ca="1">IF(A29="","",OFFSET('Saisie réservations'!AA21,$F$5,0))</f>
        <v>0</v>
      </c>
      <c r="D29" s="237">
        <f t="shared" ca="1" si="1"/>
        <v>2</v>
      </c>
      <c r="E29" s="237">
        <f t="shared" ca="1" si="2"/>
        <v>0</v>
      </c>
      <c r="F29" s="207">
        <f t="shared" ca="1" si="0"/>
        <v>0.5</v>
      </c>
      <c r="G29" s="207">
        <f t="shared" ca="1" si="3"/>
        <v>0</v>
      </c>
      <c r="H29" s="237">
        <f ca="1">IF(A29="","",OFFSET('Saisie réservations'!J21,$F$5,0))</f>
        <v>0</v>
      </c>
    </row>
    <row r="30" spans="1:8" ht="15.75" x14ac:dyDescent="0.25">
      <c r="A30" s="205">
        <f ca="1">IF(OFFSET('Saisie réservations'!B22,$F$5,0)&gt;=DATE(An,$G$5,1),IF(OFFSET('Saisie réservations'!B22,$F$5,0)&lt;=DATE(An,$H$5,31),OFFSET('Saisie réservations'!B22,$F$5,0),""),"")</f>
        <v>43028</v>
      </c>
      <c r="B30" s="206">
        <f ca="1">IF($A30&lt;&gt;"",OFFSET('Saisie réservations'!C22,$F$5,0),"")</f>
        <v>43030</v>
      </c>
      <c r="C30" s="237">
        <f ca="1">IF(A30="","",OFFSET('Saisie réservations'!AA22,$F$5,0))</f>
        <v>0</v>
      </c>
      <c r="D30" s="237">
        <f t="shared" ca="1" si="1"/>
        <v>2</v>
      </c>
      <c r="E30" s="237">
        <f t="shared" ca="1" si="2"/>
        <v>0</v>
      </c>
      <c r="F30" s="207">
        <f t="shared" ca="1" si="0"/>
        <v>0.5</v>
      </c>
      <c r="G30" s="207">
        <f t="shared" ca="1" si="3"/>
        <v>0</v>
      </c>
      <c r="H30" s="237">
        <f ca="1">IF(A30="","",OFFSET('Saisie réservations'!J22,$F$5,0))</f>
        <v>26</v>
      </c>
    </row>
    <row r="31" spans="1:8" s="254" customFormat="1" ht="16.5" x14ac:dyDescent="0.3">
      <c r="A31" s="247"/>
      <c r="B31" s="248" t="str">
        <f ca="1">"Total"&amp;IF(COUNTIFS(Saisie[Date d''arrivée],"&gt;="&amp;DATE(An,1,1),Saisie[Date d''arrivée],"&lt;="&amp;DATE(An,5,31))&gt;COUNTA($A$10:$A31)," à reporter","")</f>
        <v>Total à reporter</v>
      </c>
      <c r="C31" s="249"/>
      <c r="D31" s="250"/>
      <c r="E31" s="251">
        <f ca="1">SUM($E10:$E30)</f>
        <v>136</v>
      </c>
      <c r="F31" s="252">
        <f t="shared" ref="F31:F55" si="4">Taxe</f>
        <v>0.5</v>
      </c>
      <c r="G31" s="252">
        <f ca="1">$E31*$F31</f>
        <v>68</v>
      </c>
      <c r="H31" s="253"/>
    </row>
    <row r="32" spans="1:8" s="254" customFormat="1" ht="16.5" x14ac:dyDescent="0.3">
      <c r="A32" s="255"/>
      <c r="B32" s="248" t="s">
        <v>170</v>
      </c>
      <c r="C32" s="249"/>
      <c r="D32" s="250"/>
      <c r="E32" s="251">
        <f ca="1">$E31</f>
        <v>136</v>
      </c>
      <c r="F32" s="252">
        <f t="shared" si="4"/>
        <v>0.5</v>
      </c>
      <c r="G32" s="252">
        <f ca="1">$E32*$F32</f>
        <v>68</v>
      </c>
      <c r="H32" s="256"/>
    </row>
    <row r="33" spans="1:8" ht="15.75" x14ac:dyDescent="0.25">
      <c r="A33" s="205">
        <f ca="1">IF(OFFSET('Saisie réservations'!B23,$F$5,0)&gt;=DATE(An,$G$5,1),IF(OFFSET('Saisie réservations'!B23,$F$5,0)&lt;=DATE(An,$H$5,31),OFFSET('Saisie réservations'!B23,$F$5,0),""),"")</f>
        <v>43028</v>
      </c>
      <c r="B33" s="206">
        <f ca="1">IF($A33&lt;&gt;"",OFFSET('Saisie réservations'!C23,$F$5,0),"")</f>
        <v>43030</v>
      </c>
      <c r="C33" s="237">
        <f ca="1">IF(A33="","",OFFSET('Saisie réservations'!AA23,$F$5,0))</f>
        <v>0</v>
      </c>
      <c r="D33" s="237">
        <f ca="1">IF($A33="","",DATEDIF($A33,$B33,"D"))</f>
        <v>2</v>
      </c>
      <c r="E33" s="237">
        <f ca="1">IF($A33="","",$C33*$D33)</f>
        <v>0</v>
      </c>
      <c r="F33" s="207">
        <f t="shared" ref="F33:F53" ca="1" si="5">IF(A33&lt;&gt;"",Taxe,0)</f>
        <v>0.5</v>
      </c>
      <c r="G33" s="207">
        <f t="shared" ref="G33:G53" ca="1" si="6">IF($E33="","",$E33*$F33)</f>
        <v>0</v>
      </c>
      <c r="H33" s="237">
        <f ca="1">IF(A33="","",OFFSET('Saisie réservations'!J23,$F$5,0))</f>
        <v>10</v>
      </c>
    </row>
    <row r="34" spans="1:8" ht="15.75" x14ac:dyDescent="0.25">
      <c r="A34" s="205">
        <f ca="1">IF(OFFSET('Saisie réservations'!B24,$F$5,0)&gt;=DATE(An,$G$5,1),IF(OFFSET('Saisie réservations'!B24,$F$5,0)&lt;=DATE(An,$H$5,31),OFFSET('Saisie réservations'!B24,$F$5,0),""),"")</f>
        <v>43021</v>
      </c>
      <c r="B34" s="206">
        <f ca="1">IF($A34&lt;&gt;"",OFFSET('Saisie réservations'!C24,$F$5,0),"")</f>
        <v>43023</v>
      </c>
      <c r="C34" s="237">
        <f ca="1">IF(A34="","",OFFSET('Saisie réservations'!AA24,$F$5,0))</f>
        <v>0</v>
      </c>
      <c r="D34" s="237">
        <f t="shared" ref="D34:D53" ca="1" si="7">IF($A34="","",DATEDIF($A34,$B34,"D"))</f>
        <v>2</v>
      </c>
      <c r="E34" s="237">
        <f t="shared" ref="E34:E53" ca="1" si="8">IF($A34="","",$C34*$D34)</f>
        <v>0</v>
      </c>
      <c r="F34" s="207">
        <f t="shared" ca="1" si="5"/>
        <v>0.5</v>
      </c>
      <c r="G34" s="207">
        <f t="shared" ca="1" si="6"/>
        <v>0</v>
      </c>
      <c r="H34" s="237">
        <f ca="1">IF(A34="","",OFFSET('Saisie réservations'!J24,$F$5,0))</f>
        <v>0</v>
      </c>
    </row>
    <row r="35" spans="1:8" ht="15.75" x14ac:dyDescent="0.25">
      <c r="A35" s="205">
        <f ca="1">IF(OFFSET('Saisie réservations'!B25,$F$5,0)&gt;=DATE(An,$G$5,1),IF(OFFSET('Saisie réservations'!B25,$F$5,0)&lt;=DATE(An,$H$5,31),OFFSET('Saisie réservations'!B25,$F$5,0),""),"")</f>
        <v>43023</v>
      </c>
      <c r="B35" s="206">
        <f ca="1">IF($A35&lt;&gt;"",OFFSET('Saisie réservations'!C25,$F$5,0),"")</f>
        <v>43026</v>
      </c>
      <c r="C35" s="237">
        <f ca="1">IF(A35="","",OFFSET('Saisie réservations'!AA25,$F$5,0))</f>
        <v>0</v>
      </c>
      <c r="D35" s="237">
        <f t="shared" ca="1" si="7"/>
        <v>3</v>
      </c>
      <c r="E35" s="237">
        <f t="shared" ca="1" si="8"/>
        <v>0</v>
      </c>
      <c r="F35" s="207">
        <f t="shared" ca="1" si="5"/>
        <v>0.5</v>
      </c>
      <c r="G35" s="207">
        <f t="shared" ca="1" si="6"/>
        <v>0</v>
      </c>
      <c r="H35" s="237">
        <f ca="1">IF(A35="","",OFFSET('Saisie réservations'!J25,$F$5,0))</f>
        <v>21</v>
      </c>
    </row>
    <row r="36" spans="1:8" ht="15.75" x14ac:dyDescent="0.25">
      <c r="A36" s="205">
        <f ca="1">IF(OFFSET('Saisie réservations'!B26,$F$5,0)&gt;=DATE(An,$G$5,1),IF(OFFSET('Saisie réservations'!B26,$F$5,0)&lt;=DATE(An,$H$5,31),OFFSET('Saisie réservations'!B26,$F$5,0),""),"")</f>
        <v>43025</v>
      </c>
      <c r="B36" s="206">
        <f ca="1">IF($A36&lt;&gt;"",OFFSET('Saisie réservations'!C26,$F$5,0),"")</f>
        <v>43027</v>
      </c>
      <c r="C36" s="237">
        <f ca="1">IF(A36="","",OFFSET('Saisie réservations'!AA26,$F$5,0))</f>
        <v>0</v>
      </c>
      <c r="D36" s="237">
        <f t="shared" ca="1" si="7"/>
        <v>2</v>
      </c>
      <c r="E36" s="237">
        <f t="shared" ca="1" si="8"/>
        <v>0</v>
      </c>
      <c r="F36" s="207">
        <f t="shared" ca="1" si="5"/>
        <v>0.5</v>
      </c>
      <c r="G36" s="207">
        <f t="shared" ca="1" si="6"/>
        <v>0</v>
      </c>
      <c r="H36" s="237">
        <f ca="1">IF(A36="","",OFFSET('Saisie réservations'!J26,$F$5,0))</f>
        <v>14</v>
      </c>
    </row>
    <row r="37" spans="1:8" ht="15.75" x14ac:dyDescent="0.25">
      <c r="A37" s="205" t="str">
        <f ca="1">IF(OFFSET('Saisie réservations'!B27,$F$5,0)&gt;=DATE(An,$G$5,1),IF(OFFSET('Saisie réservations'!B27,$F$5,0)&lt;=DATE(An,$H$5,31),OFFSET('Saisie réservations'!B27,$F$5,0),""),"")</f>
        <v/>
      </c>
      <c r="B37" s="206" t="str">
        <f ca="1">IF($A37&lt;&gt;"",OFFSET('Saisie réservations'!C27,$F$5,0),"")</f>
        <v/>
      </c>
      <c r="C37" s="237" t="str">
        <f ca="1">IF(A37="","",OFFSET('Saisie réservations'!AA27,$F$5,0))</f>
        <v/>
      </c>
      <c r="D37" s="237" t="str">
        <f t="shared" ca="1" si="7"/>
        <v/>
      </c>
      <c r="E37" s="237" t="str">
        <f t="shared" ca="1" si="8"/>
        <v/>
      </c>
      <c r="F37" s="207">
        <f t="shared" ca="1" si="5"/>
        <v>0</v>
      </c>
      <c r="G37" s="207" t="str">
        <f t="shared" ca="1" si="6"/>
        <v/>
      </c>
      <c r="H37" s="237" t="str">
        <f ca="1">IF(A37="","",OFFSET('Saisie réservations'!J27,$F$5,0))</f>
        <v/>
      </c>
    </row>
    <row r="38" spans="1:8" ht="15.75" x14ac:dyDescent="0.25">
      <c r="A38" s="205" t="str">
        <f ca="1">IF(OFFSET('Saisie réservations'!B28,$F$5,0)&gt;=DATE(An,$G$5,1),IF(OFFSET('Saisie réservations'!B28,$F$5,0)&lt;=DATE(An,$H$5,31),OFFSET('Saisie réservations'!B28,$F$5,0),""),"")</f>
        <v/>
      </c>
      <c r="B38" s="206" t="str">
        <f ca="1">IF($A38&lt;&gt;"",OFFSET('Saisie réservations'!C28,$F$5,0),"")</f>
        <v/>
      </c>
      <c r="C38" s="237" t="str">
        <f ca="1">IF(A38="","",OFFSET('Saisie réservations'!AA28,$F$5,0))</f>
        <v/>
      </c>
      <c r="D38" s="237" t="str">
        <f t="shared" ca="1" si="7"/>
        <v/>
      </c>
      <c r="E38" s="237" t="str">
        <f t="shared" ca="1" si="8"/>
        <v/>
      </c>
      <c r="F38" s="207">
        <f t="shared" ca="1" si="5"/>
        <v>0</v>
      </c>
      <c r="G38" s="207" t="str">
        <f t="shared" ca="1" si="6"/>
        <v/>
      </c>
      <c r="H38" s="237" t="str">
        <f ca="1">IF(A38="","",OFFSET('Saisie réservations'!J28,$F$5,0))</f>
        <v/>
      </c>
    </row>
    <row r="39" spans="1:8" ht="15.75" x14ac:dyDescent="0.25">
      <c r="A39" s="205" t="str">
        <f ca="1">IF(OFFSET('Saisie réservations'!B29,$F$5,0)&gt;=DATE(An,$G$5,1),IF(OFFSET('Saisie réservations'!B29,$F$5,0)&lt;=DATE(An,$H$5,31),OFFSET('Saisie réservations'!B29,$F$5,0),""),"")</f>
        <v/>
      </c>
      <c r="B39" s="206" t="str">
        <f ca="1">IF($A39&lt;&gt;"",OFFSET('Saisie réservations'!C29,$F$5,0),"")</f>
        <v/>
      </c>
      <c r="C39" s="237" t="str">
        <f ca="1">IF(A39="","",OFFSET('Saisie réservations'!AA29,$F$5,0))</f>
        <v/>
      </c>
      <c r="D39" s="237" t="str">
        <f t="shared" ca="1" si="7"/>
        <v/>
      </c>
      <c r="E39" s="237" t="str">
        <f t="shared" ca="1" si="8"/>
        <v/>
      </c>
      <c r="F39" s="207">
        <f t="shared" ca="1" si="5"/>
        <v>0</v>
      </c>
      <c r="G39" s="207" t="str">
        <f t="shared" ca="1" si="6"/>
        <v/>
      </c>
      <c r="H39" s="237" t="str">
        <f ca="1">IF(A39="","",OFFSET('Saisie réservations'!J29,$F$5,0))</f>
        <v/>
      </c>
    </row>
    <row r="40" spans="1:8" ht="15.75" x14ac:dyDescent="0.25">
      <c r="A40" s="205" t="str">
        <f ca="1">IF(OFFSET('Saisie réservations'!B30,$F$5,0)&gt;=DATE(An,$G$5,1),IF(OFFSET('Saisie réservations'!B30,$F$5,0)&lt;=DATE(An,$H$5,31),OFFSET('Saisie réservations'!B30,$F$5,0),""),"")</f>
        <v/>
      </c>
      <c r="B40" s="206" t="str">
        <f ca="1">IF($A40&lt;&gt;"",OFFSET('Saisie réservations'!C30,$F$5,0),"")</f>
        <v/>
      </c>
      <c r="C40" s="237" t="str">
        <f ca="1">IF(A40="","",OFFSET('Saisie réservations'!AA30,$F$5,0))</f>
        <v/>
      </c>
      <c r="D40" s="237" t="str">
        <f t="shared" ca="1" si="7"/>
        <v/>
      </c>
      <c r="E40" s="237" t="str">
        <f t="shared" ca="1" si="8"/>
        <v/>
      </c>
      <c r="F40" s="207">
        <f t="shared" ca="1" si="5"/>
        <v>0</v>
      </c>
      <c r="G40" s="207" t="str">
        <f t="shared" ca="1" si="6"/>
        <v/>
      </c>
      <c r="H40" s="237" t="str">
        <f ca="1">IF(A40="","",OFFSET('Saisie réservations'!J30,$F$5,0))</f>
        <v/>
      </c>
    </row>
    <row r="41" spans="1:8" ht="15.75" x14ac:dyDescent="0.25">
      <c r="A41" s="205" t="str">
        <f ca="1">IF(OFFSET('Saisie réservations'!B31,$F$5,0)&gt;=DATE(An,$G$5,1),IF(OFFSET('Saisie réservations'!B31,$F$5,0)&lt;=DATE(An,$H$5,31),OFFSET('Saisie réservations'!B31,$F$5,0),""),"")</f>
        <v/>
      </c>
      <c r="B41" s="206" t="str">
        <f ca="1">IF($A41&lt;&gt;"",OFFSET('Saisie réservations'!C31,$F$5,0),"")</f>
        <v/>
      </c>
      <c r="C41" s="237" t="str">
        <f ca="1">IF(A41="","",OFFSET('Saisie réservations'!AA31,$F$5,0))</f>
        <v/>
      </c>
      <c r="D41" s="237" t="str">
        <f t="shared" ca="1" si="7"/>
        <v/>
      </c>
      <c r="E41" s="237" t="str">
        <f t="shared" ca="1" si="8"/>
        <v/>
      </c>
      <c r="F41" s="207">
        <f t="shared" ca="1" si="5"/>
        <v>0</v>
      </c>
      <c r="G41" s="207" t="str">
        <f t="shared" ca="1" si="6"/>
        <v/>
      </c>
      <c r="H41" s="237" t="str">
        <f ca="1">IF(A41="","",OFFSET('Saisie réservations'!J31,$F$5,0))</f>
        <v/>
      </c>
    </row>
    <row r="42" spans="1:8" ht="15.75" x14ac:dyDescent="0.25">
      <c r="A42" s="205" t="str">
        <f ca="1">IF(OFFSET('Saisie réservations'!B32,$F$5,0)&gt;=DATE(An,$G$5,1),IF(OFFSET('Saisie réservations'!B32,$F$5,0)&lt;=DATE(An,$H$5,31),OFFSET('Saisie réservations'!B32,$F$5,0),""),"")</f>
        <v/>
      </c>
      <c r="B42" s="206" t="str">
        <f ca="1">IF($A42&lt;&gt;"",OFFSET('Saisie réservations'!C32,$F$5,0),"")</f>
        <v/>
      </c>
      <c r="C42" s="237" t="str">
        <f ca="1">IF(A42="","",OFFSET('Saisie réservations'!AA32,$F$5,0))</f>
        <v/>
      </c>
      <c r="D42" s="237" t="str">
        <f t="shared" ca="1" si="7"/>
        <v/>
      </c>
      <c r="E42" s="237" t="str">
        <f t="shared" ca="1" si="8"/>
        <v/>
      </c>
      <c r="F42" s="207">
        <f t="shared" ca="1" si="5"/>
        <v>0</v>
      </c>
      <c r="G42" s="207" t="str">
        <f t="shared" ca="1" si="6"/>
        <v/>
      </c>
      <c r="H42" s="237" t="str">
        <f ca="1">IF(A42="","",OFFSET('Saisie réservations'!J32,$F$5,0))</f>
        <v/>
      </c>
    </row>
    <row r="43" spans="1:8" ht="15.75" x14ac:dyDescent="0.25">
      <c r="A43" s="205" t="str">
        <f ca="1">IF(OFFSET('Saisie réservations'!B33,$F$5,0)&gt;=DATE(An,$G$5,1),IF(OFFSET('Saisie réservations'!B33,$F$5,0)&lt;=DATE(An,$H$5,31),OFFSET('Saisie réservations'!B33,$F$5,0),""),"")</f>
        <v/>
      </c>
      <c r="B43" s="206" t="str">
        <f ca="1">IF($A43&lt;&gt;"",OFFSET('Saisie réservations'!C33,$F$5,0),"")</f>
        <v/>
      </c>
      <c r="C43" s="237" t="str">
        <f ca="1">IF(A43="","",OFFSET('Saisie réservations'!AA33,$F$5,0))</f>
        <v/>
      </c>
      <c r="D43" s="237" t="str">
        <f t="shared" ca="1" si="7"/>
        <v/>
      </c>
      <c r="E43" s="237" t="str">
        <f t="shared" ca="1" si="8"/>
        <v/>
      </c>
      <c r="F43" s="207">
        <f t="shared" ca="1" si="5"/>
        <v>0</v>
      </c>
      <c r="G43" s="207" t="str">
        <f t="shared" ca="1" si="6"/>
        <v/>
      </c>
      <c r="H43" s="237" t="str">
        <f ca="1">IF(A43="","",OFFSET('Saisie réservations'!J33,$F$5,0))</f>
        <v/>
      </c>
    </row>
    <row r="44" spans="1:8" ht="15.75" x14ac:dyDescent="0.25">
      <c r="A44" s="205" t="str">
        <f ca="1">IF(OFFSET('Saisie réservations'!B34,$F$5,0)&gt;=DATE(An,$G$5,1),IF(OFFSET('Saisie réservations'!B34,$F$5,0)&lt;=DATE(An,$H$5,31),OFFSET('Saisie réservations'!B34,$F$5,0),""),"")</f>
        <v/>
      </c>
      <c r="B44" s="206" t="str">
        <f ca="1">IF($A44&lt;&gt;"",OFFSET('Saisie réservations'!C34,$F$5,0),"")</f>
        <v/>
      </c>
      <c r="C44" s="237" t="str">
        <f ca="1">IF(A44="","",OFFSET('Saisie réservations'!AA34,$F$5,0))</f>
        <v/>
      </c>
      <c r="D44" s="237" t="str">
        <f t="shared" ca="1" si="7"/>
        <v/>
      </c>
      <c r="E44" s="237" t="str">
        <f t="shared" ca="1" si="8"/>
        <v/>
      </c>
      <c r="F44" s="207">
        <f t="shared" ca="1" si="5"/>
        <v>0</v>
      </c>
      <c r="G44" s="207" t="str">
        <f t="shared" ca="1" si="6"/>
        <v/>
      </c>
      <c r="H44" s="237" t="str">
        <f ca="1">IF(A44="","",OFFSET('Saisie réservations'!J34,$F$5,0))</f>
        <v/>
      </c>
    </row>
    <row r="45" spans="1:8" ht="15.75" x14ac:dyDescent="0.25">
      <c r="A45" s="205" t="str">
        <f ca="1">IF(OFFSET('Saisie réservations'!B35,$F$5,0)&gt;=DATE(An,$G$5,1),IF(OFFSET('Saisie réservations'!B35,$F$5,0)&lt;=DATE(An,$H$5,31),OFFSET('Saisie réservations'!B35,$F$5,0),""),"")</f>
        <v/>
      </c>
      <c r="B45" s="206" t="str">
        <f ca="1">IF($A45&lt;&gt;"",OFFSET('Saisie réservations'!C35,$F$5,0),"")</f>
        <v/>
      </c>
      <c r="C45" s="237" t="str">
        <f ca="1">IF(A45="","",OFFSET('Saisie réservations'!AA35,$F$5,0))</f>
        <v/>
      </c>
      <c r="D45" s="237" t="str">
        <f t="shared" ca="1" si="7"/>
        <v/>
      </c>
      <c r="E45" s="237" t="str">
        <f t="shared" ca="1" si="8"/>
        <v/>
      </c>
      <c r="F45" s="207">
        <f t="shared" ca="1" si="5"/>
        <v>0</v>
      </c>
      <c r="G45" s="207" t="str">
        <f t="shared" ca="1" si="6"/>
        <v/>
      </c>
      <c r="H45" s="237" t="str">
        <f ca="1">IF(A45="","",OFFSET('Saisie réservations'!J35,$F$5,0))</f>
        <v/>
      </c>
    </row>
    <row r="46" spans="1:8" ht="15.75" x14ac:dyDescent="0.25">
      <c r="A46" s="205" t="str">
        <f ca="1">IF(OFFSET('Saisie réservations'!B36,$F$5,0)&gt;=DATE(An,$G$5,1),IF(OFFSET('Saisie réservations'!B36,$F$5,0)&lt;=DATE(An,$H$5,31),OFFSET('Saisie réservations'!B36,$F$5,0),""),"")</f>
        <v/>
      </c>
      <c r="B46" s="206" t="str">
        <f ca="1">IF($A46&lt;&gt;"",OFFSET('Saisie réservations'!C36,$F$5,0),"")</f>
        <v/>
      </c>
      <c r="C46" s="237" t="str">
        <f ca="1">IF(A46="","",OFFSET('Saisie réservations'!AA36,$F$5,0))</f>
        <v/>
      </c>
      <c r="D46" s="237" t="str">
        <f t="shared" ca="1" si="7"/>
        <v/>
      </c>
      <c r="E46" s="237" t="str">
        <f t="shared" ca="1" si="8"/>
        <v/>
      </c>
      <c r="F46" s="207">
        <f t="shared" ca="1" si="5"/>
        <v>0</v>
      </c>
      <c r="G46" s="207" t="str">
        <f t="shared" ca="1" si="6"/>
        <v/>
      </c>
      <c r="H46" s="237" t="str">
        <f ca="1">IF(A46="","",OFFSET('Saisie réservations'!J36,$F$5,0))</f>
        <v/>
      </c>
    </row>
    <row r="47" spans="1:8" ht="15.75" x14ac:dyDescent="0.25">
      <c r="A47" s="205" t="str">
        <f ca="1">IF(OFFSET('Saisie réservations'!B37,$F$5,0)&gt;=DATE(An,$G$5,1),IF(OFFSET('Saisie réservations'!B37,$F$5,0)&lt;=DATE(An,$H$5,31),OFFSET('Saisie réservations'!B37,$F$5,0),""),"")</f>
        <v/>
      </c>
      <c r="B47" s="206" t="str">
        <f ca="1">IF($A47&lt;&gt;"",OFFSET('Saisie réservations'!C37,$F$5,0),"")</f>
        <v/>
      </c>
      <c r="C47" s="237" t="str">
        <f ca="1">IF(A47="","",OFFSET('Saisie réservations'!AA37,$F$5,0))</f>
        <v/>
      </c>
      <c r="D47" s="237" t="str">
        <f t="shared" ca="1" si="7"/>
        <v/>
      </c>
      <c r="E47" s="237" t="str">
        <f t="shared" ca="1" si="8"/>
        <v/>
      </c>
      <c r="F47" s="207">
        <f t="shared" ca="1" si="5"/>
        <v>0</v>
      </c>
      <c r="G47" s="207" t="str">
        <f t="shared" ca="1" si="6"/>
        <v/>
      </c>
      <c r="H47" s="237" t="str">
        <f ca="1">IF(A47="","",OFFSET('Saisie réservations'!J37,$F$5,0))</f>
        <v/>
      </c>
    </row>
    <row r="48" spans="1:8" ht="15.75" x14ac:dyDescent="0.25">
      <c r="A48" s="205" t="str">
        <f ca="1">IF(OFFSET('Saisie réservations'!B38,$F$5,0)&gt;=DATE(An,$G$5,1),IF(OFFSET('Saisie réservations'!B38,$F$5,0)&lt;=DATE(An,$H$5,31),OFFSET('Saisie réservations'!B38,$F$5,0),""),"")</f>
        <v/>
      </c>
      <c r="B48" s="206" t="str">
        <f ca="1">IF($A48&lt;&gt;"",OFFSET('Saisie réservations'!C38,$F$5,0),"")</f>
        <v/>
      </c>
      <c r="C48" s="237" t="str">
        <f ca="1">IF(A48="","",OFFSET('Saisie réservations'!AA38,$F$5,0))</f>
        <v/>
      </c>
      <c r="D48" s="237" t="str">
        <f t="shared" ca="1" si="7"/>
        <v/>
      </c>
      <c r="E48" s="237" t="str">
        <f t="shared" ca="1" si="8"/>
        <v/>
      </c>
      <c r="F48" s="207">
        <f t="shared" ca="1" si="5"/>
        <v>0</v>
      </c>
      <c r="G48" s="207" t="str">
        <f t="shared" ca="1" si="6"/>
        <v/>
      </c>
      <c r="H48" s="237" t="str">
        <f ca="1">IF(A48="","",OFFSET('Saisie réservations'!J38,$F$5,0))</f>
        <v/>
      </c>
    </row>
    <row r="49" spans="1:8" ht="15.75" x14ac:dyDescent="0.25">
      <c r="A49" s="205" t="str">
        <f ca="1">IF(OFFSET('Saisie réservations'!B39,$F$5,0)&gt;=DATE(An,$G$5,1),IF(OFFSET('Saisie réservations'!B39,$F$5,0)&lt;=DATE(An,$H$5,31),OFFSET('Saisie réservations'!B39,$F$5,0),""),"")</f>
        <v/>
      </c>
      <c r="B49" s="206" t="str">
        <f ca="1">IF($A49&lt;&gt;"",OFFSET('Saisie réservations'!C39,$F$5,0),"")</f>
        <v/>
      </c>
      <c r="C49" s="237" t="str">
        <f ca="1">IF(A49="","",OFFSET('Saisie réservations'!AA39,$F$5,0))</f>
        <v/>
      </c>
      <c r="D49" s="237" t="str">
        <f t="shared" ca="1" si="7"/>
        <v/>
      </c>
      <c r="E49" s="237" t="str">
        <f t="shared" ca="1" si="8"/>
        <v/>
      </c>
      <c r="F49" s="207">
        <f t="shared" ca="1" si="5"/>
        <v>0</v>
      </c>
      <c r="G49" s="207" t="str">
        <f t="shared" ca="1" si="6"/>
        <v/>
      </c>
      <c r="H49" s="237" t="str">
        <f ca="1">IF(A49="","",OFFSET('Saisie réservations'!J39,$F$5,0))</f>
        <v/>
      </c>
    </row>
    <row r="50" spans="1:8" ht="15.75" x14ac:dyDescent="0.25">
      <c r="A50" s="205" t="str">
        <f ca="1">IF(OFFSET('Saisie réservations'!B40,$F$5,0)&gt;=DATE(An,$G$5,1),IF(OFFSET('Saisie réservations'!B40,$F$5,0)&lt;=DATE(An,$H$5,31),OFFSET('Saisie réservations'!B40,$F$5,0),""),"")</f>
        <v/>
      </c>
      <c r="B50" s="206" t="str">
        <f ca="1">IF($A50&lt;&gt;"",OFFSET('Saisie réservations'!C40,$F$5,0),"")</f>
        <v/>
      </c>
      <c r="C50" s="237" t="str">
        <f ca="1">IF(A50="","",OFFSET('Saisie réservations'!AA40,$F$5,0))</f>
        <v/>
      </c>
      <c r="D50" s="237" t="str">
        <f t="shared" ca="1" si="7"/>
        <v/>
      </c>
      <c r="E50" s="237" t="str">
        <f t="shared" ca="1" si="8"/>
        <v/>
      </c>
      <c r="F50" s="207">
        <f t="shared" ca="1" si="5"/>
        <v>0</v>
      </c>
      <c r="G50" s="207" t="str">
        <f t="shared" ca="1" si="6"/>
        <v/>
      </c>
      <c r="H50" s="237" t="str">
        <f ca="1">IF(A50="","",OFFSET('Saisie réservations'!J40,$F$5,0))</f>
        <v/>
      </c>
    </row>
    <row r="51" spans="1:8" ht="15.75" x14ac:dyDescent="0.25">
      <c r="A51" s="205" t="str">
        <f ca="1">IF(OFFSET('Saisie réservations'!B41,$F$5,0)&gt;=DATE(An,$G$5,1),IF(OFFSET('Saisie réservations'!B41,$F$5,0)&lt;=DATE(An,$H$5,31),OFFSET('Saisie réservations'!B41,$F$5,0),""),"")</f>
        <v/>
      </c>
      <c r="B51" s="206" t="str">
        <f ca="1">IF($A51&lt;&gt;"",OFFSET('Saisie réservations'!C41,$F$5,0),"")</f>
        <v/>
      </c>
      <c r="C51" s="237" t="str">
        <f ca="1">IF(A51="","",OFFSET('Saisie réservations'!AA41,$F$5,0))</f>
        <v/>
      </c>
      <c r="D51" s="237" t="str">
        <f t="shared" ca="1" si="7"/>
        <v/>
      </c>
      <c r="E51" s="237" t="str">
        <f t="shared" ca="1" si="8"/>
        <v/>
      </c>
      <c r="F51" s="207">
        <f t="shared" ca="1" si="5"/>
        <v>0</v>
      </c>
      <c r="G51" s="207" t="str">
        <f t="shared" ca="1" si="6"/>
        <v/>
      </c>
      <c r="H51" s="237" t="str">
        <f ca="1">IF(A51="","",OFFSET('Saisie réservations'!J41,$F$5,0))</f>
        <v/>
      </c>
    </row>
    <row r="52" spans="1:8" ht="15.75" x14ac:dyDescent="0.25">
      <c r="A52" s="205" t="str">
        <f ca="1">IF(OFFSET('Saisie réservations'!B42,$F$5,0)&gt;=DATE(An,$G$5,1),IF(OFFSET('Saisie réservations'!B42,$F$5,0)&lt;=DATE(An,$H$5,31),OFFSET('Saisie réservations'!B42,$F$5,0),""),"")</f>
        <v/>
      </c>
      <c r="B52" s="206" t="str">
        <f ca="1">IF($A52&lt;&gt;"",OFFSET('Saisie réservations'!C42,$F$5,0),"")</f>
        <v/>
      </c>
      <c r="C52" s="237" t="str">
        <f ca="1">IF(A52="","",OFFSET('Saisie réservations'!AA42,$F$5,0))</f>
        <v/>
      </c>
      <c r="D52" s="237" t="str">
        <f t="shared" ca="1" si="7"/>
        <v/>
      </c>
      <c r="E52" s="237" t="str">
        <f t="shared" ca="1" si="8"/>
        <v/>
      </c>
      <c r="F52" s="207">
        <f t="shared" ca="1" si="5"/>
        <v>0</v>
      </c>
      <c r="G52" s="207" t="str">
        <f t="shared" ca="1" si="6"/>
        <v/>
      </c>
      <c r="H52" s="237" t="str">
        <f ca="1">IF(A52="","",OFFSET('Saisie réservations'!J42,$F$5,0))</f>
        <v/>
      </c>
    </row>
    <row r="53" spans="1:8" ht="15.75" x14ac:dyDescent="0.25">
      <c r="A53" s="205" t="str">
        <f ca="1">IF(OFFSET('Saisie réservations'!B43,$F$5,0)&gt;=DATE(An,$G$5,1),IF(OFFSET('Saisie réservations'!B43,$F$5,0)&lt;=DATE(An,$H$5,31),OFFSET('Saisie réservations'!B43,$F$5,0),""),"")</f>
        <v/>
      </c>
      <c r="B53" s="206" t="str">
        <f ca="1">IF($A53&lt;&gt;"",OFFSET('Saisie réservations'!C43,$F$5,0),"")</f>
        <v/>
      </c>
      <c r="C53" s="237" t="str">
        <f ca="1">IF(A53="","",OFFSET('Saisie réservations'!AA43,$F$5,0))</f>
        <v/>
      </c>
      <c r="D53" s="237" t="str">
        <f t="shared" ca="1" si="7"/>
        <v/>
      </c>
      <c r="E53" s="237" t="str">
        <f t="shared" ca="1" si="8"/>
        <v/>
      </c>
      <c r="F53" s="207">
        <f t="shared" ca="1" si="5"/>
        <v>0</v>
      </c>
      <c r="G53" s="207" t="str">
        <f t="shared" ca="1" si="6"/>
        <v/>
      </c>
      <c r="H53" s="237" t="str">
        <f ca="1">IF(A53="","",OFFSET('Saisie réservations'!J43,$F$5,0))</f>
        <v/>
      </c>
    </row>
    <row r="54" spans="1:8" s="254" customFormat="1" ht="16.5" x14ac:dyDescent="0.3">
      <c r="A54" s="257"/>
      <c r="B54" s="248" t="str">
        <f ca="1">"Total"&amp;IF(COUNTIFS(Saisie[Date d''arrivée],"&gt;="&amp;DATE(An,1,1),Saisie[Date d''arrivée],"&lt;="&amp;DATE(An,5,31))&gt;COUNTA($A$10:$A54)," à reporter","")</f>
        <v>Total</v>
      </c>
      <c r="C54" s="258"/>
      <c r="D54" s="259"/>
      <c r="E54" s="251">
        <f ca="1">SUM($E32:$E53)</f>
        <v>136</v>
      </c>
      <c r="F54" s="252">
        <v>0.5</v>
      </c>
      <c r="G54" s="260">
        <f ca="1">$E54*$F54</f>
        <v>68</v>
      </c>
      <c r="H54" s="253"/>
    </row>
    <row r="55" spans="1:8" s="254" customFormat="1" ht="16.5" x14ac:dyDescent="0.3">
      <c r="A55" s="255"/>
      <c r="B55" s="248" t="s">
        <v>170</v>
      </c>
      <c r="C55" s="249"/>
      <c r="D55" s="250"/>
      <c r="E55" s="251">
        <f ca="1">$E54</f>
        <v>136</v>
      </c>
      <c r="F55" s="252">
        <f t="shared" si="4"/>
        <v>0.5</v>
      </c>
      <c r="G55" s="252">
        <f ca="1">$E55*$F55</f>
        <v>68</v>
      </c>
      <c r="H55" s="256"/>
    </row>
    <row r="56" spans="1:8" ht="15.75" x14ac:dyDescent="0.25">
      <c r="A56" s="205" t="str">
        <f ca="1">IF(OFFSET('Saisie réservations'!B44,$F$5,0)&gt;=DATE(An,$G$5,1),IF(OFFSET('Saisie réservations'!B44,$F$5,0)&lt;=DATE(An,$H$5,31),OFFSET('Saisie réservations'!B44,$F$5,0),""),"")</f>
        <v/>
      </c>
      <c r="B56" s="206" t="str">
        <f ca="1">IF($A56&lt;&gt;"",OFFSET('Saisie réservations'!C44,$F$5,0),"")</f>
        <v/>
      </c>
      <c r="C56" s="237" t="str">
        <f ca="1">IF(A56="","",OFFSET('Saisie réservations'!AA44,$F$5,0))</f>
        <v/>
      </c>
      <c r="D56" s="237" t="str">
        <f ca="1">IF($A56="","",DATEDIF($A56,$B56,"D"))</f>
        <v/>
      </c>
      <c r="E56" s="237" t="str">
        <f ca="1">IF($A56="","",$C56*$D56)</f>
        <v/>
      </c>
      <c r="F56" s="207">
        <f t="shared" ref="F56:F76" ca="1" si="9">IF(A56&lt;&gt;"",Taxe,0)</f>
        <v>0</v>
      </c>
      <c r="G56" s="207" t="str">
        <f t="shared" ref="G56:G76" ca="1" si="10">IF($E56="","",$E56*$F56)</f>
        <v/>
      </c>
      <c r="H56" s="237" t="str">
        <f ca="1">IF(A56="","",OFFSET('Saisie réservations'!J44,$F$5,0))</f>
        <v/>
      </c>
    </row>
    <row r="57" spans="1:8" ht="15.75" x14ac:dyDescent="0.25">
      <c r="A57" s="205" t="str">
        <f ca="1">IF(OFFSET('Saisie réservations'!B45,$F$5,0)&gt;=DATE(An,$G$5,1),IF(OFFSET('Saisie réservations'!B45,$F$5,0)&lt;=DATE(An,$H$5,31),OFFSET('Saisie réservations'!B45,$F$5,0),""),"")</f>
        <v/>
      </c>
      <c r="B57" s="206" t="str">
        <f ca="1">IF($A57&lt;&gt;"",OFFSET('Saisie réservations'!C45,$F$5,0),"")</f>
        <v/>
      </c>
      <c r="C57" s="237" t="str">
        <f ca="1">IF(A57="","",OFFSET('Saisie réservations'!AA45,$F$5,0))</f>
        <v/>
      </c>
      <c r="D57" s="237" t="str">
        <f t="shared" ref="D57:D76" ca="1" si="11">IF($A57="","",DATEDIF($A57,$B57,"D"))</f>
        <v/>
      </c>
      <c r="E57" s="237" t="str">
        <f t="shared" ref="E57:E76" ca="1" si="12">IF($A57="","",$C57*$D57)</f>
        <v/>
      </c>
      <c r="F57" s="207">
        <f t="shared" ca="1" si="9"/>
        <v>0</v>
      </c>
      <c r="G57" s="207" t="str">
        <f t="shared" ca="1" si="10"/>
        <v/>
      </c>
      <c r="H57" s="237" t="str">
        <f ca="1">IF(A57="","",OFFSET('Saisie réservations'!J45,$F$5,0))</f>
        <v/>
      </c>
    </row>
    <row r="58" spans="1:8" ht="15.75" x14ac:dyDescent="0.25">
      <c r="A58" s="205" t="str">
        <f ca="1">IF(OFFSET('Saisie réservations'!B46,$F$5,0)&gt;=DATE(An,$G$5,1),IF(OFFSET('Saisie réservations'!B46,$F$5,0)&lt;=DATE(An,$H$5,31),OFFSET('Saisie réservations'!B46,$F$5,0),""),"")</f>
        <v/>
      </c>
      <c r="B58" s="206" t="str">
        <f ca="1">IF($A58&lt;&gt;"",OFFSET('Saisie réservations'!C46,$F$5,0),"")</f>
        <v/>
      </c>
      <c r="C58" s="237" t="str">
        <f ca="1">IF(A58="","",OFFSET('Saisie réservations'!AA46,$F$5,0))</f>
        <v/>
      </c>
      <c r="D58" s="237" t="str">
        <f t="shared" ca="1" si="11"/>
        <v/>
      </c>
      <c r="E58" s="237" t="str">
        <f t="shared" ca="1" si="12"/>
        <v/>
      </c>
      <c r="F58" s="207">
        <f t="shared" ca="1" si="9"/>
        <v>0</v>
      </c>
      <c r="G58" s="207" t="str">
        <f t="shared" ca="1" si="10"/>
        <v/>
      </c>
      <c r="H58" s="237" t="str">
        <f ca="1">IF(A58="","",OFFSET('Saisie réservations'!J46,$F$5,0))</f>
        <v/>
      </c>
    </row>
    <row r="59" spans="1:8" ht="15.75" x14ac:dyDescent="0.25">
      <c r="A59" s="205" t="str">
        <f ca="1">IF(OFFSET('Saisie réservations'!B47,$F$5,0)&gt;=DATE(An,$G$5,1),IF(OFFSET('Saisie réservations'!B47,$F$5,0)&lt;=DATE(An,$H$5,31),OFFSET('Saisie réservations'!B47,$F$5,0),""),"")</f>
        <v/>
      </c>
      <c r="B59" s="206" t="str">
        <f ca="1">IF($A59&lt;&gt;"",OFFSET('Saisie réservations'!C47,$F$5,0),"")</f>
        <v/>
      </c>
      <c r="C59" s="237" t="str">
        <f ca="1">IF(A59="","",OFFSET('Saisie réservations'!AA47,$F$5,0))</f>
        <v/>
      </c>
      <c r="D59" s="237" t="str">
        <f t="shared" ca="1" si="11"/>
        <v/>
      </c>
      <c r="E59" s="237" t="str">
        <f t="shared" ca="1" si="12"/>
        <v/>
      </c>
      <c r="F59" s="207">
        <f t="shared" ca="1" si="9"/>
        <v>0</v>
      </c>
      <c r="G59" s="207" t="str">
        <f t="shared" ca="1" si="10"/>
        <v/>
      </c>
      <c r="H59" s="237" t="str">
        <f ca="1">IF(A59="","",OFFSET('Saisie réservations'!J47,$F$5,0))</f>
        <v/>
      </c>
    </row>
    <row r="60" spans="1:8" ht="15.75" x14ac:dyDescent="0.25">
      <c r="A60" s="205" t="str">
        <f ca="1">IF(OFFSET('Saisie réservations'!B48,$F$5,0)&gt;=DATE(An,$G$5,1),IF(OFFSET('Saisie réservations'!B48,$F$5,0)&lt;=DATE(An,$H$5,31),OFFSET('Saisie réservations'!B48,$F$5,0),""),"")</f>
        <v/>
      </c>
      <c r="B60" s="206" t="str">
        <f ca="1">IF($A60&lt;&gt;"",OFFSET('Saisie réservations'!C48,$F$5,0),"")</f>
        <v/>
      </c>
      <c r="C60" s="237" t="str">
        <f ca="1">IF(A60="","",OFFSET('Saisie réservations'!AA48,$F$5,0))</f>
        <v/>
      </c>
      <c r="D60" s="237" t="str">
        <f t="shared" ca="1" si="11"/>
        <v/>
      </c>
      <c r="E60" s="237" t="str">
        <f t="shared" ca="1" si="12"/>
        <v/>
      </c>
      <c r="F60" s="207">
        <f t="shared" ca="1" si="9"/>
        <v>0</v>
      </c>
      <c r="G60" s="207" t="str">
        <f t="shared" ca="1" si="10"/>
        <v/>
      </c>
      <c r="H60" s="237" t="str">
        <f ca="1">IF(A60="","",OFFSET('Saisie réservations'!J48,$F$5,0))</f>
        <v/>
      </c>
    </row>
    <row r="61" spans="1:8" ht="15.75" x14ac:dyDescent="0.25">
      <c r="A61" s="205" t="str">
        <f ca="1">IF(OFFSET('Saisie réservations'!B49,$F$5,0)&gt;=DATE(An,$G$5,1),IF(OFFSET('Saisie réservations'!B49,$F$5,0)&lt;=DATE(An,$H$5,31),OFFSET('Saisie réservations'!B49,$F$5,0),""),"")</f>
        <v/>
      </c>
      <c r="B61" s="206" t="str">
        <f ca="1">IF($A61&lt;&gt;"",OFFSET('Saisie réservations'!C49,$F$5,0),"")</f>
        <v/>
      </c>
      <c r="C61" s="237" t="str">
        <f ca="1">IF(A61="","",OFFSET('Saisie réservations'!AA49,$F$5,0))</f>
        <v/>
      </c>
      <c r="D61" s="237" t="str">
        <f t="shared" ca="1" si="11"/>
        <v/>
      </c>
      <c r="E61" s="237" t="str">
        <f t="shared" ca="1" si="12"/>
        <v/>
      </c>
      <c r="F61" s="207">
        <f t="shared" ca="1" si="9"/>
        <v>0</v>
      </c>
      <c r="G61" s="207" t="str">
        <f t="shared" ca="1" si="10"/>
        <v/>
      </c>
      <c r="H61" s="237" t="str">
        <f ca="1">IF(A61="","",OFFSET('Saisie réservations'!J49,$F$5,0))</f>
        <v/>
      </c>
    </row>
    <row r="62" spans="1:8" ht="15.75" x14ac:dyDescent="0.25">
      <c r="A62" s="205" t="str">
        <f ca="1">IF(OFFSET('Saisie réservations'!B50,$F$5,0)&gt;=DATE(An,$G$5,1),IF(OFFSET('Saisie réservations'!B50,$F$5,0)&lt;=DATE(An,$H$5,31),OFFSET('Saisie réservations'!B50,$F$5,0),""),"")</f>
        <v/>
      </c>
      <c r="B62" s="206" t="str">
        <f ca="1">IF($A62&lt;&gt;"",OFFSET('Saisie réservations'!C50,$F$5,0),"")</f>
        <v/>
      </c>
      <c r="C62" s="237" t="str">
        <f ca="1">IF(A62="","",OFFSET('Saisie réservations'!AA50,$F$5,0))</f>
        <v/>
      </c>
      <c r="D62" s="237" t="str">
        <f t="shared" ca="1" si="11"/>
        <v/>
      </c>
      <c r="E62" s="237" t="str">
        <f t="shared" ca="1" si="12"/>
        <v/>
      </c>
      <c r="F62" s="207">
        <f t="shared" ca="1" si="9"/>
        <v>0</v>
      </c>
      <c r="G62" s="207" t="str">
        <f t="shared" ca="1" si="10"/>
        <v/>
      </c>
      <c r="H62" s="237" t="str">
        <f ca="1">IF(A62="","",OFFSET('Saisie réservations'!J50,$F$5,0))</f>
        <v/>
      </c>
    </row>
    <row r="63" spans="1:8" ht="15.75" x14ac:dyDescent="0.25">
      <c r="A63" s="205" t="str">
        <f ca="1">IF(OFFSET('Saisie réservations'!B51,$F$5,0)&gt;=DATE(An,$G$5,1),IF(OFFSET('Saisie réservations'!B51,$F$5,0)&lt;=DATE(An,$H$5,31),OFFSET('Saisie réservations'!B51,$F$5,0),""),"")</f>
        <v/>
      </c>
      <c r="B63" s="206" t="str">
        <f ca="1">IF($A63&lt;&gt;"",OFFSET('Saisie réservations'!C51,$F$5,0),"")</f>
        <v/>
      </c>
      <c r="C63" s="237" t="str">
        <f ca="1">IF(A63="","",OFFSET('Saisie réservations'!AA51,$F$5,0))</f>
        <v/>
      </c>
      <c r="D63" s="237" t="str">
        <f t="shared" ca="1" si="11"/>
        <v/>
      </c>
      <c r="E63" s="237" t="str">
        <f t="shared" ca="1" si="12"/>
        <v/>
      </c>
      <c r="F63" s="207">
        <f t="shared" ca="1" si="9"/>
        <v>0</v>
      </c>
      <c r="G63" s="207" t="str">
        <f t="shared" ca="1" si="10"/>
        <v/>
      </c>
      <c r="H63" s="237" t="str">
        <f ca="1">IF(A63="","",OFFSET('Saisie réservations'!J51,$F$5,0))</f>
        <v/>
      </c>
    </row>
    <row r="64" spans="1:8" ht="15.75" x14ac:dyDescent="0.25">
      <c r="A64" s="205" t="str">
        <f ca="1">IF(OFFSET('Saisie réservations'!B52,$F$5,0)&gt;=DATE(An,$G$5,1),IF(OFFSET('Saisie réservations'!B52,$F$5,0)&lt;=DATE(An,$H$5,31),OFFSET('Saisie réservations'!B52,$F$5,0),""),"")</f>
        <v/>
      </c>
      <c r="B64" s="206" t="str">
        <f ca="1">IF($A64&lt;&gt;"",OFFSET('Saisie réservations'!C52,$F$5,0),"")</f>
        <v/>
      </c>
      <c r="C64" s="237" t="str">
        <f ca="1">IF(A64="","",OFFSET('Saisie réservations'!AA52,$F$5,0))</f>
        <v/>
      </c>
      <c r="D64" s="237" t="str">
        <f t="shared" ca="1" si="11"/>
        <v/>
      </c>
      <c r="E64" s="237" t="str">
        <f t="shared" ca="1" si="12"/>
        <v/>
      </c>
      <c r="F64" s="207">
        <f t="shared" ca="1" si="9"/>
        <v>0</v>
      </c>
      <c r="G64" s="207" t="str">
        <f t="shared" ca="1" si="10"/>
        <v/>
      </c>
      <c r="H64" s="237" t="str">
        <f ca="1">IF(A64="","",OFFSET('Saisie réservations'!J52,$F$5,0))</f>
        <v/>
      </c>
    </row>
    <row r="65" spans="1:8" ht="15.75" x14ac:dyDescent="0.25">
      <c r="A65" s="205" t="str">
        <f ca="1">IF(OFFSET('Saisie réservations'!B53,$F$5,0)&gt;=DATE(An,$G$5,1),IF(OFFSET('Saisie réservations'!B53,$F$5,0)&lt;=DATE(An,$H$5,31),OFFSET('Saisie réservations'!B53,$F$5,0),""),"")</f>
        <v/>
      </c>
      <c r="B65" s="206" t="str">
        <f ca="1">IF($A65&lt;&gt;"",OFFSET('Saisie réservations'!C53,$F$5,0),"")</f>
        <v/>
      </c>
      <c r="C65" s="237" t="str">
        <f ca="1">IF(A65="","",OFFSET('Saisie réservations'!AA53,$F$5,0))</f>
        <v/>
      </c>
      <c r="D65" s="237" t="str">
        <f t="shared" ca="1" si="11"/>
        <v/>
      </c>
      <c r="E65" s="237" t="str">
        <f t="shared" ca="1" si="12"/>
        <v/>
      </c>
      <c r="F65" s="207">
        <f t="shared" ca="1" si="9"/>
        <v>0</v>
      </c>
      <c r="G65" s="207" t="str">
        <f t="shared" ca="1" si="10"/>
        <v/>
      </c>
      <c r="H65" s="237" t="str">
        <f ca="1">IF(A65="","",OFFSET('Saisie réservations'!J53,$F$5,0))</f>
        <v/>
      </c>
    </row>
    <row r="66" spans="1:8" ht="15.75" x14ac:dyDescent="0.25">
      <c r="A66" s="205" t="str">
        <f ca="1">IF(OFFSET('Saisie réservations'!B54,$F$5,0)&gt;=DATE(An,$G$5,1),IF(OFFSET('Saisie réservations'!B54,$F$5,0)&lt;=DATE(An,$H$5,31),OFFSET('Saisie réservations'!B54,$F$5,0),""),"")</f>
        <v/>
      </c>
      <c r="B66" s="206" t="str">
        <f ca="1">IF($A66&lt;&gt;"",OFFSET('Saisie réservations'!C54,$F$5,0),"")</f>
        <v/>
      </c>
      <c r="C66" s="237" t="str">
        <f ca="1">IF(A66="","",OFFSET('Saisie réservations'!AA54,$F$5,0))</f>
        <v/>
      </c>
      <c r="D66" s="237" t="str">
        <f t="shared" ca="1" si="11"/>
        <v/>
      </c>
      <c r="E66" s="237" t="str">
        <f t="shared" ca="1" si="12"/>
        <v/>
      </c>
      <c r="F66" s="207">
        <f t="shared" ca="1" si="9"/>
        <v>0</v>
      </c>
      <c r="G66" s="207" t="str">
        <f t="shared" ca="1" si="10"/>
        <v/>
      </c>
      <c r="H66" s="237" t="str">
        <f ca="1">IF(A66="","",OFFSET('Saisie réservations'!J54,$F$5,0))</f>
        <v/>
      </c>
    </row>
    <row r="67" spans="1:8" ht="15.75" x14ac:dyDescent="0.25">
      <c r="A67" s="205" t="str">
        <f ca="1">IF(OFFSET('Saisie réservations'!B55,$F$5,0)&gt;=DATE(An,$G$5,1),IF(OFFSET('Saisie réservations'!B55,$F$5,0)&lt;=DATE(An,$H$5,31),OFFSET('Saisie réservations'!B55,$F$5,0),""),"")</f>
        <v/>
      </c>
      <c r="B67" s="206" t="str">
        <f ca="1">IF($A67&lt;&gt;"",OFFSET('Saisie réservations'!C55,$F$5,0),"")</f>
        <v/>
      </c>
      <c r="C67" s="237" t="str">
        <f ca="1">IF(A67="","",OFFSET('Saisie réservations'!AA55,$F$5,0))</f>
        <v/>
      </c>
      <c r="D67" s="237" t="str">
        <f t="shared" ca="1" si="11"/>
        <v/>
      </c>
      <c r="E67" s="237" t="str">
        <f t="shared" ca="1" si="12"/>
        <v/>
      </c>
      <c r="F67" s="207">
        <f t="shared" ca="1" si="9"/>
        <v>0</v>
      </c>
      <c r="G67" s="207" t="str">
        <f t="shared" ca="1" si="10"/>
        <v/>
      </c>
      <c r="H67" s="237" t="str">
        <f ca="1">IF(A67="","",OFFSET('Saisie réservations'!J55,$F$5,0))</f>
        <v/>
      </c>
    </row>
    <row r="68" spans="1:8" ht="15.75" x14ac:dyDescent="0.25">
      <c r="A68" s="205" t="str">
        <f ca="1">IF(OFFSET('Saisie réservations'!B56,$F$5,0)&gt;=DATE(An,$G$5,1),IF(OFFSET('Saisie réservations'!B56,$F$5,0)&lt;=DATE(An,$H$5,31),OFFSET('Saisie réservations'!B56,$F$5,0),""),"")</f>
        <v/>
      </c>
      <c r="B68" s="206" t="str">
        <f ca="1">IF($A68&lt;&gt;"",OFFSET('Saisie réservations'!C56,$F$5,0),"")</f>
        <v/>
      </c>
      <c r="C68" s="237" t="str">
        <f ca="1">IF(A68="","",OFFSET('Saisie réservations'!AA56,$F$5,0))</f>
        <v/>
      </c>
      <c r="D68" s="237" t="str">
        <f t="shared" ca="1" si="11"/>
        <v/>
      </c>
      <c r="E68" s="237" t="str">
        <f t="shared" ca="1" si="12"/>
        <v/>
      </c>
      <c r="F68" s="207">
        <f t="shared" ca="1" si="9"/>
        <v>0</v>
      </c>
      <c r="G68" s="207" t="str">
        <f t="shared" ca="1" si="10"/>
        <v/>
      </c>
      <c r="H68" s="237" t="str">
        <f ca="1">IF(A68="","",OFFSET('Saisie réservations'!J56,$F$5,0))</f>
        <v/>
      </c>
    </row>
    <row r="69" spans="1:8" ht="15.75" x14ac:dyDescent="0.25">
      <c r="A69" s="205" t="str">
        <f ca="1">IF(OFFSET('Saisie réservations'!B57,$F$5,0)&gt;=DATE(An,$G$5,1),IF(OFFSET('Saisie réservations'!B57,$F$5,0)&lt;=DATE(An,$H$5,31),OFFSET('Saisie réservations'!B57,$F$5,0),""),"")</f>
        <v/>
      </c>
      <c r="B69" s="206" t="str">
        <f ca="1">IF($A69&lt;&gt;"",OFFSET('Saisie réservations'!C57,$F$5,0),"")</f>
        <v/>
      </c>
      <c r="C69" s="237" t="str">
        <f ca="1">IF(A69="","",OFFSET('Saisie réservations'!AA57,$F$5,0))</f>
        <v/>
      </c>
      <c r="D69" s="237" t="str">
        <f t="shared" ca="1" si="11"/>
        <v/>
      </c>
      <c r="E69" s="237" t="str">
        <f t="shared" ca="1" si="12"/>
        <v/>
      </c>
      <c r="F69" s="207">
        <f t="shared" ca="1" si="9"/>
        <v>0</v>
      </c>
      <c r="G69" s="207" t="str">
        <f t="shared" ca="1" si="10"/>
        <v/>
      </c>
      <c r="H69" s="237" t="str">
        <f ca="1">IF(A69="","",OFFSET('Saisie réservations'!J57,$F$5,0))</f>
        <v/>
      </c>
    </row>
    <row r="70" spans="1:8" ht="15.75" x14ac:dyDescent="0.25">
      <c r="A70" s="205" t="str">
        <f ca="1">IF(OFFSET('Saisie réservations'!B58,$F$5,0)&gt;=DATE(An,$G$5,1),IF(OFFSET('Saisie réservations'!B58,$F$5,0)&lt;=DATE(An,$H$5,31),OFFSET('Saisie réservations'!B58,$F$5,0),""),"")</f>
        <v/>
      </c>
      <c r="B70" s="206" t="str">
        <f ca="1">IF($A70&lt;&gt;"",OFFSET('Saisie réservations'!C58,$F$5,0),"")</f>
        <v/>
      </c>
      <c r="C70" s="237" t="str">
        <f ca="1">IF(A70="","",OFFSET('Saisie réservations'!AA58,$F$5,0))</f>
        <v/>
      </c>
      <c r="D70" s="237" t="str">
        <f t="shared" ca="1" si="11"/>
        <v/>
      </c>
      <c r="E70" s="237" t="str">
        <f t="shared" ca="1" si="12"/>
        <v/>
      </c>
      <c r="F70" s="207">
        <f t="shared" ca="1" si="9"/>
        <v>0</v>
      </c>
      <c r="G70" s="207" t="str">
        <f t="shared" ca="1" si="10"/>
        <v/>
      </c>
      <c r="H70" s="237" t="str">
        <f ca="1">IF(A70="","",OFFSET('Saisie réservations'!J58,$F$5,0))</f>
        <v/>
      </c>
    </row>
    <row r="71" spans="1:8" ht="15.75" x14ac:dyDescent="0.25">
      <c r="A71" s="205" t="str">
        <f ca="1">IF(OFFSET('Saisie réservations'!B59,$F$5,0)&gt;=DATE(An,$G$5,1),IF(OFFSET('Saisie réservations'!B59,$F$5,0)&lt;=DATE(An,$H$5,31),OFFSET('Saisie réservations'!B59,$F$5,0),""),"")</f>
        <v/>
      </c>
      <c r="B71" s="206" t="str">
        <f ca="1">IF($A71&lt;&gt;"",OFFSET('Saisie réservations'!C59,$F$5,0),"")</f>
        <v/>
      </c>
      <c r="C71" s="237" t="str">
        <f ca="1">IF(A71="","",OFFSET('Saisie réservations'!AA59,$F$5,0))</f>
        <v/>
      </c>
      <c r="D71" s="237" t="str">
        <f t="shared" ca="1" si="11"/>
        <v/>
      </c>
      <c r="E71" s="237" t="str">
        <f t="shared" ca="1" si="12"/>
        <v/>
      </c>
      <c r="F71" s="207">
        <f t="shared" ca="1" si="9"/>
        <v>0</v>
      </c>
      <c r="G71" s="207" t="str">
        <f t="shared" ca="1" si="10"/>
        <v/>
      </c>
      <c r="H71" s="237" t="str">
        <f ca="1">IF(A71="","",OFFSET('Saisie réservations'!J59,$F$5,0))</f>
        <v/>
      </c>
    </row>
    <row r="72" spans="1:8" ht="15.75" x14ac:dyDescent="0.25">
      <c r="A72" s="205" t="str">
        <f ca="1">IF(OFFSET('Saisie réservations'!B60,$F$5,0)&gt;=DATE(An,$G$5,1),IF(OFFSET('Saisie réservations'!B60,$F$5,0)&lt;=DATE(An,$H$5,31),OFFSET('Saisie réservations'!B60,$F$5,0),""),"")</f>
        <v/>
      </c>
      <c r="B72" s="206" t="str">
        <f ca="1">IF($A72&lt;&gt;"",OFFSET('Saisie réservations'!C60,$F$5,0),"")</f>
        <v/>
      </c>
      <c r="C72" s="237" t="str">
        <f ca="1">IF(A72="","",OFFSET('Saisie réservations'!AA60,$F$5,0))</f>
        <v/>
      </c>
      <c r="D72" s="237" t="str">
        <f t="shared" ca="1" si="11"/>
        <v/>
      </c>
      <c r="E72" s="237" t="str">
        <f t="shared" ca="1" si="12"/>
        <v/>
      </c>
      <c r="F72" s="207">
        <f t="shared" ca="1" si="9"/>
        <v>0</v>
      </c>
      <c r="G72" s="207" t="str">
        <f t="shared" ca="1" si="10"/>
        <v/>
      </c>
      <c r="H72" s="237" t="str">
        <f ca="1">IF(A72="","",OFFSET('Saisie réservations'!J60,$F$5,0))</f>
        <v/>
      </c>
    </row>
    <row r="73" spans="1:8" ht="15.75" x14ac:dyDescent="0.25">
      <c r="A73" s="205" t="str">
        <f ca="1">IF(OFFSET('Saisie réservations'!B61,$F$5,0)&gt;=DATE(An,$G$5,1),IF(OFFSET('Saisie réservations'!B61,$F$5,0)&lt;=DATE(An,$H$5,31),OFFSET('Saisie réservations'!B61,$F$5,0),""),"")</f>
        <v/>
      </c>
      <c r="B73" s="206" t="str">
        <f ca="1">IF($A73&lt;&gt;"",OFFSET('Saisie réservations'!C61,$F$5,0),"")</f>
        <v/>
      </c>
      <c r="C73" s="237" t="str">
        <f ca="1">IF(A73="","",OFFSET('Saisie réservations'!AA61,$F$5,0))</f>
        <v/>
      </c>
      <c r="D73" s="237" t="str">
        <f t="shared" ca="1" si="11"/>
        <v/>
      </c>
      <c r="E73" s="237" t="str">
        <f t="shared" ca="1" si="12"/>
        <v/>
      </c>
      <c r="F73" s="207">
        <f t="shared" ca="1" si="9"/>
        <v>0</v>
      </c>
      <c r="G73" s="207" t="str">
        <f t="shared" ca="1" si="10"/>
        <v/>
      </c>
      <c r="H73" s="237" t="str">
        <f ca="1">IF(A73="","",OFFSET('Saisie réservations'!J61,$F$5,0))</f>
        <v/>
      </c>
    </row>
    <row r="74" spans="1:8" ht="15.75" x14ac:dyDescent="0.25">
      <c r="A74" s="205" t="str">
        <f ca="1">IF(OFFSET('Saisie réservations'!B62,$F$5,0)&gt;=DATE(An,$G$5,1),IF(OFFSET('Saisie réservations'!B62,$F$5,0)&lt;=DATE(An,$H$5,31),OFFSET('Saisie réservations'!B62,$F$5,0),""),"")</f>
        <v/>
      </c>
      <c r="B74" s="206" t="str">
        <f ca="1">IF($A74&lt;&gt;"",OFFSET('Saisie réservations'!C62,$F$5,0),"")</f>
        <v/>
      </c>
      <c r="C74" s="237" t="str">
        <f ca="1">IF(A74="","",OFFSET('Saisie réservations'!AA62,$F$5,0))</f>
        <v/>
      </c>
      <c r="D74" s="237" t="str">
        <f t="shared" ca="1" si="11"/>
        <v/>
      </c>
      <c r="E74" s="237" t="str">
        <f t="shared" ca="1" si="12"/>
        <v/>
      </c>
      <c r="F74" s="207">
        <f t="shared" ca="1" si="9"/>
        <v>0</v>
      </c>
      <c r="G74" s="207" t="str">
        <f t="shared" ca="1" si="10"/>
        <v/>
      </c>
      <c r="H74" s="237" t="str">
        <f ca="1">IF(A74="","",OFFSET('Saisie réservations'!J62,$F$5,0))</f>
        <v/>
      </c>
    </row>
    <row r="75" spans="1:8" ht="15.75" x14ac:dyDescent="0.25">
      <c r="A75" s="205" t="str">
        <f ca="1">IF(OFFSET('Saisie réservations'!B63,$F$5,0)&gt;=DATE(An,$G$5,1),IF(OFFSET('Saisie réservations'!B63,$F$5,0)&lt;=DATE(An,$H$5,31),OFFSET('Saisie réservations'!B63,$F$5,0),""),"")</f>
        <v/>
      </c>
      <c r="B75" s="206" t="str">
        <f ca="1">IF($A75&lt;&gt;"",OFFSET('Saisie réservations'!C63,$F$5,0),"")</f>
        <v/>
      </c>
      <c r="C75" s="237" t="str">
        <f ca="1">IF(A75="","",OFFSET('Saisie réservations'!AA63,$F$5,0))</f>
        <v/>
      </c>
      <c r="D75" s="237" t="str">
        <f t="shared" ca="1" si="11"/>
        <v/>
      </c>
      <c r="E75" s="237" t="str">
        <f t="shared" ca="1" si="12"/>
        <v/>
      </c>
      <c r="F75" s="207">
        <f t="shared" ca="1" si="9"/>
        <v>0</v>
      </c>
      <c r="G75" s="207" t="str">
        <f t="shared" ca="1" si="10"/>
        <v/>
      </c>
      <c r="H75" s="237" t="str">
        <f ca="1">IF(A75="","",OFFSET('Saisie réservations'!J63,$F$5,0))</f>
        <v/>
      </c>
    </row>
    <row r="76" spans="1:8" ht="15.75" x14ac:dyDescent="0.25">
      <c r="A76" s="205" t="str">
        <f ca="1">IF(OFFSET('Saisie réservations'!B64,$F$5,0)&gt;=DATE(An,$G$5,1),IF(OFFSET('Saisie réservations'!B64,$F$5,0)&lt;=DATE(An,$H$5,31),OFFSET('Saisie réservations'!B64,$F$5,0),""),"")</f>
        <v/>
      </c>
      <c r="B76" s="206" t="str">
        <f ca="1">IF($A76&lt;&gt;"",OFFSET('Saisie réservations'!C64,$F$5,0),"")</f>
        <v/>
      </c>
      <c r="C76" s="237" t="str">
        <f ca="1">IF(A76="","",OFFSET('Saisie réservations'!AA64,$F$5,0))</f>
        <v/>
      </c>
      <c r="D76" s="237" t="str">
        <f t="shared" ca="1" si="11"/>
        <v/>
      </c>
      <c r="E76" s="237" t="str">
        <f t="shared" ca="1" si="12"/>
        <v/>
      </c>
      <c r="F76" s="207">
        <f t="shared" ca="1" si="9"/>
        <v>0</v>
      </c>
      <c r="G76" s="207" t="str">
        <f t="shared" ca="1" si="10"/>
        <v/>
      </c>
      <c r="H76" s="237" t="str">
        <f ca="1">IF(A76="","",OFFSET('Saisie réservations'!J64,$F$5,0))</f>
        <v/>
      </c>
    </row>
    <row r="77" spans="1:8" s="254" customFormat="1" ht="16.5" x14ac:dyDescent="0.3">
      <c r="A77" s="257"/>
      <c r="B77" s="248" t="str">
        <f ca="1">"Total"&amp;IF(COUNTIFS(Saisie[Date d''arrivée],"&gt;="&amp;DATE(An,1,1),Saisie[Date d''arrivée],"&lt;="&amp;DATE(An,5,31))&gt;COUNTA($A$10:$A77)," à reporter","")</f>
        <v>Total</v>
      </c>
      <c r="C77" s="258"/>
      <c r="D77" s="259"/>
      <c r="E77" s="251">
        <f ca="1">SUM($E55:$E76)</f>
        <v>136</v>
      </c>
      <c r="F77" s="252">
        <v>0.5</v>
      </c>
      <c r="G77" s="252">
        <f ca="1">$E77*$F77</f>
        <v>68</v>
      </c>
      <c r="H77" s="253"/>
    </row>
    <row r="78" spans="1:8" ht="15.75" x14ac:dyDescent="0.25">
      <c r="A78" s="239"/>
      <c r="B78" s="239"/>
      <c r="C78" s="239"/>
      <c r="D78" s="239"/>
      <c r="E78" s="239"/>
      <c r="F78" s="239"/>
      <c r="G78" s="208"/>
      <c r="H78" s="209"/>
    </row>
    <row r="79" spans="1:8" ht="15.75" x14ac:dyDescent="0.25">
      <c r="A79" s="239"/>
      <c r="B79" s="239"/>
      <c r="C79" s="211"/>
      <c r="D79" s="211"/>
      <c r="E79" s="211"/>
      <c r="F79" s="239"/>
      <c r="G79" s="210"/>
      <c r="H79" s="212"/>
    </row>
    <row r="80" spans="1:8" ht="15.75" x14ac:dyDescent="0.25">
      <c r="A80" s="361" t="s">
        <v>176</v>
      </c>
      <c r="B80" s="361"/>
      <c r="C80" s="361"/>
      <c r="D80" s="211"/>
      <c r="E80" s="239" t="s">
        <v>171</v>
      </c>
      <c r="F80" s="215"/>
      <c r="G80" s="210"/>
      <c r="H80" s="212"/>
    </row>
    <row r="81" spans="1:8" ht="15.75" x14ac:dyDescent="0.25">
      <c r="A81" s="239"/>
      <c r="B81" s="239"/>
      <c r="C81" s="211"/>
      <c r="D81" s="211"/>
      <c r="E81" s="211"/>
      <c r="F81" s="239"/>
      <c r="G81" s="213"/>
      <c r="H81" s="214"/>
    </row>
  </sheetData>
  <mergeCells count="12">
    <mergeCell ref="F8:F9"/>
    <mergeCell ref="A80:C80"/>
    <mergeCell ref="A1:H2"/>
    <mergeCell ref="A3:H3"/>
    <mergeCell ref="A4:H4"/>
    <mergeCell ref="C7:F7"/>
    <mergeCell ref="G7:G9"/>
    <mergeCell ref="H7:H9"/>
    <mergeCell ref="A8:B8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landscape" horizontalDpi="4294967293" verticalDpi="0" r:id="rId1"/>
  <rowBreaks count="2" manualBreakCount="2">
    <brk id="31" max="16383" man="1"/>
    <brk id="54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H61"/>
  <sheetViews>
    <sheetView zoomScale="80" zoomScaleNormal="80" workbookViewId="0">
      <selection activeCell="F5" sqref="F5:H5"/>
    </sheetView>
  </sheetViews>
  <sheetFormatPr baseColWidth="10" defaultRowHeight="12.75" x14ac:dyDescent="0.2"/>
  <cols>
    <col min="1" max="2" width="23.5" customWidth="1"/>
    <col min="4" max="5" width="10.83203125" customWidth="1"/>
    <col min="6" max="6" width="9.83203125" customWidth="1"/>
    <col min="7" max="7" width="27.83203125" customWidth="1"/>
    <col min="8" max="8" width="22.83203125" customWidth="1"/>
  </cols>
  <sheetData>
    <row r="1" spans="1:8" x14ac:dyDescent="0.2">
      <c r="A1" s="364" t="s">
        <v>158</v>
      </c>
      <c r="B1" s="365"/>
      <c r="C1" s="365"/>
      <c r="D1" s="365"/>
      <c r="E1" s="365"/>
      <c r="F1" s="365"/>
      <c r="G1" s="365"/>
      <c r="H1" s="366"/>
    </row>
    <row r="2" spans="1:8" ht="13.5" thickBot="1" x14ac:dyDescent="0.25">
      <c r="A2" s="367"/>
      <c r="B2" s="368"/>
      <c r="C2" s="368"/>
      <c r="D2" s="368"/>
      <c r="E2" s="368"/>
      <c r="F2" s="368"/>
      <c r="G2" s="368"/>
      <c r="H2" s="369"/>
    </row>
    <row r="3" spans="1:8" ht="15.75" x14ac:dyDescent="0.2">
      <c r="A3" s="363" t="s">
        <v>178</v>
      </c>
      <c r="B3" s="363"/>
      <c r="C3" s="363"/>
      <c r="D3" s="363"/>
      <c r="E3" s="363"/>
      <c r="F3" s="363"/>
      <c r="G3" s="363"/>
      <c r="H3" s="363"/>
    </row>
    <row r="4" spans="1:8" ht="15.75" x14ac:dyDescent="0.2">
      <c r="A4" s="362" t="s">
        <v>160</v>
      </c>
      <c r="B4" s="362"/>
      <c r="C4" s="362"/>
      <c r="D4" s="362"/>
      <c r="E4" s="362"/>
      <c r="F4" s="362"/>
      <c r="G4" s="362"/>
      <c r="H4" s="362"/>
    </row>
    <row r="5" spans="1:8" ht="15.75" x14ac:dyDescent="0.25">
      <c r="A5" s="222"/>
      <c r="B5" s="222"/>
      <c r="C5" s="222"/>
      <c r="D5" s="222"/>
      <c r="E5" s="222"/>
      <c r="F5" s="262">
        <f>COUNTIF('Taxe de séjour Janv-Mai'!A10:A100,"&gt;0")+1</f>
        <v>43</v>
      </c>
      <c r="G5">
        <v>6</v>
      </c>
      <c r="H5">
        <v>8</v>
      </c>
    </row>
    <row r="6" spans="1:8" ht="15.75" x14ac:dyDescent="0.25">
      <c r="A6" s="222"/>
      <c r="B6" s="222"/>
      <c r="C6" s="222"/>
      <c r="D6" s="222"/>
      <c r="E6" s="222"/>
      <c r="F6" s="222"/>
      <c r="G6" s="222"/>
      <c r="H6" s="222"/>
    </row>
    <row r="7" spans="1:8" ht="15.75" x14ac:dyDescent="0.25">
      <c r="A7" s="222"/>
      <c r="B7" s="222"/>
      <c r="C7" s="370" t="s">
        <v>161</v>
      </c>
      <c r="D7" s="370"/>
      <c r="E7" s="370"/>
      <c r="F7" s="370"/>
      <c r="G7" s="372" t="s">
        <v>162</v>
      </c>
      <c r="H7" s="372" t="s">
        <v>163</v>
      </c>
    </row>
    <row r="8" spans="1:8" ht="15.75" x14ac:dyDescent="0.25">
      <c r="A8" s="370" t="s">
        <v>164</v>
      </c>
      <c r="B8" s="371"/>
      <c r="C8" s="372" t="s">
        <v>165</v>
      </c>
      <c r="D8" s="372" t="s">
        <v>166</v>
      </c>
      <c r="E8" s="372" t="s">
        <v>105</v>
      </c>
      <c r="F8" s="372" t="s">
        <v>167</v>
      </c>
      <c r="G8" s="372"/>
      <c r="H8" s="372"/>
    </row>
    <row r="9" spans="1:8" ht="15.75" x14ac:dyDescent="0.25">
      <c r="A9" s="223" t="s">
        <v>168</v>
      </c>
      <c r="B9" s="224" t="s">
        <v>169</v>
      </c>
      <c r="C9" s="372"/>
      <c r="D9" s="372"/>
      <c r="E9" s="372"/>
      <c r="F9" s="372"/>
      <c r="G9" s="372"/>
      <c r="H9" s="372"/>
    </row>
    <row r="10" spans="1:8" ht="15.75" x14ac:dyDescent="0.25">
      <c r="A10" s="205">
        <f>IF('Saisie réservations'!B44&gt;=DATE(An,6,1),IF('Saisie réservations'!B44&lt;=DATE(An,8,31),'Saisie réservations'!B44,""),"")</f>
        <v>42887</v>
      </c>
      <c r="B10" s="206">
        <f>IF($A10&gt;=DATE(An,6,1),IF($A10&lt;=DATE(An,8,31),'Saisie réservations'!C44,""),"")</f>
        <v>42888</v>
      </c>
      <c r="C10" s="223">
        <f>'Saisie réservations'!AA44</f>
        <v>0</v>
      </c>
      <c r="D10" s="223">
        <f>IF($A10="","",IF($B10="","",DATEDIF($A10,$B10,"D")))</f>
        <v>1</v>
      </c>
      <c r="E10" s="223">
        <f>IF($C10="","",IF($D10="","",$C10*$D10))</f>
        <v>0</v>
      </c>
      <c r="F10" s="207">
        <f t="shared" ref="F10:F31" si="0">Taxe</f>
        <v>0.5</v>
      </c>
      <c r="G10" s="207">
        <f>IF($E10="","",$E10*$F10)</f>
        <v>0</v>
      </c>
      <c r="H10" s="223">
        <f>'Saisie réservations'!J44</f>
        <v>33</v>
      </c>
    </row>
    <row r="11" spans="1:8" ht="15.75" x14ac:dyDescent="0.25">
      <c r="A11" s="205">
        <f>IF('Saisie réservations'!B45&gt;=DATE(An,6,1),IF('Saisie réservations'!B45&lt;=DATE(An,8,31),'Saisie réservations'!B45,""),"")</f>
        <v>42888</v>
      </c>
      <c r="B11" s="206">
        <f>IF($A11&gt;=DATE(An,6,1),IF($A11&lt;=DATE(An,8,31),'Saisie réservations'!C45,""),"")</f>
        <v>42889</v>
      </c>
      <c r="C11" s="223">
        <f>'Saisie réservations'!AA45</f>
        <v>3</v>
      </c>
      <c r="D11" s="223">
        <f t="shared" ref="D11:D30" si="1">IF($A11="","",IF($B11="","",DATEDIF($A11,$B11,"D")))</f>
        <v>1</v>
      </c>
      <c r="E11" s="223">
        <f t="shared" ref="E11:E30" si="2">IF($C11="","",IF($D11="","",$C11*$D11))</f>
        <v>3</v>
      </c>
      <c r="F11" s="207">
        <f t="shared" si="0"/>
        <v>0.5</v>
      </c>
      <c r="G11" s="207">
        <f t="shared" ref="G11:G30" si="3">IF($E11="","",$E11*$F11)</f>
        <v>1.5</v>
      </c>
      <c r="H11" s="223">
        <f>'Saisie réservations'!J45</f>
        <v>3</v>
      </c>
    </row>
    <row r="12" spans="1:8" ht="15.75" x14ac:dyDescent="0.25">
      <c r="A12" s="205">
        <f>IF('Saisie réservations'!B46&gt;=DATE(An,6,1),IF('Saisie réservations'!B46&lt;=DATE(An,8,31),'Saisie réservations'!B46,""),"")</f>
        <v>42889</v>
      </c>
      <c r="B12" s="206">
        <f>IF($A12&gt;=DATE(An,6,1),IF($A12&lt;=DATE(An,8,31),'Saisie réservations'!C46,""),"")</f>
        <v>42891</v>
      </c>
      <c r="C12" s="223">
        <f>'Saisie réservations'!AA46</f>
        <v>23</v>
      </c>
      <c r="D12" s="223">
        <f t="shared" si="1"/>
        <v>2</v>
      </c>
      <c r="E12" s="223">
        <f t="shared" si="2"/>
        <v>46</v>
      </c>
      <c r="F12" s="207">
        <f t="shared" si="0"/>
        <v>0.5</v>
      </c>
      <c r="G12" s="207">
        <f t="shared" si="3"/>
        <v>23</v>
      </c>
      <c r="H12" s="223">
        <f>'Saisie réservations'!J46</f>
        <v>23</v>
      </c>
    </row>
    <row r="13" spans="1:8" ht="15.75" x14ac:dyDescent="0.25">
      <c r="A13" s="205">
        <f>IF('Saisie réservations'!B47&gt;=DATE(An,6,1),IF('Saisie réservations'!B47&lt;=DATE(An,8,31),'Saisie réservations'!B47,""),"")</f>
        <v>42889</v>
      </c>
      <c r="B13" s="206">
        <f>IF($A13&gt;=DATE(An,6,1),IF($A13&lt;=DATE(An,8,31),'Saisie réservations'!C47,""),"")</f>
        <v>42891</v>
      </c>
      <c r="C13" s="223">
        <f>'Saisie réservations'!AA47</f>
        <v>19</v>
      </c>
      <c r="D13" s="223">
        <f t="shared" si="1"/>
        <v>2</v>
      </c>
      <c r="E13" s="223">
        <f t="shared" si="2"/>
        <v>38</v>
      </c>
      <c r="F13" s="207">
        <f t="shared" si="0"/>
        <v>0.5</v>
      </c>
      <c r="G13" s="207">
        <f t="shared" si="3"/>
        <v>19</v>
      </c>
      <c r="H13" s="223">
        <f>'Saisie réservations'!J47</f>
        <v>19</v>
      </c>
    </row>
    <row r="14" spans="1:8" ht="15.75" x14ac:dyDescent="0.25">
      <c r="A14" s="205">
        <f>IF('Saisie réservations'!B48&gt;=DATE(An,6,1),IF('Saisie réservations'!B48&lt;=DATE(An,8,31),'Saisie réservations'!B48,""),"")</f>
        <v>42892</v>
      </c>
      <c r="B14" s="206">
        <f>IF($A14&gt;=DATE(An,6,1),IF($A14&lt;=DATE(An,8,31),'Saisie réservations'!C48,""),"")</f>
        <v>42895</v>
      </c>
      <c r="C14" s="223">
        <f>'Saisie réservations'!AA48</f>
        <v>27</v>
      </c>
      <c r="D14" s="223">
        <f t="shared" si="1"/>
        <v>3</v>
      </c>
      <c r="E14" s="223">
        <f t="shared" si="2"/>
        <v>81</v>
      </c>
      <c r="F14" s="207">
        <f t="shared" si="0"/>
        <v>0.5</v>
      </c>
      <c r="G14" s="207">
        <f t="shared" si="3"/>
        <v>40.5</v>
      </c>
      <c r="H14" s="223">
        <f>'Saisie réservations'!J48</f>
        <v>28</v>
      </c>
    </row>
    <row r="15" spans="1:8" ht="15.75" x14ac:dyDescent="0.25">
      <c r="A15" s="205">
        <f>IF('Saisie réservations'!B49&gt;=DATE(An,6,1),IF('Saisie réservations'!B49&lt;=DATE(An,8,31),'Saisie réservations'!B49,""),"")</f>
        <v>42895</v>
      </c>
      <c r="B15" s="206">
        <f>IF($A15&gt;=DATE(An,6,1),IF($A15&lt;=DATE(An,8,31),'Saisie réservations'!C49,""),"")</f>
        <v>42897</v>
      </c>
      <c r="C15" s="223">
        <f>'Saisie réservations'!AA49</f>
        <v>20</v>
      </c>
      <c r="D15" s="223">
        <f t="shared" si="1"/>
        <v>2</v>
      </c>
      <c r="E15" s="223">
        <f t="shared" si="2"/>
        <v>40</v>
      </c>
      <c r="F15" s="207">
        <f t="shared" si="0"/>
        <v>0.5</v>
      </c>
      <c r="G15" s="207">
        <f t="shared" si="3"/>
        <v>20</v>
      </c>
      <c r="H15" s="223">
        <f>'Saisie réservations'!J49</f>
        <v>25</v>
      </c>
    </row>
    <row r="16" spans="1:8" ht="15.75" x14ac:dyDescent="0.25">
      <c r="A16" s="205">
        <f>IF('Saisie réservations'!B50&gt;=DATE(An,6,1),IF('Saisie réservations'!B50&lt;=DATE(An,8,31),'Saisie réservations'!B50,""),"")</f>
        <v>42897</v>
      </c>
      <c r="B16" s="206">
        <f>IF($A16&gt;=DATE(An,6,1),IF($A16&lt;=DATE(An,8,31),'Saisie réservations'!C50,""),"")</f>
        <v>42898</v>
      </c>
      <c r="C16" s="223">
        <f>'Saisie réservations'!AA50</f>
        <v>2</v>
      </c>
      <c r="D16" s="223">
        <f t="shared" si="1"/>
        <v>1</v>
      </c>
      <c r="E16" s="223">
        <f t="shared" si="2"/>
        <v>2</v>
      </c>
      <c r="F16" s="207">
        <f t="shared" si="0"/>
        <v>0.5</v>
      </c>
      <c r="G16" s="207">
        <f t="shared" si="3"/>
        <v>1</v>
      </c>
      <c r="H16" s="223">
        <f>'Saisie réservations'!J50</f>
        <v>2</v>
      </c>
    </row>
    <row r="17" spans="1:8" ht="15.75" x14ac:dyDescent="0.25">
      <c r="A17" s="205">
        <f>IF('Saisie réservations'!B51&gt;=DATE(An,6,1),IF('Saisie réservations'!B51&lt;=DATE(An,8,31),'Saisie réservations'!B51,""),"")</f>
        <v>42898</v>
      </c>
      <c r="B17" s="206">
        <f>IF($A17&gt;=DATE(An,6,1),IF($A17&lt;=DATE(An,8,31),'Saisie réservations'!C51,""),"")</f>
        <v>42899</v>
      </c>
      <c r="C17" s="223">
        <f>'Saisie réservations'!AA51</f>
        <v>0</v>
      </c>
      <c r="D17" s="223">
        <f t="shared" si="1"/>
        <v>1</v>
      </c>
      <c r="E17" s="223">
        <f t="shared" si="2"/>
        <v>0</v>
      </c>
      <c r="F17" s="207">
        <f t="shared" si="0"/>
        <v>0.5</v>
      </c>
      <c r="G17" s="207">
        <f t="shared" si="3"/>
        <v>0</v>
      </c>
      <c r="H17" s="223">
        <f>'Saisie réservations'!J51</f>
        <v>33</v>
      </c>
    </row>
    <row r="18" spans="1:8" ht="15.75" x14ac:dyDescent="0.25">
      <c r="A18" s="205">
        <f>IF('Saisie réservations'!B52&gt;=DATE(An,6,1),IF('Saisie réservations'!B52&lt;=DATE(An,8,31),'Saisie réservations'!B52,""),"")</f>
        <v>42899</v>
      </c>
      <c r="B18" s="206">
        <f>IF($A18&gt;=DATE(An,6,1),IF($A18&lt;=DATE(An,8,31),'Saisie réservations'!C52,""),"")</f>
        <v>42900</v>
      </c>
      <c r="C18" s="223">
        <f>'Saisie réservations'!AA52</f>
        <v>0</v>
      </c>
      <c r="D18" s="223">
        <f t="shared" si="1"/>
        <v>1</v>
      </c>
      <c r="E18" s="223">
        <f t="shared" si="2"/>
        <v>0</v>
      </c>
      <c r="F18" s="207">
        <f t="shared" si="0"/>
        <v>0.5</v>
      </c>
      <c r="G18" s="207">
        <f t="shared" si="3"/>
        <v>0</v>
      </c>
      <c r="H18" s="223">
        <f>'Saisie réservations'!J52</f>
        <v>61</v>
      </c>
    </row>
    <row r="19" spans="1:8" ht="15.75" x14ac:dyDescent="0.25">
      <c r="A19" s="205">
        <f>IF('Saisie réservations'!B53&gt;=DATE(An,6,1),IF('Saisie réservations'!B53&lt;=DATE(An,8,31),'Saisie réservations'!B53,""),"")</f>
        <v>42900</v>
      </c>
      <c r="B19" s="206">
        <f>IF($A19&gt;=DATE(An,6,1),IF($A19&lt;=DATE(An,8,31),'Saisie réservations'!C53,""),"")</f>
        <v>42901</v>
      </c>
      <c r="C19" s="223">
        <f>'Saisie réservations'!AA53</f>
        <v>0</v>
      </c>
      <c r="D19" s="223">
        <f t="shared" si="1"/>
        <v>1</v>
      </c>
      <c r="E19" s="223">
        <f t="shared" si="2"/>
        <v>0</v>
      </c>
      <c r="F19" s="207">
        <f t="shared" si="0"/>
        <v>0.5</v>
      </c>
      <c r="G19" s="207">
        <f t="shared" si="3"/>
        <v>0</v>
      </c>
      <c r="H19" s="223">
        <f>'Saisie réservations'!J53</f>
        <v>54</v>
      </c>
    </row>
    <row r="20" spans="1:8" ht="15.75" x14ac:dyDescent="0.25">
      <c r="A20" s="205">
        <f>IF('Saisie réservations'!B54&gt;=DATE(An,6,1),IF('Saisie réservations'!B54&lt;=DATE(An,8,31),'Saisie réservations'!B54,""),"")</f>
        <v>42901</v>
      </c>
      <c r="B20" s="206">
        <f>IF($A20&gt;=DATE(An,6,1),IF($A20&lt;=DATE(An,8,31),'Saisie réservations'!C54,""),"")</f>
        <v>42902</v>
      </c>
      <c r="C20" s="223">
        <f>'Saisie réservations'!AA54</f>
        <v>21</v>
      </c>
      <c r="D20" s="223">
        <f t="shared" si="1"/>
        <v>1</v>
      </c>
      <c r="E20" s="223">
        <f t="shared" si="2"/>
        <v>21</v>
      </c>
      <c r="F20" s="207">
        <f t="shared" si="0"/>
        <v>0.5</v>
      </c>
      <c r="G20" s="207">
        <f t="shared" si="3"/>
        <v>10.5</v>
      </c>
      <c r="H20" s="223">
        <f>'Saisie réservations'!J54</f>
        <v>21</v>
      </c>
    </row>
    <row r="21" spans="1:8" ht="15.75" x14ac:dyDescent="0.25">
      <c r="A21" s="205">
        <f>IF('Saisie réservations'!B55&gt;=DATE(An,6,1),IF('Saisie réservations'!B55&lt;=DATE(An,8,31),'Saisie réservations'!B55,""),"")</f>
        <v>42905</v>
      </c>
      <c r="B21" s="206">
        <f>IF($A21&gt;=DATE(An,6,1),IF($A21&lt;=DATE(An,8,31),'Saisie réservations'!C55,""),"")</f>
        <v>42909</v>
      </c>
      <c r="C21" s="223">
        <f>'Saisie réservations'!AA55</f>
        <v>34</v>
      </c>
      <c r="D21" s="223">
        <f t="shared" si="1"/>
        <v>4</v>
      </c>
      <c r="E21" s="223">
        <f t="shared" si="2"/>
        <v>136</v>
      </c>
      <c r="F21" s="207">
        <f t="shared" si="0"/>
        <v>0.5</v>
      </c>
      <c r="G21" s="207">
        <f t="shared" si="3"/>
        <v>68</v>
      </c>
      <c r="H21" s="223">
        <f>'Saisie réservations'!J55</f>
        <v>34</v>
      </c>
    </row>
    <row r="22" spans="1:8" ht="15.75" x14ac:dyDescent="0.25">
      <c r="A22" s="205">
        <f>IF('Saisie réservations'!B56&gt;=DATE(An,6,1),IF('Saisie réservations'!B56&lt;=DATE(An,8,31),'Saisie réservations'!B56,""),"")</f>
        <v>42905</v>
      </c>
      <c r="B22" s="206">
        <f>IF($A22&gt;=DATE(An,6,1),IF($A22&lt;=DATE(An,8,31),'Saisie réservations'!C56,""),"")</f>
        <v>42909</v>
      </c>
      <c r="C22" s="223">
        <f>'Saisie réservations'!AA56</f>
        <v>6</v>
      </c>
      <c r="D22" s="223">
        <f t="shared" si="1"/>
        <v>4</v>
      </c>
      <c r="E22" s="223">
        <f t="shared" si="2"/>
        <v>24</v>
      </c>
      <c r="F22" s="207">
        <f t="shared" si="0"/>
        <v>0.5</v>
      </c>
      <c r="G22" s="207">
        <f t="shared" si="3"/>
        <v>12</v>
      </c>
      <c r="H22" s="223">
        <f>'Saisie réservations'!J56</f>
        <v>6</v>
      </c>
    </row>
    <row r="23" spans="1:8" ht="15.75" x14ac:dyDescent="0.25">
      <c r="A23" s="205">
        <f>IF('Saisie réservations'!B57&gt;=DATE(An,6,1),IF('Saisie réservations'!B57&lt;=DATE(An,8,31),'Saisie réservations'!B57,""),"")</f>
        <v>42910</v>
      </c>
      <c r="B23" s="206">
        <f>IF($A23&gt;=DATE(An,6,1),IF($A23&lt;=DATE(An,8,31),'Saisie réservations'!C57,""),"")</f>
        <v>42911</v>
      </c>
      <c r="C23" s="223">
        <f>'Saisie réservations'!AA57</f>
        <v>16</v>
      </c>
      <c r="D23" s="223">
        <f t="shared" si="1"/>
        <v>1</v>
      </c>
      <c r="E23" s="223">
        <f t="shared" si="2"/>
        <v>16</v>
      </c>
      <c r="F23" s="207">
        <f t="shared" si="0"/>
        <v>0.5</v>
      </c>
      <c r="G23" s="207">
        <f t="shared" si="3"/>
        <v>8</v>
      </c>
      <c r="H23" s="223">
        <f>'Saisie réservations'!J57</f>
        <v>16</v>
      </c>
    </row>
    <row r="24" spans="1:8" ht="15.75" x14ac:dyDescent="0.25">
      <c r="A24" s="205">
        <f>IF('Saisie réservations'!B58&gt;=DATE(An,6,1),IF('Saisie réservations'!B58&lt;=DATE(An,8,31),'Saisie réservations'!B58,""),"")</f>
        <v>42910</v>
      </c>
      <c r="B24" s="206">
        <f>IF($A24&gt;=DATE(An,6,1),IF($A24&lt;=DATE(An,8,31),'Saisie réservations'!C58,""),"")</f>
        <v>42911</v>
      </c>
      <c r="C24" s="223">
        <f>'Saisie réservations'!AA58</f>
        <v>17</v>
      </c>
      <c r="D24" s="223">
        <f t="shared" si="1"/>
        <v>1</v>
      </c>
      <c r="E24" s="223">
        <f t="shared" si="2"/>
        <v>17</v>
      </c>
      <c r="F24" s="207">
        <f t="shared" si="0"/>
        <v>0.5</v>
      </c>
      <c r="G24" s="207">
        <f t="shared" si="3"/>
        <v>8.5</v>
      </c>
      <c r="H24" s="223">
        <f>'Saisie réservations'!J58</f>
        <v>18</v>
      </c>
    </row>
    <row r="25" spans="1:8" ht="15.75" x14ac:dyDescent="0.25">
      <c r="A25" s="205">
        <f>IF('Saisie réservations'!B59&gt;=DATE(An,6,1),IF('Saisie réservations'!B59&lt;=DATE(An,8,31),'Saisie réservations'!B59,""),"")</f>
        <v>42912</v>
      </c>
      <c r="B25" s="206">
        <f>IF($A25&gt;=DATE(An,6,1),IF($A25&lt;=DATE(An,8,31),'Saisie réservations'!C59,""),"")</f>
        <v>42917</v>
      </c>
      <c r="C25" s="223">
        <f>'Saisie réservations'!AA59</f>
        <v>7</v>
      </c>
      <c r="D25" s="223">
        <f t="shared" si="1"/>
        <v>5</v>
      </c>
      <c r="E25" s="223">
        <f t="shared" si="2"/>
        <v>35</v>
      </c>
      <c r="F25" s="207">
        <f t="shared" si="0"/>
        <v>0.5</v>
      </c>
      <c r="G25" s="207">
        <f t="shared" si="3"/>
        <v>17.5</v>
      </c>
      <c r="H25" s="223">
        <f>'Saisie réservations'!J59</f>
        <v>17</v>
      </c>
    </row>
    <row r="26" spans="1:8" ht="15.75" x14ac:dyDescent="0.25">
      <c r="A26" s="205">
        <f>IF('Saisie réservations'!B60&gt;=DATE(An,6,1),IF('Saisie réservations'!B60&lt;=DATE(An,8,31),'Saisie réservations'!B60,""),"")</f>
        <v>42912</v>
      </c>
      <c r="B26" s="206">
        <f>IF($A26&gt;=DATE(An,6,1),IF($A26&lt;=DATE(An,8,31),'Saisie réservations'!C60,""),"")</f>
        <v>42915</v>
      </c>
      <c r="C26" s="223">
        <f>'Saisie réservations'!AA60</f>
        <v>7</v>
      </c>
      <c r="D26" s="223">
        <f t="shared" si="1"/>
        <v>3</v>
      </c>
      <c r="E26" s="223">
        <f t="shared" si="2"/>
        <v>21</v>
      </c>
      <c r="F26" s="207">
        <f t="shared" si="0"/>
        <v>0.5</v>
      </c>
      <c r="G26" s="207">
        <f t="shared" si="3"/>
        <v>10.5</v>
      </c>
      <c r="H26" s="223">
        <f>'Saisie réservations'!J60</f>
        <v>20</v>
      </c>
    </row>
    <row r="27" spans="1:8" ht="15.75" x14ac:dyDescent="0.25">
      <c r="A27" s="205">
        <f>IF('Saisie réservations'!B61&gt;=DATE(An,6,1),IF('Saisie réservations'!B61&lt;=DATE(An,8,31),'Saisie réservations'!B61,""),"")</f>
        <v>42917</v>
      </c>
      <c r="B27" s="206">
        <f>IF($A27&gt;=DATE(An,6,1),IF($A27&lt;=DATE(An,8,31),'Saisie réservations'!C61,""),"")</f>
        <v>42918</v>
      </c>
      <c r="C27" s="223">
        <f>'Saisie réservations'!AA61</f>
        <v>18</v>
      </c>
      <c r="D27" s="223">
        <f t="shared" si="1"/>
        <v>1</v>
      </c>
      <c r="E27" s="223">
        <f t="shared" si="2"/>
        <v>18</v>
      </c>
      <c r="F27" s="207">
        <f t="shared" si="0"/>
        <v>0.5</v>
      </c>
      <c r="G27" s="207">
        <f t="shared" si="3"/>
        <v>9</v>
      </c>
      <c r="H27" s="223">
        <f>'Saisie réservations'!J61</f>
        <v>20</v>
      </c>
    </row>
    <row r="28" spans="1:8" ht="15.75" x14ac:dyDescent="0.25">
      <c r="A28" s="205">
        <f>IF('Saisie réservations'!B62&gt;=DATE(An,6,1),IF('Saisie réservations'!B62&lt;=DATE(An,8,31),'Saisie réservations'!B62,""),"")</f>
        <v>42919</v>
      </c>
      <c r="B28" s="206">
        <f>IF($A28&gt;=DATE(An,6,1),IF($A28&lt;=DATE(An,8,31),'Saisie réservations'!C62,""),"")</f>
        <v>42923</v>
      </c>
      <c r="C28" s="223">
        <f>'Saisie réservations'!AA62</f>
        <v>6</v>
      </c>
      <c r="D28" s="223">
        <f t="shared" si="1"/>
        <v>4</v>
      </c>
      <c r="E28" s="223">
        <f t="shared" si="2"/>
        <v>24</v>
      </c>
      <c r="F28" s="207">
        <f t="shared" si="0"/>
        <v>0.5</v>
      </c>
      <c r="G28" s="207">
        <f t="shared" si="3"/>
        <v>12</v>
      </c>
      <c r="H28" s="223">
        <f>'Saisie réservations'!J62</f>
        <v>41</v>
      </c>
    </row>
    <row r="29" spans="1:8" ht="15.75" x14ac:dyDescent="0.25">
      <c r="A29" s="205">
        <f>IF('Saisie réservations'!B63&gt;=DATE(An,6,1),IF('Saisie réservations'!B63&lt;=DATE(An,8,31),'Saisie réservations'!B63,""),"")</f>
        <v>42924</v>
      </c>
      <c r="B29" s="206">
        <f>IF($A29&gt;=DATE(An,6,1),IF($A29&lt;=DATE(An,8,31),'Saisie réservations'!C63,""),"")</f>
        <v>42925</v>
      </c>
      <c r="C29" s="223">
        <f>'Saisie réservations'!AA63</f>
        <v>6</v>
      </c>
      <c r="D29" s="223">
        <f t="shared" si="1"/>
        <v>1</v>
      </c>
      <c r="E29" s="223">
        <f t="shared" si="2"/>
        <v>6</v>
      </c>
      <c r="F29" s="207">
        <f t="shared" si="0"/>
        <v>0.5</v>
      </c>
      <c r="G29" s="207">
        <f t="shared" si="3"/>
        <v>3</v>
      </c>
      <c r="H29" s="223">
        <f>'Saisie réservations'!J63</f>
        <v>6</v>
      </c>
    </row>
    <row r="30" spans="1:8" ht="15.75" x14ac:dyDescent="0.25">
      <c r="A30" s="205">
        <f>IF('Saisie réservations'!B64&gt;=DATE(An,6,1),IF('Saisie réservations'!B64&lt;=DATE(An,8,31),'Saisie réservations'!B64,""),"")</f>
        <v>42924</v>
      </c>
      <c r="B30" s="206">
        <f>IF($A30&gt;=DATE(An,6,1),IF($A30&lt;=DATE(An,8,31),'Saisie réservations'!C64,""),"")</f>
        <v>42930</v>
      </c>
      <c r="C30" s="223">
        <f>'Saisie réservations'!AA64</f>
        <v>5</v>
      </c>
      <c r="D30" s="223">
        <f t="shared" si="1"/>
        <v>6</v>
      </c>
      <c r="E30" s="223">
        <f t="shared" si="2"/>
        <v>30</v>
      </c>
      <c r="F30" s="207">
        <f t="shared" si="0"/>
        <v>0.5</v>
      </c>
      <c r="G30" s="207">
        <f t="shared" si="3"/>
        <v>15</v>
      </c>
      <c r="H30" s="223">
        <f>'Saisie réservations'!J64</f>
        <v>35</v>
      </c>
    </row>
    <row r="31" spans="1:8" ht="15.75" x14ac:dyDescent="0.25">
      <c r="A31" s="370" t="s">
        <v>170</v>
      </c>
      <c r="B31" s="370"/>
      <c r="C31" s="370"/>
      <c r="D31" s="370"/>
      <c r="E31" s="223">
        <f>SUM($E10:$E30)</f>
        <v>558</v>
      </c>
      <c r="F31" s="207">
        <f t="shared" si="0"/>
        <v>0.5</v>
      </c>
      <c r="G31" s="216">
        <f>$E31*$F31</f>
        <v>279</v>
      </c>
      <c r="H31" s="222"/>
    </row>
    <row r="32" spans="1:8" ht="15.75" x14ac:dyDescent="0.25">
      <c r="A32" s="222"/>
      <c r="B32" s="222"/>
      <c r="C32" s="370" t="s">
        <v>161</v>
      </c>
      <c r="D32" s="370"/>
      <c r="E32" s="370"/>
      <c r="F32" s="370"/>
      <c r="G32" s="372" t="s">
        <v>162</v>
      </c>
      <c r="H32" s="372" t="s">
        <v>163</v>
      </c>
    </row>
    <row r="33" spans="1:8" ht="15.75" x14ac:dyDescent="0.25">
      <c r="A33" s="370" t="s">
        <v>164</v>
      </c>
      <c r="B33" s="371"/>
      <c r="C33" s="372" t="s">
        <v>165</v>
      </c>
      <c r="D33" s="372" t="s">
        <v>166</v>
      </c>
      <c r="E33" s="372" t="s">
        <v>105</v>
      </c>
      <c r="F33" s="372" t="s">
        <v>167</v>
      </c>
      <c r="G33" s="372"/>
      <c r="H33" s="372"/>
    </row>
    <row r="34" spans="1:8" ht="15.75" x14ac:dyDescent="0.25">
      <c r="A34" s="223" t="s">
        <v>168</v>
      </c>
      <c r="B34" s="224" t="s">
        <v>169</v>
      </c>
      <c r="C34" s="372"/>
      <c r="D34" s="372"/>
      <c r="E34" s="372"/>
      <c r="F34" s="372"/>
      <c r="G34" s="372"/>
      <c r="H34" s="372"/>
    </row>
    <row r="35" spans="1:8" ht="15.75" x14ac:dyDescent="0.25">
      <c r="A35" s="370" t="s">
        <v>170</v>
      </c>
      <c r="B35" s="370"/>
      <c r="C35" s="370"/>
      <c r="D35" s="370"/>
      <c r="E35" s="223">
        <f>$E31</f>
        <v>558</v>
      </c>
      <c r="F35" s="207">
        <f t="shared" ref="F35:F56" si="4">Taxe</f>
        <v>0.5</v>
      </c>
      <c r="G35" s="207">
        <f>$E35*$F35</f>
        <v>279</v>
      </c>
      <c r="H35" s="225"/>
    </row>
    <row r="36" spans="1:8" ht="15.75" x14ac:dyDescent="0.25">
      <c r="A36" s="205">
        <f>IF('Saisie réservations'!B65&gt;=DATE(An,6,1),IF('Saisie réservations'!B65&lt;=DATE(An,8,31),'Saisie réservations'!B65,""),"")</f>
        <v>42926</v>
      </c>
      <c r="B36" s="206">
        <f>IF($A36&gt;=DATE(An,6,1),IF($A36&lt;=DATE(An,8,31),'Saisie réservations'!C65,""),"")</f>
        <v>42929</v>
      </c>
      <c r="C36" s="223">
        <f>'Saisie réservations'!AA65</f>
        <v>2</v>
      </c>
      <c r="D36" s="223">
        <f t="shared" ref="D36:D56" si="5">IF($A36="","",IF($B36="","",DATEDIF($A36,$B36,"D")))</f>
        <v>3</v>
      </c>
      <c r="E36" s="223">
        <f t="shared" ref="E36:E56" si="6">IF($C36="","",IF($D36="","",$C36*$D36))</f>
        <v>6</v>
      </c>
      <c r="F36" s="207">
        <f t="shared" si="4"/>
        <v>0.5</v>
      </c>
      <c r="G36" s="207">
        <f t="shared" ref="G36:G56" si="7">IF($E36="","",$E36*$F36)</f>
        <v>3</v>
      </c>
      <c r="H36" s="223">
        <f>'Saisie réservations'!J65</f>
        <v>2</v>
      </c>
    </row>
    <row r="37" spans="1:8" ht="15.75" x14ac:dyDescent="0.25">
      <c r="A37" s="205">
        <f>IF('Saisie réservations'!B66&gt;=DATE(An,6,1),IF('Saisie réservations'!B66&lt;=DATE(An,8,31),'Saisie réservations'!B66,""),"")</f>
        <v>42927</v>
      </c>
      <c r="B37" s="206">
        <f>IF($A37&gt;=DATE(An,6,1),IF($A37&lt;=DATE(An,8,31),'Saisie réservations'!C66,""),"")</f>
        <v>42928</v>
      </c>
      <c r="C37" s="223">
        <f>'Saisie réservations'!AA66</f>
        <v>2</v>
      </c>
      <c r="D37" s="223">
        <f t="shared" si="5"/>
        <v>1</v>
      </c>
      <c r="E37" s="223">
        <f t="shared" si="6"/>
        <v>2</v>
      </c>
      <c r="F37" s="207">
        <f t="shared" si="4"/>
        <v>0.5</v>
      </c>
      <c r="G37" s="207">
        <f t="shared" si="7"/>
        <v>1</v>
      </c>
      <c r="H37" s="223">
        <f>'Saisie réservations'!J66</f>
        <v>2</v>
      </c>
    </row>
    <row r="38" spans="1:8" ht="15.75" x14ac:dyDescent="0.25">
      <c r="A38" s="205">
        <f>IF('Saisie réservations'!B67&gt;=DATE(An,6,1),IF('Saisie réservations'!B67&lt;=DATE(An,8,31),'Saisie réservations'!B67,""),"")</f>
        <v>42933</v>
      </c>
      <c r="B38" s="206">
        <f>IF($A38&gt;=DATE(An,6,1),IF($A38&lt;=DATE(An,8,31),'Saisie réservations'!C67,""),"")</f>
        <v>42937</v>
      </c>
      <c r="C38" s="223">
        <f>'Saisie réservations'!AA67</f>
        <v>2</v>
      </c>
      <c r="D38" s="223">
        <f t="shared" si="5"/>
        <v>4</v>
      </c>
      <c r="E38" s="223">
        <f t="shared" si="6"/>
        <v>8</v>
      </c>
      <c r="F38" s="207">
        <f t="shared" si="4"/>
        <v>0.5</v>
      </c>
      <c r="G38" s="207">
        <f t="shared" si="7"/>
        <v>4</v>
      </c>
      <c r="H38" s="223">
        <f>'Saisie réservations'!J67</f>
        <v>2</v>
      </c>
    </row>
    <row r="39" spans="1:8" ht="15.75" x14ac:dyDescent="0.25">
      <c r="A39" s="205">
        <f>IF('Saisie réservations'!B68&gt;=DATE(An,6,1),IF('Saisie réservations'!B68&lt;=DATE(An,8,31),'Saisie réservations'!B68,""),"")</f>
        <v>42933</v>
      </c>
      <c r="B39" s="206">
        <f>IF($A39&gt;=DATE(An,6,1),IF($A39&lt;=DATE(An,8,31),'Saisie réservations'!C68,""),"")</f>
        <v>42935</v>
      </c>
      <c r="C39" s="223">
        <f>'Saisie réservations'!AA68</f>
        <v>3</v>
      </c>
      <c r="D39" s="223">
        <f t="shared" si="5"/>
        <v>2</v>
      </c>
      <c r="E39" s="223">
        <f t="shared" si="6"/>
        <v>6</v>
      </c>
      <c r="F39" s="207">
        <f t="shared" si="4"/>
        <v>0.5</v>
      </c>
      <c r="G39" s="207">
        <f t="shared" si="7"/>
        <v>3</v>
      </c>
      <c r="H39" s="223">
        <f>'Saisie réservations'!J68</f>
        <v>17</v>
      </c>
    </row>
    <row r="40" spans="1:8" ht="15.75" x14ac:dyDescent="0.25">
      <c r="A40" s="205">
        <f>IF('Saisie réservations'!B69&gt;=DATE(An,6,1),IF('Saisie réservations'!B69&lt;=DATE(An,8,31),'Saisie réservations'!B69,""),"")</f>
        <v>42933</v>
      </c>
      <c r="B40" s="206">
        <f>IF($A40&gt;=DATE(An,6,1),IF($A40&lt;=DATE(An,8,31),'Saisie réservations'!C69,""),"")</f>
        <v>42937</v>
      </c>
      <c r="C40" s="223">
        <f>'Saisie réservations'!AA69</f>
        <v>4</v>
      </c>
      <c r="D40" s="223">
        <f t="shared" si="5"/>
        <v>4</v>
      </c>
      <c r="E40" s="223">
        <f t="shared" si="6"/>
        <v>16</v>
      </c>
      <c r="F40" s="207">
        <f t="shared" si="4"/>
        <v>0.5</v>
      </c>
      <c r="G40" s="207">
        <f t="shared" si="7"/>
        <v>8</v>
      </c>
      <c r="H40" s="223">
        <f>'Saisie réservations'!J69</f>
        <v>24</v>
      </c>
    </row>
    <row r="41" spans="1:8" ht="15.75" x14ac:dyDescent="0.25">
      <c r="A41" s="205">
        <f>IF('Saisie réservations'!B70&gt;=DATE(An,6,1),IF('Saisie réservations'!B70&lt;=DATE(An,8,31),'Saisie réservations'!B70,""),"")</f>
        <v>42940</v>
      </c>
      <c r="B41" s="206">
        <f>IF($A41&gt;=DATE(An,6,1),IF($A41&lt;=DATE(An,8,31),'Saisie réservations'!C70,""),"")</f>
        <v>42941</v>
      </c>
      <c r="C41" s="223">
        <f>'Saisie réservations'!AA70</f>
        <v>4</v>
      </c>
      <c r="D41" s="223">
        <f t="shared" si="5"/>
        <v>1</v>
      </c>
      <c r="E41" s="223">
        <f t="shared" si="6"/>
        <v>4</v>
      </c>
      <c r="F41" s="207">
        <f t="shared" si="4"/>
        <v>0.5</v>
      </c>
      <c r="G41" s="207">
        <f t="shared" si="7"/>
        <v>2</v>
      </c>
      <c r="H41" s="223">
        <f>'Saisie réservations'!J70</f>
        <v>12</v>
      </c>
    </row>
    <row r="42" spans="1:8" ht="15.75" x14ac:dyDescent="0.25">
      <c r="A42" s="205">
        <f>IF('Saisie réservations'!B71&gt;=DATE(An,6,1),IF('Saisie réservations'!B71&lt;=DATE(An,8,31),'Saisie réservations'!B71,""),"")</f>
        <v>42941</v>
      </c>
      <c r="B42" s="206">
        <f>IF($A42&gt;=DATE(An,6,1),IF($A42&lt;=DATE(An,8,31),'Saisie réservations'!C71,""),"")</f>
        <v>42942</v>
      </c>
      <c r="C42" s="223">
        <f>'Saisie réservations'!AA71</f>
        <v>5</v>
      </c>
      <c r="D42" s="223">
        <f t="shared" si="5"/>
        <v>1</v>
      </c>
      <c r="E42" s="223">
        <f t="shared" si="6"/>
        <v>5</v>
      </c>
      <c r="F42" s="207">
        <f t="shared" si="4"/>
        <v>0.5</v>
      </c>
      <c r="G42" s="207">
        <f t="shared" si="7"/>
        <v>2.5</v>
      </c>
      <c r="H42" s="223">
        <f>'Saisie réservations'!J71</f>
        <v>11</v>
      </c>
    </row>
    <row r="43" spans="1:8" ht="15.75" x14ac:dyDescent="0.25">
      <c r="A43" s="205">
        <f>IF('Saisie réservations'!B72&gt;=DATE(An,6,1),IF('Saisie réservations'!B72&lt;=DATE(An,8,31),'Saisie réservations'!B72,""),"")</f>
        <v>42941</v>
      </c>
      <c r="B43" s="206">
        <f>IF($A43&gt;=DATE(An,6,1),IF($A43&lt;=DATE(An,8,31),'Saisie réservations'!C72,""),"")</f>
        <v>42943</v>
      </c>
      <c r="C43" s="223">
        <f>'Saisie réservations'!AA72</f>
        <v>4</v>
      </c>
      <c r="D43" s="223">
        <f t="shared" si="5"/>
        <v>2</v>
      </c>
      <c r="E43" s="223">
        <f t="shared" si="6"/>
        <v>8</v>
      </c>
      <c r="F43" s="207">
        <f t="shared" si="4"/>
        <v>0.5</v>
      </c>
      <c r="G43" s="207">
        <f t="shared" si="7"/>
        <v>4</v>
      </c>
      <c r="H43" s="223">
        <f>'Saisie réservations'!J72</f>
        <v>36</v>
      </c>
    </row>
    <row r="44" spans="1:8" ht="15.75" x14ac:dyDescent="0.25">
      <c r="A44" s="205">
        <f>IF('Saisie réservations'!B73&gt;=DATE(An,6,1),IF('Saisie réservations'!B73&lt;=DATE(An,8,31),'Saisie réservations'!B73,""),"")</f>
        <v>42942</v>
      </c>
      <c r="B44" s="206">
        <f>IF($A44&gt;=DATE(An,6,1),IF($A44&lt;=DATE(An,8,31),'Saisie réservations'!C73,""),"")</f>
        <v>42943</v>
      </c>
      <c r="C44" s="223">
        <f>'Saisie réservations'!AA73</f>
        <v>3</v>
      </c>
      <c r="D44" s="223">
        <f t="shared" si="5"/>
        <v>1</v>
      </c>
      <c r="E44" s="223">
        <f t="shared" si="6"/>
        <v>3</v>
      </c>
      <c r="F44" s="207">
        <f t="shared" si="4"/>
        <v>0.5</v>
      </c>
      <c r="G44" s="207">
        <f t="shared" si="7"/>
        <v>1.5</v>
      </c>
      <c r="H44" s="223">
        <f>'Saisie réservations'!J73</f>
        <v>3</v>
      </c>
    </row>
    <row r="45" spans="1:8" ht="15.75" x14ac:dyDescent="0.25">
      <c r="A45" s="205">
        <f>IF('Saisie réservations'!B74&gt;=DATE(An,6,1),IF('Saisie réservations'!B74&lt;=DATE(An,8,31),'Saisie réservations'!B74,""),"")</f>
        <v>42943</v>
      </c>
      <c r="B45" s="206">
        <f>IF($A45&gt;=DATE(An,6,1),IF($A45&lt;=DATE(An,8,31),'Saisie réservations'!C74,""),"")</f>
        <v>42946</v>
      </c>
      <c r="C45" s="223">
        <f>'Saisie réservations'!AA74</f>
        <v>10</v>
      </c>
      <c r="D45" s="223">
        <f t="shared" si="5"/>
        <v>3</v>
      </c>
      <c r="E45" s="223">
        <f t="shared" si="6"/>
        <v>30</v>
      </c>
      <c r="F45" s="207">
        <f t="shared" si="4"/>
        <v>0.5</v>
      </c>
      <c r="G45" s="207">
        <f t="shared" si="7"/>
        <v>15</v>
      </c>
      <c r="H45" s="223">
        <f>'Saisie réservations'!J74</f>
        <v>12</v>
      </c>
    </row>
    <row r="46" spans="1:8" ht="15.75" x14ac:dyDescent="0.25">
      <c r="A46" s="205">
        <f>IF('Saisie réservations'!B75&gt;=DATE(An,6,1),IF('Saisie réservations'!B75&lt;=DATE(An,8,31),'Saisie réservations'!B75,""),"")</f>
        <v>42944</v>
      </c>
      <c r="B46" s="206">
        <f>IF($A46&gt;=DATE(An,6,1),IF($A46&lt;=DATE(An,8,31),'Saisie réservations'!C75,""),"")</f>
        <v>42945</v>
      </c>
      <c r="C46" s="223">
        <f>'Saisie réservations'!AA75</f>
        <v>4</v>
      </c>
      <c r="D46" s="223">
        <f t="shared" si="5"/>
        <v>1</v>
      </c>
      <c r="E46" s="223">
        <f t="shared" si="6"/>
        <v>4</v>
      </c>
      <c r="F46" s="207">
        <f t="shared" si="4"/>
        <v>0.5</v>
      </c>
      <c r="G46" s="207">
        <f t="shared" si="7"/>
        <v>2</v>
      </c>
      <c r="H46" s="223">
        <f>'Saisie réservations'!J75</f>
        <v>4</v>
      </c>
    </row>
    <row r="47" spans="1:8" ht="15.75" x14ac:dyDescent="0.25">
      <c r="A47" s="205">
        <f>IF('Saisie réservations'!B76&gt;=DATE(An,6,1),IF('Saisie réservations'!B76&lt;=DATE(An,8,31),'Saisie réservations'!B76,""),"")</f>
        <v>42945</v>
      </c>
      <c r="B47" s="206">
        <f>IF($A47&gt;=DATE(An,6,1),IF($A47&lt;=DATE(An,8,31),'Saisie réservations'!C76,""),"")</f>
        <v>42946</v>
      </c>
      <c r="C47" s="223">
        <f>'Saisie réservations'!AA76</f>
        <v>30</v>
      </c>
      <c r="D47" s="223">
        <f t="shared" si="5"/>
        <v>1</v>
      </c>
      <c r="E47" s="223">
        <f t="shared" si="6"/>
        <v>30</v>
      </c>
      <c r="F47" s="207">
        <f t="shared" si="4"/>
        <v>0.5</v>
      </c>
      <c r="G47" s="207">
        <f t="shared" si="7"/>
        <v>15</v>
      </c>
      <c r="H47" s="223">
        <f>'Saisie réservations'!J76</f>
        <v>30</v>
      </c>
    </row>
    <row r="48" spans="1:8" ht="15.75" x14ac:dyDescent="0.25">
      <c r="A48" s="205">
        <f>IF('Saisie réservations'!B77&gt;=DATE(An,6,1),IF('Saisie réservations'!B77&lt;=DATE(An,8,31),'Saisie réservations'!B77,""),"")</f>
        <v>42949</v>
      </c>
      <c r="B48" s="206">
        <f>IF($A48&gt;=DATE(An,6,1),IF($A48&lt;=DATE(An,8,31),'Saisie réservations'!C77,""),"")</f>
        <v>42951</v>
      </c>
      <c r="C48" s="223">
        <f>'Saisie réservations'!AA77</f>
        <v>4</v>
      </c>
      <c r="D48" s="223">
        <f t="shared" si="5"/>
        <v>2</v>
      </c>
      <c r="E48" s="223">
        <f t="shared" si="6"/>
        <v>8</v>
      </c>
      <c r="F48" s="207">
        <f t="shared" si="4"/>
        <v>0.5</v>
      </c>
      <c r="G48" s="207">
        <f t="shared" si="7"/>
        <v>4</v>
      </c>
      <c r="H48" s="223">
        <f>'Saisie réservations'!J77</f>
        <v>4</v>
      </c>
    </row>
    <row r="49" spans="1:8" ht="15.75" x14ac:dyDescent="0.25">
      <c r="A49" s="205">
        <f>IF('Saisie réservations'!B78&gt;=DATE(An,6,1),IF('Saisie réservations'!B78&lt;=DATE(An,8,31),'Saisie réservations'!B78,""),"")</f>
        <v>42955</v>
      </c>
      <c r="B49" s="206">
        <f>IF($A49&gt;=DATE(An,6,1),IF($A49&lt;=DATE(An,8,31),'Saisie réservations'!C78,""),"")</f>
        <v>42956</v>
      </c>
      <c r="C49" s="223">
        <f>'Saisie réservations'!AA78</f>
        <v>4</v>
      </c>
      <c r="D49" s="223">
        <f t="shared" si="5"/>
        <v>1</v>
      </c>
      <c r="E49" s="223">
        <f t="shared" si="6"/>
        <v>4</v>
      </c>
      <c r="F49" s="207">
        <f t="shared" si="4"/>
        <v>0.5</v>
      </c>
      <c r="G49" s="207">
        <f t="shared" si="7"/>
        <v>2</v>
      </c>
      <c r="H49" s="223">
        <f>'Saisie réservations'!J78</f>
        <v>8</v>
      </c>
    </row>
    <row r="50" spans="1:8" ht="15.75" x14ac:dyDescent="0.25">
      <c r="A50" s="205">
        <f>IF('Saisie réservations'!B79&gt;=DATE(An,6,1),IF('Saisie réservations'!B79&lt;=DATE(An,8,31),'Saisie réservations'!B79,""),"")</f>
        <v>42956</v>
      </c>
      <c r="B50" s="206">
        <f>IF($A50&gt;=DATE(An,6,1),IF($A50&lt;=DATE(An,8,31),'Saisie réservations'!C79,""),"")</f>
        <v>42958</v>
      </c>
      <c r="C50" s="223">
        <f>'Saisie réservations'!AA79</f>
        <v>2</v>
      </c>
      <c r="D50" s="223">
        <f t="shared" si="5"/>
        <v>2</v>
      </c>
      <c r="E50" s="223">
        <f t="shared" si="6"/>
        <v>4</v>
      </c>
      <c r="F50" s="207">
        <f t="shared" si="4"/>
        <v>0.5</v>
      </c>
      <c r="G50" s="207">
        <f t="shared" si="7"/>
        <v>2</v>
      </c>
      <c r="H50" s="223">
        <f>'Saisie réservations'!J79</f>
        <v>12</v>
      </c>
    </row>
    <row r="51" spans="1:8" ht="15.75" x14ac:dyDescent="0.25">
      <c r="A51" s="205">
        <f>IF('Saisie réservations'!B80&gt;=DATE(An,6,1),IF('Saisie réservations'!B80&lt;=DATE(An,8,31),'Saisie réservations'!B80,""),"")</f>
        <v>42957</v>
      </c>
      <c r="B51" s="206">
        <f>IF($A51&gt;=DATE(An,6,1),IF($A51&lt;=DATE(An,8,31),'Saisie réservations'!C80,""),"")</f>
        <v>42959</v>
      </c>
      <c r="C51" s="223">
        <f>'Saisie réservations'!AA80</f>
        <v>2</v>
      </c>
      <c r="D51" s="223">
        <f t="shared" si="5"/>
        <v>2</v>
      </c>
      <c r="E51" s="223">
        <f t="shared" si="6"/>
        <v>4</v>
      </c>
      <c r="F51" s="207">
        <f t="shared" si="4"/>
        <v>0.5</v>
      </c>
      <c r="G51" s="207">
        <f t="shared" si="7"/>
        <v>2</v>
      </c>
      <c r="H51" s="223">
        <f>'Saisie réservations'!J80</f>
        <v>2</v>
      </c>
    </row>
    <row r="52" spans="1:8" ht="15.75" x14ac:dyDescent="0.25">
      <c r="A52" s="205">
        <f>IF('Saisie réservations'!B81&gt;=DATE(An,6,1),IF('Saisie réservations'!B81&lt;=DATE(An,8,31),'Saisie réservations'!B81,""),"")</f>
        <v>42959</v>
      </c>
      <c r="B52" s="206">
        <f>IF($A52&gt;=DATE(An,6,1),IF($A52&lt;=DATE(An,8,31),'Saisie réservations'!C81,""),"")</f>
        <v>42960</v>
      </c>
      <c r="C52" s="223">
        <f>'Saisie réservations'!AA81</f>
        <v>1</v>
      </c>
      <c r="D52" s="223">
        <f t="shared" si="5"/>
        <v>1</v>
      </c>
      <c r="E52" s="223">
        <f t="shared" si="6"/>
        <v>1</v>
      </c>
      <c r="F52" s="207">
        <f t="shared" si="4"/>
        <v>0.5</v>
      </c>
      <c r="G52" s="207">
        <f t="shared" si="7"/>
        <v>0.5</v>
      </c>
      <c r="H52" s="223">
        <f>'Saisie réservations'!J81</f>
        <v>3</v>
      </c>
    </row>
    <row r="53" spans="1:8" ht="15.75" x14ac:dyDescent="0.25">
      <c r="A53" s="205">
        <f>IF('Saisie réservations'!B82&gt;=DATE(An,6,1),IF('Saisie réservations'!B82&lt;=DATE(An,8,31),'Saisie réservations'!B82,""),"")</f>
        <v>42961</v>
      </c>
      <c r="B53" s="206">
        <f>IF($A53&gt;=DATE(An,6,1),IF($A53&lt;=DATE(An,8,31),'Saisie réservations'!C82,""),"")</f>
        <v>42965</v>
      </c>
      <c r="C53" s="223">
        <f>'Saisie réservations'!AA82</f>
        <v>2</v>
      </c>
      <c r="D53" s="223">
        <f t="shared" si="5"/>
        <v>4</v>
      </c>
      <c r="E53" s="223">
        <f t="shared" si="6"/>
        <v>8</v>
      </c>
      <c r="F53" s="207">
        <f t="shared" si="4"/>
        <v>0.5</v>
      </c>
      <c r="G53" s="207">
        <f t="shared" si="7"/>
        <v>4</v>
      </c>
      <c r="H53" s="223">
        <f>'Saisie réservations'!J82</f>
        <v>2</v>
      </c>
    </row>
    <row r="54" spans="1:8" ht="15.75" x14ac:dyDescent="0.25">
      <c r="A54" s="205">
        <f>IF('Saisie réservations'!B83&gt;=DATE(An,6,1),IF('Saisie réservations'!B83&lt;=DATE(An,8,31),'Saisie réservations'!B83,""),"")</f>
        <v>42967</v>
      </c>
      <c r="B54" s="206">
        <f>IF($A54&gt;=DATE(An,6,1),IF($A54&lt;=DATE(An,8,31),'Saisie réservations'!C83,""),"")</f>
        <v>42971</v>
      </c>
      <c r="C54" s="223">
        <f>'Saisie réservations'!AA83</f>
        <v>13</v>
      </c>
      <c r="D54" s="223">
        <f t="shared" si="5"/>
        <v>4</v>
      </c>
      <c r="E54" s="223">
        <f t="shared" si="6"/>
        <v>52</v>
      </c>
      <c r="F54" s="207">
        <f t="shared" si="4"/>
        <v>0.5</v>
      </c>
      <c r="G54" s="207">
        <f t="shared" si="7"/>
        <v>26</v>
      </c>
      <c r="H54" s="223">
        <f>'Saisie réservations'!J83</f>
        <v>13</v>
      </c>
    </row>
    <row r="55" spans="1:8" ht="15.75" x14ac:dyDescent="0.25">
      <c r="A55" s="205">
        <f>IF('Saisie réservations'!B84&gt;=DATE(An,6,1),IF('Saisie réservations'!B84&lt;=DATE(An,8,31),'Saisie réservations'!B84,""),"")</f>
        <v>42968</v>
      </c>
      <c r="B55" s="206">
        <f>IF($A55&gt;=DATE(An,6,1),IF($A55&lt;=DATE(An,8,31),'Saisie réservations'!C84,""),"")</f>
        <v>42972</v>
      </c>
      <c r="C55" s="223">
        <f>'Saisie réservations'!AA84</f>
        <v>0</v>
      </c>
      <c r="D55" s="223">
        <f t="shared" si="5"/>
        <v>4</v>
      </c>
      <c r="E55" s="223">
        <f t="shared" si="6"/>
        <v>0</v>
      </c>
      <c r="F55" s="207">
        <f t="shared" si="4"/>
        <v>0.5</v>
      </c>
      <c r="G55" s="207">
        <f t="shared" si="7"/>
        <v>0</v>
      </c>
      <c r="H55" s="223">
        <f>'Saisie réservations'!J84</f>
        <v>14</v>
      </c>
    </row>
    <row r="56" spans="1:8" ht="15.75" x14ac:dyDescent="0.25">
      <c r="A56" s="205">
        <f>IF('Saisie réservations'!B85&gt;=DATE(An,6,1),IF('Saisie réservations'!B85&lt;=DATE(An,8,31),'Saisie réservations'!B85,""),"")</f>
        <v>42971</v>
      </c>
      <c r="B56" s="206">
        <f>IF($A56&gt;=DATE(An,6,1),IF($A56&lt;=DATE(An,8,31),'Saisie réservations'!C85,""),"")</f>
        <v>42974</v>
      </c>
      <c r="C56" s="223">
        <f>'Saisie réservations'!AA85</f>
        <v>0</v>
      </c>
      <c r="D56" s="223">
        <f t="shared" si="5"/>
        <v>3</v>
      </c>
      <c r="E56" s="223">
        <f t="shared" si="6"/>
        <v>0</v>
      </c>
      <c r="F56" s="207">
        <f t="shared" si="4"/>
        <v>0.5</v>
      </c>
      <c r="G56" s="207">
        <f t="shared" si="7"/>
        <v>0</v>
      </c>
      <c r="H56" s="223">
        <f>'Saisie réservations'!J85</f>
        <v>2</v>
      </c>
    </row>
    <row r="57" spans="1:8" ht="15.75" x14ac:dyDescent="0.25">
      <c r="A57" s="370" t="s">
        <v>175</v>
      </c>
      <c r="B57" s="370"/>
      <c r="C57" s="370"/>
      <c r="D57" s="370"/>
      <c r="E57" s="223">
        <f>SUM($E35:$E56)</f>
        <v>761</v>
      </c>
      <c r="F57" s="207">
        <v>0.5</v>
      </c>
      <c r="G57" s="216">
        <f>$E57*$F57</f>
        <v>380.5</v>
      </c>
      <c r="H57" s="222"/>
    </row>
    <row r="58" spans="1:8" ht="15.75" x14ac:dyDescent="0.25">
      <c r="A58" s="222"/>
      <c r="B58" s="222"/>
      <c r="C58" s="222"/>
      <c r="D58" s="222"/>
      <c r="E58" s="222"/>
      <c r="F58" s="222"/>
      <c r="G58" s="208"/>
      <c r="H58" s="209"/>
    </row>
    <row r="59" spans="1:8" ht="15.75" x14ac:dyDescent="0.25">
      <c r="A59" s="222"/>
      <c r="B59" s="222"/>
      <c r="C59" s="211"/>
      <c r="D59" s="211"/>
      <c r="E59" s="211"/>
      <c r="F59" s="222"/>
      <c r="G59" s="210"/>
      <c r="H59" s="212"/>
    </row>
    <row r="60" spans="1:8" ht="15.75" x14ac:dyDescent="0.25">
      <c r="A60" s="361" t="s">
        <v>176</v>
      </c>
      <c r="B60" s="361"/>
      <c r="C60" s="361"/>
      <c r="D60" s="211"/>
      <c r="E60" s="222" t="s">
        <v>171</v>
      </c>
      <c r="F60" s="215"/>
      <c r="G60" s="210"/>
      <c r="H60" s="212"/>
    </row>
    <row r="61" spans="1:8" ht="15.75" x14ac:dyDescent="0.25">
      <c r="A61" s="222"/>
      <c r="B61" s="222"/>
      <c r="C61" s="211"/>
      <c r="D61" s="211"/>
      <c r="E61" s="211"/>
      <c r="F61" s="222"/>
      <c r="G61" s="213"/>
      <c r="H61" s="214"/>
    </row>
  </sheetData>
  <mergeCells count="23">
    <mergeCell ref="A35:D35"/>
    <mergeCell ref="A57:D57"/>
    <mergeCell ref="A60:C60"/>
    <mergeCell ref="F8:F9"/>
    <mergeCell ref="A31:D31"/>
    <mergeCell ref="C32:F32"/>
    <mergeCell ref="G32:G34"/>
    <mergeCell ref="H32:H34"/>
    <mergeCell ref="A33:B33"/>
    <mergeCell ref="C33:C34"/>
    <mergeCell ref="D33:D34"/>
    <mergeCell ref="E33:E34"/>
    <mergeCell ref="F33:F34"/>
    <mergeCell ref="A1:H2"/>
    <mergeCell ref="A3:H3"/>
    <mergeCell ref="A4:H4"/>
    <mergeCell ref="C7:F7"/>
    <mergeCell ref="G7:G9"/>
    <mergeCell ref="H7:H9"/>
    <mergeCell ref="A8:B8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1"/>
  <sheetViews>
    <sheetView zoomScale="80" zoomScaleNormal="80" workbookViewId="0">
      <selection activeCell="G6" sqref="G6"/>
    </sheetView>
  </sheetViews>
  <sheetFormatPr baseColWidth="10" defaultRowHeight="12.75" x14ac:dyDescent="0.2"/>
  <cols>
    <col min="1" max="2" width="23.5" customWidth="1"/>
    <col min="4" max="5" width="10.83203125" customWidth="1"/>
    <col min="6" max="6" width="9.83203125" customWidth="1"/>
    <col min="7" max="7" width="27.83203125" customWidth="1"/>
    <col min="8" max="8" width="22.83203125" customWidth="1"/>
  </cols>
  <sheetData>
    <row r="1" spans="1:8" x14ac:dyDescent="0.2">
      <c r="A1" s="364" t="s">
        <v>158</v>
      </c>
      <c r="B1" s="365"/>
      <c r="C1" s="365"/>
      <c r="D1" s="365"/>
      <c r="E1" s="365"/>
      <c r="F1" s="365"/>
      <c r="G1" s="365"/>
      <c r="H1" s="366"/>
    </row>
    <row r="2" spans="1:8" ht="13.5" thickBot="1" x14ac:dyDescent="0.25">
      <c r="A2" s="367"/>
      <c r="B2" s="368"/>
      <c r="C2" s="368"/>
      <c r="D2" s="368"/>
      <c r="E2" s="368"/>
      <c r="F2" s="368"/>
      <c r="G2" s="368"/>
      <c r="H2" s="369"/>
    </row>
    <row r="3" spans="1:8" ht="15.75" x14ac:dyDescent="0.2">
      <c r="A3" s="363" t="s">
        <v>179</v>
      </c>
      <c r="B3" s="363"/>
      <c r="C3" s="363"/>
      <c r="D3" s="363"/>
      <c r="E3" s="363"/>
      <c r="F3" s="363"/>
      <c r="G3" s="363"/>
      <c r="H3" s="363"/>
    </row>
    <row r="4" spans="1:8" ht="15.75" x14ac:dyDescent="0.2">
      <c r="A4" s="362" t="s">
        <v>160</v>
      </c>
      <c r="B4" s="362"/>
      <c r="C4" s="362"/>
      <c r="D4" s="362"/>
      <c r="E4" s="362"/>
      <c r="F4" s="362"/>
      <c r="G4" s="362"/>
      <c r="H4" s="362"/>
    </row>
    <row r="5" spans="1:8" ht="15.75" x14ac:dyDescent="0.25">
      <c r="A5" s="222"/>
      <c r="B5" s="222"/>
      <c r="C5" s="222"/>
      <c r="D5" s="222"/>
      <c r="E5" s="222"/>
      <c r="F5" s="222"/>
      <c r="G5">
        <v>9</v>
      </c>
      <c r="H5">
        <v>12</v>
      </c>
    </row>
    <row r="6" spans="1:8" ht="15.75" x14ac:dyDescent="0.25">
      <c r="A6" s="222"/>
      <c r="B6" s="222"/>
      <c r="C6" s="222"/>
      <c r="D6" s="222"/>
      <c r="E6" s="222"/>
      <c r="F6" s="222"/>
      <c r="G6" s="222"/>
      <c r="H6" s="222"/>
    </row>
    <row r="7" spans="1:8" ht="15.75" x14ac:dyDescent="0.25">
      <c r="A7" s="222"/>
      <c r="B7" s="222"/>
      <c r="C7" s="370" t="s">
        <v>161</v>
      </c>
      <c r="D7" s="370"/>
      <c r="E7" s="370"/>
      <c r="F7" s="370"/>
      <c r="G7" s="372" t="s">
        <v>162</v>
      </c>
      <c r="H7" s="372" t="s">
        <v>163</v>
      </c>
    </row>
    <row r="8" spans="1:8" ht="15.75" x14ac:dyDescent="0.25">
      <c r="A8" s="370" t="s">
        <v>164</v>
      </c>
      <c r="B8" s="371"/>
      <c r="C8" s="372" t="s">
        <v>165</v>
      </c>
      <c r="D8" s="372" t="s">
        <v>166</v>
      </c>
      <c r="E8" s="372" t="s">
        <v>105</v>
      </c>
      <c r="F8" s="372" t="s">
        <v>167</v>
      </c>
      <c r="G8" s="372"/>
      <c r="H8" s="372"/>
    </row>
    <row r="9" spans="1:8" ht="15.75" x14ac:dyDescent="0.25">
      <c r="A9" s="223" t="s">
        <v>168</v>
      </c>
      <c r="B9" s="224" t="s">
        <v>169</v>
      </c>
      <c r="C9" s="372"/>
      <c r="D9" s="372"/>
      <c r="E9" s="372"/>
      <c r="F9" s="372"/>
      <c r="G9" s="372"/>
      <c r="H9" s="372"/>
    </row>
    <row r="10" spans="1:8" ht="15.75" x14ac:dyDescent="0.25">
      <c r="A10" s="205" t="str">
        <f>IF('Saisie réservations'!$B80&gt;=DATE(An,9,1),IF('Saisie réservations'!$B80&lt;=DATE(An,12,31),'Saisie réservations'!$B80,""),"")</f>
        <v/>
      </c>
      <c r="B10" s="206" t="str">
        <f>IF($A10&gt;=DATE(An,9,1),IF($A10&lt;=DATE(An,12,31),'Saisie réservations'!$C80,""),"")</f>
        <v/>
      </c>
      <c r="C10" s="223">
        <f>'Saisie réservations'!$AA80</f>
        <v>2</v>
      </c>
      <c r="D10" s="223" t="str">
        <f t="shared" ref="D10:D30" si="0">IF($A10="","",IF($B10="","",DATEDIF($A10,$B10,"D")))</f>
        <v/>
      </c>
      <c r="E10" s="223" t="str">
        <f t="shared" ref="E10:E30" si="1">IF($C10="","",IF($D10="","",$C10*$D10))</f>
        <v/>
      </c>
      <c r="F10" s="207">
        <f t="shared" ref="F10:F30" si="2">Taxe</f>
        <v>0.5</v>
      </c>
      <c r="G10" s="207" t="str">
        <f t="shared" ref="G10:G30" si="3">IF($E10="","",$E10*$F10)</f>
        <v/>
      </c>
      <c r="H10" s="223">
        <f>'Saisie réservations'!$J80</f>
        <v>2</v>
      </c>
    </row>
    <row r="11" spans="1:8" ht="15.75" x14ac:dyDescent="0.25">
      <c r="A11" s="205" t="str">
        <f>IF('Saisie réservations'!$B81&gt;=DATE(An,9,1),IF('Saisie réservations'!$B81&lt;=DATE(An,12,31),'Saisie réservations'!$B81,""),"")</f>
        <v/>
      </c>
      <c r="B11" s="206" t="str">
        <f>IF($A11&gt;=DATE(An,9,1),IF($A11&lt;=DATE(An,12,31),'Saisie réservations'!$C81,""),"")</f>
        <v/>
      </c>
      <c r="C11" s="223">
        <f>'Saisie réservations'!$AA81</f>
        <v>1</v>
      </c>
      <c r="D11" s="223" t="str">
        <f t="shared" si="0"/>
        <v/>
      </c>
      <c r="E11" s="223" t="str">
        <f t="shared" si="1"/>
        <v/>
      </c>
      <c r="F11" s="207">
        <f t="shared" si="2"/>
        <v>0.5</v>
      </c>
      <c r="G11" s="207" t="str">
        <f t="shared" si="3"/>
        <v/>
      </c>
      <c r="H11" s="223">
        <f>'Saisie réservations'!$J81</f>
        <v>3</v>
      </c>
    </row>
    <row r="12" spans="1:8" ht="15.75" x14ac:dyDescent="0.25">
      <c r="A12" s="205" t="str">
        <f>IF('Saisie réservations'!$B82&gt;=DATE(An,9,1),IF('Saisie réservations'!$B82&lt;=DATE(An,12,31),'Saisie réservations'!$B82,""),"")</f>
        <v/>
      </c>
      <c r="B12" s="206" t="str">
        <f>IF($A12&gt;=DATE(An,9,1),IF($A12&lt;=DATE(An,12,31),'Saisie réservations'!$C82,""),"")</f>
        <v/>
      </c>
      <c r="C12" s="223">
        <f>'Saisie réservations'!$AA82</f>
        <v>2</v>
      </c>
      <c r="D12" s="223" t="str">
        <f t="shared" si="0"/>
        <v/>
      </c>
      <c r="E12" s="223" t="str">
        <f t="shared" si="1"/>
        <v/>
      </c>
      <c r="F12" s="207">
        <f t="shared" si="2"/>
        <v>0.5</v>
      </c>
      <c r="G12" s="207" t="str">
        <f t="shared" si="3"/>
        <v/>
      </c>
      <c r="H12" s="223">
        <f>'Saisie réservations'!$J82</f>
        <v>2</v>
      </c>
    </row>
    <row r="13" spans="1:8" ht="15.75" x14ac:dyDescent="0.25">
      <c r="A13" s="205" t="str">
        <f>IF('Saisie réservations'!$B83&gt;=DATE(An,9,1),IF('Saisie réservations'!$B83&lt;=DATE(An,12,31),'Saisie réservations'!$B83,""),"")</f>
        <v/>
      </c>
      <c r="B13" s="206" t="str">
        <f>IF($A13&gt;=DATE(An,9,1),IF($A13&lt;=DATE(An,12,31),'Saisie réservations'!$C83,""),"")</f>
        <v/>
      </c>
      <c r="C13" s="223">
        <f>'Saisie réservations'!$AA83</f>
        <v>13</v>
      </c>
      <c r="D13" s="223" t="str">
        <f t="shared" si="0"/>
        <v/>
      </c>
      <c r="E13" s="223" t="str">
        <f t="shared" si="1"/>
        <v/>
      </c>
      <c r="F13" s="207">
        <f t="shared" si="2"/>
        <v>0.5</v>
      </c>
      <c r="G13" s="207" t="str">
        <f t="shared" si="3"/>
        <v/>
      </c>
      <c r="H13" s="223">
        <f>'Saisie réservations'!$J83</f>
        <v>13</v>
      </c>
    </row>
    <row r="14" spans="1:8" ht="15.75" x14ac:dyDescent="0.25">
      <c r="A14" s="205" t="str">
        <f>IF('Saisie réservations'!$B84&gt;=DATE(An,9,1),IF('Saisie réservations'!$B84&lt;=DATE(An,12,31),'Saisie réservations'!$B84,""),"")</f>
        <v/>
      </c>
      <c r="B14" s="206" t="str">
        <f>IF($A14&gt;=DATE(An,9,1),IF($A14&lt;=DATE(An,12,31),'Saisie réservations'!$C84,""),"")</f>
        <v/>
      </c>
      <c r="C14" s="223">
        <f>'Saisie réservations'!$AA84</f>
        <v>0</v>
      </c>
      <c r="D14" s="223" t="str">
        <f t="shared" si="0"/>
        <v/>
      </c>
      <c r="E14" s="223" t="str">
        <f t="shared" si="1"/>
        <v/>
      </c>
      <c r="F14" s="207">
        <f t="shared" si="2"/>
        <v>0.5</v>
      </c>
      <c r="G14" s="207" t="str">
        <f t="shared" si="3"/>
        <v/>
      </c>
      <c r="H14" s="223">
        <f>'Saisie réservations'!$J84</f>
        <v>14</v>
      </c>
    </row>
    <row r="15" spans="1:8" ht="15.75" x14ac:dyDescent="0.25">
      <c r="A15" s="205" t="str">
        <f>IF('Saisie réservations'!$B85&gt;=DATE(An,9,1),IF('Saisie réservations'!$B85&lt;=DATE(An,12,31),'Saisie réservations'!$B85,""),"")</f>
        <v/>
      </c>
      <c r="B15" s="206" t="str">
        <f>IF($A15&gt;=DATE(An,9,1),IF($A15&lt;=DATE(An,12,31),'Saisie réservations'!$C85,""),"")</f>
        <v/>
      </c>
      <c r="C15" s="223">
        <f>'Saisie réservations'!$AA85</f>
        <v>0</v>
      </c>
      <c r="D15" s="223" t="str">
        <f t="shared" si="0"/>
        <v/>
      </c>
      <c r="E15" s="223" t="str">
        <f t="shared" si="1"/>
        <v/>
      </c>
      <c r="F15" s="207">
        <f t="shared" si="2"/>
        <v>0.5</v>
      </c>
      <c r="G15" s="207" t="str">
        <f t="shared" si="3"/>
        <v/>
      </c>
      <c r="H15" s="223">
        <f>'Saisie réservations'!$J85</f>
        <v>2</v>
      </c>
    </row>
    <row r="16" spans="1:8" ht="15.75" x14ac:dyDescent="0.25">
      <c r="A16" s="205" t="str">
        <f>IF('Saisie réservations'!$B86&gt;=DATE(An,9,1),IF('Saisie réservations'!$B86&lt;=DATE(An,12,31),'Saisie réservations'!$B86,""),"")</f>
        <v/>
      </c>
      <c r="B16" s="206" t="str">
        <f>IF($A16&gt;=DATE(An,9,1),IF($A16&lt;=DATE(An,12,31),'Saisie réservations'!$C86,""),"")</f>
        <v/>
      </c>
      <c r="C16" s="223">
        <f>'Saisie réservations'!$AA86</f>
        <v>48</v>
      </c>
      <c r="D16" s="223" t="str">
        <f t="shared" si="0"/>
        <v/>
      </c>
      <c r="E16" s="223" t="str">
        <f t="shared" si="1"/>
        <v/>
      </c>
      <c r="F16" s="207">
        <f t="shared" si="2"/>
        <v>0.5</v>
      </c>
      <c r="G16" s="207" t="str">
        <f t="shared" si="3"/>
        <v/>
      </c>
      <c r="H16" s="223">
        <f>'Saisie réservations'!$J86</f>
        <v>48</v>
      </c>
    </row>
    <row r="17" spans="1:8" ht="15.75" x14ac:dyDescent="0.25">
      <c r="A17" s="205" t="str">
        <f>IF('Saisie réservations'!$B87&gt;=DATE(An,9,1),IF('Saisie réservations'!$B87&lt;=DATE(An,12,31),'Saisie réservations'!$B87,""),"")</f>
        <v/>
      </c>
      <c r="B17" s="206" t="str">
        <f>IF($A17&gt;=DATE(An,9,1),IF($A17&lt;=DATE(An,12,31),'Saisie réservations'!$C87,""),"")</f>
        <v/>
      </c>
      <c r="C17" s="223">
        <f>'Saisie réservations'!$AA87</f>
        <v>0</v>
      </c>
      <c r="D17" s="223" t="str">
        <f t="shared" si="0"/>
        <v/>
      </c>
      <c r="E17" s="223" t="str">
        <f t="shared" si="1"/>
        <v/>
      </c>
      <c r="F17" s="207">
        <f t="shared" si="2"/>
        <v>0.5</v>
      </c>
      <c r="G17" s="207" t="str">
        <f t="shared" si="3"/>
        <v/>
      </c>
      <c r="H17" s="223">
        <f>'Saisie réservations'!$J87</f>
        <v>0</v>
      </c>
    </row>
    <row r="18" spans="1:8" ht="15.75" x14ac:dyDescent="0.25">
      <c r="A18" s="205">
        <f>IF('Saisie réservations'!$B88&gt;=DATE(An,9,1),IF('Saisie réservations'!$B88&lt;=DATE(An,12,31),'Saisie réservations'!$B88,""),"")</f>
        <v>42980</v>
      </c>
      <c r="B18" s="206">
        <f>IF($A18&gt;=DATE(An,9,1),IF($A18&lt;=DATE(An,12,31),'Saisie réservations'!$C88,""),"")</f>
        <v>42986</v>
      </c>
      <c r="C18" s="223">
        <f>'Saisie réservations'!$AA88</f>
        <v>18</v>
      </c>
      <c r="D18" s="223">
        <f t="shared" si="0"/>
        <v>6</v>
      </c>
      <c r="E18" s="223">
        <f t="shared" si="1"/>
        <v>108</v>
      </c>
      <c r="F18" s="207">
        <f t="shared" si="2"/>
        <v>0.5</v>
      </c>
      <c r="G18" s="207">
        <f t="shared" si="3"/>
        <v>54</v>
      </c>
      <c r="H18" s="223">
        <f>'Saisie réservations'!$J88</f>
        <v>18</v>
      </c>
    </row>
    <row r="19" spans="1:8" ht="15.75" x14ac:dyDescent="0.25">
      <c r="A19" s="205">
        <f>IF('Saisie réservations'!$B89&gt;=DATE(An,9,1),IF('Saisie réservations'!$B89&lt;=DATE(An,12,31),'Saisie réservations'!$B89,""),"")</f>
        <v>42980</v>
      </c>
      <c r="B19" s="206">
        <f>IF($A19&gt;=DATE(An,9,1),IF($A19&lt;=DATE(An,12,31),'Saisie réservations'!$C89,""),"")</f>
        <v>42987</v>
      </c>
      <c r="C19" s="223">
        <f>'Saisie réservations'!$AA89</f>
        <v>0</v>
      </c>
      <c r="D19" s="223">
        <f t="shared" si="0"/>
        <v>7</v>
      </c>
      <c r="E19" s="223">
        <f t="shared" si="1"/>
        <v>0</v>
      </c>
      <c r="F19" s="207">
        <f t="shared" si="2"/>
        <v>0.5</v>
      </c>
      <c r="G19" s="207">
        <f t="shared" si="3"/>
        <v>0</v>
      </c>
      <c r="H19" s="223">
        <f>'Saisie réservations'!$J89</f>
        <v>24</v>
      </c>
    </row>
    <row r="20" spans="1:8" ht="15.75" x14ac:dyDescent="0.25">
      <c r="A20" s="205">
        <f>IF('Saisie réservations'!$B90&gt;=DATE(An,9,1),IF('Saisie réservations'!$B90&lt;=DATE(An,12,31),'Saisie réservations'!$B90,""),"")</f>
        <v>42986</v>
      </c>
      <c r="B20" s="206">
        <f>IF($A20&gt;=DATE(An,9,1),IF($A20&lt;=DATE(An,12,31),'Saisie réservations'!$C90,""),"")</f>
        <v>42988</v>
      </c>
      <c r="C20" s="223">
        <f>'Saisie réservations'!$AA90</f>
        <v>0</v>
      </c>
      <c r="D20" s="223">
        <f t="shared" si="0"/>
        <v>2</v>
      </c>
      <c r="E20" s="223">
        <f t="shared" si="1"/>
        <v>0</v>
      </c>
      <c r="F20" s="207">
        <f t="shared" si="2"/>
        <v>0.5</v>
      </c>
      <c r="G20" s="207">
        <f t="shared" si="3"/>
        <v>0</v>
      </c>
      <c r="H20" s="223">
        <f>'Saisie réservations'!$J90</f>
        <v>0</v>
      </c>
    </row>
    <row r="21" spans="1:8" ht="15.75" x14ac:dyDescent="0.25">
      <c r="A21" s="205">
        <f>IF('Saisie réservations'!$B91&gt;=DATE(An,9,1),IF('Saisie réservations'!$B91&lt;=DATE(An,12,31),'Saisie réservations'!$B91,""),"")</f>
        <v>42986</v>
      </c>
      <c r="B21" s="206">
        <f>IF($A21&gt;=DATE(An,9,1),IF($A21&lt;=DATE(An,12,31),'Saisie réservations'!$C91,""),"")</f>
        <v>42987</v>
      </c>
      <c r="C21" s="223">
        <f>'Saisie réservations'!$AA91</f>
        <v>13</v>
      </c>
      <c r="D21" s="223">
        <f t="shared" si="0"/>
        <v>1</v>
      </c>
      <c r="E21" s="223">
        <f t="shared" si="1"/>
        <v>13</v>
      </c>
      <c r="F21" s="207">
        <f t="shared" si="2"/>
        <v>0.5</v>
      </c>
      <c r="G21" s="207">
        <f t="shared" si="3"/>
        <v>6.5</v>
      </c>
      <c r="H21" s="223">
        <f>'Saisie réservations'!$J91</f>
        <v>13</v>
      </c>
    </row>
    <row r="22" spans="1:8" ht="15.75" x14ac:dyDescent="0.25">
      <c r="A22" s="205">
        <f>IF('Saisie réservations'!$B92&gt;=DATE(An,9,1),IF('Saisie réservations'!$B92&lt;=DATE(An,12,31),'Saisie réservations'!$B92,""),"")</f>
        <v>42987</v>
      </c>
      <c r="B22" s="206">
        <f>IF($A22&gt;=DATE(An,9,1),IF($A22&lt;=DATE(An,12,31),'Saisie réservations'!$C92,""),"")</f>
        <v>42988</v>
      </c>
      <c r="C22" s="223">
        <f>'Saisie réservations'!$AA92</f>
        <v>0</v>
      </c>
      <c r="D22" s="223">
        <f t="shared" si="0"/>
        <v>1</v>
      </c>
      <c r="E22" s="223">
        <f t="shared" si="1"/>
        <v>0</v>
      </c>
      <c r="F22" s="207">
        <f t="shared" si="2"/>
        <v>0.5</v>
      </c>
      <c r="G22" s="207">
        <f t="shared" si="3"/>
        <v>0</v>
      </c>
      <c r="H22" s="223">
        <f>'Saisie réservations'!$J92</f>
        <v>27</v>
      </c>
    </row>
    <row r="23" spans="1:8" ht="15.75" x14ac:dyDescent="0.25">
      <c r="A23" s="205">
        <f>IF('Saisie réservations'!$B93&gt;=DATE(An,9,1),IF('Saisie réservations'!$B93&lt;=DATE(An,12,31),'Saisie réservations'!$B93,""),"")</f>
        <v>42988</v>
      </c>
      <c r="B23" s="206">
        <f>IF($A23&gt;=DATE(An,9,1),IF($A23&lt;=DATE(An,12,31),'Saisie réservations'!$C93,""),"")</f>
        <v>42989</v>
      </c>
      <c r="C23" s="223">
        <f>'Saisie réservations'!$AA93</f>
        <v>0</v>
      </c>
      <c r="D23" s="223">
        <f t="shared" si="0"/>
        <v>1</v>
      </c>
      <c r="E23" s="223">
        <f t="shared" si="1"/>
        <v>0</v>
      </c>
      <c r="F23" s="207">
        <f t="shared" si="2"/>
        <v>0.5</v>
      </c>
      <c r="G23" s="207">
        <f t="shared" si="3"/>
        <v>0</v>
      </c>
      <c r="H23" s="223">
        <f>'Saisie réservations'!$J93</f>
        <v>25</v>
      </c>
    </row>
    <row r="24" spans="1:8" ht="15.75" x14ac:dyDescent="0.25">
      <c r="A24" s="205">
        <f>IF('Saisie réservations'!$B94&gt;=DATE(An,9,1),IF('Saisie réservations'!$B94&lt;=DATE(An,12,31),'Saisie réservations'!$B94,""),"")</f>
        <v>42989</v>
      </c>
      <c r="B24" s="206">
        <f>IF($A24&gt;=DATE(An,9,1),IF($A24&lt;=DATE(An,12,31),'Saisie réservations'!$C94,""),"")</f>
        <v>42991</v>
      </c>
      <c r="C24" s="223">
        <f>'Saisie réservations'!$AA94</f>
        <v>0</v>
      </c>
      <c r="D24" s="223">
        <f t="shared" si="0"/>
        <v>2</v>
      </c>
      <c r="E24" s="223">
        <f t="shared" si="1"/>
        <v>0</v>
      </c>
      <c r="F24" s="207">
        <f t="shared" si="2"/>
        <v>0.5</v>
      </c>
      <c r="G24" s="207">
        <f t="shared" si="3"/>
        <v>0</v>
      </c>
      <c r="H24" s="223">
        <f>'Saisie réservations'!$J94</f>
        <v>12</v>
      </c>
    </row>
    <row r="25" spans="1:8" ht="15.75" x14ac:dyDescent="0.25">
      <c r="A25" s="205">
        <f>IF('Saisie réservations'!$B95&gt;=DATE(An,9,1),IF('Saisie réservations'!$B95&lt;=DATE(An,12,31),'Saisie réservations'!$B95,""),"")</f>
        <v>42992</v>
      </c>
      <c r="B25" s="206">
        <f>IF($A25&gt;=DATE(An,9,1),IF($A25&lt;=DATE(An,12,31),'Saisie réservations'!$C95,""),"")</f>
        <v>42993</v>
      </c>
      <c r="C25" s="223">
        <f>'Saisie réservations'!$AA95</f>
        <v>0</v>
      </c>
      <c r="D25" s="223">
        <f t="shared" si="0"/>
        <v>1</v>
      </c>
      <c r="E25" s="223">
        <f t="shared" si="1"/>
        <v>0</v>
      </c>
      <c r="F25" s="207">
        <f t="shared" si="2"/>
        <v>0.5</v>
      </c>
      <c r="G25" s="207">
        <f t="shared" si="3"/>
        <v>0</v>
      </c>
      <c r="H25" s="223">
        <f>'Saisie réservations'!$J95</f>
        <v>31</v>
      </c>
    </row>
    <row r="26" spans="1:8" ht="15.75" x14ac:dyDescent="0.25">
      <c r="A26" s="205">
        <f>IF('Saisie réservations'!$B96&gt;=DATE(An,9,1),IF('Saisie réservations'!$B96&lt;=DATE(An,12,31),'Saisie réservations'!$B96,""),"")</f>
        <v>42992</v>
      </c>
      <c r="B26" s="206">
        <f>IF($A26&gt;=DATE(An,9,1),IF($A26&lt;=DATE(An,12,31),'Saisie réservations'!$C96,""),"")</f>
        <v>42993</v>
      </c>
      <c r="C26" s="223">
        <f>'Saisie réservations'!$AA96</f>
        <v>15</v>
      </c>
      <c r="D26" s="223">
        <f t="shared" si="0"/>
        <v>1</v>
      </c>
      <c r="E26" s="223">
        <f t="shared" si="1"/>
        <v>15</v>
      </c>
      <c r="F26" s="207">
        <f t="shared" si="2"/>
        <v>0.5</v>
      </c>
      <c r="G26" s="207">
        <f t="shared" si="3"/>
        <v>7.5</v>
      </c>
      <c r="H26" s="223">
        <f>'Saisie réservations'!$J96</f>
        <v>15</v>
      </c>
    </row>
    <row r="27" spans="1:8" ht="15.75" x14ac:dyDescent="0.25">
      <c r="A27" s="205">
        <f>IF('Saisie réservations'!$B97&gt;=DATE(An,9,1),IF('Saisie réservations'!$B97&lt;=DATE(An,12,31),'Saisie réservations'!$B97,""),"")</f>
        <v>42993</v>
      </c>
      <c r="B27" s="206">
        <f>IF($A27&gt;=DATE(An,9,1),IF($A27&lt;=DATE(An,12,31),'Saisie réservations'!$C97,""),"")</f>
        <v>42995</v>
      </c>
      <c r="C27" s="223">
        <f>'Saisie réservations'!$AA97</f>
        <v>0</v>
      </c>
      <c r="D27" s="223">
        <f t="shared" si="0"/>
        <v>2</v>
      </c>
      <c r="E27" s="223">
        <f t="shared" si="1"/>
        <v>0</v>
      </c>
      <c r="F27" s="207">
        <f t="shared" si="2"/>
        <v>0.5</v>
      </c>
      <c r="G27" s="207">
        <f t="shared" si="3"/>
        <v>0</v>
      </c>
      <c r="H27" s="223">
        <f>'Saisie réservations'!$J97</f>
        <v>25</v>
      </c>
    </row>
    <row r="28" spans="1:8" ht="15.75" x14ac:dyDescent="0.25">
      <c r="A28" s="205">
        <f>IF('Saisie réservations'!$B98&gt;=DATE(An,9,1),IF('Saisie réservations'!$B98&lt;=DATE(An,12,31),'Saisie réservations'!$B98,""),"")</f>
        <v>42996</v>
      </c>
      <c r="B28" s="206">
        <f>IF($A28&gt;=DATE(An,9,1),IF($A28&lt;=DATE(An,12,31),'Saisie réservations'!$C98,""),"")</f>
        <v>43000</v>
      </c>
      <c r="C28" s="223">
        <f>'Saisie réservations'!$AA98</f>
        <v>0</v>
      </c>
      <c r="D28" s="223">
        <f t="shared" si="0"/>
        <v>4</v>
      </c>
      <c r="E28" s="223">
        <f t="shared" si="1"/>
        <v>0</v>
      </c>
      <c r="F28" s="207">
        <f t="shared" si="2"/>
        <v>0.5</v>
      </c>
      <c r="G28" s="207">
        <f t="shared" si="3"/>
        <v>0</v>
      </c>
      <c r="H28" s="223">
        <f>'Saisie réservations'!$J98</f>
        <v>10</v>
      </c>
    </row>
    <row r="29" spans="1:8" ht="15.75" x14ac:dyDescent="0.25">
      <c r="A29" s="205">
        <f>IF('Saisie réservations'!$B99&gt;=DATE(An,9,1),IF('Saisie réservations'!$B99&lt;=DATE(An,12,31),'Saisie réservations'!$B99,""),"")</f>
        <v>43000</v>
      </c>
      <c r="B29" s="206">
        <f>IF($A29&gt;=DATE(An,9,1),IF($A29&lt;=DATE(An,12,31),'Saisie réservations'!$C99,""),"")</f>
        <v>43002</v>
      </c>
      <c r="C29" s="223">
        <f>'Saisie réservations'!$AA99</f>
        <v>0</v>
      </c>
      <c r="D29" s="223">
        <f t="shared" si="0"/>
        <v>2</v>
      </c>
      <c r="E29" s="223">
        <f t="shared" si="1"/>
        <v>0</v>
      </c>
      <c r="F29" s="207">
        <f t="shared" si="2"/>
        <v>0.5</v>
      </c>
      <c r="G29" s="207">
        <f t="shared" si="3"/>
        <v>0</v>
      </c>
      <c r="H29" s="223">
        <f>'Saisie réservations'!$J99</f>
        <v>19</v>
      </c>
    </row>
    <row r="30" spans="1:8" ht="15.75" x14ac:dyDescent="0.25">
      <c r="A30" s="205">
        <f>IF('Saisie réservations'!$B100&gt;=DATE(An,9,1),IF('Saisie réservations'!$B100&lt;=DATE(An,12,31),'Saisie réservations'!$B100,""),"")</f>
        <v>43001</v>
      </c>
      <c r="B30" s="206">
        <f>IF($A30&gt;=DATE(An,9,1),IF($A30&lt;=DATE(An,12,31),'Saisie réservations'!$C100,""),"")</f>
        <v>43002</v>
      </c>
      <c r="C30" s="223">
        <f>'Saisie réservations'!$AA100</f>
        <v>0</v>
      </c>
      <c r="D30" s="223">
        <f t="shared" si="0"/>
        <v>1</v>
      </c>
      <c r="E30" s="223">
        <f t="shared" si="1"/>
        <v>0</v>
      </c>
      <c r="F30" s="207">
        <f t="shared" si="2"/>
        <v>0.5</v>
      </c>
      <c r="G30" s="207">
        <f t="shared" si="3"/>
        <v>0</v>
      </c>
      <c r="H30" s="223">
        <f>'Saisie réservations'!$J100</f>
        <v>30</v>
      </c>
    </row>
    <row r="31" spans="1:8" ht="15.75" x14ac:dyDescent="0.25">
      <c r="A31" s="370" t="s">
        <v>170</v>
      </c>
      <c r="B31" s="370"/>
      <c r="C31" s="370"/>
      <c r="D31" s="370"/>
      <c r="E31" s="223">
        <f>SUM($E10:$E30)</f>
        <v>136</v>
      </c>
      <c r="F31" s="207">
        <f>Taxe</f>
        <v>0.5</v>
      </c>
      <c r="G31" s="216">
        <f>$E31*$F31</f>
        <v>68</v>
      </c>
      <c r="H31" s="222"/>
    </row>
    <row r="32" spans="1:8" ht="15.75" x14ac:dyDescent="0.25">
      <c r="A32" s="222"/>
      <c r="B32" s="222"/>
      <c r="C32" s="370" t="s">
        <v>161</v>
      </c>
      <c r="D32" s="370"/>
      <c r="E32" s="370"/>
      <c r="F32" s="370"/>
      <c r="G32" s="372" t="s">
        <v>162</v>
      </c>
      <c r="H32" s="372" t="s">
        <v>163</v>
      </c>
    </row>
    <row r="33" spans="1:8" ht="15.75" x14ac:dyDescent="0.25">
      <c r="A33" s="370" t="s">
        <v>164</v>
      </c>
      <c r="B33" s="371"/>
      <c r="C33" s="372" t="s">
        <v>165</v>
      </c>
      <c r="D33" s="372" t="s">
        <v>166</v>
      </c>
      <c r="E33" s="372" t="s">
        <v>105</v>
      </c>
      <c r="F33" s="372" t="s">
        <v>167</v>
      </c>
      <c r="G33" s="372"/>
      <c r="H33" s="372"/>
    </row>
    <row r="34" spans="1:8" ht="15.75" x14ac:dyDescent="0.25">
      <c r="A34" s="223" t="s">
        <v>168</v>
      </c>
      <c r="B34" s="224" t="s">
        <v>169</v>
      </c>
      <c r="C34" s="372"/>
      <c r="D34" s="372"/>
      <c r="E34" s="372"/>
      <c r="F34" s="372"/>
      <c r="G34" s="372"/>
      <c r="H34" s="372"/>
    </row>
    <row r="35" spans="1:8" ht="15.75" x14ac:dyDescent="0.25">
      <c r="A35" s="370" t="s">
        <v>170</v>
      </c>
      <c r="B35" s="370"/>
      <c r="C35" s="370"/>
      <c r="D35" s="370"/>
      <c r="E35" s="223">
        <f>$E31</f>
        <v>136</v>
      </c>
      <c r="F35" s="207">
        <f t="shared" ref="F35:F56" si="4">Taxe</f>
        <v>0.5</v>
      </c>
      <c r="G35" s="207">
        <f>$E35*$F35</f>
        <v>68</v>
      </c>
      <c r="H35" s="225"/>
    </row>
    <row r="36" spans="1:8" ht="15.75" x14ac:dyDescent="0.25">
      <c r="A36" s="205">
        <f>IF('Saisie réservations'!$B101&gt;=DATE(An,9,1),IF('Saisie réservations'!$B101&lt;=DATE(An,12,31),'Saisie réservations'!$B101,""),"")</f>
        <v>43003</v>
      </c>
      <c r="B36" s="206">
        <f>IF($A36&gt;=DATE(An,9,1),IF($A36&lt;=DATE(An,12,31),'Saisie réservations'!$C101,""),"")</f>
        <v>43005</v>
      </c>
      <c r="C36" s="223">
        <f>'Saisie réservations'!$AA101</f>
        <v>0</v>
      </c>
      <c r="D36" s="223">
        <f t="shared" ref="D36:D56" si="5">IF($A36="","",IF($B36="","",DATEDIF($A36,$B36,"D")))</f>
        <v>2</v>
      </c>
      <c r="E36" s="223">
        <f t="shared" ref="E36:E56" si="6">IF($C36="","",IF($D36="","",$C36*$D36))</f>
        <v>0</v>
      </c>
      <c r="F36" s="207">
        <f t="shared" si="4"/>
        <v>0.5</v>
      </c>
      <c r="G36" s="207">
        <f>IF($E36="","",$E36*$F36)</f>
        <v>0</v>
      </c>
      <c r="H36" s="223">
        <f>'Saisie réservations'!$J101</f>
        <v>0</v>
      </c>
    </row>
    <row r="37" spans="1:8" ht="15.75" x14ac:dyDescent="0.25">
      <c r="A37" s="205">
        <f>IF('Saisie réservations'!$B102&gt;=DATE(An,9,1),IF('Saisie réservations'!$B102&lt;=DATE(An,12,31),'Saisie réservations'!$B102,""),"")</f>
        <v>43004</v>
      </c>
      <c r="B37" s="206">
        <f>IF($A37&gt;=DATE(An,9,1),IF($A37&lt;=DATE(An,12,31),'Saisie réservations'!$C102,""),"")</f>
        <v>43005</v>
      </c>
      <c r="C37" s="223">
        <f>'Saisie réservations'!$AA102</f>
        <v>0</v>
      </c>
      <c r="D37" s="223">
        <f t="shared" si="5"/>
        <v>1</v>
      </c>
      <c r="E37" s="223">
        <f t="shared" si="6"/>
        <v>0</v>
      </c>
      <c r="F37" s="207">
        <f t="shared" si="4"/>
        <v>0.5</v>
      </c>
      <c r="G37" s="207">
        <f t="shared" ref="G37:G56" si="7">IF($E37="","",$E37*$F37)</f>
        <v>0</v>
      </c>
      <c r="H37" s="223">
        <f>'Saisie réservations'!$J102</f>
        <v>18</v>
      </c>
    </row>
    <row r="38" spans="1:8" ht="15.75" x14ac:dyDescent="0.25">
      <c r="A38" s="205">
        <f>IF('Saisie réservations'!$B103&gt;=DATE(An,9,1),IF('Saisie réservations'!$B103&lt;=DATE(An,12,31),'Saisie réservations'!$B103,""),"")</f>
        <v>43008</v>
      </c>
      <c r="B38" s="206">
        <f>IF($A38&gt;=DATE(An,9,1),IF($A38&lt;=DATE(An,12,31),'Saisie réservations'!$C103,""),"")</f>
        <v>43014</v>
      </c>
      <c r="C38" s="223">
        <f>'Saisie réservations'!$AA103</f>
        <v>0</v>
      </c>
      <c r="D38" s="223">
        <f t="shared" si="5"/>
        <v>6</v>
      </c>
      <c r="E38" s="223">
        <f t="shared" si="6"/>
        <v>0</v>
      </c>
      <c r="F38" s="207">
        <f t="shared" si="4"/>
        <v>0.5</v>
      </c>
      <c r="G38" s="207">
        <f t="shared" si="7"/>
        <v>0</v>
      </c>
      <c r="H38" s="223">
        <f>'Saisie réservations'!$J103</f>
        <v>30</v>
      </c>
    </row>
    <row r="39" spans="1:8" ht="15.75" x14ac:dyDescent="0.25">
      <c r="A39" s="205">
        <f>IF('Saisie réservations'!$B104&gt;=DATE(An,9,1),IF('Saisie réservations'!$B104&lt;=DATE(An,12,31),'Saisie réservations'!$B104,""),"")</f>
        <v>43015</v>
      </c>
      <c r="B39" s="206">
        <f>IF($A39&gt;=DATE(An,9,1),IF($A39&lt;=DATE(An,12,31),'Saisie réservations'!$C104,""),"")</f>
        <v>43016</v>
      </c>
      <c r="C39" s="223">
        <f>'Saisie réservations'!$AA104</f>
        <v>0</v>
      </c>
      <c r="D39" s="223">
        <f t="shared" si="5"/>
        <v>1</v>
      </c>
      <c r="E39" s="223">
        <f t="shared" si="6"/>
        <v>0</v>
      </c>
      <c r="F39" s="207">
        <f t="shared" si="4"/>
        <v>0.5</v>
      </c>
      <c r="G39" s="207">
        <f t="shared" si="7"/>
        <v>0</v>
      </c>
      <c r="H39" s="223">
        <f>'Saisie réservations'!$J104</f>
        <v>38</v>
      </c>
    </row>
    <row r="40" spans="1:8" ht="15.75" x14ac:dyDescent="0.25">
      <c r="A40" s="205">
        <f>IF('Saisie réservations'!$B105&gt;=DATE(An,9,1),IF('Saisie réservations'!$B105&lt;=DATE(An,12,31),'Saisie réservations'!$B105,""),"")</f>
        <v>43017</v>
      </c>
      <c r="B40" s="206">
        <f>IF($A40&gt;=DATE(An,9,1),IF($A40&lt;=DATE(An,12,31),'Saisie réservations'!$C105,""),"")</f>
        <v>43018</v>
      </c>
      <c r="C40" s="223">
        <f>'Saisie réservations'!$AA105</f>
        <v>0</v>
      </c>
      <c r="D40" s="223">
        <f t="shared" si="5"/>
        <v>1</v>
      </c>
      <c r="E40" s="223">
        <f t="shared" si="6"/>
        <v>0</v>
      </c>
      <c r="F40" s="207">
        <f t="shared" si="4"/>
        <v>0.5</v>
      </c>
      <c r="G40" s="207">
        <f t="shared" si="7"/>
        <v>0</v>
      </c>
      <c r="H40" s="223">
        <f>'Saisie réservations'!$J105</f>
        <v>47</v>
      </c>
    </row>
    <row r="41" spans="1:8" ht="15.75" x14ac:dyDescent="0.25">
      <c r="A41" s="205">
        <f>IF('Saisie réservations'!$B106&gt;=DATE(An,9,1),IF('Saisie réservations'!$B106&lt;=DATE(An,12,31),'Saisie réservations'!$B106,""),"")</f>
        <v>43022</v>
      </c>
      <c r="B41" s="206">
        <f>IF($A41&gt;=DATE(An,9,1),IF($A41&lt;=DATE(An,12,31),'Saisie réservations'!$C106,""),"")</f>
        <v>43023</v>
      </c>
      <c r="C41" s="223">
        <f>'Saisie réservations'!$AA106</f>
        <v>0</v>
      </c>
      <c r="D41" s="223">
        <f t="shared" si="5"/>
        <v>1</v>
      </c>
      <c r="E41" s="223">
        <f t="shared" si="6"/>
        <v>0</v>
      </c>
      <c r="F41" s="207">
        <f t="shared" si="4"/>
        <v>0.5</v>
      </c>
      <c r="G41" s="207">
        <f t="shared" si="7"/>
        <v>0</v>
      </c>
      <c r="H41" s="223">
        <f>'Saisie réservations'!$J106</f>
        <v>21</v>
      </c>
    </row>
    <row r="42" spans="1:8" ht="15.75" x14ac:dyDescent="0.25">
      <c r="A42" s="205">
        <f>IF('Saisie réservations'!$B107&gt;=DATE(An,9,1),IF('Saisie réservations'!$B107&lt;=DATE(An,12,31),'Saisie réservations'!$B107,""),"")</f>
        <v>43025</v>
      </c>
      <c r="B42" s="206">
        <f>IF($A42&gt;=DATE(An,9,1),IF($A42&lt;=DATE(An,12,31),'Saisie réservations'!$C107,""),"")</f>
        <v>43027</v>
      </c>
      <c r="C42" s="223">
        <f>'Saisie réservations'!$AA107</f>
        <v>0</v>
      </c>
      <c r="D42" s="223">
        <f t="shared" si="5"/>
        <v>2</v>
      </c>
      <c r="E42" s="223">
        <f t="shared" si="6"/>
        <v>0</v>
      </c>
      <c r="F42" s="207">
        <f t="shared" si="4"/>
        <v>0.5</v>
      </c>
      <c r="G42" s="207">
        <f t="shared" si="7"/>
        <v>0</v>
      </c>
      <c r="H42" s="223">
        <f>'Saisie réservations'!$J107</f>
        <v>0</v>
      </c>
    </row>
    <row r="43" spans="1:8" ht="15.75" x14ac:dyDescent="0.25">
      <c r="A43" s="205">
        <f>IF('Saisie réservations'!$B108&gt;=DATE(An,9,1),IF('Saisie réservations'!$B108&lt;=DATE(An,12,31),'Saisie réservations'!$B108,""),"")</f>
        <v>43028</v>
      </c>
      <c r="B43" s="206">
        <f>IF($A43&gt;=DATE(An,9,1),IF($A43&lt;=DATE(An,12,31),'Saisie réservations'!$C108,""),"")</f>
        <v>43030</v>
      </c>
      <c r="C43" s="223">
        <f>'Saisie réservations'!$AA108</f>
        <v>0</v>
      </c>
      <c r="D43" s="223">
        <f t="shared" si="5"/>
        <v>2</v>
      </c>
      <c r="E43" s="223">
        <f t="shared" si="6"/>
        <v>0</v>
      </c>
      <c r="F43" s="207">
        <f t="shared" si="4"/>
        <v>0.5</v>
      </c>
      <c r="G43" s="207">
        <f t="shared" si="7"/>
        <v>0</v>
      </c>
      <c r="H43" s="223">
        <f>'Saisie réservations'!$J108</f>
        <v>26</v>
      </c>
    </row>
    <row r="44" spans="1:8" ht="15.75" x14ac:dyDescent="0.25">
      <c r="A44" s="205">
        <f>IF('Saisie réservations'!$B109&gt;=DATE(An,9,1),IF('Saisie réservations'!$B109&lt;=DATE(An,12,31),'Saisie réservations'!$B109,""),"")</f>
        <v>43028</v>
      </c>
      <c r="B44" s="206">
        <f>IF($A44&gt;=DATE(An,9,1),IF($A44&lt;=DATE(An,12,31),'Saisie réservations'!$C109,""),"")</f>
        <v>43030</v>
      </c>
      <c r="C44" s="223">
        <f>'Saisie réservations'!$AA109</f>
        <v>0</v>
      </c>
      <c r="D44" s="223">
        <f t="shared" si="5"/>
        <v>2</v>
      </c>
      <c r="E44" s="223">
        <f t="shared" si="6"/>
        <v>0</v>
      </c>
      <c r="F44" s="207">
        <f t="shared" si="4"/>
        <v>0.5</v>
      </c>
      <c r="G44" s="207">
        <f t="shared" si="7"/>
        <v>0</v>
      </c>
      <c r="H44" s="223">
        <f>'Saisie réservations'!$J109</f>
        <v>10</v>
      </c>
    </row>
    <row r="45" spans="1:8" ht="15.75" x14ac:dyDescent="0.25">
      <c r="A45" s="205">
        <f>IF('Saisie réservations'!$B110&gt;=DATE(An,9,1),IF('Saisie réservations'!$B110&lt;=DATE(An,12,31),'Saisie réservations'!$B110,""),"")</f>
        <v>43021</v>
      </c>
      <c r="B45" s="206">
        <f>IF($A45&gt;=DATE(An,9,1),IF($A45&lt;=DATE(An,12,31),'Saisie réservations'!$C110,""),"")</f>
        <v>43023</v>
      </c>
      <c r="C45" s="223">
        <f>'Saisie réservations'!$AA110</f>
        <v>0</v>
      </c>
      <c r="D45" s="223">
        <f t="shared" si="5"/>
        <v>2</v>
      </c>
      <c r="E45" s="223">
        <f t="shared" si="6"/>
        <v>0</v>
      </c>
      <c r="F45" s="207">
        <f t="shared" si="4"/>
        <v>0.5</v>
      </c>
      <c r="G45" s="207">
        <f t="shared" si="7"/>
        <v>0</v>
      </c>
      <c r="H45" s="223">
        <f>'Saisie réservations'!$J110</f>
        <v>0</v>
      </c>
    </row>
    <row r="46" spans="1:8" ht="15.75" x14ac:dyDescent="0.25">
      <c r="A46" s="205">
        <f>IF('Saisie réservations'!$B111&gt;=DATE(An,9,1),IF('Saisie réservations'!$B111&lt;=DATE(An,12,31),'Saisie réservations'!$B111,""),"")</f>
        <v>43023</v>
      </c>
      <c r="B46" s="206">
        <f>IF($A46&gt;=DATE(An,9,1),IF($A46&lt;=DATE(An,12,31),'Saisie réservations'!$C111,""),"")</f>
        <v>43026</v>
      </c>
      <c r="C46" s="223">
        <f>'Saisie réservations'!$AA111</f>
        <v>0</v>
      </c>
      <c r="D46" s="223">
        <f t="shared" si="5"/>
        <v>3</v>
      </c>
      <c r="E46" s="223">
        <f t="shared" si="6"/>
        <v>0</v>
      </c>
      <c r="F46" s="207">
        <f t="shared" si="4"/>
        <v>0.5</v>
      </c>
      <c r="G46" s="207">
        <f t="shared" si="7"/>
        <v>0</v>
      </c>
      <c r="H46" s="223">
        <f>'Saisie réservations'!$J111</f>
        <v>21</v>
      </c>
    </row>
    <row r="47" spans="1:8" ht="15.75" x14ac:dyDescent="0.25">
      <c r="A47" s="205">
        <f>IF('Saisie réservations'!$B112&gt;=DATE(An,9,1),IF('Saisie réservations'!$B112&lt;=DATE(An,12,31),'Saisie réservations'!$B112,""),"")</f>
        <v>43025</v>
      </c>
      <c r="B47" s="206">
        <f>IF($A47&gt;=DATE(An,9,1),IF($A47&lt;=DATE(An,12,31),'Saisie réservations'!$C112,""),"")</f>
        <v>43027</v>
      </c>
      <c r="C47" s="223">
        <f>'Saisie réservations'!$AA112</f>
        <v>0</v>
      </c>
      <c r="D47" s="223">
        <f t="shared" si="5"/>
        <v>2</v>
      </c>
      <c r="E47" s="223">
        <f t="shared" si="6"/>
        <v>0</v>
      </c>
      <c r="F47" s="207">
        <f t="shared" si="4"/>
        <v>0.5</v>
      </c>
      <c r="G47" s="207">
        <f t="shared" si="7"/>
        <v>0</v>
      </c>
      <c r="H47" s="223">
        <f>'Saisie réservations'!$J112</f>
        <v>14</v>
      </c>
    </row>
    <row r="48" spans="1:8" ht="15.75" x14ac:dyDescent="0.25">
      <c r="A48" s="205" t="str">
        <f>IF('Saisie réservations'!$B113&gt;=DATE(An,9,1),IF('Saisie réservations'!$B113&lt;=DATE(An,12,31),'Saisie réservations'!$B113,""),"")</f>
        <v/>
      </c>
      <c r="B48" s="206" t="str">
        <f>IF($A48&gt;=DATE(An,9,1),IF($A48&lt;=DATE(An,12,31),'Saisie réservations'!$C113,""),"")</f>
        <v/>
      </c>
      <c r="C48" s="223">
        <f>'Saisie réservations'!$AA113</f>
        <v>0</v>
      </c>
      <c r="D48" s="223" t="str">
        <f t="shared" si="5"/>
        <v/>
      </c>
      <c r="E48" s="223" t="str">
        <f t="shared" si="6"/>
        <v/>
      </c>
      <c r="F48" s="207">
        <f t="shared" si="4"/>
        <v>0.5</v>
      </c>
      <c r="G48" s="207" t="str">
        <f t="shared" si="7"/>
        <v/>
      </c>
      <c r="H48" s="223">
        <f>'Saisie réservations'!$J113</f>
        <v>0</v>
      </c>
    </row>
    <row r="49" spans="1:8" ht="15.75" x14ac:dyDescent="0.25">
      <c r="A49" s="205" t="str">
        <f>IF('Saisie réservations'!$B114&gt;=DATE(An,9,1),IF('Saisie réservations'!$B114&lt;=DATE(An,12,31),'Saisie réservations'!$B114,""),"")</f>
        <v/>
      </c>
      <c r="B49" s="206" t="str">
        <f>IF($A49&gt;=DATE(An,9,1),IF($A49&lt;=DATE(An,12,31),'Saisie réservations'!$C114,""),"")</f>
        <v/>
      </c>
      <c r="C49" s="223">
        <f>'Saisie réservations'!$AA114</f>
        <v>0</v>
      </c>
      <c r="D49" s="223" t="str">
        <f t="shared" si="5"/>
        <v/>
      </c>
      <c r="E49" s="223" t="str">
        <f t="shared" si="6"/>
        <v/>
      </c>
      <c r="F49" s="207">
        <f t="shared" si="4"/>
        <v>0.5</v>
      </c>
      <c r="G49" s="207" t="str">
        <f t="shared" si="7"/>
        <v/>
      </c>
      <c r="H49" s="223">
        <f>'Saisie réservations'!$J114</f>
        <v>0</v>
      </c>
    </row>
    <row r="50" spans="1:8" ht="15.75" x14ac:dyDescent="0.25">
      <c r="A50" s="205" t="str">
        <f>IF('Saisie réservations'!$B115&gt;=DATE(An,9,1),IF('Saisie réservations'!$B115&lt;=DATE(An,12,31),'Saisie réservations'!$B115,""),"")</f>
        <v/>
      </c>
      <c r="B50" s="206" t="str">
        <f>IF($A50&gt;=DATE(An,9,1),IF($A50&lt;=DATE(An,12,31),'Saisie réservations'!$C115,""),"")</f>
        <v/>
      </c>
      <c r="C50" s="223">
        <f>'Saisie réservations'!$AA115</f>
        <v>0</v>
      </c>
      <c r="D50" s="223" t="str">
        <f t="shared" si="5"/>
        <v/>
      </c>
      <c r="E50" s="223" t="str">
        <f t="shared" si="6"/>
        <v/>
      </c>
      <c r="F50" s="207">
        <f t="shared" si="4"/>
        <v>0.5</v>
      </c>
      <c r="G50" s="207" t="str">
        <f t="shared" si="7"/>
        <v/>
      </c>
      <c r="H50" s="223">
        <f>'Saisie réservations'!$J115</f>
        <v>0</v>
      </c>
    </row>
    <row r="51" spans="1:8" ht="15.75" x14ac:dyDescent="0.25">
      <c r="A51" s="205" t="str">
        <f>IF('Saisie réservations'!$B116&gt;=DATE(An,9,1),IF('Saisie réservations'!$B116&lt;=DATE(An,12,31),'Saisie réservations'!$B116,""),"")</f>
        <v/>
      </c>
      <c r="B51" s="206" t="str">
        <f>IF($A51&gt;=DATE(An,9,1),IF($A51&lt;=DATE(An,12,31),'Saisie réservations'!$C116,""),"")</f>
        <v/>
      </c>
      <c r="C51" s="223">
        <f>'Saisie réservations'!$AA116</f>
        <v>0</v>
      </c>
      <c r="D51" s="223" t="str">
        <f t="shared" si="5"/>
        <v/>
      </c>
      <c r="E51" s="223" t="str">
        <f t="shared" si="6"/>
        <v/>
      </c>
      <c r="F51" s="207">
        <f t="shared" si="4"/>
        <v>0.5</v>
      </c>
      <c r="G51" s="207" t="str">
        <f t="shared" si="7"/>
        <v/>
      </c>
      <c r="H51" s="223">
        <f>'Saisie réservations'!$J116</f>
        <v>0</v>
      </c>
    </row>
    <row r="52" spans="1:8" ht="15.75" x14ac:dyDescent="0.25">
      <c r="A52" s="205" t="str">
        <f>IF('Saisie réservations'!$B117&gt;=DATE(An,9,1),IF('Saisie réservations'!$B117&lt;=DATE(An,12,31),'Saisie réservations'!$B117,""),"")</f>
        <v/>
      </c>
      <c r="B52" s="206" t="str">
        <f>IF($A52&gt;=DATE(An,9,1),IF($A52&lt;=DATE(An,12,31),'Saisie réservations'!$C117,""),"")</f>
        <v/>
      </c>
      <c r="C52" s="223">
        <f>'Saisie réservations'!$AA117</f>
        <v>0</v>
      </c>
      <c r="D52" s="223" t="str">
        <f t="shared" si="5"/>
        <v/>
      </c>
      <c r="E52" s="223" t="str">
        <f t="shared" si="6"/>
        <v/>
      </c>
      <c r="F52" s="207">
        <f t="shared" si="4"/>
        <v>0.5</v>
      </c>
      <c r="G52" s="207" t="str">
        <f t="shared" si="7"/>
        <v/>
      </c>
      <c r="H52" s="223">
        <f>'Saisie réservations'!$J117</f>
        <v>0</v>
      </c>
    </row>
    <row r="53" spans="1:8" ht="15.75" x14ac:dyDescent="0.25">
      <c r="A53" s="205" t="str">
        <f>IF('Saisie réservations'!$B118&gt;=DATE(An,9,1),IF('Saisie réservations'!$B118&lt;=DATE(An,12,31),'Saisie réservations'!$B118,""),"")</f>
        <v/>
      </c>
      <c r="B53" s="206" t="str">
        <f>IF($A53&gt;=DATE(An,9,1),IF($A53&lt;=DATE(An,12,31),'Saisie réservations'!$C118,""),"")</f>
        <v/>
      </c>
      <c r="C53" s="223">
        <f>'Saisie réservations'!$AA118</f>
        <v>0</v>
      </c>
      <c r="D53" s="223" t="str">
        <f t="shared" si="5"/>
        <v/>
      </c>
      <c r="E53" s="223" t="str">
        <f t="shared" si="6"/>
        <v/>
      </c>
      <c r="F53" s="207">
        <f t="shared" si="4"/>
        <v>0.5</v>
      </c>
      <c r="G53" s="207" t="str">
        <f t="shared" si="7"/>
        <v/>
      </c>
      <c r="H53" s="223">
        <f>'Saisie réservations'!$J118</f>
        <v>0</v>
      </c>
    </row>
    <row r="54" spans="1:8" ht="15.75" x14ac:dyDescent="0.25">
      <c r="A54" s="205" t="str">
        <f>IF('Saisie réservations'!$B119&gt;=DATE(An,9,1),IF('Saisie réservations'!$B119&lt;=DATE(An,12,31),'Saisie réservations'!$B119,""),"")</f>
        <v/>
      </c>
      <c r="B54" s="206" t="str">
        <f>IF($A54&gt;=DATE(An,9,1),IF($A54&lt;=DATE(An,12,31),'Saisie réservations'!$C119,""),"")</f>
        <v/>
      </c>
      <c r="C54" s="223">
        <f>'Saisie réservations'!$AA119</f>
        <v>0</v>
      </c>
      <c r="D54" s="223" t="str">
        <f t="shared" si="5"/>
        <v/>
      </c>
      <c r="E54" s="223" t="str">
        <f t="shared" si="6"/>
        <v/>
      </c>
      <c r="F54" s="207">
        <f t="shared" si="4"/>
        <v>0.5</v>
      </c>
      <c r="G54" s="207" t="str">
        <f t="shared" si="7"/>
        <v/>
      </c>
      <c r="H54" s="223">
        <f>'Saisie réservations'!$J119</f>
        <v>0</v>
      </c>
    </row>
    <row r="55" spans="1:8" ht="15.75" x14ac:dyDescent="0.25">
      <c r="A55" s="205" t="str">
        <f>IF('Saisie réservations'!$B120&gt;=DATE(An,9,1),IF('Saisie réservations'!$B120&lt;=DATE(An,12,31),'Saisie réservations'!$B120,""),"")</f>
        <v/>
      </c>
      <c r="B55" s="206" t="str">
        <f>IF($A55&gt;=DATE(An,9,1),IF($A55&lt;=DATE(An,12,31),'Saisie réservations'!$C120,""),"")</f>
        <v/>
      </c>
      <c r="C55" s="223">
        <f>'Saisie réservations'!$AA120</f>
        <v>0</v>
      </c>
      <c r="D55" s="223" t="str">
        <f t="shared" si="5"/>
        <v/>
      </c>
      <c r="E55" s="223" t="str">
        <f t="shared" si="6"/>
        <v/>
      </c>
      <c r="F55" s="207">
        <f t="shared" si="4"/>
        <v>0.5</v>
      </c>
      <c r="G55" s="207" t="str">
        <f t="shared" si="7"/>
        <v/>
      </c>
      <c r="H55" s="223">
        <f>'Saisie réservations'!$J120</f>
        <v>0</v>
      </c>
    </row>
    <row r="56" spans="1:8" ht="15.75" x14ac:dyDescent="0.25">
      <c r="A56" s="205" t="str">
        <f>IF('Saisie réservations'!$B121&gt;=DATE(An,9,1),IF('Saisie réservations'!$B121&lt;=DATE(An,12,31),'Saisie réservations'!$B121,""),"")</f>
        <v/>
      </c>
      <c r="B56" s="206" t="str">
        <f>IF($A56&gt;=DATE(An,9,1),IF($A56&lt;=DATE(An,12,31),'Saisie réservations'!$C121,""),"")</f>
        <v/>
      </c>
      <c r="C56" s="223">
        <f>'Saisie réservations'!$AA121</f>
        <v>0</v>
      </c>
      <c r="D56" s="223" t="str">
        <f t="shared" si="5"/>
        <v/>
      </c>
      <c r="E56" s="223" t="str">
        <f t="shared" si="6"/>
        <v/>
      </c>
      <c r="F56" s="207">
        <f t="shared" si="4"/>
        <v>0.5</v>
      </c>
      <c r="G56" s="207" t="str">
        <f t="shared" si="7"/>
        <v/>
      </c>
      <c r="H56" s="223">
        <f>'Saisie réservations'!$J121</f>
        <v>0</v>
      </c>
    </row>
    <row r="57" spans="1:8" ht="15.75" x14ac:dyDescent="0.25">
      <c r="A57" s="370" t="s">
        <v>175</v>
      </c>
      <c r="B57" s="370"/>
      <c r="C57" s="370"/>
      <c r="D57" s="370"/>
      <c r="E57" s="223">
        <f>SUM($E35:$E56)</f>
        <v>136</v>
      </c>
      <c r="F57" s="207">
        <v>0.5</v>
      </c>
      <c r="G57" s="216">
        <f>$E57*$F57</f>
        <v>68</v>
      </c>
      <c r="H57" s="222"/>
    </row>
    <row r="58" spans="1:8" ht="15.75" x14ac:dyDescent="0.25">
      <c r="A58" s="222"/>
      <c r="B58" s="222"/>
      <c r="C58" s="222"/>
      <c r="D58" s="222"/>
      <c r="E58" s="222"/>
      <c r="F58" s="222"/>
      <c r="G58" s="208"/>
      <c r="H58" s="209"/>
    </row>
    <row r="59" spans="1:8" ht="15.75" x14ac:dyDescent="0.25">
      <c r="A59" s="222"/>
      <c r="B59" s="222"/>
      <c r="C59" s="211"/>
      <c r="D59" s="211"/>
      <c r="E59" s="211"/>
      <c r="F59" s="222"/>
      <c r="G59" s="210"/>
      <c r="H59" s="212"/>
    </row>
    <row r="60" spans="1:8" ht="15.75" x14ac:dyDescent="0.25">
      <c r="A60" s="361" t="s">
        <v>176</v>
      </c>
      <c r="B60" s="361"/>
      <c r="C60" s="361"/>
      <c r="D60" s="211"/>
      <c r="E60" s="222" t="s">
        <v>171</v>
      </c>
      <c r="F60" s="215"/>
      <c r="G60" s="210"/>
      <c r="H60" s="212"/>
    </row>
    <row r="61" spans="1:8" ht="15.75" x14ac:dyDescent="0.25">
      <c r="A61" s="222"/>
      <c r="B61" s="222"/>
      <c r="C61" s="211"/>
      <c r="D61" s="211"/>
      <c r="E61" s="211"/>
      <c r="F61" s="222"/>
      <c r="G61" s="213"/>
      <c r="H61" s="214"/>
    </row>
  </sheetData>
  <mergeCells count="23">
    <mergeCell ref="A35:D35"/>
    <mergeCell ref="A57:D57"/>
    <mergeCell ref="A60:C60"/>
    <mergeCell ref="F8:F9"/>
    <mergeCell ref="A31:D31"/>
    <mergeCell ref="C32:F32"/>
    <mergeCell ref="G32:G34"/>
    <mergeCell ref="H32:H34"/>
    <mergeCell ref="A33:B33"/>
    <mergeCell ref="C33:C34"/>
    <mergeCell ref="D33:D34"/>
    <mergeCell ref="E33:E34"/>
    <mergeCell ref="F33:F34"/>
    <mergeCell ref="A1:H2"/>
    <mergeCell ref="A3:H3"/>
    <mergeCell ref="A4:H4"/>
    <mergeCell ref="C7:F7"/>
    <mergeCell ref="G7:G9"/>
    <mergeCell ref="H7:H9"/>
    <mergeCell ref="A8:B8"/>
    <mergeCell ref="C8:C9"/>
    <mergeCell ref="D8:D9"/>
    <mergeCell ref="E8:E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Saisie réservations</vt:lpstr>
      <vt:lpstr>Planning réservations</vt:lpstr>
      <vt:lpstr>Bilan annuel réservations</vt:lpstr>
      <vt:lpstr>Graphiques</vt:lpstr>
      <vt:lpstr>Datas Graphiques</vt:lpstr>
      <vt:lpstr>Datas</vt:lpstr>
      <vt:lpstr>Taxe de séjour Janv-Mai</vt:lpstr>
      <vt:lpstr>Taxe de séjour Juin-Août</vt:lpstr>
      <vt:lpstr>Taxe de séjour Sept-Déc</vt:lpstr>
      <vt:lpstr>Taxe de séjour Juin-Août old</vt:lpstr>
      <vt:lpstr>Taxe de séjour Sept-Déc old</vt:lpstr>
      <vt:lpstr>An</vt:lpstr>
      <vt:lpstr>Années</vt:lpstr>
      <vt:lpstr>ColA</vt:lpstr>
      <vt:lpstr>Debut</vt:lpstr>
      <vt:lpstr>Fin</vt:lpstr>
      <vt:lpstr>'Taxe de séjour Janv-Mai'!Impression_des_titres</vt:lpstr>
      <vt:lpstr>'Taxe de séjour Juin-Août'!Impression_des_titres</vt:lpstr>
      <vt:lpstr>'Taxe de séjour Sept-Déc'!Impression_des_titres</vt:lpstr>
      <vt:lpstr>Mois</vt:lpstr>
      <vt:lpstr>Profil</vt:lpstr>
      <vt:lpstr>Régime</vt:lpstr>
      <vt:lpstr>Statut</vt:lpstr>
      <vt:lpstr>Tarifs</vt:lpstr>
      <vt:lpstr>Taxe</vt:lpstr>
      <vt:lpstr>'Bilan annuel réservations'!Zone_d_impression</vt:lpstr>
      <vt:lpstr>Graphiques!Zone_d_impression</vt:lpstr>
      <vt:lpstr>'Planning réservations'!Zone_d_impression</vt:lpstr>
      <vt:lpstr>'Saisie réservations'!Zone_d_impression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CA</cp:lastModifiedBy>
  <cp:lastPrinted>2017-08-28T20:35:05Z</cp:lastPrinted>
  <dcterms:created xsi:type="dcterms:W3CDTF">2009-05-19T05:49:18Z</dcterms:created>
  <dcterms:modified xsi:type="dcterms:W3CDTF">2017-08-28T21:58:37Z</dcterms:modified>
</cp:coreProperties>
</file>