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-105" yWindow="-105" windowWidth="19425" windowHeight="10560" tabRatio="605" activeTab="1"/>
  </bookViews>
  <sheets>
    <sheet name="TABLO" sheetId="1" r:id="rId1"/>
    <sheet name="Fact." sheetId="10" r:id="rId2"/>
  </sheets>
  <externalReferences>
    <externalReference r:id="rId3"/>
    <externalReference r:id="rId4"/>
  </externalReferences>
  <definedNames>
    <definedName name="_xlnm._FilterDatabase" localSheetId="0" hidden="1">TABLO!#REF!</definedName>
    <definedName name="Print_Area" localSheetId="1">Fact.!$A:$F</definedName>
    <definedName name="Print_Titles" localSheetId="1">Fact.!$1:$1</definedName>
    <definedName name="selChiffrage" localSheetId="1">[1]!tabChiffrage[LIBELLE]</definedName>
    <definedName name="selChiffrage">#REF!</definedName>
    <definedName name="selClient" localSheetId="1">[1]!tabClient[NOM]</definedName>
    <definedName name="selClient">#REF!</definedName>
    <definedName name="selES" localSheetId="1">[1]!tabES[LIBELLE]</definedName>
    <definedName name="selES">#REF!</definedName>
    <definedName name="selEtatFact" localSheetId="1">[1]!tabEtatFact[LIBELLE]</definedName>
    <definedName name="selEtatFact">#REF!</definedName>
    <definedName name="selEtatFacture">[2]!Tableau5[état facturation]</definedName>
    <definedName name="selExpert" localSheetId="1">[1]!tabExpert[LIBELLE]</definedName>
    <definedName name="selExpert">#REF!</definedName>
    <definedName name="selMeuble" localSheetId="1">#REF!</definedName>
    <definedName name="selMeuble">#REF!</definedName>
    <definedName name="selMeublé">[2]!Tableau7[meublé]</definedName>
    <definedName name="selNature">[2]!tabNature[Type de bien]</definedName>
    <definedName name="selTypeBien" localSheetId="1">[1]!tabTypeBien[LLIBELLE]</definedName>
    <definedName name="selTypeBien">#REF!</definedName>
    <definedName name="test" localSheetId="1">Fact.!$1:$1</definedName>
  </definedNames>
  <calcPr calcId="14562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" i="10" l="1"/>
  <c r="C16" i="10"/>
  <c r="C15" i="10"/>
  <c r="C18" i="10" l="1"/>
  <c r="E14" i="10"/>
  <c r="F14" i="10" s="1"/>
  <c r="C14" i="10"/>
  <c r="B14" i="10"/>
  <c r="C23" i="10"/>
  <c r="C22" i="10"/>
  <c r="C21" i="10"/>
  <c r="C20" i="10"/>
  <c r="E19" i="10"/>
  <c r="F19" i="10" s="1"/>
  <c r="C19" i="10"/>
  <c r="B19" i="10"/>
  <c r="C28" i="10"/>
  <c r="C27" i="10"/>
  <c r="C26" i="10"/>
  <c r="C25" i="10"/>
  <c r="E24" i="10"/>
  <c r="F24" i="10" s="1"/>
  <c r="C24" i="10"/>
  <c r="B24" i="10"/>
  <c r="F14" i="1" l="1"/>
  <c r="F13" i="1"/>
  <c r="F12" i="1"/>
  <c r="C31" i="10"/>
  <c r="C32" i="10"/>
  <c r="F11" i="1" l="1"/>
  <c r="C11" i="10" l="1"/>
  <c r="C38" i="10" s="1"/>
  <c r="E7" i="10"/>
  <c r="E6" i="10"/>
  <c r="E5" i="10"/>
  <c r="F8" i="10"/>
  <c r="C37" i="10"/>
  <c r="A8" i="10"/>
  <c r="A4" i="10"/>
  <c r="P5" i="1"/>
  <c r="P4" i="1"/>
  <c r="O2" i="1"/>
  <c r="O1" i="1"/>
  <c r="C33" i="10" l="1"/>
  <c r="B29" i="10"/>
  <c r="C30" i="10"/>
  <c r="C29" i="10"/>
  <c r="E29" i="10"/>
  <c r="F29" i="10" s="1"/>
  <c r="Q5" i="1"/>
  <c r="Q4" i="1"/>
  <c r="F34" i="10" l="1"/>
  <c r="F35" i="10" s="1"/>
</calcChain>
</file>

<file path=xl/sharedStrings.xml><?xml version="1.0" encoding="utf-8"?>
<sst xmlns="http://schemas.openxmlformats.org/spreadsheetml/2006/main" count="79" uniqueCount="65">
  <si>
    <t>VILLE</t>
  </si>
  <si>
    <t>Client</t>
  </si>
  <si>
    <t>Claire</t>
  </si>
  <si>
    <t>Mathieu</t>
  </si>
  <si>
    <t>Alazard</t>
  </si>
  <si>
    <t>Gounod</t>
  </si>
  <si>
    <t>Ref</t>
  </si>
  <si>
    <t>Date</t>
  </si>
  <si>
    <t>E/S</t>
  </si>
  <si>
    <t>Type de Bien</t>
  </si>
  <si>
    <t>Tarif</t>
  </si>
  <si>
    <t>Etat Facture</t>
  </si>
  <si>
    <t>Mois</t>
  </si>
  <si>
    <t>SAM v2.01 - ©XLSolutions, ©2016</t>
  </si>
  <si>
    <t>Locataire</t>
  </si>
  <si>
    <t>proprio</t>
  </si>
  <si>
    <t>Appart. T1</t>
  </si>
  <si>
    <t>Appart. T2</t>
  </si>
  <si>
    <t>Adresse</t>
  </si>
  <si>
    <t>EDLE</t>
  </si>
  <si>
    <t>EDLS</t>
  </si>
  <si>
    <t>Appart. T1M</t>
  </si>
  <si>
    <t>Appart. T3M</t>
  </si>
  <si>
    <t>EDL Claire</t>
  </si>
  <si>
    <t>EDL Mathieu</t>
  </si>
  <si>
    <t>Expert</t>
  </si>
  <si>
    <t>DRAGO</t>
  </si>
  <si>
    <t>Facture n°</t>
  </si>
  <si>
    <t>18 chemin de la Madonette de Terron</t>
  </si>
  <si>
    <t>06200 Nice, France</t>
  </si>
  <si>
    <t>Port : 0625781893</t>
  </si>
  <si>
    <t>Site Internet : www.presta-immo.fr</t>
  </si>
  <si>
    <t>E-mail : contact@presta-immo.fr</t>
  </si>
  <si>
    <t>BIC : SOGEFRPP</t>
  </si>
  <si>
    <t xml:space="preserve">Objet : </t>
  </si>
  <si>
    <t>Dispensé d'immatriculation au registre du commerce et des sociétés (RCS) et au répertoire des métiers (RM)</t>
  </si>
  <si>
    <t>REF</t>
  </si>
  <si>
    <t>DESIGNATION</t>
  </si>
  <si>
    <t>QTE</t>
  </si>
  <si>
    <t>PU HT</t>
  </si>
  <si>
    <t>TOTAL HT</t>
  </si>
  <si>
    <t>Adresse:</t>
  </si>
  <si>
    <t>Propriétaire:</t>
  </si>
  <si>
    <t>Locataire:</t>
  </si>
  <si>
    <t>Montant HT</t>
  </si>
  <si>
    <t>Net à payer</t>
  </si>
  <si>
    <t>Date d'échéance:</t>
  </si>
  <si>
    <t>Date d'exécution:</t>
  </si>
  <si>
    <t>Pénalité : 15.00 %</t>
  </si>
  <si>
    <t>En cas de retard de paiement, application d'une indemnité forfaitaire pour frais de recouvrement</t>
  </si>
  <si>
    <t>de 40€ selon l'article D. 441-5 du code du commerce.</t>
  </si>
  <si>
    <t>Paiement possible par chèque, virement ou espèces</t>
  </si>
  <si>
    <t>Cabinet DRAGO</t>
  </si>
  <si>
    <t>Etat des lieux de</t>
  </si>
  <si>
    <t>Commentaire:</t>
  </si>
  <si>
    <t>Info facture</t>
  </si>
  <si>
    <t>Claire RELIAUD</t>
  </si>
  <si>
    <t>Dernier</t>
  </si>
  <si>
    <t>MyHomeHoliday</t>
  </si>
  <si>
    <t>Réf Client:</t>
  </si>
  <si>
    <t>N° facture</t>
  </si>
  <si>
    <t>5 Rue Théodore de Banville; P. HUGONNET; L. Durand et Bernard</t>
  </si>
  <si>
    <t>47 Rue Rossini; P. KREBS (épouse MOLYN); L. Cristal KELDER</t>
  </si>
  <si>
    <t>3 Rue Poincaré; P. MME SALVUCCI; L. Alexis DILLMANN &amp; Tom DU MERLE</t>
  </si>
  <si>
    <t>44 bis rue de France, Nice; P. Villani; L.  Lucas Ducrot-Charbonnier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</si>
</sst>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&quot;€&quot;"/>
    <numFmt numFmtId="165" formatCode="General&quot; m2&quot;"/>
    <numFmt numFmtId="166" formatCode="#,##0.00\ &quot;€&quot;;[Red]#,##0.00\ &quot;€&quot;"/>
    <numFmt numFmtId="167" formatCode="[$-40C]mmmm\-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24"/>
      <color theme="0"/>
      <name val="AR BERKLEY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7">
    <xf numFmtId="0" fontId="0" fillId="0" borderId="0" xfId="0"/>
    <xf numFmtId="0" fontId="0" fillId="2" borderId="0" xfId="0" applyFill="1"/>
    <xf numFmtId="0" fontId="6" fillId="2" borderId="0" xfId="0" applyFont="1" applyFill="1"/>
    <xf numFmtId="14" fontId="5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0" fillId="2" borderId="5" xfId="0" applyFill="1" applyBorder="1"/>
    <xf numFmtId="0" fontId="0" fillId="2" borderId="7" xfId="0" applyFill="1" applyBorder="1"/>
    <xf numFmtId="0" fontId="1" fillId="2" borderId="0" xfId="0" applyFont="1" applyFill="1" applyAlignment="1">
      <alignment horizontal="left"/>
    </xf>
    <xf numFmtId="0" fontId="1" fillId="2" borderId="8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0" xfId="0" applyFill="1" applyBorder="1"/>
    <xf numFmtId="0" fontId="0" fillId="2" borderId="10" xfId="0" applyFill="1" applyBorder="1" applyAlignment="1">
      <alignment horizontal="center"/>
    </xf>
    <xf numFmtId="166" fontId="0" fillId="2" borderId="10" xfId="0" applyNumberForma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0" fillId="2" borderId="0" xfId="0" applyFill="1" applyAlignment="1">
      <alignment horizontal="center" vertical="top"/>
    </xf>
    <xf numFmtId="166" fontId="0" fillId="2" borderId="0" xfId="0" applyNumberFormat="1" applyFill="1" applyProtection="1">
      <protection locked="0"/>
    </xf>
    <xf numFmtId="166" fontId="0" fillId="2" borderId="0" xfId="0" applyNumberFormat="1" applyFill="1"/>
    <xf numFmtId="0" fontId="0" fillId="3" borderId="11" xfId="0" applyFill="1" applyBorder="1"/>
    <xf numFmtId="14" fontId="0" fillId="0" borderId="0" xfId="0" applyNumberFormat="1"/>
    <xf numFmtId="167" fontId="0" fillId="2" borderId="0" xfId="0" applyNumberFormat="1" applyFill="1" applyAlignment="1">
      <alignment horizontal="left"/>
    </xf>
    <xf numFmtId="0" fontId="7" fillId="2" borderId="0" xfId="0" applyFont="1" applyFill="1" applyAlignment="1" applyProtection="1">
      <alignment horizontal="left"/>
      <protection locked="0"/>
    </xf>
    <xf numFmtId="14" fontId="0" fillId="2" borderId="10" xfId="0" applyNumberFormat="1" applyFill="1" applyBorder="1" applyAlignment="1">
      <alignment horizontal="left"/>
    </xf>
    <xf numFmtId="0" fontId="0" fillId="2" borderId="4" xfId="0" applyFill="1" applyBorder="1"/>
    <xf numFmtId="0" fontId="0" fillId="2" borderId="6" xfId="0" applyFill="1" applyBorder="1"/>
    <xf numFmtId="0" fontId="3" fillId="5" borderId="8" xfId="0" applyFont="1" applyFill="1" applyBorder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3" xfId="0" applyFont="1" applyBorder="1" applyAlignment="1">
      <alignment wrapText="1"/>
    </xf>
    <xf numFmtId="165" fontId="11" fillId="0" borderId="3" xfId="0" applyNumberFormat="1" applyFont="1" applyBorder="1" applyAlignment="1">
      <alignment wrapText="1"/>
    </xf>
    <xf numFmtId="0" fontId="11" fillId="0" borderId="3" xfId="0" applyFont="1" applyBorder="1" applyAlignment="1">
      <alignment horizontal="left" wrapText="1"/>
    </xf>
    <xf numFmtId="0" fontId="4" fillId="2" borderId="0" xfId="0" applyFont="1" applyFill="1" applyAlignment="1">
      <alignment horizontal="left"/>
    </xf>
    <xf numFmtId="0" fontId="12" fillId="2" borderId="0" xfId="0" applyFont="1" applyFill="1"/>
    <xf numFmtId="0" fontId="0" fillId="6" borderId="12" xfId="0" applyFill="1" applyBorder="1"/>
    <xf numFmtId="0" fontId="1" fillId="2" borderId="1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/>
    <xf numFmtId="0" fontId="0" fillId="0" borderId="2" xfId="0" applyFont="1" applyFill="1" applyBorder="1" applyAlignment="1"/>
    <xf numFmtId="0" fontId="13" fillId="0" borderId="2" xfId="0" applyFont="1" applyFill="1" applyBorder="1" applyAlignment="1"/>
    <xf numFmtId="0" fontId="13" fillId="0" borderId="1" xfId="0" applyFont="1" applyFill="1" applyBorder="1" applyAlignment="1"/>
    <xf numFmtId="14" fontId="13" fillId="0" borderId="1" xfId="0" applyNumberFormat="1" applyFont="1" applyFill="1" applyBorder="1" applyAlignment="1"/>
    <xf numFmtId="0" fontId="13" fillId="0" borderId="1" xfId="0" applyNumberFormat="1" applyFont="1" applyFill="1" applyBorder="1" applyAlignment="1"/>
    <xf numFmtId="164" fontId="13" fillId="0" borderId="1" xfId="0" applyNumberFormat="1" applyFont="1" applyFill="1" applyBorder="1" applyAlignment="1"/>
    <xf numFmtId="165" fontId="13" fillId="0" borderId="1" xfId="0" applyNumberFormat="1" applyFont="1" applyFill="1" applyBorder="1" applyAlignment="1">
      <alignment wrapText="1"/>
    </xf>
    <xf numFmtId="0" fontId="13" fillId="0" borderId="1" xfId="0" applyFont="1" applyFill="1" applyBorder="1" applyAlignment="1">
      <alignment wrapText="1"/>
    </xf>
    <xf numFmtId="14" fontId="0" fillId="0" borderId="1" xfId="0" applyNumberFormat="1" applyFont="1" applyFill="1" applyBorder="1" applyAlignment="1"/>
    <xf numFmtId="0" fontId="0" fillId="0" borderId="1" xfId="0" applyNumberFormat="1" applyFont="1" applyFill="1" applyBorder="1" applyAlignment="1"/>
    <xf numFmtId="164" fontId="0" fillId="0" borderId="8" xfId="0" applyNumberFormat="1" applyFont="1" applyFill="1" applyBorder="1" applyAlignment="1"/>
    <xf numFmtId="0" fontId="9" fillId="0" borderId="0" xfId="0" applyFont="1" applyFill="1" applyAlignment="1"/>
    <xf numFmtId="3" fontId="13" fillId="0" borderId="1" xfId="0" applyNumberFormat="1" applyFont="1" applyFill="1" applyBorder="1" applyAlignment="1"/>
    <xf numFmtId="3" fontId="0" fillId="0" borderId="1" xfId="0" applyNumberFormat="1" applyFont="1" applyFill="1" applyBorder="1" applyAlignment="1"/>
    <xf numFmtId="0" fontId="0" fillId="0" borderId="1" xfId="0" applyFont="1" applyBorder="1"/>
    <xf numFmtId="0" fontId="8" fillId="0" borderId="0" xfId="0" applyFont="1"/>
    <xf numFmtId="0" fontId="0" fillId="2" borderId="10" xfId="0" applyFill="1" applyBorder="1" applyAlignment="1" applyProtection="1">
      <alignment horizontal="center" vertical="top"/>
      <protection locked="0"/>
    </xf>
    <xf numFmtId="0" fontId="0" fillId="2" borderId="0" xfId="0" applyFill="1" applyBorder="1" applyAlignment="1" applyProtection="1">
      <alignment horizontal="center" vertical="top"/>
      <protection locked="0"/>
    </xf>
    <xf numFmtId="0" fontId="0" fillId="2" borderId="13" xfId="0" applyFill="1" applyBorder="1" applyAlignment="1" applyProtection="1">
      <alignment horizontal="center" vertical="top"/>
      <protection locked="0"/>
    </xf>
    <xf numFmtId="0" fontId="4" fillId="2" borderId="8" xfId="1" applyNumberFormat="1" applyFont="1" applyFill="1" applyBorder="1" applyAlignment="1" applyProtection="1">
      <alignment horizontal="center"/>
      <protection locked="0"/>
    </xf>
    <xf numFmtId="0" fontId="5" fillId="4" borderId="0" xfId="0" applyFont="1" applyFill="1" applyAlignment="1">
      <alignment horizontal="center"/>
    </xf>
    <xf numFmtId="0" fontId="6" fillId="2" borderId="0" xfId="0" applyFont="1" applyFill="1" applyAlignment="1">
      <alignment horizontal="left" vertical="top" wrapText="1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Graph Biens'!L1C1"/><Relationship Id="rId3" Type="http://schemas.openxmlformats.org/officeDocument/2006/relationships/hyperlink" Target="#'Graph Ville'!L1C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PARAM!L1C1"/><Relationship Id="rId6" Type="http://schemas.openxmlformats.org/officeDocument/2006/relationships/hyperlink" Target="#'Graph Mois'!L1C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HELLO!L1C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375707</xdr:colOff>
      <xdr:row>3</xdr:row>
      <xdr:rowOff>95250</xdr:rowOff>
    </xdr:from>
    <xdr:to>
      <xdr:col>12</xdr:col>
      <xdr:colOff>1383240</xdr:colOff>
      <xdr:row>5</xdr:row>
      <xdr:rowOff>490008</xdr:rowOff>
    </xdr:to>
    <xdr:grpSp>
      <xdr:nvGrpSpPr>
        <xdr:cNvPr id="35" name="Groupe 34">
          <a:hlinkClick xmlns:r="http://schemas.openxmlformats.org/officeDocument/2006/relationships" r:id="rId1" tooltip="Paramètres et Réglages"/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GrpSpPr/>
      </xdr:nvGrpSpPr>
      <xdr:grpSpPr>
        <a:xfrm>
          <a:off x="5201707" y="95250"/>
          <a:ext cx="1631950" cy="775758"/>
          <a:chOff x="4819385" y="-285750"/>
          <a:chExt cx="1381125" cy="771525"/>
        </a:xfrm>
      </xdr:grpSpPr>
      <xdr:sp macro="" textlink="">
        <xdr:nvSpPr>
          <xdr:cNvPr id="36" name="Rectangle à coins arrondis 35">
            <a:extLs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SpPr/>
        </xdr:nvSpPr>
        <xdr:spPr>
          <a:xfrm>
            <a:off x="4819385" y="-285750"/>
            <a:ext cx="1381125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37" name="Image 36">
            <a:extLst>
              <a:ext uri="{FF2B5EF4-FFF2-40B4-BE49-F238E27FC236}">
                <a16:creationId xmlns:a16="http://schemas.microsoft.com/office/drawing/2014/main" xmlns="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76862" y="99786"/>
            <a:ext cx="690563" cy="381000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10583</xdr:colOff>
      <xdr:row>3</xdr:row>
      <xdr:rowOff>116416</xdr:rowOff>
    </xdr:from>
    <xdr:to>
      <xdr:col>4</xdr:col>
      <xdr:colOff>105833</xdr:colOff>
      <xdr:row>5</xdr:row>
      <xdr:rowOff>501649</xdr:rowOff>
    </xdr:to>
    <xdr:grpSp>
      <xdr:nvGrpSpPr>
        <xdr:cNvPr id="38" name="Groupe 37">
          <a:hlinkClick xmlns:r="http://schemas.openxmlformats.org/officeDocument/2006/relationships" r:id="rId3" tooltip="Graphiques par Villes"/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GrpSpPr/>
      </xdr:nvGrpSpPr>
      <xdr:grpSpPr>
        <a:xfrm>
          <a:off x="201083" y="116416"/>
          <a:ext cx="1534583" cy="766233"/>
          <a:chOff x="180975" y="381000"/>
          <a:chExt cx="1524000" cy="762000"/>
        </a:xfrm>
      </xdr:grpSpPr>
      <xdr:sp macro="" textlink="">
        <xdr:nvSpPr>
          <xdr:cNvPr id="39" name="Rectangle à coins arrondis 38">
            <a:extLst>
              <a:ext uri="{FF2B5EF4-FFF2-40B4-BE49-F238E27FC236}">
                <a16:creationId xmlns:a16="http://schemas.microsoft.com/office/drawing/2014/main" xmlns="" id="{00000000-0008-0000-0000-000027000000}"/>
              </a:ext>
            </a:extLst>
          </xdr:cNvPr>
          <xdr:cNvSpPr/>
        </xdr:nvSpPr>
        <xdr:spPr>
          <a:xfrm>
            <a:off x="180975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40" name="Image 39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975" y="762000"/>
            <a:ext cx="762000" cy="353786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xmlns="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975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4</xdr:col>
      <xdr:colOff>191561</xdr:colOff>
      <xdr:row>3</xdr:row>
      <xdr:rowOff>105833</xdr:rowOff>
    </xdr:from>
    <xdr:to>
      <xdr:col>7</xdr:col>
      <xdr:colOff>542927</xdr:colOff>
      <xdr:row>5</xdr:row>
      <xdr:rowOff>495602</xdr:rowOff>
    </xdr:to>
    <xdr:grpSp>
      <xdr:nvGrpSpPr>
        <xdr:cNvPr id="42" name="Groupe 41">
          <a:hlinkClick xmlns:r="http://schemas.openxmlformats.org/officeDocument/2006/relationships" r:id="rId6" tooltip="Graphique par Mois"/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GrpSpPr/>
      </xdr:nvGrpSpPr>
      <xdr:grpSpPr>
        <a:xfrm>
          <a:off x="1821394" y="105833"/>
          <a:ext cx="1579033" cy="770769"/>
          <a:chOff x="1801402" y="-275167"/>
          <a:chExt cx="1566274" cy="766536"/>
        </a:xfrm>
      </xdr:grpSpPr>
      <xdr:sp macro="" textlink="">
        <xdr:nvSpPr>
          <xdr:cNvPr id="43" name="Rectangle à coins arrondis 42">
            <a:extLst>
              <a:ext uri="{FF2B5EF4-FFF2-40B4-BE49-F238E27FC236}">
                <a16:creationId xmlns:a16="http://schemas.microsoft.com/office/drawing/2014/main" xmlns="" id="{00000000-0008-0000-0000-00002B000000}"/>
              </a:ext>
            </a:extLst>
          </xdr:cNvPr>
          <xdr:cNvSpPr/>
        </xdr:nvSpPr>
        <xdr:spPr>
          <a:xfrm>
            <a:off x="1801402" y="-275167"/>
            <a:ext cx="1523999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44" name="Image 43">
            <a:extLst>
              <a:ext uri="{FF2B5EF4-FFF2-40B4-BE49-F238E27FC236}">
                <a16:creationId xmlns:a16="http://schemas.microsoft.com/office/drawing/2014/main" xmlns="" id="{00000000-0008-0000-00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5676" y="137583"/>
            <a:ext cx="762000" cy="353786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xmlns="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381" y="137584"/>
            <a:ext cx="762000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7</xdr:col>
      <xdr:colOff>669925</xdr:colOff>
      <xdr:row>3</xdr:row>
      <xdr:rowOff>105833</xdr:rowOff>
    </xdr:from>
    <xdr:to>
      <xdr:col>11</xdr:col>
      <xdr:colOff>257177</xdr:colOff>
      <xdr:row>5</xdr:row>
      <xdr:rowOff>491066</xdr:rowOff>
    </xdr:to>
    <xdr:grpSp>
      <xdr:nvGrpSpPr>
        <xdr:cNvPr id="46" name="Groupe 45">
          <a:hlinkClick xmlns:r="http://schemas.openxmlformats.org/officeDocument/2006/relationships" r:id="rId8" tooltip="Graphiques par Types de Biens"/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GrpSpPr/>
      </xdr:nvGrpSpPr>
      <xdr:grpSpPr>
        <a:xfrm>
          <a:off x="3527425" y="105833"/>
          <a:ext cx="1555752" cy="766233"/>
          <a:chOff x="3590926" y="381000"/>
          <a:chExt cx="1524000" cy="762000"/>
        </a:xfrm>
      </xdr:grpSpPr>
      <xdr:sp macro="" textlink="">
        <xdr:nvSpPr>
          <xdr:cNvPr id="47" name="Rectangle à coins arrondis 46">
            <a:extLst>
              <a:ext uri="{FF2B5EF4-FFF2-40B4-BE49-F238E27FC236}">
                <a16:creationId xmlns:a16="http://schemas.microsoft.com/office/drawing/2014/main" xmlns="" id="{00000000-0008-0000-0000-00002F000000}"/>
              </a:ext>
            </a:extLst>
          </xdr:cNvPr>
          <xdr:cNvSpPr/>
        </xdr:nvSpPr>
        <xdr:spPr>
          <a:xfrm>
            <a:off x="3590926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Biens</a:t>
            </a:r>
          </a:p>
        </xdr:txBody>
      </xdr:sp>
      <xdr:pic>
        <xdr:nvPicPr>
          <xdr:cNvPr id="48" name="Image 47">
            <a:extLst>
              <a:ext uri="{FF2B5EF4-FFF2-40B4-BE49-F238E27FC236}">
                <a16:creationId xmlns:a16="http://schemas.microsoft.com/office/drawing/2014/main" xmlns="" id="{00000000-0008-0000-00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2925" y="571500"/>
            <a:ext cx="762001" cy="544286"/>
          </a:xfrm>
          <a:prstGeom prst="rect">
            <a:avLst/>
          </a:prstGeom>
        </xdr:spPr>
      </xdr:pic>
      <xdr:pic>
        <xdr:nvPicPr>
          <xdr:cNvPr id="49" name="Image 48">
            <a:extLst>
              <a:ext uri="{FF2B5EF4-FFF2-40B4-BE49-F238E27FC236}">
                <a16:creationId xmlns:a16="http://schemas.microsoft.com/office/drawing/2014/main" xmlns="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0926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12</xdr:col>
      <xdr:colOff>1494383</xdr:colOff>
      <xdr:row>3</xdr:row>
      <xdr:rowOff>95250</xdr:rowOff>
    </xdr:from>
    <xdr:to>
      <xdr:col>12</xdr:col>
      <xdr:colOff>3242031</xdr:colOff>
      <xdr:row>5</xdr:row>
      <xdr:rowOff>537936</xdr:rowOff>
    </xdr:to>
    <xdr:grpSp>
      <xdr:nvGrpSpPr>
        <xdr:cNvPr id="50" name="Groupe 49">
          <a:hlinkClick xmlns:r="http://schemas.openxmlformats.org/officeDocument/2006/relationships" r:id="rId10" tooltip="Comment Contacter XLSolutions"/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GrpSpPr/>
      </xdr:nvGrpSpPr>
      <xdr:grpSpPr>
        <a:xfrm>
          <a:off x="6944800" y="95250"/>
          <a:ext cx="1747648" cy="823686"/>
          <a:chOff x="9534324" y="-285750"/>
          <a:chExt cx="1371601" cy="819453"/>
        </a:xfrm>
      </xdr:grpSpPr>
      <xdr:sp macro="" textlink="">
        <xdr:nvSpPr>
          <xdr:cNvPr id="51" name="Rectangle à coins arrondis 50">
            <a:extLst>
              <a:ext uri="{FF2B5EF4-FFF2-40B4-BE49-F238E27FC236}">
                <a16:creationId xmlns:a16="http://schemas.microsoft.com/office/drawing/2014/main" xmlns="" id="{00000000-0008-0000-0000-000033000000}"/>
              </a:ext>
            </a:extLst>
          </xdr:cNvPr>
          <xdr:cNvSpPr/>
        </xdr:nvSpPr>
        <xdr:spPr>
          <a:xfrm>
            <a:off x="9534324" y="-285750"/>
            <a:ext cx="1371601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Assistance</a:t>
            </a:r>
          </a:p>
        </xdr:txBody>
      </xdr:sp>
      <xdr:pic>
        <xdr:nvPicPr>
          <xdr:cNvPr id="52" name="Image 51">
            <a:extLst>
              <a:ext uri="{FF2B5EF4-FFF2-40B4-BE49-F238E27FC236}">
                <a16:creationId xmlns:a16="http://schemas.microsoft.com/office/drawing/2014/main" xmlns="" id="{00000000-0008-0000-00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82270" y="152703"/>
            <a:ext cx="357518" cy="3810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ilit&#233;/Suivi%20d'activit&#233;%20v2%20TEST%20MATHIEU%20FACTURE%20AU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Projets/MIB/PROJET%20CLIENTS/11%20CLIENTS/Sce%20Etat%20des%20Lieux%20-%20Mathieu%20LUCIANI/Copie%20de%20SAM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Autres"/>
      <sheetName val="Graph Ville"/>
      <sheetName val="Graph Mois"/>
      <sheetName val="Graph Biens"/>
      <sheetName val="PARAM"/>
      <sheetName val="HELLO"/>
      <sheetName val="Fact Matt"/>
      <sheetName val="Suivi d'activité v2 TEST MATH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Feuil2"/>
      <sheetName val="Graph Mois"/>
      <sheetName val="Graph Villes"/>
      <sheetName val="Graph Biens"/>
      <sheetName val="AIDE"/>
      <sheetName val="TUTO"/>
      <sheetName val="PARAM"/>
      <sheetName val="Copie de SAM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10:Q14" totalsRowShown="0" headerRowDxfId="33" dataDxfId="32" tableBorderDxfId="31">
  <autoFilter ref="B10:Q14"/>
  <tableColumns count="16">
    <tableColumn id="1" name="Client" dataDxfId="30" totalsRowDxfId="29"/>
    <tableColumn id="2" name="Ref" dataDxfId="28" totalsRowDxfId="27"/>
    <tableColumn id="8" name="Dernier" dataDxfId="26" totalsRowDxfId="25"/>
    <tableColumn id="3" name="Date" dataDxfId="24" totalsRowDxfId="23"/>
    <tableColumn id="4" name="Mois" dataDxfId="22" totalsRowDxfId="21">
      <calculatedColumnFormula>TEXT(Tableau1[[#This Row],[Date]],"AAAA MM")</calculatedColumnFormula>
    </tableColumn>
    <tableColumn id="5" name="E/S" dataDxfId="20" totalsRowDxfId="19"/>
    <tableColumn id="6" name="Type de Bien" dataDxfId="18" totalsRowDxfId="17"/>
    <tableColumn id="7" name="VILLE" dataDxfId="16" totalsRowDxfId="15"/>
    <tableColumn id="10" name="Tarif" dataDxfId="14" totalsRowDxfId="13"/>
    <tableColumn id="11" name="Etat Facture" dataDxfId="12" totalsRowDxfId="11"/>
    <tableColumn id="13" name="Expert" dataDxfId="10" totalsRowDxfId="9"/>
    <tableColumn id="15" name="Adresse" dataDxfId="8"/>
    <tableColumn id="17" name="proprio" dataDxfId="7" totalsRowDxfId="6"/>
    <tableColumn id="19" name="Locataire" dataDxfId="5" totalsRowDxfId="4"/>
    <tableColumn id="9" name="Info facture" dataDxfId="3" totalsRowDxfId="2"/>
    <tableColumn id="22" name="N° facture" dataDxfId="1" totalsRow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showGridLines="0" topLeftCell="A4" zoomScale="90" zoomScaleNormal="90" workbookViewId="0">
      <selection activeCell="M11" sqref="M11"/>
    </sheetView>
  </sheetViews>
  <sheetFormatPr baseColWidth="10" defaultColWidth="11.42578125" defaultRowHeight="15"/>
  <cols>
    <col min="1" max="1" width="2.85546875" style="27" customWidth="1"/>
    <col min="2" max="3" width="10.85546875" style="27" customWidth="1"/>
    <col min="4" max="4" width="2.85546875" style="27" hidden="1" customWidth="1"/>
    <col min="5" max="5" width="12.140625" style="27" customWidth="1"/>
    <col min="6" max="6" width="7.85546875" style="27" hidden="1" customWidth="1"/>
    <col min="7" max="7" width="6.140625" style="27" customWidth="1"/>
    <col min="8" max="8" width="12.140625" style="27" customWidth="1"/>
    <col min="9" max="9" width="9.42578125" style="27" hidden="1" customWidth="1"/>
    <col min="10" max="10" width="10.85546875" style="27" customWidth="1"/>
    <col min="11" max="11" width="6.5703125" style="27" customWidth="1"/>
    <col min="12" max="12" width="9.42578125" style="27" customWidth="1"/>
    <col min="13" max="13" width="98.42578125" style="27" customWidth="1"/>
    <col min="14" max="14" width="22.140625" style="27" customWidth="1"/>
    <col min="15" max="15" width="21" style="27" customWidth="1"/>
    <col min="16" max="16" width="28.140625" style="29" customWidth="1"/>
    <col min="17" max="17" width="19.42578125" style="27" customWidth="1"/>
    <col min="18" max="16384" width="11.42578125" style="27"/>
  </cols>
  <sheetData>
    <row r="1" spans="1:17" ht="15" hidden="1" customHeight="1">
      <c r="A1" s="58" t="s">
        <v>13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26"/>
      <c r="N1" s="27" t="s">
        <v>23</v>
      </c>
      <c r="O1" s="28">
        <f>COUNTIF(L:L,"Claire")</f>
        <v>0</v>
      </c>
    </row>
    <row r="2" spans="1:17" ht="15" hidden="1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26"/>
      <c r="N2" s="27" t="s">
        <v>24</v>
      </c>
      <c r="O2" s="28">
        <f>COUNTIF(L:L,"Mathieu")</f>
        <v>0</v>
      </c>
    </row>
    <row r="3" spans="1:17" ht="12" hidden="1" customHeight="1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26"/>
    </row>
    <row r="4" spans="1:17">
      <c r="O4" s="27" t="s">
        <v>2</v>
      </c>
      <c r="P4" s="28">
        <f>COUNTIF(Tableau1[Expert],O4)</f>
        <v>0</v>
      </c>
      <c r="Q4" s="29">
        <f>P4-P5</f>
        <v>0</v>
      </c>
    </row>
    <row r="5" spans="1:17">
      <c r="O5" s="27" t="s">
        <v>3</v>
      </c>
      <c r="P5" s="28">
        <f>COUNTIF(Tableau1[Expert],O5)</f>
        <v>0</v>
      </c>
      <c r="Q5" s="29">
        <f>P5-P4</f>
        <v>0</v>
      </c>
    </row>
    <row r="6" spans="1:17" ht="69" customHeight="1"/>
    <row r="7" spans="1:17" hidden="1"/>
    <row r="8" spans="1:17" hidden="1"/>
    <row r="9" spans="1:17" ht="12" hidden="1" customHeight="1"/>
    <row r="10" spans="1:17" s="30" customFormat="1" ht="18" customHeight="1">
      <c r="B10" s="31" t="s">
        <v>1</v>
      </c>
      <c r="C10" s="32" t="s">
        <v>6</v>
      </c>
      <c r="D10" s="32" t="s">
        <v>57</v>
      </c>
      <c r="E10" s="32" t="s">
        <v>7</v>
      </c>
      <c r="F10" s="32" t="s">
        <v>12</v>
      </c>
      <c r="G10" s="32" t="s">
        <v>8</v>
      </c>
      <c r="H10" s="32" t="s">
        <v>9</v>
      </c>
      <c r="I10" s="32" t="s">
        <v>0</v>
      </c>
      <c r="J10" s="32" t="s">
        <v>10</v>
      </c>
      <c r="K10" s="32" t="s">
        <v>11</v>
      </c>
      <c r="L10" s="33" t="s">
        <v>25</v>
      </c>
      <c r="M10" s="32" t="s">
        <v>18</v>
      </c>
      <c r="N10" s="32" t="s">
        <v>15</v>
      </c>
      <c r="O10" s="32" t="s">
        <v>14</v>
      </c>
      <c r="P10" s="34" t="s">
        <v>55</v>
      </c>
      <c r="Q10" s="32" t="s">
        <v>60</v>
      </c>
    </row>
    <row r="11" spans="1:17">
      <c r="B11" s="43" t="s">
        <v>58</v>
      </c>
      <c r="C11" s="56">
        <v>10004</v>
      </c>
      <c r="D11" s="42"/>
      <c r="E11" s="51">
        <v>43708</v>
      </c>
      <c r="F11" s="52" t="str">
        <f>TEXT(Tableau1[[#This Row],[Date]],"AAAA MM")</f>
        <v>2019 08</v>
      </c>
      <c r="G11" s="42" t="s">
        <v>19</v>
      </c>
      <c r="H11" s="42" t="s">
        <v>21</v>
      </c>
      <c r="I11" s="42"/>
      <c r="J11" s="53"/>
      <c r="K11" s="42"/>
      <c r="L11" s="49"/>
      <c r="M11" s="57" t="s">
        <v>64</v>
      </c>
      <c r="N11" s="40"/>
      <c r="O11" s="41"/>
      <c r="P11" s="39"/>
      <c r="Q11" s="43"/>
    </row>
    <row r="12" spans="1:17">
      <c r="B12" s="44" t="s">
        <v>5</v>
      </c>
      <c r="C12" s="55">
        <v>10001</v>
      </c>
      <c r="D12" s="45"/>
      <c r="E12" s="46">
        <v>43709</v>
      </c>
      <c r="F12" s="47" t="str">
        <f>TEXT(Tableau1[[#This Row],[Date]],"AAAA MM")</f>
        <v>2019 09</v>
      </c>
      <c r="G12" s="45" t="s">
        <v>19</v>
      </c>
      <c r="H12" s="45" t="s">
        <v>16</v>
      </c>
      <c r="I12" s="45"/>
      <c r="J12" s="48"/>
      <c r="K12" s="45"/>
      <c r="L12" s="49"/>
      <c r="M12" s="42" t="s">
        <v>62</v>
      </c>
      <c r="N12" s="54"/>
      <c r="O12" s="50"/>
      <c r="P12" s="39"/>
      <c r="Q12" s="44"/>
    </row>
    <row r="13" spans="1:17">
      <c r="B13" s="44" t="s">
        <v>4</v>
      </c>
      <c r="C13" s="55">
        <v>10002</v>
      </c>
      <c r="D13" s="45"/>
      <c r="E13" s="46">
        <v>43709</v>
      </c>
      <c r="F13" s="47" t="str">
        <f>TEXT(Tableau1[[#This Row],[Date]],"AAAA MM")</f>
        <v>2019 09</v>
      </c>
      <c r="G13" s="45" t="s">
        <v>19</v>
      </c>
      <c r="H13" s="45" t="s">
        <v>22</v>
      </c>
      <c r="I13" s="45"/>
      <c r="J13" s="48"/>
      <c r="K13" s="45"/>
      <c r="L13" s="49"/>
      <c r="M13" s="42" t="s">
        <v>63</v>
      </c>
      <c r="N13" s="54"/>
      <c r="O13" s="50"/>
      <c r="P13" s="39"/>
      <c r="Q13" s="44"/>
    </row>
    <row r="14" spans="1:17">
      <c r="B14" s="44" t="s">
        <v>26</v>
      </c>
      <c r="C14" s="55">
        <v>10003</v>
      </c>
      <c r="D14" s="45"/>
      <c r="E14" s="46">
        <v>43709</v>
      </c>
      <c r="F14" s="47" t="str">
        <f>TEXT(Tableau1[[#This Row],[Date]],"AAAA MM")</f>
        <v>2019 09</v>
      </c>
      <c r="G14" s="45" t="s">
        <v>20</v>
      </c>
      <c r="H14" s="45" t="s">
        <v>17</v>
      </c>
      <c r="I14" s="45"/>
      <c r="J14" s="48"/>
      <c r="K14" s="45"/>
      <c r="L14" s="49"/>
      <c r="M14" s="42" t="s">
        <v>61</v>
      </c>
      <c r="N14" s="54"/>
      <c r="O14" s="50"/>
      <c r="P14" s="39"/>
      <c r="Q14" s="44"/>
    </row>
  </sheetData>
  <mergeCells count="1">
    <mergeCell ref="A1:K3"/>
  </mergeCells>
  <conditionalFormatting sqref="C11:C14">
    <cfRule type="duplicateValues" dxfId="34" priority="878"/>
  </conditionalFormatting>
  <dataValidations count="4">
    <dataValidation type="list" allowBlank="1" showInputMessage="1" showErrorMessage="1" sqref="L11:L14">
      <formula1>selExpert</formula1>
    </dataValidation>
    <dataValidation type="list" allowBlank="1" showInputMessage="1" showErrorMessage="1" sqref="G11:G14">
      <formula1>selES</formula1>
    </dataValidation>
    <dataValidation type="list" errorStyle="information" allowBlank="1" showInputMessage="1" showErrorMessage="1" errorTitle="Nouveau Client" error="Entrez un Nouveau Client" sqref="B11:B14">
      <formula1>selClient</formula1>
    </dataValidation>
    <dataValidation type="list" allowBlank="1" showInputMessage="1" showErrorMessage="1" sqref="H11:H14">
      <formula1>selTypeBien</formula1>
    </dataValidation>
  </dataValidations>
  <pageMargins left="0.7" right="0.7" top="0.75" bottom="0.75" header="0.3" footer="0.3"/>
  <pageSetup paperSize="9" orientation="portrait" horizont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2"/>
  <sheetViews>
    <sheetView showZeros="0" tabSelected="1" showWhiteSpace="0" zoomScaleNormal="80" workbookViewId="0">
      <selection activeCell="C15" sqref="C15"/>
    </sheetView>
  </sheetViews>
  <sheetFormatPr baseColWidth="10" defaultColWidth="10.85546875" defaultRowHeight="15"/>
  <cols>
    <col min="1" max="1" width="9.140625" style="1" customWidth="1"/>
    <col min="2" max="2" width="13.5703125" style="13" customWidth="1"/>
    <col min="3" max="3" width="26.85546875" style="1" customWidth="1"/>
    <col min="4" max="4" width="12.85546875" style="1" customWidth="1"/>
    <col min="5" max="6" width="10.85546875" style="1" customWidth="1"/>
    <col min="7" max="16384" width="10.85546875" style="1"/>
  </cols>
  <sheetData>
    <row r="1" spans="1:6" ht="18.95" customHeight="1">
      <c r="A1" s="63" t="s">
        <v>56</v>
      </c>
      <c r="B1" s="63"/>
      <c r="D1" s="25" t="s">
        <v>27</v>
      </c>
      <c r="E1" s="62">
        <v>20190908</v>
      </c>
      <c r="F1" s="62"/>
    </row>
    <row r="2" spans="1:6">
      <c r="A2" s="2" t="s">
        <v>28</v>
      </c>
      <c r="E2" s="3"/>
      <c r="F2" s="4"/>
    </row>
    <row r="3" spans="1:6">
      <c r="A3" s="2" t="s">
        <v>29</v>
      </c>
      <c r="C3" s="36"/>
    </row>
    <row r="4" spans="1:6">
      <c r="A4" s="2" t="e">
        <f>VLOOKUP($A$1,#REF!,5,FALSE)</f>
        <v>#REF!</v>
      </c>
      <c r="E4" s="18" t="s">
        <v>52</v>
      </c>
      <c r="F4" s="37"/>
    </row>
    <row r="5" spans="1:6">
      <c r="A5" s="2" t="s">
        <v>30</v>
      </c>
      <c r="E5" s="23" t="e">
        <f>VLOOKUP($E$4,#REF!, 2, FALSE)</f>
        <v>#REF!</v>
      </c>
      <c r="F5" s="5"/>
    </row>
    <row r="6" spans="1:6">
      <c r="A6" s="2" t="s">
        <v>31</v>
      </c>
      <c r="E6" s="23" t="e">
        <f>VLOOKUP($E$4,#REF!, 3, FALSE)</f>
        <v>#REF!</v>
      </c>
      <c r="F6" s="5"/>
    </row>
    <row r="7" spans="1:6">
      <c r="A7" s="2" t="s">
        <v>32</v>
      </c>
      <c r="E7" s="24" t="e">
        <f>VLOOKUP($E$4,#REF!, 4, FALSE)</f>
        <v>#REF!</v>
      </c>
      <c r="F7" s="6"/>
    </row>
    <row r="8" spans="1:6">
      <c r="A8" s="2" t="e">
        <f>VLOOKUP($A$1,#REF!,2,FALSE)</f>
        <v>#REF!</v>
      </c>
      <c r="E8" s="1" t="s">
        <v>59</v>
      </c>
      <c r="F8" s="1" t="e">
        <f>VLOOKUP($E$4,#REF!, 5, FALSE)</f>
        <v>#REF!</v>
      </c>
    </row>
    <row r="9" spans="1:6">
      <c r="A9" s="2" t="s">
        <v>33</v>
      </c>
    </row>
    <row r="10" spans="1:6" ht="15" customHeight="1">
      <c r="C10" s="36"/>
    </row>
    <row r="11" spans="1:6">
      <c r="A11" s="7" t="s">
        <v>34</v>
      </c>
      <c r="B11" s="21" t="s">
        <v>53</v>
      </c>
      <c r="C11" s="20">
        <f ca="1">EDATE(TODAY(),-1)</f>
        <v>43687</v>
      </c>
    </row>
    <row r="12" spans="1:6">
      <c r="A12" s="64" t="s">
        <v>35</v>
      </c>
      <c r="B12" s="64"/>
      <c r="C12" s="64"/>
      <c r="D12" s="64"/>
      <c r="E12" s="64"/>
      <c r="F12" s="64"/>
    </row>
    <row r="13" spans="1:6" s="9" customFormat="1" ht="22.5" customHeight="1">
      <c r="A13" s="8" t="s">
        <v>36</v>
      </c>
      <c r="B13" s="65" t="s">
        <v>37</v>
      </c>
      <c r="C13" s="66"/>
      <c r="D13" s="8" t="s">
        <v>38</v>
      </c>
      <c r="E13" s="8" t="s">
        <v>39</v>
      </c>
      <c r="F13" s="38" t="s">
        <v>40</v>
      </c>
    </row>
    <row r="14" spans="1:6">
      <c r="A14" s="59">
        <v>10001</v>
      </c>
      <c r="B14" s="22">
        <f>VLOOKUP($A14, TABLO!$C$11:$Q$6159,3,FALSE)</f>
        <v>43709</v>
      </c>
      <c r="C14" s="10" t="str">
        <f>CONCATENATE(VLOOKUP($A14, TABLO!$C$11:$Q$6159,5,FALSE)," ",VLOOKUP($A14, TABLO!$C$11:$Q$6159,6,FALSE))</f>
        <v>EDLE Appart. T1</v>
      </c>
      <c r="D14" s="11">
        <v>1</v>
      </c>
      <c r="E14" s="12">
        <f>VLOOKUP($A14, TABLO!$C$11:$Q$6159,8,FALSE)</f>
        <v>0</v>
      </c>
      <c r="F14" s="12">
        <f>D14*E14</f>
        <v>0</v>
      </c>
    </row>
    <row r="15" spans="1:6" ht="14.45" customHeight="1">
      <c r="A15" s="60"/>
      <c r="B15" s="13" t="s">
        <v>41</v>
      </c>
      <c r="C15" s="1" t="str">
        <f>LEFT(VLOOKUP($A14,TABLO!$C$11:$Q$6159,11,FALSE),SEARCH(";",VLOOKUP($A14,TABLO!$C$11:$Q$6159,11,FALSE))-1)</f>
        <v>47 Rue Rossini</v>
      </c>
    </row>
    <row r="16" spans="1:6">
      <c r="A16" s="60"/>
      <c r="B16" s="13" t="s">
        <v>42</v>
      </c>
      <c r="C16" s="1" t="str">
        <f>MID(VLOOKUP($A14,TABLO!$C$11:$Q$6159,11,FALSE),SEARCH(";",VLOOKUP($A14,TABLO!$C$11:$Q$6159,11,FALSE))+2,SEARCH("@",SUBSTITUTE(VLOOKUP($A14,TABLO!$C$11:$Q$6159,11,FALSE),";","@",2))-SEARCH(";",VLOOKUP($A14,TABLO!$C$11:$Q$6159,11,FALSE))-2)</f>
        <v>P. KREBS (épouse MOLYN)</v>
      </c>
    </row>
    <row r="17" spans="1:6">
      <c r="A17" s="60"/>
      <c r="B17" s="13" t="s">
        <v>43</v>
      </c>
      <c r="C17" s="1" t="str">
        <f>MID(VLOOKUP($A14,TABLO!$C$11:$Q$6159,11,FALSE),SEARCH("@",SUBSTITUTE(VLOOKUP($A14,TABLO!$C$11:$Q$6159,11,FALSE),";","@",2))+2,15)</f>
        <v>L. Cristal KELD</v>
      </c>
    </row>
    <row r="18" spans="1:6">
      <c r="A18" s="61"/>
      <c r="B18" s="13" t="s">
        <v>54</v>
      </c>
      <c r="C18" s="13">
        <f>VLOOKUP($A14, TABLO!$C$11:$Q$6159,14,FALSE)</f>
        <v>0</v>
      </c>
    </row>
    <row r="19" spans="1:6">
      <c r="A19" s="59">
        <v>10002</v>
      </c>
      <c r="B19" s="22">
        <f>VLOOKUP($A19, TABLO!$C$11:$Q$6159,3,FALSE)</f>
        <v>43709</v>
      </c>
      <c r="C19" s="10" t="str">
        <f>CONCATENATE(VLOOKUP($A19, TABLO!$C$11:$Q$6159,5,FALSE)," ",VLOOKUP($A19, TABLO!$C$11:$Q$6159,6,FALSE))</f>
        <v>EDLE Appart. T3M</v>
      </c>
      <c r="D19" s="11">
        <v>1</v>
      </c>
      <c r="E19" s="12">
        <f>VLOOKUP($A19, TABLO!$C$11:$Q$6159,8,FALSE)</f>
        <v>0</v>
      </c>
      <c r="F19" s="12">
        <f>D19*E19</f>
        <v>0</v>
      </c>
    </row>
    <row r="20" spans="1:6" ht="14.45" customHeight="1">
      <c r="A20" s="60"/>
      <c r="B20" s="13" t="s">
        <v>41</v>
      </c>
      <c r="C20" s="1" t="str">
        <f>VLOOKUP($A19, TABLO!$C$11:$Q$6159,11,FALSE)</f>
        <v>3 Rue Poincaré; P. MME SALVUCCI; L. Alexis DILLMANN &amp; Tom DU MERLE</v>
      </c>
    </row>
    <row r="21" spans="1:6">
      <c r="A21" s="60"/>
      <c r="B21" s="13" t="s">
        <v>42</v>
      </c>
      <c r="C21" s="1">
        <f>VLOOKUP($A19, TABLO!$C$11:$Q$6159,12,FALSE)</f>
        <v>0</v>
      </c>
    </row>
    <row r="22" spans="1:6">
      <c r="A22" s="60"/>
      <c r="B22" s="13" t="s">
        <v>43</v>
      </c>
      <c r="C22" s="1">
        <f>VLOOKUP($A19, TABLO!$C$11:$Q$6159,13,FALSE)</f>
        <v>0</v>
      </c>
    </row>
    <row r="23" spans="1:6">
      <c r="A23" s="61"/>
      <c r="B23" s="13" t="s">
        <v>54</v>
      </c>
      <c r="C23" s="13">
        <f>VLOOKUP($A19, TABLO!$C$11:$Q$6159,14,FALSE)</f>
        <v>0</v>
      </c>
    </row>
    <row r="24" spans="1:6">
      <c r="A24" s="59">
        <v>10003</v>
      </c>
      <c r="B24" s="22">
        <f>VLOOKUP($A24, TABLO!$C$11:$Q$6159,3,FALSE)</f>
        <v>43709</v>
      </c>
      <c r="C24" s="10" t="str">
        <f>CONCATENATE(VLOOKUP($A24, TABLO!$C$11:$Q$6159,5,FALSE)," ",VLOOKUP($A24, TABLO!$C$11:$Q$6159,6,FALSE))</f>
        <v>EDLS Appart. T2</v>
      </c>
      <c r="D24" s="11">
        <v>1</v>
      </c>
      <c r="E24" s="12">
        <f>VLOOKUP($A24, TABLO!$C$11:$Q$6159,8,FALSE)</f>
        <v>0</v>
      </c>
      <c r="F24" s="12">
        <f>D24*E24</f>
        <v>0</v>
      </c>
    </row>
    <row r="25" spans="1:6" ht="14.45" customHeight="1">
      <c r="A25" s="60"/>
      <c r="B25" s="13" t="s">
        <v>41</v>
      </c>
      <c r="C25" s="1" t="str">
        <f>VLOOKUP($A24, TABLO!$C$11:$Q$6159,11,FALSE)</f>
        <v>5 Rue Théodore de Banville; P. HUGONNET; L. Durand et Bernard</v>
      </c>
    </row>
    <row r="26" spans="1:6">
      <c r="A26" s="60"/>
      <c r="B26" s="13" t="s">
        <v>42</v>
      </c>
      <c r="C26" s="1">
        <f>VLOOKUP($A24, TABLO!$C$11:$Q$6159,12,FALSE)</f>
        <v>0</v>
      </c>
    </row>
    <row r="27" spans="1:6">
      <c r="A27" s="60"/>
      <c r="B27" s="13" t="s">
        <v>43</v>
      </c>
      <c r="C27" s="1">
        <f>VLOOKUP($A24, TABLO!$C$11:$Q$6159,13,FALSE)</f>
        <v>0</v>
      </c>
    </row>
    <row r="28" spans="1:6">
      <c r="A28" s="61"/>
      <c r="B28" s="13" t="s">
        <v>54</v>
      </c>
      <c r="C28" s="13">
        <f>VLOOKUP($A24, TABLO!$C$11:$Q$6159,14,FALSE)</f>
        <v>0</v>
      </c>
    </row>
    <row r="29" spans="1:6">
      <c r="A29" s="59">
        <v>10004</v>
      </c>
      <c r="B29" s="22">
        <f>VLOOKUP($A29, TABLO!$C$11:$Q$6159,3,FALSE)</f>
        <v>43708</v>
      </c>
      <c r="C29" s="10" t="str">
        <f>CONCATENATE(VLOOKUP($A29, TABLO!$C$11:$Q$6159,5,FALSE)," ",VLOOKUP($A29, TABLO!$C$11:$Q$6159,6,FALSE))</f>
        <v>EDLE Appart. T1M</v>
      </c>
      <c r="D29" s="11">
        <v>1</v>
      </c>
      <c r="E29" s="12">
        <f>VLOOKUP($A29, TABLO!$C$11:$Q$6159,8,FALSE)</f>
        <v>0</v>
      </c>
      <c r="F29" s="12">
        <f>D29*E29</f>
        <v>0</v>
      </c>
    </row>
    <row r="30" spans="1:6" ht="14.45" customHeight="1">
      <c r="A30" s="60"/>
      <c r="B30" s="13" t="s">
        <v>41</v>
      </c>
      <c r="C30" s="1" t="str">
        <f>VLOOKUP($A29, TABLO!$C$11:$Q$6159,11,FALSE)</f>
        <v>44 bis rue de France, Nice; P. Villani; L.  Lucas Ducrot-Charbonnier</v>
      </c>
    </row>
    <row r="31" spans="1:6">
      <c r="A31" s="60"/>
      <c r="B31" s="13" t="s">
        <v>42</v>
      </c>
      <c r="C31" s="1">
        <f>VLOOKUP($A29, TABLO!$C$11:$Q$6159,12,FALSE)</f>
        <v>0</v>
      </c>
    </row>
    <row r="32" spans="1:6">
      <c r="A32" s="60"/>
      <c r="B32" s="13" t="s">
        <v>43</v>
      </c>
      <c r="C32" s="1">
        <f>VLOOKUP($A29, TABLO!$C$11:$Q$6159,13,FALSE)</f>
        <v>0</v>
      </c>
    </row>
    <row r="33" spans="1:6">
      <c r="A33" s="61"/>
      <c r="B33" s="13" t="s">
        <v>54</v>
      </c>
      <c r="C33" s="13">
        <f>VLOOKUP($A29, TABLO!$C$11:$Q$6159,14,FALSE)</f>
        <v>0</v>
      </c>
    </row>
    <row r="34" spans="1:6">
      <c r="A34" s="15"/>
      <c r="B34" s="7"/>
      <c r="C34" s="13"/>
      <c r="E34" s="14" t="s">
        <v>44</v>
      </c>
      <c r="F34" s="16">
        <f>SUM(F13:F33)</f>
        <v>0</v>
      </c>
    </row>
    <row r="35" spans="1:6" ht="18.75">
      <c r="A35" s="15"/>
      <c r="B35" s="7"/>
      <c r="C35" s="35"/>
      <c r="E35" s="14" t="s">
        <v>45</v>
      </c>
      <c r="F35" s="17">
        <f>F34</f>
        <v>0</v>
      </c>
    </row>
    <row r="36" spans="1:6">
      <c r="A36" s="15"/>
      <c r="B36" s="7"/>
      <c r="C36" s="13"/>
    </row>
    <row r="37" spans="1:6">
      <c r="A37" s="1" t="s">
        <v>46</v>
      </c>
      <c r="C37" s="19">
        <f ca="1">EDATE(TODAY(),1)</f>
        <v>43748</v>
      </c>
    </row>
    <row r="38" spans="1:6">
      <c r="A38" s="1" t="s">
        <v>47</v>
      </c>
      <c r="C38" s="19">
        <f ca="1">EOMONTH(C11,0)</f>
        <v>43708</v>
      </c>
    </row>
    <row r="39" spans="1:6">
      <c r="A39" s="1" t="s">
        <v>48</v>
      </c>
    </row>
    <row r="40" spans="1:6">
      <c r="A40" s="1" t="s">
        <v>49</v>
      </c>
    </row>
    <row r="41" spans="1:6">
      <c r="A41" s="1" t="s">
        <v>50</v>
      </c>
    </row>
    <row r="42" spans="1:6">
      <c r="A42" s="1" t="s">
        <v>51</v>
      </c>
    </row>
  </sheetData>
  <mergeCells count="8">
    <mergeCell ref="A29:A33"/>
    <mergeCell ref="E1:F1"/>
    <mergeCell ref="A1:B1"/>
    <mergeCell ref="A12:F12"/>
    <mergeCell ref="B13:C13"/>
    <mergeCell ref="A24:A28"/>
    <mergeCell ref="A19:A23"/>
    <mergeCell ref="A14:A18"/>
  </mergeCells>
  <dataValidations count="2">
    <dataValidation type="list" allowBlank="1" showInputMessage="1" showErrorMessage="1" sqref="A1">
      <formula1>#REF!</formula1>
    </dataValidation>
    <dataValidation type="list" allowBlank="1" showInputMessage="1" showErrorMessage="1" sqref="E4">
      <formula1>#REF!</formula1>
    </dataValidation>
  </dataValidations>
  <pageMargins left="0.70866141732283472" right="0.70866141732283472" top="0.94488188976377963" bottom="0.74803149606299213" header="0.31496062992125984" footer="0.31496062992125984"/>
  <pageSetup paperSize="9" orientation="portrait" horizontalDpi="4294967292" verticalDpi="4294967292" r:id="rId1"/>
  <headerFooter>
    <oddHeader>&amp;L&amp;G&amp;CPage &amp;P de &amp;N&amp;R&amp;D</oddHeader>
  </headerFooter>
  <ignoredErrors>
    <ignoredError sqref="F34" unlockedFormula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TABLO</vt:lpstr>
      <vt:lpstr>Fact.</vt:lpstr>
      <vt:lpstr>Fact.!Print_Area</vt:lpstr>
      <vt:lpstr>Fact.!Print_Titles</vt:lpstr>
      <vt:lpstr>Fact.!test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CA</cp:lastModifiedBy>
  <cp:lastPrinted>2019-09-08T20:15:05Z</cp:lastPrinted>
  <dcterms:created xsi:type="dcterms:W3CDTF">2016-03-28T16:49:27Z</dcterms:created>
  <dcterms:modified xsi:type="dcterms:W3CDTF">2019-09-10T21:56:27Z</dcterms:modified>
</cp:coreProperties>
</file>