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F10E4F3-1A1E-481E-B083-12FA30F1F4C1}" xr6:coauthVersionLast="47" xr6:coauthVersionMax="47" xr10:uidLastSave="{00000000-0000-0000-0000-000000000000}"/>
  <bookViews>
    <workbookView xWindow="-120" yWindow="-120" windowWidth="38640" windowHeight="15720" xr2:uid="{D38390A0-306E-44F2-8D45-4EA4D3762A08}"/>
  </bookViews>
  <sheets>
    <sheet name="CA" sheetId="2" r:id="rId1"/>
    <sheet name="2026-06" sheetId="1" r:id="rId2"/>
    <sheet name="Feuil1" sheetId="6" r:id="rId3"/>
  </sheets>
  <definedNames>
    <definedName name="_xlnm._FilterDatabase" localSheetId="1" hidden="1">'2026-06'!$A$1:$C$5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8" i="2" l="1"/>
  <c r="T9" i="2"/>
  <c r="T10" i="2"/>
  <c r="T7" i="2"/>
  <c r="R10" i="2"/>
  <c r="R7" i="2"/>
  <c r="R8" i="2"/>
  <c r="R9" i="2"/>
  <c r="V8" i="2" l="1"/>
  <c r="V10" i="2"/>
  <c r="S9" i="2"/>
  <c r="S10" i="2"/>
  <c r="S7" i="2"/>
  <c r="S8" i="2"/>
  <c r="R12" i="2"/>
  <c r="S12" i="2" s="1"/>
  <c r="U8" i="2"/>
  <c r="U10" i="2"/>
  <c r="U7" i="2"/>
  <c r="V7" i="2" s="1"/>
  <c r="U9" i="2" l="1"/>
  <c r="V9" i="2" s="1"/>
  <c r="T3" i="2"/>
  <c r="T4" i="2"/>
  <c r="T5" i="2"/>
  <c r="T6" i="2"/>
  <c r="I12" i="2"/>
  <c r="H12" i="2"/>
  <c r="G12" i="2"/>
  <c r="F12" i="2"/>
  <c r="E12" i="2"/>
  <c r="L12" i="2"/>
  <c r="K12" i="2"/>
  <c r="O12" i="2"/>
  <c r="N12" i="2"/>
  <c r="Q12" i="2"/>
  <c r="P10" i="2"/>
  <c r="P9" i="2"/>
  <c r="P8" i="2"/>
  <c r="P7" i="2"/>
  <c r="P6" i="2"/>
  <c r="P5" i="2"/>
  <c r="P4" i="2"/>
  <c r="P3" i="2"/>
  <c r="P2" i="2"/>
  <c r="J9" i="2"/>
  <c r="J10" i="2"/>
  <c r="J2" i="2"/>
  <c r="J3" i="2"/>
  <c r="J4" i="2"/>
  <c r="J5" i="2"/>
  <c r="J6" i="2"/>
  <c r="J7" i="2"/>
  <c r="J8" i="2"/>
  <c r="M3" i="2"/>
  <c r="M4" i="2"/>
  <c r="M5" i="2"/>
  <c r="M6" i="2"/>
  <c r="M7" i="2"/>
  <c r="M8" i="2"/>
  <c r="M9" i="2"/>
  <c r="M10" i="2"/>
  <c r="M2" i="2"/>
  <c r="T12" i="2" l="1"/>
  <c r="M12" i="2"/>
  <c r="P12" i="2"/>
  <c r="R6" i="2" l="1"/>
  <c r="S6" i="2" s="1"/>
  <c r="R5" i="2"/>
  <c r="S5" i="2" s="1"/>
  <c r="R4" i="2"/>
  <c r="S4" i="2" s="1"/>
  <c r="R3" i="2"/>
  <c r="S3" i="2" s="1"/>
  <c r="R2" i="2"/>
  <c r="S2" i="2" l="1"/>
  <c r="U4" i="2"/>
  <c r="V4" i="2" s="1"/>
  <c r="U2" i="2"/>
  <c r="U3" i="2"/>
  <c r="U6" i="2"/>
  <c r="U5" i="2"/>
  <c r="V5" i="2" s="1"/>
  <c r="T2" i="2"/>
  <c r="U12" i="2" l="1"/>
  <c r="V6" i="2"/>
  <c r="V2" i="2"/>
  <c r="V3" i="2"/>
  <c r="J12" i="2"/>
  <c r="V12" i="2" l="1"/>
</calcChain>
</file>

<file path=xl/sharedStrings.xml><?xml version="1.0" encoding="utf-8"?>
<sst xmlns="http://schemas.openxmlformats.org/spreadsheetml/2006/main" count="70" uniqueCount="52">
  <si>
    <t>Code client</t>
  </si>
  <si>
    <t>Total Facture client</t>
  </si>
  <si>
    <t>Nom du client</t>
  </si>
  <si>
    <t>C12002</t>
  </si>
  <si>
    <t>AUBRAC CONFORT MEDICAL</t>
  </si>
  <si>
    <t>C83001</t>
  </si>
  <si>
    <t>D &amp; T</t>
  </si>
  <si>
    <t>C97003</t>
  </si>
  <si>
    <t>DOULUX SAS</t>
  </si>
  <si>
    <t>C57005</t>
  </si>
  <si>
    <t>EVEREST MEDICAL</t>
  </si>
  <si>
    <t>C64005</t>
  </si>
  <si>
    <t>C47004</t>
  </si>
  <si>
    <t>C62082</t>
  </si>
  <si>
    <t>C42001</t>
  </si>
  <si>
    <t>C86001</t>
  </si>
  <si>
    <t>VYV EQUIPEMENT MEDICAL</t>
  </si>
  <si>
    <t>Commercial</t>
  </si>
  <si>
    <t>Groupe 
client</t>
  </si>
  <si>
    <t>Code
client</t>
  </si>
  <si>
    <t>Janvier 26</t>
  </si>
  <si>
    <t>Février 26</t>
  </si>
  <si>
    <t>Mars 26</t>
  </si>
  <si>
    <t>Cumul
T1-2025</t>
  </si>
  <si>
    <t>Cumul 
T1-2026</t>
  </si>
  <si>
    <t>Variation
en %</t>
  </si>
  <si>
    <t>Avril 25</t>
  </si>
  <si>
    <t>Avril 26</t>
  </si>
  <si>
    <t>Variation
avril</t>
  </si>
  <si>
    <t>Mai 25</t>
  </si>
  <si>
    <t>Mai 26</t>
  </si>
  <si>
    <t>Variation
mai</t>
  </si>
  <si>
    <t>Juin 25</t>
  </si>
  <si>
    <t>Juin 26</t>
  </si>
  <si>
    <t>Variation
juin</t>
  </si>
  <si>
    <t>Cumul
T2-2025</t>
  </si>
  <si>
    <t>Cumul 
T2-2026</t>
  </si>
  <si>
    <t>Client France</t>
  </si>
  <si>
    <t>MEDICALLIANCE</t>
  </si>
  <si>
    <t>C62005</t>
  </si>
  <si>
    <r>
      <t>p</t>
    </r>
    <r>
      <rPr>
        <b/>
        <sz val="12"/>
        <color rgb="FF0066CC"/>
        <rFont val="Aptos Narrow"/>
        <family val="2"/>
        <scheme val="minor"/>
      </rPr>
      <t xml:space="preserve"> TOTAL</t>
    </r>
  </si>
  <si>
    <t>CLIENT X</t>
  </si>
  <si>
    <t>CLIENT Y</t>
  </si>
  <si>
    <t>CLIENT V</t>
  </si>
  <si>
    <t>CLIENT W</t>
  </si>
  <si>
    <t>CLIENT Z</t>
  </si>
  <si>
    <t>TOTAL</t>
  </si>
  <si>
    <t>Stan</t>
  </si>
  <si>
    <t>Résultat attendu</t>
  </si>
  <si>
    <t>Formule simple</t>
  </si>
  <si>
    <t>Formule combinée</t>
  </si>
  <si>
    <t>https://ledojo.club/blog/calculer-une-evolution-en-pourcentage-sur-excel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</si>
</sst>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Aptos Narrow"/>
      <family val="2"/>
      <scheme val="minor"/>
    </font>
    <font>
      <b/>
      <sz val="11"/>
      <color rgb="FFFFFFFF"/>
      <name val="Calibri"/>
      <family val="2"/>
    </font>
    <font>
      <b/>
      <sz val="12"/>
      <color rgb="FF0066CC"/>
      <name val="Wingdings 3"/>
      <family val="1"/>
      <charset val="2"/>
    </font>
    <font>
      <b/>
      <sz val="12"/>
      <color rgb="FF0066CC"/>
      <name val="Aptos Narrow"/>
      <family val="2"/>
      <scheme val="minor"/>
    </font>
    <font>
      <b/>
      <sz val="11"/>
      <color rgb="FF0066CC"/>
      <name val="Aptos Narrow"/>
      <family val="2"/>
      <scheme val="minor"/>
    </font>
    <font>
      <b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1F4E7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</fills>
  <borders count="13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 style="double">
        <color rgb="FFC00000"/>
      </right>
      <top style="hair">
        <color theme="0" tint="-4.9989318521683403E-2"/>
      </top>
      <bottom style="hair">
        <color theme="0" tint="-4.9989318521683403E-2"/>
      </bottom>
      <diagonal/>
    </border>
    <border>
      <left style="double">
        <color rgb="FFC00000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 style="hair">
        <color theme="0" tint="-4.9989318521683403E-2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rgb="FFC00000"/>
      </right>
      <top/>
      <bottom/>
      <diagonal/>
    </border>
    <border>
      <left style="double">
        <color rgb="FFC00000"/>
      </left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/>
      <diagonal/>
    </border>
    <border>
      <left style="hair">
        <color theme="0" tint="-4.9989318521683403E-2"/>
      </left>
      <right style="hair">
        <color theme="0" tint="-4.9989318521683403E-2"/>
      </right>
      <top/>
      <bottom/>
      <diagonal/>
    </border>
    <border>
      <left/>
      <right/>
      <top style="hair">
        <color theme="0" tint="-4.9989318521683403E-2"/>
      </top>
      <bottom style="hair">
        <color theme="0" tint="-4.9989318521683403E-2"/>
      </bottom>
      <diagonal/>
    </border>
    <border>
      <left/>
      <right style="double">
        <color rgb="FFC00000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42">
    <xf numFmtId="0" fontId="0" fillId="0" borderId="0" xfId="0"/>
    <xf numFmtId="44" fontId="1" fillId="0" borderId="0" xfId="1"/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49" fontId="4" fillId="4" borderId="1" xfId="1" applyNumberFormat="1" applyFont="1" applyFill="1" applyBorder="1" applyAlignment="1">
      <alignment horizontal="center" vertical="center"/>
    </xf>
    <xf numFmtId="49" fontId="4" fillId="4" borderId="1" xfId="1" applyNumberFormat="1" applyFont="1" applyFill="1" applyBorder="1" applyAlignment="1">
      <alignment horizontal="center" vertical="center" wrapText="1"/>
    </xf>
    <xf numFmtId="49" fontId="4" fillId="5" borderId="1" xfId="1" applyNumberFormat="1" applyFont="1" applyFill="1" applyBorder="1" applyAlignment="1">
      <alignment horizontal="center" vertical="center"/>
    </xf>
    <xf numFmtId="49" fontId="4" fillId="5" borderId="1" xfId="1" applyNumberFormat="1" applyFont="1" applyFill="1" applyBorder="1" applyAlignment="1">
      <alignment horizontal="center" vertical="center" wrapText="1"/>
    </xf>
    <xf numFmtId="49" fontId="4" fillId="6" borderId="1" xfId="1" applyNumberFormat="1" applyFont="1" applyFill="1" applyBorder="1" applyAlignment="1">
      <alignment horizontal="center" vertical="center"/>
    </xf>
    <xf numFmtId="49" fontId="4" fillId="6" borderId="1" xfId="1" applyNumberFormat="1" applyFont="1" applyFill="1" applyBorder="1" applyAlignment="1">
      <alignment horizontal="center" vertical="center" wrapText="1"/>
    </xf>
    <xf numFmtId="49" fontId="2" fillId="7" borderId="1" xfId="1" applyNumberFormat="1" applyFont="1" applyFill="1" applyBorder="1" applyAlignment="1">
      <alignment horizontal="center" vertical="center" wrapText="1"/>
    </xf>
    <xf numFmtId="49" fontId="2" fillId="7" borderId="4" xfId="1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8" borderId="5" xfId="0" applyFill="1" applyBorder="1"/>
    <xf numFmtId="0" fontId="0" fillId="8" borderId="0" xfId="0" applyFill="1"/>
    <xf numFmtId="0" fontId="0" fillId="8" borderId="6" xfId="0" applyFill="1" applyBorder="1"/>
    <xf numFmtId="0" fontId="5" fillId="9" borderId="4" xfId="0" applyFont="1" applyFill="1" applyBorder="1" applyAlignment="1">
      <alignment horizontal="left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vertical="center"/>
    </xf>
    <xf numFmtId="10" fontId="7" fillId="9" borderId="1" xfId="1" applyNumberFormat="1" applyFont="1" applyFill="1" applyBorder="1" applyAlignment="1">
      <alignment vertical="center"/>
    </xf>
    <xf numFmtId="10" fontId="7" fillId="9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44" fontId="8" fillId="0" borderId="0" xfId="1" applyFont="1"/>
    <xf numFmtId="10" fontId="1" fillId="0" borderId="0" xfId="1" applyNumberFormat="1" applyFill="1"/>
    <xf numFmtId="7" fontId="1" fillId="0" borderId="7" xfId="1" applyNumberFormat="1" applyBorder="1"/>
    <xf numFmtId="7" fontId="1" fillId="0" borderId="0" xfId="1" applyNumberFormat="1"/>
    <xf numFmtId="7" fontId="1" fillId="0" borderId="8" xfId="1" applyNumberFormat="1" applyBorder="1"/>
    <xf numFmtId="7" fontId="1" fillId="0" borderId="9" xfId="1" applyNumberFormat="1" applyBorder="1"/>
    <xf numFmtId="7" fontId="0" fillId="0" borderId="0" xfId="0" applyNumberFormat="1"/>
    <xf numFmtId="7" fontId="7" fillId="9" borderId="1" xfId="1" applyNumberFormat="1" applyFont="1" applyFill="1" applyBorder="1" applyAlignment="1">
      <alignment vertical="center"/>
    </xf>
    <xf numFmtId="7" fontId="1" fillId="8" borderId="3" xfId="1" applyNumberFormat="1" applyFill="1" applyBorder="1"/>
    <xf numFmtId="7" fontId="1" fillId="8" borderId="1" xfId="1" applyNumberFormat="1" applyFill="1" applyBorder="1"/>
    <xf numFmtId="10" fontId="1" fillId="8" borderId="1" xfId="1" applyNumberFormat="1" applyFill="1" applyBorder="1"/>
    <xf numFmtId="7" fontId="8" fillId="8" borderId="1" xfId="0" applyNumberFormat="1" applyFont="1" applyFill="1" applyBorder="1"/>
    <xf numFmtId="10" fontId="0" fillId="8" borderId="1" xfId="0" applyNumberFormat="1" applyFill="1" applyBorder="1"/>
    <xf numFmtId="49" fontId="8" fillId="0" borderId="12" xfId="1" applyNumberFormat="1" applyFont="1" applyFill="1" applyBorder="1" applyAlignment="1">
      <alignment horizontal="center" vertical="center" wrapText="1"/>
    </xf>
    <xf numFmtId="10" fontId="1" fillId="10" borderId="0" xfId="1" applyNumberFormat="1" applyFill="1"/>
  </cellXfs>
  <cellStyles count="3">
    <cellStyle name="Monétaire" xfId="1" builtinId="4"/>
    <cellStyle name="Normal" xfId="0" builtinId="0"/>
    <cellStyle name="Normal 2" xfId="2" xr:uid="{37FB545E-73F9-48AD-B975-1E880AE10A72}"/>
  </cellStyles>
  <dxfs count="1"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9999"/>
      <color rgb="FF009900"/>
      <color rgb="FFFF5353"/>
      <color rgb="FFFF6D6D"/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CCA7E-3927-4CA5-8BB7-432C939AC0ED}">
  <sheetPr>
    <tabColor theme="3" tint="0.249977111117893"/>
  </sheetPr>
  <dimension ref="A1:Y12"/>
  <sheetViews>
    <sheetView tabSelected="1" zoomScale="115" zoomScaleNormal="115" workbookViewId="0">
      <pane xSplit="4" ySplit="1" topLeftCell="N7" activePane="bottomRight" state="frozen"/>
      <selection pane="topRight" activeCell="E1" sqref="E1"/>
      <selection pane="bottomLeft" activeCell="A2" sqref="A2"/>
      <selection pane="bottomRight" activeCell="X27" sqref="X27"/>
    </sheetView>
  </sheetViews>
  <sheetFormatPr baseColWidth="10" defaultRowHeight="15" outlineLevelRow="1" outlineLevelCol="1" x14ac:dyDescent="0.25"/>
  <cols>
    <col min="1" max="1" width="13.85546875" bestFit="1" customWidth="1"/>
    <col min="2" max="2" width="17" customWidth="1"/>
    <col min="3" max="3" width="8.85546875" customWidth="1"/>
    <col min="4" max="4" width="16.140625" customWidth="1"/>
    <col min="5" max="7" width="17.28515625" style="1" hidden="1" customWidth="1" outlineLevel="1"/>
    <col min="8" max="8" width="18.7109375" style="1" hidden="1" customWidth="1" collapsed="1"/>
    <col min="9" max="9" width="18.7109375" style="1" hidden="1" customWidth="1"/>
    <col min="10" max="10" width="11.7109375" style="1" hidden="1" customWidth="1"/>
    <col min="11" max="12" width="18.7109375" style="1" customWidth="1" outlineLevel="1"/>
    <col min="13" max="13" width="11.7109375" style="1" customWidth="1" outlineLevel="1"/>
    <col min="14" max="15" width="18.7109375" style="1" customWidth="1" outlineLevel="1"/>
    <col min="16" max="16" width="11.7109375" style="1" customWidth="1" outlineLevel="1"/>
    <col min="17" max="17" width="18.7109375" style="1" customWidth="1"/>
    <col min="18" max="18" width="18.7109375" style="27" customWidth="1"/>
    <col min="19" max="19" width="11.7109375" style="1" customWidth="1"/>
    <col min="20" max="21" width="18.7109375" style="1" customWidth="1"/>
    <col min="22" max="22" width="13.140625" bestFit="1" customWidth="1"/>
    <col min="23" max="23" width="9.140625" customWidth="1"/>
    <col min="24" max="24" width="27.7109375" customWidth="1"/>
    <col min="25" max="25" width="56.7109375" customWidth="1"/>
  </cols>
  <sheetData>
    <row r="1" spans="1:25" ht="30.95" customHeight="1" x14ac:dyDescent="0.25">
      <c r="A1" s="2" t="s">
        <v>17</v>
      </c>
      <c r="B1" s="3" t="s">
        <v>18</v>
      </c>
      <c r="C1" s="3" t="s">
        <v>19</v>
      </c>
      <c r="D1" s="4" t="s">
        <v>2</v>
      </c>
      <c r="E1" s="5" t="s">
        <v>20</v>
      </c>
      <c r="F1" s="6" t="s">
        <v>21</v>
      </c>
      <c r="G1" s="6" t="s">
        <v>22</v>
      </c>
      <c r="H1" s="7" t="s">
        <v>23</v>
      </c>
      <c r="I1" s="7" t="s">
        <v>24</v>
      </c>
      <c r="J1" s="7" t="s">
        <v>25</v>
      </c>
      <c r="K1" s="8" t="s">
        <v>26</v>
      </c>
      <c r="L1" s="8" t="s">
        <v>27</v>
      </c>
      <c r="M1" s="9" t="s">
        <v>28</v>
      </c>
      <c r="N1" s="10" t="s">
        <v>29</v>
      </c>
      <c r="O1" s="10" t="s">
        <v>30</v>
      </c>
      <c r="P1" s="11" t="s">
        <v>31</v>
      </c>
      <c r="Q1" s="12" t="s">
        <v>32</v>
      </c>
      <c r="R1" s="12" t="s">
        <v>33</v>
      </c>
      <c r="S1" s="13" t="s">
        <v>34</v>
      </c>
      <c r="T1" s="14" t="s">
        <v>35</v>
      </c>
      <c r="U1" s="14" t="s">
        <v>36</v>
      </c>
      <c r="V1" s="15" t="s">
        <v>25</v>
      </c>
      <c r="W1" s="40" t="s">
        <v>48</v>
      </c>
      <c r="X1" s="40" t="s">
        <v>49</v>
      </c>
      <c r="Y1" s="40" t="s">
        <v>50</v>
      </c>
    </row>
    <row r="2" spans="1:25" hidden="1" outlineLevel="1" x14ac:dyDescent="0.25">
      <c r="A2" s="16"/>
      <c r="B2" t="s">
        <v>37</v>
      </c>
      <c r="C2" t="s">
        <v>3</v>
      </c>
      <c r="D2" s="17" t="s">
        <v>4</v>
      </c>
      <c r="E2" s="29">
        <v>3774.17</v>
      </c>
      <c r="F2" s="30">
        <v>-8424.2199999999993</v>
      </c>
      <c r="G2" s="31">
        <v>2901.77</v>
      </c>
      <c r="H2" s="31">
        <v>11946.48</v>
      </c>
      <c r="I2" s="31">
        <v>-1748.2799999999993</v>
      </c>
      <c r="J2" s="28">
        <f t="shared" ref="J2:J7" si="0">IF(H2,(I2-H2)/H2,0)</f>
        <v>-1.1463426883902204</v>
      </c>
      <c r="K2" s="31">
        <v>5574.91</v>
      </c>
      <c r="L2" s="30">
        <v>-1101.77</v>
      </c>
      <c r="M2" s="28">
        <f>IF(K2,(L2-K2)/K2,0)</f>
        <v>-1.1976300962706126</v>
      </c>
      <c r="N2" s="30">
        <v>8359.5499999999993</v>
      </c>
      <c r="O2" s="30">
        <v>-3060.58</v>
      </c>
      <c r="P2" s="28">
        <f t="shared" ref="P2:P10" si="1">IF(N2,(O2-N2)/N2,0)</f>
        <v>-1.3661177934218947</v>
      </c>
      <c r="Q2" s="30">
        <v>-6687.6</v>
      </c>
      <c r="R2" s="33" t="e">
        <f>VLOOKUP(C2,'2026-06'!A:B,2,FALSE)</f>
        <v>#N/A</v>
      </c>
      <c r="S2" s="28" t="e">
        <f t="shared" ref="S2:S6" si="2">IF(Q2,(R2-Q2)/Q2,1)</f>
        <v>#N/A</v>
      </c>
      <c r="T2" s="30">
        <f t="shared" ref="T2:U10" si="3">K2+N2+Q2</f>
        <v>7246.8599999999988</v>
      </c>
      <c r="U2" s="30" t="e">
        <f t="shared" si="3"/>
        <v>#N/A</v>
      </c>
      <c r="V2" s="28" t="e">
        <f>IF(T2,(U2-T2)/T2,0)</f>
        <v>#N/A</v>
      </c>
    </row>
    <row r="3" spans="1:25" hidden="1" outlineLevel="1" x14ac:dyDescent="0.25">
      <c r="A3" s="16"/>
      <c r="B3" t="s">
        <v>37</v>
      </c>
      <c r="C3" t="s">
        <v>5</v>
      </c>
      <c r="D3" s="17" t="s">
        <v>6</v>
      </c>
      <c r="E3" s="29">
        <v>114421.38</v>
      </c>
      <c r="F3" s="30">
        <v>176232.41</v>
      </c>
      <c r="G3" s="32">
        <v>120201.77</v>
      </c>
      <c r="H3" s="32">
        <v>452602.9</v>
      </c>
      <c r="I3" s="32">
        <v>410855.56000000006</v>
      </c>
      <c r="J3" s="28">
        <f t="shared" si="0"/>
        <v>-9.2238339612936565E-2</v>
      </c>
      <c r="K3" s="32">
        <v>154539.24</v>
      </c>
      <c r="L3" s="30">
        <v>129407.73</v>
      </c>
      <c r="M3" s="28">
        <f t="shared" ref="M3:M10" si="4">IF(K3,(L3-K3)/K3,0)</f>
        <v>-0.16262219226650781</v>
      </c>
      <c r="N3" s="30">
        <v>74940.570000000007</v>
      </c>
      <c r="O3" s="30">
        <v>130095.81</v>
      </c>
      <c r="P3" s="28">
        <f t="shared" si="1"/>
        <v>0.73598639561988899</v>
      </c>
      <c r="Q3" s="30">
        <v>211653.31</v>
      </c>
      <c r="R3" s="33" t="e">
        <f>VLOOKUP(C3,'2026-06'!A:B,2,FALSE)</f>
        <v>#N/A</v>
      </c>
      <c r="S3" s="28" t="e">
        <f t="shared" si="2"/>
        <v>#N/A</v>
      </c>
      <c r="T3" s="30">
        <f t="shared" si="3"/>
        <v>441133.12</v>
      </c>
      <c r="U3" s="30" t="e">
        <f t="shared" si="3"/>
        <v>#N/A</v>
      </c>
      <c r="V3" s="28" t="e">
        <f t="shared" ref="V3:V6" si="5">IF(T3,(U3-T3)/T3,0)</f>
        <v>#N/A</v>
      </c>
    </row>
    <row r="4" spans="1:25" hidden="1" outlineLevel="1" x14ac:dyDescent="0.25">
      <c r="A4" s="16"/>
      <c r="B4" t="s">
        <v>37</v>
      </c>
      <c r="C4" t="s">
        <v>7</v>
      </c>
      <c r="D4" s="17" t="s">
        <v>8</v>
      </c>
      <c r="E4" s="29">
        <v>9828.67</v>
      </c>
      <c r="F4" s="30">
        <v>83937</v>
      </c>
      <c r="G4" s="32">
        <v>61321.760000000002</v>
      </c>
      <c r="H4" s="32">
        <v>71670.34</v>
      </c>
      <c r="I4" s="32">
        <v>155087.43</v>
      </c>
      <c r="J4" s="28">
        <f t="shared" si="0"/>
        <v>1.1638997387203689</v>
      </c>
      <c r="K4" s="32">
        <v>28606.13</v>
      </c>
      <c r="L4" s="30">
        <v>88515.33</v>
      </c>
      <c r="M4" s="28">
        <f t="shared" si="4"/>
        <v>2.094278394176353</v>
      </c>
      <c r="N4" s="30">
        <v>30059.14</v>
      </c>
      <c r="O4" s="30">
        <v>-10.35</v>
      </c>
      <c r="P4" s="28">
        <f t="shared" si="1"/>
        <v>-1.0003443212280856</v>
      </c>
      <c r="Q4" s="30">
        <v>30603.94</v>
      </c>
      <c r="R4" s="33" t="e">
        <f>VLOOKUP(C4,'2026-06'!A:B,2,FALSE)</f>
        <v>#N/A</v>
      </c>
      <c r="S4" s="28" t="e">
        <f t="shared" si="2"/>
        <v>#N/A</v>
      </c>
      <c r="T4" s="30">
        <f t="shared" si="3"/>
        <v>89269.21</v>
      </c>
      <c r="U4" s="30" t="e">
        <f t="shared" si="3"/>
        <v>#N/A</v>
      </c>
      <c r="V4" s="28" t="e">
        <f t="shared" si="5"/>
        <v>#N/A</v>
      </c>
    </row>
    <row r="5" spans="1:25" hidden="1" outlineLevel="1" x14ac:dyDescent="0.25">
      <c r="A5" s="16"/>
      <c r="B5" t="s">
        <v>38</v>
      </c>
      <c r="C5" t="s">
        <v>9</v>
      </c>
      <c r="D5" s="17" t="s">
        <v>10</v>
      </c>
      <c r="E5" s="29">
        <v>32070.61</v>
      </c>
      <c r="F5" s="30">
        <v>8415.06</v>
      </c>
      <c r="G5" s="32">
        <v>38475.879999999997</v>
      </c>
      <c r="H5" s="32">
        <v>67766.5</v>
      </c>
      <c r="I5" s="32">
        <v>78961.549999999988</v>
      </c>
      <c r="J5" s="28">
        <f t="shared" si="0"/>
        <v>0.16520035710860068</v>
      </c>
      <c r="K5" s="32">
        <v>40199.96</v>
      </c>
      <c r="L5" s="30">
        <v>4099.16</v>
      </c>
      <c r="M5" s="28">
        <f t="shared" si="4"/>
        <v>-0.89803074430919838</v>
      </c>
      <c r="N5" s="30">
        <v>28958.02</v>
      </c>
      <c r="O5" s="30">
        <v>8983.16</v>
      </c>
      <c r="P5" s="28">
        <f t="shared" si="1"/>
        <v>-0.68978680172194096</v>
      </c>
      <c r="Q5" s="30">
        <v>5417.75</v>
      </c>
      <c r="R5" s="33" t="e">
        <f>VLOOKUP(C5,'2026-06'!A:B,2,FALSE)</f>
        <v>#N/A</v>
      </c>
      <c r="S5" s="28" t="e">
        <f t="shared" si="2"/>
        <v>#N/A</v>
      </c>
      <c r="T5" s="30">
        <f t="shared" si="3"/>
        <v>74575.73</v>
      </c>
      <c r="U5" s="30" t="e">
        <f t="shared" si="3"/>
        <v>#N/A</v>
      </c>
      <c r="V5" s="28" t="e">
        <f t="shared" si="5"/>
        <v>#N/A</v>
      </c>
    </row>
    <row r="6" spans="1:25" hidden="1" outlineLevel="1" x14ac:dyDescent="0.25">
      <c r="A6" s="16"/>
      <c r="B6" t="s">
        <v>37</v>
      </c>
      <c r="C6" t="s">
        <v>15</v>
      </c>
      <c r="D6" s="17" t="s">
        <v>16</v>
      </c>
      <c r="E6" s="29">
        <v>557459.01</v>
      </c>
      <c r="F6" s="30">
        <v>358457.9</v>
      </c>
      <c r="G6" s="32">
        <v>451273.98</v>
      </c>
      <c r="H6" s="32">
        <v>1105624.77</v>
      </c>
      <c r="I6" s="32">
        <v>1367190.8900000001</v>
      </c>
      <c r="J6" s="28">
        <f t="shared" si="0"/>
        <v>0.2365776591636963</v>
      </c>
      <c r="K6" s="32">
        <v>409455.65</v>
      </c>
      <c r="L6" s="30">
        <v>370378.45</v>
      </c>
      <c r="M6" s="28">
        <f t="shared" si="4"/>
        <v>-9.5436953916742895E-2</v>
      </c>
      <c r="N6" s="30">
        <v>434806.1</v>
      </c>
      <c r="O6" s="30">
        <v>353709.19</v>
      </c>
      <c r="P6" s="28">
        <f t="shared" si="1"/>
        <v>-0.186512815712567</v>
      </c>
      <c r="Q6" s="30">
        <v>419669.65</v>
      </c>
      <c r="R6" s="33" t="e">
        <f>VLOOKUP(C6,'2026-06'!A:B,2,FALSE)</f>
        <v>#N/A</v>
      </c>
      <c r="S6" s="28" t="e">
        <f t="shared" si="2"/>
        <v>#N/A</v>
      </c>
      <c r="T6" s="30">
        <f t="shared" si="3"/>
        <v>1263931.3999999999</v>
      </c>
      <c r="U6" s="30" t="e">
        <f t="shared" si="3"/>
        <v>#N/A</v>
      </c>
      <c r="V6" s="28" t="e">
        <f t="shared" si="5"/>
        <v>#N/A</v>
      </c>
    </row>
    <row r="7" spans="1:25" outlineLevel="1" x14ac:dyDescent="0.25">
      <c r="A7" s="16" t="s">
        <v>47</v>
      </c>
      <c r="B7" t="s">
        <v>37</v>
      </c>
      <c r="C7" t="s">
        <v>12</v>
      </c>
      <c r="D7" s="17" t="s">
        <v>44</v>
      </c>
      <c r="E7" s="29">
        <v>25185.11</v>
      </c>
      <c r="F7" s="30">
        <v>-180.12</v>
      </c>
      <c r="G7" s="32">
        <v>-6035.78</v>
      </c>
      <c r="H7" s="32">
        <v>23607.66</v>
      </c>
      <c r="I7" s="32">
        <v>18969.210000000003</v>
      </c>
      <c r="J7" s="28">
        <f t="shared" si="0"/>
        <v>-0.19648071854643778</v>
      </c>
      <c r="K7" s="32">
        <v>-2391.84</v>
      </c>
      <c r="L7" s="30">
        <v>31919.439999999999</v>
      </c>
      <c r="M7" s="28">
        <f t="shared" si="4"/>
        <v>-14.345140143153387</v>
      </c>
      <c r="N7" s="30">
        <v>21926.12</v>
      </c>
      <c r="O7" s="30">
        <v>-4373.0200000000004</v>
      </c>
      <c r="P7" s="28">
        <f t="shared" si="1"/>
        <v>-1.1994434035752792</v>
      </c>
      <c r="Q7" s="30">
        <v>-2355.08</v>
      </c>
      <c r="R7" s="33">
        <f>IFERROR(VLOOKUP(C7,'2026-06'!A:B,2,FALSE),0)</f>
        <v>-3182.34</v>
      </c>
      <c r="S7" s="28">
        <f>IF(Q7=0,1,(R7-Q7)/Q7)</f>
        <v>0.35126619902508632</v>
      </c>
      <c r="T7" s="30">
        <f>SUM(K7,N7,Q7)</f>
        <v>17179.199999999997</v>
      </c>
      <c r="U7" s="30">
        <f>SUM(L7,O7,R7)</f>
        <v>24364.079999999998</v>
      </c>
      <c r="V7" s="41">
        <f>IF(T7=0,1,(U7-T7)/T7)</f>
        <v>0.4182313495389775</v>
      </c>
    </row>
    <row r="8" spans="1:25" outlineLevel="1" x14ac:dyDescent="0.25">
      <c r="A8" s="16" t="s">
        <v>47</v>
      </c>
      <c r="B8" t="s">
        <v>37</v>
      </c>
      <c r="C8" t="s">
        <v>13</v>
      </c>
      <c r="D8" s="17" t="s">
        <v>41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28">
        <f t="shared" ref="J8:J10" si="6">IF(H8,(I8-H8)/H8,0)</f>
        <v>0</v>
      </c>
      <c r="K8" s="32">
        <v>0</v>
      </c>
      <c r="L8" s="30">
        <v>4676.6000000000004</v>
      </c>
      <c r="M8" s="28">
        <f t="shared" si="4"/>
        <v>0</v>
      </c>
      <c r="N8" s="30">
        <v>0</v>
      </c>
      <c r="O8" s="30">
        <v>3650.47</v>
      </c>
      <c r="P8" s="28">
        <f t="shared" si="1"/>
        <v>0</v>
      </c>
      <c r="Q8" s="30">
        <v>0</v>
      </c>
      <c r="R8" s="33">
        <f>IFERROR(VLOOKUP(C8,'2026-06'!A:B,2,FALSE),0)</f>
        <v>7389.94</v>
      </c>
      <c r="S8" s="28">
        <f>IF(Q8=0,1,(R8-Q8)/Q8)</f>
        <v>1</v>
      </c>
      <c r="T8" s="30">
        <f t="shared" ref="T8:T10" si="7">SUM(K8,N8,Q8)</f>
        <v>0</v>
      </c>
      <c r="U8" s="30">
        <f t="shared" ref="U8:U10" si="8">SUM(L8,O8,R8)</f>
        <v>15717.009999999998</v>
      </c>
      <c r="V8" s="41">
        <f t="shared" ref="V8:V10" si="9">IF(T8=0,1,(U8-T8)/T8)</f>
        <v>1</v>
      </c>
    </row>
    <row r="9" spans="1:25" outlineLevel="1" x14ac:dyDescent="0.25">
      <c r="A9" s="16" t="s">
        <v>47</v>
      </c>
      <c r="B9" t="s">
        <v>37</v>
      </c>
      <c r="C9" t="s">
        <v>39</v>
      </c>
      <c r="D9" s="17" t="s">
        <v>42</v>
      </c>
      <c r="E9" s="29">
        <v>21653.46</v>
      </c>
      <c r="F9" s="30">
        <v>-10050.67</v>
      </c>
      <c r="G9" s="32">
        <v>10681.06</v>
      </c>
      <c r="H9" s="32">
        <v>44960.480000000003</v>
      </c>
      <c r="I9" s="32">
        <v>22283.85</v>
      </c>
      <c r="J9" s="28">
        <f t="shared" si="6"/>
        <v>-0.50436805834813159</v>
      </c>
      <c r="K9" s="32">
        <v>-5668.53</v>
      </c>
      <c r="L9" s="30">
        <v>-3260.58</v>
      </c>
      <c r="M9" s="28">
        <f t="shared" si="4"/>
        <v>-0.42479267111579189</v>
      </c>
      <c r="N9" s="30">
        <v>18541.32</v>
      </c>
      <c r="O9" s="30">
        <v>0</v>
      </c>
      <c r="P9" s="28">
        <f t="shared" si="1"/>
        <v>-1</v>
      </c>
      <c r="Q9" s="30">
        <v>36254.32</v>
      </c>
      <c r="R9" s="33">
        <f>IFERROR(VLOOKUP(C9,'2026-06'!A:B,2,FALSE),0)</f>
        <v>0</v>
      </c>
      <c r="S9" s="28">
        <f>IF(Q9=0,1,(R9-Q9)/Q9)</f>
        <v>-1</v>
      </c>
      <c r="T9" s="30">
        <f t="shared" si="7"/>
        <v>49127.11</v>
      </c>
      <c r="U9" s="30">
        <f t="shared" si="8"/>
        <v>-3260.58</v>
      </c>
      <c r="V9" s="41">
        <f t="shared" si="9"/>
        <v>-1.0663702790577341</v>
      </c>
    </row>
    <row r="10" spans="1:25" outlineLevel="1" x14ac:dyDescent="0.25">
      <c r="A10" s="16" t="s">
        <v>47</v>
      </c>
      <c r="B10" t="s">
        <v>37</v>
      </c>
      <c r="C10" t="s">
        <v>14</v>
      </c>
      <c r="D10" s="17" t="s">
        <v>45</v>
      </c>
      <c r="E10" s="29">
        <v>149126.43</v>
      </c>
      <c r="F10" s="30">
        <v>133942.82999999999</v>
      </c>
      <c r="G10" s="32">
        <v>186654.3</v>
      </c>
      <c r="H10" s="32">
        <v>285100.13</v>
      </c>
      <c r="I10" s="32">
        <v>469723.56</v>
      </c>
      <c r="J10" s="28">
        <f t="shared" si="6"/>
        <v>0.64757399444188257</v>
      </c>
      <c r="K10" s="32">
        <v>157996.04</v>
      </c>
      <c r="L10" s="30">
        <v>82160.850000000006</v>
      </c>
      <c r="M10" s="28">
        <f t="shared" si="4"/>
        <v>-0.47998158688027875</v>
      </c>
      <c r="N10" s="30">
        <v>178626.14</v>
      </c>
      <c r="O10" s="30">
        <v>183000.29</v>
      </c>
      <c r="P10" s="28">
        <f t="shared" si="1"/>
        <v>2.4487737349080003E-2</v>
      </c>
      <c r="Q10" s="30">
        <v>175795.68</v>
      </c>
      <c r="R10" s="33">
        <f>IFERROR(VLOOKUP(C10,'2026-06'!A:B,2,FALSE),0)</f>
        <v>141435.66</v>
      </c>
      <c r="S10" s="28">
        <f>IF(Q10=0,1,(R10-Q10)/Q10)</f>
        <v>-0.1954542910269467</v>
      </c>
      <c r="T10" s="30">
        <f t="shared" si="7"/>
        <v>512417.86000000004</v>
      </c>
      <c r="U10" s="30">
        <f t="shared" si="8"/>
        <v>406596.80000000005</v>
      </c>
      <c r="V10" s="41">
        <f t="shared" si="9"/>
        <v>-0.20651321560103308</v>
      </c>
    </row>
    <row r="11" spans="1:25" outlineLevel="1" x14ac:dyDescent="0.25">
      <c r="A11" s="18"/>
      <c r="B11" s="19"/>
      <c r="C11" s="19"/>
      <c r="D11" s="20"/>
      <c r="E11" s="35"/>
      <c r="F11" s="36"/>
      <c r="G11" s="36"/>
      <c r="H11" s="36"/>
      <c r="I11" s="36"/>
      <c r="J11" s="37"/>
      <c r="K11" s="36"/>
      <c r="L11" s="36"/>
      <c r="M11" s="37"/>
      <c r="N11" s="36"/>
      <c r="O11" s="36"/>
      <c r="P11" s="37"/>
      <c r="Q11" s="36"/>
      <c r="R11" s="38"/>
      <c r="S11" s="37"/>
      <c r="T11" s="36"/>
      <c r="U11" s="36"/>
      <c r="V11" s="39"/>
    </row>
    <row r="12" spans="1:25" s="26" customFormat="1" ht="15.75" x14ac:dyDescent="0.25">
      <c r="A12" s="21" t="s">
        <v>40</v>
      </c>
      <c r="B12" s="22"/>
      <c r="C12" s="22"/>
      <c r="D12" s="23" t="s">
        <v>46</v>
      </c>
      <c r="E12" s="34">
        <f>SUMIF(E2:E11,"&lt;&gt;#N/A")</f>
        <v>913518.84000000008</v>
      </c>
      <c r="F12" s="34">
        <f>SUMIF(F2:F11,"&lt;&gt;#N/A")</f>
        <v>742330.19</v>
      </c>
      <c r="G12" s="34">
        <f>SUMIF(G2:G11,"&lt;&gt;#N/A")</f>
        <v>865474.74</v>
      </c>
      <c r="H12" s="34">
        <f>SUMIF(H2:H11,"&lt;&gt;#N/A")</f>
        <v>2063279.2599999998</v>
      </c>
      <c r="I12" s="34">
        <f>SUMIF(I2:I11,"&lt;&gt;#N/A")</f>
        <v>2521323.77</v>
      </c>
      <c r="J12" s="24">
        <f>(I12-H12)/H12</f>
        <v>0.22199831059223671</v>
      </c>
      <c r="K12" s="34">
        <f>SUMIF(K2:K11,"&lt;&gt;#N/A")</f>
        <v>788311.56</v>
      </c>
      <c r="L12" s="34">
        <f>SUMIF(L2:L11,"&lt;&gt;#N/A")</f>
        <v>706795.21</v>
      </c>
      <c r="M12" s="24">
        <f>(L12-K12)/K12</f>
        <v>-0.10340625982955279</v>
      </c>
      <c r="N12" s="34">
        <f>SUMIF(N2:N11,"&lt;&gt;#N/A")</f>
        <v>796216.96</v>
      </c>
      <c r="O12" s="34">
        <f>SUMIF(O2:O11,"&lt;&gt;#N/A")</f>
        <v>671994.97</v>
      </c>
      <c r="P12" s="24">
        <f>(O12-N12)/N12</f>
        <v>-0.15601525242567052</v>
      </c>
      <c r="Q12" s="34">
        <f>SUMIF(Q2:Q11,"&lt;&gt;#N/A")</f>
        <v>870351.97</v>
      </c>
      <c r="R12" s="34">
        <f>SUMIF(R2:R11,"&lt;&gt;#N/A")</f>
        <v>145643.26</v>
      </c>
      <c r="S12" s="24">
        <f>(R12-Q12)/Q12</f>
        <v>-0.83266165296322592</v>
      </c>
      <c r="T12" s="34">
        <f>K12+N12+Q12</f>
        <v>2454880.4900000002</v>
      </c>
      <c r="U12" s="34">
        <f>L12+O12+R12</f>
        <v>1524433.44</v>
      </c>
      <c r="V12" s="25">
        <f>(U12-T12)/T12</f>
        <v>-0.37901928578201383</v>
      </c>
      <c r="W12"/>
      <c r="X12"/>
    </row>
  </sheetData>
  <conditionalFormatting sqref="C2:C10">
    <cfRule type="containsBlanks" dxfId="0" priority="1">
      <formula>LEN(TRIM(C2))=0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CA17-8711-4022-A525-7A70777989A8}">
  <dimension ref="A1:C5"/>
  <sheetViews>
    <sheetView workbookViewId="0">
      <selection activeCell="B5" sqref="B5"/>
    </sheetView>
  </sheetViews>
  <sheetFormatPr baseColWidth="10" defaultRowHeight="15" x14ac:dyDescent="0.25"/>
  <cols>
    <col min="1" max="1" width="13.42578125" customWidth="1"/>
    <col min="2" max="2" width="21.7109375" style="1" customWidth="1"/>
    <col min="3" max="3" width="25.7109375" customWidth="1"/>
  </cols>
  <sheetData>
    <row r="1" spans="1:3" x14ac:dyDescent="0.25">
      <c r="A1" t="s">
        <v>0</v>
      </c>
      <c r="B1" s="1" t="s">
        <v>1</v>
      </c>
      <c r="C1" t="s">
        <v>2</v>
      </c>
    </row>
    <row r="2" spans="1:3" x14ac:dyDescent="0.25">
      <c r="A2" t="s">
        <v>11</v>
      </c>
      <c r="B2" s="1">
        <v>24605.35</v>
      </c>
      <c r="C2" t="s">
        <v>43</v>
      </c>
    </row>
    <row r="3" spans="1:3" x14ac:dyDescent="0.25">
      <c r="A3" t="s">
        <v>12</v>
      </c>
      <c r="B3" s="1">
        <v>-3182.34</v>
      </c>
      <c r="C3" t="s">
        <v>44</v>
      </c>
    </row>
    <row r="4" spans="1:3" x14ac:dyDescent="0.25">
      <c r="A4" t="s">
        <v>13</v>
      </c>
      <c r="B4" s="1">
        <v>7389.94</v>
      </c>
      <c r="C4" t="s">
        <v>41</v>
      </c>
    </row>
    <row r="5" spans="1:3" x14ac:dyDescent="0.25">
      <c r="A5" t="s">
        <v>14</v>
      </c>
      <c r="B5" s="1">
        <v>141435.66</v>
      </c>
      <c r="C5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D6FC1-C372-49E4-95EA-114D91A7D23F}">
  <dimension ref="A2"/>
  <sheetViews>
    <sheetView workbookViewId="0">
      <selection activeCell="C15" sqref="C15"/>
    </sheetView>
  </sheetViews>
  <sheetFormatPr baseColWidth="10" defaultRowHeight="15" x14ac:dyDescent="0.25"/>
  <cols>
    <col min="1" max="1" width="81.140625" customWidth="1"/>
  </cols>
  <sheetData>
    <row r="2" spans="1:1" x14ac:dyDescent="0.25">
      <c r="A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</vt:lpstr>
      <vt:lpstr>2026-06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 LESPAGNOL</dc:creator>
  <cp:lastModifiedBy>Chris ARCHET</cp:lastModifiedBy>
  <cp:lastPrinted>2026-07-08T07:44:27Z</cp:lastPrinted>
  <dcterms:created xsi:type="dcterms:W3CDTF">2026-07-07T07:16:34Z</dcterms:created>
  <dcterms:modified xsi:type="dcterms:W3CDTF">2026-07-13T11:43:37Z</dcterms:modified>
</cp:coreProperties>
</file>