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01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41CE1E4-9CB1-4804-A25D-B9C5D37F1594}" xr6:coauthVersionLast="47" xr6:coauthVersionMax="47" xr10:uidLastSave="{00000000-0000-0000-0000-000000000000}"/>
  <bookViews>
    <workbookView xWindow="-120" yWindow="-120" windowWidth="38640" windowHeight="15990" xr2:uid="{2D80666A-D54C-43E6-9529-778653672D38}"/>
  </bookViews>
  <sheets>
    <sheet name="Tableau de Bord" sheetId="1" r:id="rId1"/>
    <sheet name="Feuil1" sheetId="4" r:id="rId2"/>
    <sheet name="Base" sheetId="2" r:id="rId3"/>
    <sheet name="TCD" sheetId="3" r:id="rId4"/>
  </sheets>
  <definedNames>
    <definedName name="BDD_Action">Tableau2[]</definedName>
    <definedName name="Catégorie">Tableau2[ETF/Actions]</definedName>
    <definedName name="LCatégorie">Tableau2[ETF/Actions]</definedName>
    <definedName name="Segment_ETF_Action">#N/A</definedName>
    <definedName name="Segment_Mois">#N/A</definedName>
  </definedNames>
  <calcPr calcId="191029"/>
  <pivotCaches>
    <pivotCache cacheId="0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N2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F20" i="1"/>
  <c r="F21" i="1"/>
  <c r="F22" i="1"/>
  <c r="F23" i="1"/>
  <c r="F24" i="1"/>
  <c r="F25" i="1"/>
  <c r="F26" i="1"/>
  <c r="F27" i="1"/>
  <c r="F28" i="1"/>
  <c r="F29" i="1"/>
  <c r="F30" i="1"/>
  <c r="F31" i="1"/>
  <c r="F19" i="1"/>
  <c r="F18" i="1"/>
  <c r="F12" i="1"/>
  <c r="F13" i="1"/>
  <c r="F14" i="1"/>
  <c r="F15" i="1"/>
  <c r="F16" i="1"/>
  <c r="F17" i="1"/>
  <c r="F11" i="1"/>
  <c r="F10" i="1"/>
  <c r="C2" i="4" l="1" a="1"/>
  <c r="C2" i="4" s="1"/>
  <c r="B2" i="4" a="1"/>
  <c r="B2" i="4" s="1"/>
  <c r="B4" i="4" a="1"/>
  <c r="B4" i="4" s="1"/>
  <c r="C4" i="4" a="1"/>
  <c r="C4" i="4" s="1"/>
  <c r="I7" i="2"/>
  <c r="I6" i="2"/>
  <c r="I15" i="2"/>
  <c r="J15" i="2" s="1"/>
  <c r="I5" i="2"/>
  <c r="I10" i="2"/>
  <c r="I9" i="2"/>
  <c r="I8" i="2"/>
  <c r="I11" i="2"/>
  <c r="J11" i="2" s="1"/>
  <c r="I12" i="2"/>
  <c r="J12" i="2" s="1"/>
  <c r="I13" i="2"/>
  <c r="J13" i="2" s="1"/>
  <c r="I14" i="2"/>
  <c r="J14" i="2" s="1"/>
  <c r="I4" i="2"/>
  <c r="J4" i="2" s="1"/>
  <c r="J5" i="2" l="1"/>
  <c r="J6" i="2" s="1"/>
  <c r="J7" i="2" s="1"/>
  <c r="J8" i="2" s="1"/>
  <c r="J9" i="2" s="1"/>
  <c r="J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<sst xmlns="http://schemas.openxmlformats.org/spreadsheetml/2006/main" count="91" uniqueCount="63">
  <si>
    <t>ETF/Action</t>
  </si>
  <si>
    <t>Date</t>
  </si>
  <si>
    <t>Somme</t>
  </si>
  <si>
    <t>Nbr Parts</t>
  </si>
  <si>
    <t>Frais</t>
  </si>
  <si>
    <t>ETF/Actions</t>
  </si>
  <si>
    <t>ISIN</t>
  </si>
  <si>
    <t>MSCI World Swap PEA</t>
  </si>
  <si>
    <t>IE0002XZSHO1</t>
  </si>
  <si>
    <t>StoXX Europe 600 (Dist)</t>
  </si>
  <si>
    <t>FR0011550672</t>
  </si>
  <si>
    <t>S&amp;P 500</t>
  </si>
  <si>
    <t>FR0011550185</t>
  </si>
  <si>
    <t>PEA MSCI Emerging Markets</t>
  </si>
  <si>
    <t>FR0013412020</t>
  </si>
  <si>
    <t>StoXX Europe 600 (Acc)</t>
  </si>
  <si>
    <t>FR0011550193</t>
  </si>
  <si>
    <t>Gold</t>
  </si>
  <si>
    <t>FR0013416716</t>
  </si>
  <si>
    <t>Bitcoin</t>
  </si>
  <si>
    <t>Xiaomi</t>
  </si>
  <si>
    <t>KYG9830T1067</t>
  </si>
  <si>
    <t>Lev MSCI USA EUR</t>
  </si>
  <si>
    <t>FR0010755611</t>
  </si>
  <si>
    <t>MSCI USA Information Tech USD</t>
  </si>
  <si>
    <t>IE00BGQYRS42</t>
  </si>
  <si>
    <t>PEA US Tech ESG EUR</t>
  </si>
  <si>
    <t>FR0013412269</t>
  </si>
  <si>
    <t>Russel 2000 EUR</t>
  </si>
  <si>
    <t>LU1681038672</t>
  </si>
  <si>
    <t>Amazon</t>
  </si>
  <si>
    <t>US0231351067</t>
  </si>
  <si>
    <t>MSCI Semi Conductors ESG</t>
  </si>
  <si>
    <t>LU1900066033</t>
  </si>
  <si>
    <t>---</t>
  </si>
  <si>
    <t>Somme de Somme</t>
  </si>
  <si>
    <t>Étiquettes de lignes</t>
  </si>
  <si>
    <t>Total général</t>
  </si>
  <si>
    <t>Mois</t>
  </si>
  <si>
    <t>Investissement total PEA</t>
  </si>
  <si>
    <t>Investissement sur Filtre</t>
  </si>
  <si>
    <t>iBonds Dec 2028 EUR (Dist)</t>
  </si>
  <si>
    <t>IE000264WWY0</t>
  </si>
  <si>
    <t>Prix de revient unitaire par ETF</t>
  </si>
  <si>
    <t>S&amp;P500</t>
  </si>
  <si>
    <t>MSCI World</t>
  </si>
  <si>
    <t>StoXX Europe</t>
  </si>
  <si>
    <t>Emerging Market</t>
  </si>
  <si>
    <t>Mois d'invest</t>
  </si>
  <si>
    <t>Mars</t>
  </si>
  <si>
    <t>Mai</t>
  </si>
  <si>
    <t>Juin</t>
  </si>
  <si>
    <t>Août</t>
  </si>
  <si>
    <t>Total investi</t>
  </si>
  <si>
    <t>Janv</t>
  </si>
  <si>
    <t>Févr</t>
  </si>
  <si>
    <t>Avr</t>
  </si>
  <si>
    <t>Juil</t>
  </si>
  <si>
    <t>Sept</t>
  </si>
  <si>
    <t>Oct</t>
  </si>
  <si>
    <t>Nov</t>
  </si>
  <si>
    <t>Déc</t>
  </si>
  <si>
    <t>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</si>
</sst>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.00\ &quot;€&quot;"/>
  </numFmts>
  <fonts count="5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8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0" fontId="1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8" fontId="1" fillId="2" borderId="6" xfId="0" applyNumberFormat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4" fontId="0" fillId="0" borderId="12" xfId="0" applyNumberFormat="1" applyBorder="1"/>
    <xf numFmtId="164" fontId="0" fillId="0" borderId="13" xfId="0" applyNumberFormat="1" applyBorder="1"/>
    <xf numFmtId="164" fontId="0" fillId="0" borderId="9" xfId="0" applyNumberFormat="1" applyBorder="1"/>
    <xf numFmtId="164" fontId="0" fillId="0" borderId="14" xfId="0" applyNumberFormat="1" applyBorder="1"/>
    <xf numFmtId="164" fontId="0" fillId="0" borderId="10" xfId="0" applyNumberFormat="1" applyBorder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8" fontId="2" fillId="2" borderId="1" xfId="0" applyNumberFormat="1" applyFont="1" applyFill="1" applyBorder="1" applyAlignment="1">
      <alignment horizontal="center" vertical="center"/>
    </xf>
    <xf numFmtId="8" fontId="2" fillId="2" borderId="2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3" borderId="0" xfId="0" applyFont="1" applyFill="1" applyAlignment="1">
      <alignment vertical="center"/>
    </xf>
  </cellXfs>
  <cellStyles count="1">
    <cellStyle name="Normal" xfId="0" builtinId="0"/>
  </cellStyles>
  <dxfs count="15">
    <dxf>
      <numFmt numFmtId="14" formatCode="0.00%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4" formatCode="0.00%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2" formatCode="#,##0.00\ &quot;€&quot;;[Red]\-#,##0.00\ &quot;€&quot;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9" formatCode="dd/mm/yyyy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solid">
          <bgColor theme="2" tint="-0.749961851863155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SlicerStyleLight3 2" pivot="0" table="0" count="10" xr9:uid="{35C2BA88-BCB0-4871-9944-8FBCE611CF9C}">
      <tableStyleElement type="wholeTable" dxfId="14"/>
      <tableStyleElement type="headerRow" dxfId="13"/>
    </tableStyle>
    <tableStyle name="Style de segment 1" pivot="0" table="0" count="3" xr9:uid="{56935EDD-F948-4A31-8754-5F9D0F8A6708}">
      <tableStyleElement type="wholeTable" dxfId="12"/>
    </tableStyle>
  </tableStyles>
  <colors>
    <mruColors>
      <color rgb="FFE2CFF1"/>
      <color rgb="FFB482DA"/>
      <color rgb="FF7CBF33"/>
    </mruColors>
  </colors>
  <extLst>
    <ext xmlns:x14="http://schemas.microsoft.com/office/spreadsheetml/2009/9/main" uri="{46F421CA-312F-682f-3DD2-61675219B42D}">
      <x14:dxfs count="10">
        <dxf>
          <fill>
            <patternFill>
              <bgColor rgb="FF7CBF33"/>
            </patternFill>
          </fill>
        </dxf>
        <dxf>
          <fill>
            <patternFill>
              <bgColor theme="9" tint="0.59996337778862885"/>
            </patternFill>
          </fill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5117038483843"/>
              <bgColor rgb="FFE2CFF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rgb="FFB482DA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theme="8" tint="-0.2499465926084170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3 2">
          <x14:slicerStyleElements>
            <x14:slicerStyleElement type="unselectedItemWithData" dxfId="9"/>
            <x14:slicerStyleElement type="unselectedItemWithNoData" dxfId="8"/>
            <x14:slicerStyleElement type="selectedItemWithData" dxfId="7"/>
            <x14:slicerStyleElement type="selectedItemWithNoData" dxfId="6"/>
            <x14:slicerStyleElement type="hoveredUnselectedItemWithData" dxfId="5"/>
            <x14:slicerStyleElement type="hoveredSelectedItemWithData" dxfId="4"/>
            <x14:slicerStyleElement type="hoveredUnselectedItemWithNoData" dxfId="3"/>
            <x14:slicerStyleElement type="hoveredSelectedItemWithNoData" dxfId="2"/>
          </x14:slicerStyleElements>
        </x14:slicerStyle>
        <x14:slicerStyle name="Style de segment 1">
          <x14:slicerStyleElements>
            <x14:slicerStyleElement type="unselectedItemWithData" dxfId="1"/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[suivi-invest2.xlsx]TCD!Tableau croisé dynamique10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>
                <a:solidFill>
                  <a:srgbClr val="002060"/>
                </a:solidFill>
                <a:latin typeface="Centaur" panose="02030504050205020304" pitchFamily="18" charset="0"/>
              </a:rPr>
              <a:t>Répartition PEA</a:t>
            </a:r>
          </a:p>
        </c:rich>
      </c:tx>
      <c:layout>
        <c:manualLayout>
          <c:xMode val="edge"/>
          <c:yMode val="edge"/>
          <c:x val="0.32663888888888887"/>
          <c:y val="4.990522018081073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3.3333333333333333E-2"/>
              <c:y val="-0.2361111111111111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0.18333333333333332"/>
              <c:y val="3.240740740740723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-8.3333333333333356E-2"/>
              <c:y val="9.25925925925925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-8.3333333333333329E-2"/>
              <c:y val="3.240740740740740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-7.7777777777777793E-2"/>
              <c:y val="-8.333333333333332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3655205599300088"/>
          <c:y val="0.20437299504228637"/>
          <c:w val="0.44682064741907263"/>
          <c:h val="0.74470107903178773"/>
        </c:manualLayout>
      </c:layout>
      <c:doughnut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effectLst>
              <a:outerShdw blurRad="50800" dist="25400" dir="5400000" algn="ctr" rotWithShape="0">
                <a:srgbClr val="000000">
                  <a:alpha val="43137"/>
                </a:srgbClr>
              </a:outerShdw>
            </a:effectLst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18CB-4680-89DD-F2CDCE335E0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18CB-4680-89DD-F2CDCE335E0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18CB-4680-89DD-F2CDCE335E0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18CB-4680-89DD-F2CDCE335E0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18CB-4680-89DD-F2CDCE335E0E}"/>
              </c:ext>
            </c:extLst>
          </c:dPt>
          <c:dLbls>
            <c:dLbl>
              <c:idx val="0"/>
              <c:layout>
                <c:manualLayout>
                  <c:x val="3.3333333333333333E-2"/>
                  <c:y val="-0.2361111111111111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8CB-4680-89DD-F2CDCE335E0E}"/>
                </c:ext>
              </c:extLst>
            </c:dLbl>
            <c:dLbl>
              <c:idx val="1"/>
              <c:layout>
                <c:manualLayout>
                  <c:x val="0.18333333333333332"/>
                  <c:y val="3.240740740740723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8CB-4680-89DD-F2CDCE335E0E}"/>
                </c:ext>
              </c:extLst>
            </c:dLbl>
            <c:dLbl>
              <c:idx val="2"/>
              <c:layout>
                <c:manualLayout>
                  <c:x val="-8.3333333333333356E-2"/>
                  <c:y val="9.259259259259258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8CB-4680-89DD-F2CDCE335E0E}"/>
                </c:ext>
              </c:extLst>
            </c:dLbl>
            <c:dLbl>
              <c:idx val="3"/>
              <c:layout>
                <c:manualLayout>
                  <c:x val="-8.3333333333333329E-2"/>
                  <c:y val="3.240740740740740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18CB-4680-89DD-F2CDCE335E0E}"/>
                </c:ext>
              </c:extLst>
            </c:dLbl>
            <c:dLbl>
              <c:idx val="4"/>
              <c:layout>
                <c:manualLayout>
                  <c:x val="-7.7777777777777793E-2"/>
                  <c:y val="-8.33333333333333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8CB-4680-89DD-F2CDCE335E0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sng" strike="noStrike" kern="1200" baseline="30000">
                    <a:solidFill>
                      <a:srgbClr val="92D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TCD!$A$4:$A$9</c:f>
              <c:strCache>
                <c:ptCount val="5"/>
                <c:pt idx="0">
                  <c:v>MSCI World Swap PEA</c:v>
                </c:pt>
                <c:pt idx="1">
                  <c:v>PEA MSCI Emerging Markets</c:v>
                </c:pt>
                <c:pt idx="2">
                  <c:v>S&amp;P 500</c:v>
                </c:pt>
                <c:pt idx="3">
                  <c:v>StoXX Europe 600 (Acc)</c:v>
                </c:pt>
                <c:pt idx="4">
                  <c:v>StoXX Europe 600 (Dist)</c:v>
                </c:pt>
              </c:strCache>
            </c:strRef>
          </c:cat>
          <c:val>
            <c:numRef>
              <c:f>TCD!$B$4:$B$9</c:f>
              <c:numCache>
                <c:formatCode>0.00%</c:formatCode>
                <c:ptCount val="5"/>
                <c:pt idx="0">
                  <c:v>0.44403531528515838</c:v>
                </c:pt>
                <c:pt idx="1">
                  <c:v>0.10215908615423239</c:v>
                </c:pt>
                <c:pt idx="2">
                  <c:v>0.12080003347420394</c:v>
                </c:pt>
                <c:pt idx="3">
                  <c:v>7.3057450102514757E-2</c:v>
                </c:pt>
                <c:pt idx="4">
                  <c:v>0.25994811498389053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18CB-4680-89DD-F2CDCE335E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60554846062547"/>
          <c:y val="0.32544528213138718"/>
          <c:w val="0.38153777698100627"/>
          <c:h val="0.576766589033738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2400" b="1">
                <a:solidFill>
                  <a:srgbClr val="002060"/>
                </a:solidFill>
                <a:latin typeface="Centaur" panose="02030504050205020304" pitchFamily="18" charset="0"/>
              </a:rPr>
              <a:t>Évolution du PEA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Base!$H$4:$H$15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Base!$J$4:$J$15</c:f>
              <c:numCache>
                <c:formatCode>#\ ##0.00\ "€"</c:formatCode>
                <c:ptCount val="12"/>
                <c:pt idx="0">
                  <c:v>0</c:v>
                </c:pt>
                <c:pt idx="1">
                  <c:v>67.900000000000006</c:v>
                </c:pt>
                <c:pt idx="2">
                  <c:v>166.49</c:v>
                </c:pt>
                <c:pt idx="3">
                  <c:v>237.72000000000003</c:v>
                </c:pt>
                <c:pt idx="4">
                  <c:v>305.75</c:v>
                </c:pt>
                <c:pt idx="5">
                  <c:v>438.56</c:v>
                </c:pt>
                <c:pt idx="6">
                  <c:v>477.98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576-4F53-932B-3056FDBFF3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82052527"/>
        <c:axId val="982053967"/>
      </c:lineChart>
      <c:catAx>
        <c:axId val="9820525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2053967"/>
        <c:crosses val="autoZero"/>
        <c:auto val="1"/>
        <c:lblAlgn val="ctr"/>
        <c:lblOffset val="100"/>
        <c:noMultiLvlLbl val="0"/>
      </c:catAx>
      <c:valAx>
        <c:axId val="9820539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20525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219074</xdr:colOff>
      <xdr:row>0</xdr:row>
      <xdr:rowOff>180973</xdr:rowOff>
    </xdr:from>
    <xdr:to>
      <xdr:col>11</xdr:col>
      <xdr:colOff>400050</xdr:colOff>
      <xdr:row>35</xdr:row>
      <xdr:rowOff>104774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3D1C223-9E35-43AF-9596-9706B8EEDAF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9525</xdr:colOff>
      <xdr:row>0</xdr:row>
      <xdr:rowOff>38099</xdr:rowOff>
    </xdr:from>
    <xdr:to>
      <xdr:col>1</xdr:col>
      <xdr:colOff>704850</xdr:colOff>
      <xdr:row>7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ETF/Action 1">
              <a:extLst>
                <a:ext uri="{FF2B5EF4-FFF2-40B4-BE49-F238E27FC236}">
                  <a16:creationId xmlns:a16="http://schemas.microsoft.com/office/drawing/2014/main" id="{123159DE-AB46-90CD-7AE8-A024FBE938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F/Ac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" y="38099"/>
              <a:ext cx="2381250" cy="13335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723900</xdr:colOff>
      <xdr:row>0</xdr:row>
      <xdr:rowOff>38100</xdr:rowOff>
    </xdr:from>
    <xdr:to>
      <xdr:col>4</xdr:col>
      <xdr:colOff>57150</xdr:colOff>
      <xdr:row>7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Mois 1">
              <a:extLst>
                <a:ext uri="{FF2B5EF4-FFF2-40B4-BE49-F238E27FC236}">
                  <a16:creationId xmlns:a16="http://schemas.microsoft.com/office/drawing/2014/main" id="{A72D7471-EB6E-4146-4564-E5660EEB85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09825" y="38100"/>
              <a:ext cx="182880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428625</xdr:colOff>
      <xdr:row>36</xdr:row>
      <xdr:rowOff>57150</xdr:rowOff>
    </xdr:from>
    <xdr:to>
      <xdr:col>11</xdr:col>
      <xdr:colOff>295275</xdr:colOff>
      <xdr:row>51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59277F9-741D-42D7-A55D-6D3EF5097D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1028700</xdr:colOff>
          <xdr:row>7</xdr:row>
          <xdr:rowOff>47625</xdr:rowOff>
        </xdr:from>
        <xdr:to>
          <xdr:col>14</xdr:col>
          <xdr:colOff>1028700</xdr:colOff>
          <xdr:row>20</xdr:row>
          <xdr:rowOff>66675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F4021D56-1A17-578B-22D4-41F54CF266C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A$1:$C$4" spid="_x0000_s1030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11830050" y="1381125"/>
              <a:ext cx="4552950" cy="8001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is blaque" refreshedDate="45844.692999421299" createdVersion="8" refreshedVersion="8" minRefreshableVersion="3" recordCount="22" xr:uid="{7E889C99-B48C-44B2-A114-33C8E8DDF5A3}">
  <cacheSource type="worksheet">
    <worksheetSource name="Tableau1"/>
  </cacheSource>
  <cacheFields count="7">
    <cacheField name="ETF/Action" numFmtId="0">
      <sharedItems count="6">
        <s v="MSCI World Swap PEA"/>
        <s v="StoXX Europe 600 (Dist)"/>
        <s v="S&amp;P 500"/>
        <s v="PEA MSCI Emerging Markets"/>
        <s v="StoXX Europe 600 (Acc)"/>
        <s v="PEA US Tech ESG EUR" u="1"/>
      </sharedItems>
    </cacheField>
    <cacheField name="Date" numFmtId="14">
      <sharedItems containsSemiMixedTypes="0" containsNonDate="0" containsDate="1" containsString="0" minDate="2025-02-17T00:00:00" maxDate="2025-07-03T00:00:00"/>
    </cacheField>
    <cacheField name="Mois" numFmtId="14">
      <sharedItems/>
    </cacheField>
    <cacheField name="Somme" numFmtId="8">
      <sharedItems containsSemiMixedTypes="0" containsString="0" containsNumber="1" minValue="14.48" maxValue="37.950000000000003"/>
    </cacheField>
    <cacheField name="PEA/CTO" numFmtId="0">
      <sharedItems/>
    </cacheField>
    <cacheField name="Nbr Parts" numFmtId="0">
      <sharedItems containsSemiMixedTypes="0" containsString="0" containsNumber="1" containsInteger="1" minValue="1" maxValue="7"/>
    </cacheField>
    <cacheField name="Frais" numFmtId="10">
      <sharedItems containsSemiMixedTypes="0" containsString="0" containsNumber="1" minValue="1.1999999999999999E-3" maxValue="1.1999999999999999E-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d v="2025-02-17T00:00:00"/>
    <s v="févr"/>
    <n v="22.8"/>
    <s v="PEA"/>
    <n v="4"/>
    <n v="1.1999999999999999E-3"/>
  </r>
  <r>
    <x v="0"/>
    <d v="2025-03-03T00:00:00"/>
    <s v="mars"/>
    <n v="29.3"/>
    <s v="PEA"/>
    <n v="5"/>
    <n v="1.1999999999999999E-3"/>
  </r>
  <r>
    <x v="0"/>
    <d v="2025-04-02T00:00:00"/>
    <s v="avr"/>
    <n v="21.58"/>
    <s v="PEA"/>
    <n v="4"/>
    <n v="1.1999999999999999E-3"/>
  </r>
  <r>
    <x v="0"/>
    <d v="2025-04-16T00:00:00"/>
    <s v="avr"/>
    <n v="19.82"/>
    <s v="PEA"/>
    <n v="4"/>
    <n v="1.1999999999999999E-3"/>
  </r>
  <r>
    <x v="0"/>
    <d v="2025-05-02T00:00:00"/>
    <s v="mai"/>
    <n v="20.88"/>
    <s v="PEA"/>
    <n v="4"/>
    <n v="1.1999999999999999E-3"/>
  </r>
  <r>
    <x v="0"/>
    <d v="2025-05-16T00:00:00"/>
    <s v="mai"/>
    <n v="16.100000000000001"/>
    <s v="PEA"/>
    <n v="3"/>
    <n v="1.1999999999999999E-3"/>
  </r>
  <r>
    <x v="0"/>
    <d v="2025-06-02T00:00:00"/>
    <s v="juin"/>
    <n v="37.950000000000003"/>
    <s v="PEA"/>
    <n v="7"/>
    <n v="1.1999999999999999E-3"/>
  </r>
  <r>
    <x v="0"/>
    <d v="2025-06-16T00:00:00"/>
    <s v="juin"/>
    <n v="21.78"/>
    <s v="PEA"/>
    <n v="4"/>
    <n v="1.1999999999999999E-3"/>
  </r>
  <r>
    <x v="0"/>
    <d v="2025-07-02T00:00:00"/>
    <s v="juil"/>
    <n v="22.03"/>
    <s v="PEA"/>
    <n v="4"/>
    <n v="1.1999999999999999E-3"/>
  </r>
  <r>
    <x v="1"/>
    <d v="2025-02-17T00:00:00"/>
    <s v="févr"/>
    <n v="15.82"/>
    <s v="PEA"/>
    <n v="1"/>
    <n v="1.1999999999999999E-3"/>
  </r>
  <r>
    <x v="2"/>
    <d v="2025-02-17T00:00:00"/>
    <s v="févr"/>
    <n v="29.28"/>
    <s v="PEA"/>
    <n v="1"/>
    <n v="1.1999999999999999E-3"/>
  </r>
  <r>
    <x v="3"/>
    <d v="2025-03-03T00:00:00"/>
    <s v="mars"/>
    <n v="24.79"/>
    <s v="PEA"/>
    <n v="1"/>
    <n v="1.1999999999999999E-3"/>
  </r>
  <r>
    <x v="1"/>
    <d v="2025-03-03T00:00:00"/>
    <s v="mars"/>
    <n v="16.04"/>
    <s v="PEA"/>
    <n v="1"/>
    <n v="1.1999999999999999E-3"/>
  </r>
  <r>
    <x v="2"/>
    <d v="2025-03-03T00:00:00"/>
    <s v="mars"/>
    <n v="28.46"/>
    <s v="PEA"/>
    <n v="1"/>
    <n v="1.1999999999999999E-3"/>
  </r>
  <r>
    <x v="1"/>
    <d v="2025-04-02T00:00:00"/>
    <s v="avr"/>
    <n v="15.35"/>
    <s v="PEA"/>
    <n v="1"/>
    <n v="1.1999999999999999E-3"/>
  </r>
  <r>
    <x v="1"/>
    <d v="2025-04-16T00:00:00"/>
    <s v="avr"/>
    <n v="14.48"/>
    <s v="PEA"/>
    <n v="1"/>
    <n v="1.1999999999999999E-3"/>
  </r>
  <r>
    <x v="1"/>
    <d v="2025-05-02T00:00:00"/>
    <s v="mai"/>
    <n v="15.26"/>
    <s v="PEA"/>
    <n v="1"/>
    <n v="1.1999999999999999E-3"/>
  </r>
  <r>
    <x v="1"/>
    <d v="2025-05-16T00:00:00"/>
    <s v="mai"/>
    <n v="15.79"/>
    <s v="PEA"/>
    <n v="1"/>
    <n v="1.1999999999999999E-3"/>
  </r>
  <r>
    <x v="1"/>
    <d v="2025-06-02T00:00:00"/>
    <s v="juin"/>
    <n v="31.51"/>
    <s v="PEA"/>
    <n v="2"/>
    <n v="1.1999999999999999E-3"/>
  </r>
  <r>
    <x v="4"/>
    <d v="2025-06-16T00:00:00"/>
    <s v="juin"/>
    <n v="17.53"/>
    <s v="PEA"/>
    <n v="1"/>
    <n v="1.1999999999999999E-3"/>
  </r>
  <r>
    <x v="3"/>
    <d v="2025-06-02T00:00:00"/>
    <s v="juin"/>
    <n v="24.04"/>
    <s v="PEA"/>
    <n v="1"/>
    <n v="1.1999999999999999E-3"/>
  </r>
  <r>
    <x v="4"/>
    <d v="2025-07-02T00:00:00"/>
    <s v="juil"/>
    <n v="17.39"/>
    <s v="PEA"/>
    <n v="1"/>
    <n v="1.1999999999999999E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75D318-018C-4D72-8B1D-9DFF1BC19813}" name="Tableau croisé dynamique10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1">
  <location ref="A3:B9" firstHeaderRow="1" firstDataRow="1" firstDataCol="1"/>
  <pivotFields count="7">
    <pivotField axis="axisRow" showAll="0" sortType="ascending">
      <items count="7">
        <item x="0"/>
        <item x="3"/>
        <item m="1" x="5"/>
        <item x="2"/>
        <item x="4"/>
        <item x="1"/>
        <item t="default"/>
      </items>
    </pivotField>
    <pivotField numFmtId="14" showAll="0"/>
    <pivotField showAll="0"/>
    <pivotField dataField="1" numFmtId="8" showAll="0"/>
    <pivotField showAll="0"/>
    <pivotField showAll="0"/>
    <pivotField numFmtId="10" showAll="0"/>
  </pivotFields>
  <rowFields count="1">
    <field x="0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Somme" fld="3" showDataAs="percentOfTotal" baseField="0" baseItem="0" numFmtId="10"/>
  </dataFields>
  <chartFormats count="12"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6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6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F_Action" xr10:uid="{4202BC8E-7BB8-40EF-B04F-4F65F9EFA98E}" sourceName="ETF/Action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A15E673-FD8A-481F-8CA5-860D2D864B17}" sourceName="Mois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TF/Action 1" xr10:uid="{E9D1930C-8947-4F58-A55F-54809AB14A1C}" cache="Segment_ETF_Action" caption="ETF/Action" columnCount="3" style="SlicerStyleLight3 2" rowHeight="257175"/>
  <slicer name="Mois 1" xr10:uid="{0E27B553-7689-4E58-93A3-AF0F6FE93CBE}" cache="Segment_Mois" caption="Mois" columnCount="2" style="SlicerStyleLight3 2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B0341E-2550-4B0B-8D5E-097D5CB44C9B}" name="Tableau1" displayName="Tableau1" ref="A9:F31" totalsRowShown="0" headerRowDxfId="11" dataDxfId="10">
  <autoFilter ref="A9:F31" xr:uid="{D2B0341E-2550-4B0B-8D5E-097D5CB44C9B}">
    <filterColumn colId="2">
      <filters>
        <filter val="mars"/>
      </filters>
    </filterColumn>
  </autoFilter>
  <tableColumns count="6">
    <tableColumn id="1" xr3:uid="{BBCBC23E-E892-4F88-A23A-C2DFBB8E7D59}" name="ETF/Action" dataDxfId="9"/>
    <tableColumn id="3" xr3:uid="{5A9715ED-1CA6-44E3-83FF-F360FF0C89A5}" name="Date" dataDxfId="8"/>
    <tableColumn id="2" xr3:uid="{BEA56C5E-FF9F-4015-8C93-E436B77F4D9D}" name="Mois" dataDxfId="7">
      <calculatedColumnFormula>TEXT(Tableau1[[#This Row],[Date]],"mmm")</calculatedColumnFormula>
    </tableColumn>
    <tableColumn id="4" xr3:uid="{AB4CD1DD-E3A9-4398-8132-AFF88B13F7B2}" name="Somme" dataDxfId="6"/>
    <tableColumn id="6" xr3:uid="{BB9B5788-A4A5-46EA-A94E-70F539417BA8}" name="Nbr Parts" dataDxfId="5"/>
    <tableColumn id="7" xr3:uid="{72C030BB-F655-4F45-99CF-0D81E8D8871E}" name="Frais" dataDxfId="4">
      <calculatedColumnFormula>IF(Tableau1[[#This Row],[ETF/Action]]="","",VLOOKUP(Tableau1[[#This Row],[ETF/Action]],Tableau2[],3))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B5D6BB-7661-4128-8AA0-1455E43B5B73}" name="Tableau2" displayName="Tableau2" ref="B3:D19" totalsRowShown="0" headerRowDxfId="3">
  <autoFilter ref="B3:D19" xr:uid="{D6B5D6BB-7661-4128-8AA0-1455E43B5B73}"/>
  <tableColumns count="3">
    <tableColumn id="1" xr3:uid="{4A7E6B51-4FA6-4BC8-88EA-A56135387449}" name="ETF/Actions" dataDxfId="2"/>
    <tableColumn id="3" xr3:uid="{0D7EBFD1-EE07-4F60-9C48-6995323C35FA}" name="ISIN" dataDxfId="1"/>
    <tableColumn id="4" xr3:uid="{0AF61588-670F-45F3-9576-E6D07F4A3D7D}" name="Fra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66B01-462D-42C4-BFDB-0DBB2FF0A7FA}">
  <dimension ref="A2:N46"/>
  <sheetViews>
    <sheetView showGridLines="0" tabSelected="1" workbookViewId="0">
      <selection activeCell="N40" sqref="N40"/>
    </sheetView>
  </sheetViews>
  <sheetFormatPr baseColWidth="10" defaultRowHeight="15" x14ac:dyDescent="0.25"/>
  <cols>
    <col min="1" max="1" width="25.28515625" style="6" bestFit="1" customWidth="1"/>
    <col min="2" max="2" width="11.42578125" style="6"/>
    <col min="3" max="3" width="12.42578125" style="6" bestFit="1" customWidth="1"/>
    <col min="4" max="4" width="13.5703125" style="6" bestFit="1" customWidth="1"/>
    <col min="5" max="7" width="11.42578125" style="6"/>
    <col min="8" max="8" width="29.5703125" style="6" bestFit="1" customWidth="1"/>
    <col min="9" max="10" width="11.42578125" style="6"/>
    <col min="11" max="11" width="12.5703125" style="6" bestFit="1" customWidth="1"/>
    <col min="12" max="12" width="15.5703125" style="6" bestFit="1" customWidth="1"/>
    <col min="13" max="13" width="29.5703125" style="6" bestFit="1" customWidth="1"/>
    <col min="14" max="14" width="23.140625" style="6" customWidth="1"/>
    <col min="15" max="15" width="15.5703125" style="6" bestFit="1" customWidth="1"/>
    <col min="16" max="16" width="12.5703125" style="6" bestFit="1" customWidth="1"/>
    <col min="17" max="18" width="15.5703125" style="6" bestFit="1" customWidth="1"/>
    <col min="19" max="16384" width="11.42578125" style="6"/>
  </cols>
  <sheetData>
    <row r="2" spans="1:14" x14ac:dyDescent="0.25">
      <c r="M2" s="23" t="s">
        <v>39</v>
      </c>
      <c r="N2" s="25">
        <f>SUM(Tableau1[Somme])</f>
        <v>477.98000000000008</v>
      </c>
    </row>
    <row r="3" spans="1:14" ht="15" customHeight="1" x14ac:dyDescent="0.25">
      <c r="M3" s="24"/>
      <c r="N3" s="26"/>
    </row>
    <row r="4" spans="1:14" ht="15" customHeight="1" x14ac:dyDescent="0.25"/>
    <row r="5" spans="1:14" x14ac:dyDescent="0.25">
      <c r="M5" s="23" t="s">
        <v>40</v>
      </c>
      <c r="N5" s="27">
        <f>_xlfn.AGGREGATE(9,5,Tableau1[Somme])</f>
        <v>98.59</v>
      </c>
    </row>
    <row r="6" spans="1:14" x14ac:dyDescent="0.25">
      <c r="M6" s="24"/>
      <c r="N6" s="28"/>
    </row>
    <row r="8" spans="1:14" x14ac:dyDescent="0.25">
      <c r="I8" s="7"/>
    </row>
    <row r="9" spans="1:14" x14ac:dyDescent="0.25">
      <c r="A9" s="6" t="s">
        <v>0</v>
      </c>
      <c r="B9" s="6" t="s">
        <v>1</v>
      </c>
      <c r="C9" s="6" t="s">
        <v>38</v>
      </c>
      <c r="D9" s="6" t="s">
        <v>2</v>
      </c>
      <c r="E9" s="6" t="s">
        <v>3</v>
      </c>
      <c r="F9" s="6" t="s">
        <v>4</v>
      </c>
      <c r="J9" s="7"/>
    </row>
    <row r="10" spans="1:14" hidden="1" x14ac:dyDescent="0.25">
      <c r="A10" s="6" t="s">
        <v>7</v>
      </c>
      <c r="B10" s="8">
        <v>45705</v>
      </c>
      <c r="C10" s="8" t="str">
        <f>TEXT(Tableau1[[#This Row],[Date]],"mmm")</f>
        <v>févr</v>
      </c>
      <c r="D10" s="7">
        <v>22.8</v>
      </c>
      <c r="E10" s="6">
        <v>4</v>
      </c>
      <c r="F10" s="9">
        <f>IF(Tableau1[[#This Row],[ETF/Action]]="","",VLOOKUP(Tableau1[[#This Row],[ETF/Action]],Tableau2[],3))</f>
        <v>1.1999999999999999E-3</v>
      </c>
      <c r="J10" s="7"/>
    </row>
    <row r="11" spans="1:14" ht="31.5" customHeight="1" x14ac:dyDescent="0.25">
      <c r="A11" s="6" t="s">
        <v>7</v>
      </c>
      <c r="B11" s="8">
        <v>45719</v>
      </c>
      <c r="C11" s="8" t="str">
        <f>TEXT(Tableau1[[#This Row],[Date]],"mmm")</f>
        <v>mars</v>
      </c>
      <c r="D11" s="7">
        <v>29.3</v>
      </c>
      <c r="E11" s="6">
        <v>5</v>
      </c>
      <c r="F11" s="9">
        <f>IF(Tableau1[[#This Row],[ETF/Action]]="","",VLOOKUP(Tableau1[[#This Row],[ETF/Action]],Tableau2[],3))</f>
        <v>1.1999999999999999E-3</v>
      </c>
      <c r="H11" s="7"/>
    </row>
    <row r="12" spans="1:14" hidden="1" x14ac:dyDescent="0.25">
      <c r="A12" s="6" t="s">
        <v>7</v>
      </c>
      <c r="B12" s="8">
        <v>45749</v>
      </c>
      <c r="C12" s="8" t="str">
        <f>TEXT(Tableau1[[#This Row],[Date]],"mmm")</f>
        <v>avr</v>
      </c>
      <c r="D12" s="7">
        <v>21.58</v>
      </c>
      <c r="E12" s="6">
        <v>4</v>
      </c>
      <c r="F12" s="9">
        <f>IF(Tableau1[[#This Row],[ETF/Action]]="","",VLOOKUP(Tableau1[[#This Row],[ETF/Action]],Tableau2[],3))</f>
        <v>1.1999999999999999E-3</v>
      </c>
    </row>
    <row r="13" spans="1:14" hidden="1" x14ac:dyDescent="0.25">
      <c r="A13" s="6" t="s">
        <v>7</v>
      </c>
      <c r="B13" s="8">
        <v>45763</v>
      </c>
      <c r="C13" s="8" t="str">
        <f>TEXT(Tableau1[[#This Row],[Date]],"mmm")</f>
        <v>avr</v>
      </c>
      <c r="D13" s="7">
        <v>19.82</v>
      </c>
      <c r="E13" s="6">
        <v>4</v>
      </c>
      <c r="F13" s="9">
        <f>IF(Tableau1[[#This Row],[ETF/Action]]="","",VLOOKUP(Tableau1[[#This Row],[ETF/Action]],Tableau2[],3))</f>
        <v>1.1999999999999999E-3</v>
      </c>
    </row>
    <row r="14" spans="1:14" hidden="1" x14ac:dyDescent="0.25">
      <c r="A14" s="6" t="s">
        <v>7</v>
      </c>
      <c r="B14" s="8">
        <v>45779</v>
      </c>
      <c r="C14" s="8" t="str">
        <f>TEXT(Tableau1[[#This Row],[Date]],"mmm")</f>
        <v>mai</v>
      </c>
      <c r="D14" s="7">
        <v>20.88</v>
      </c>
      <c r="E14" s="6">
        <v>4</v>
      </c>
      <c r="F14" s="9">
        <f>IF(Tableau1[[#This Row],[ETF/Action]]="","",VLOOKUP(Tableau1[[#This Row],[ETF/Action]],Tableau2[],3))</f>
        <v>1.1999999999999999E-3</v>
      </c>
    </row>
    <row r="15" spans="1:14" hidden="1" x14ac:dyDescent="0.25">
      <c r="A15" s="6" t="s">
        <v>7</v>
      </c>
      <c r="B15" s="8">
        <v>45793</v>
      </c>
      <c r="C15" s="8" t="str">
        <f>TEXT(Tableau1[[#This Row],[Date]],"mmm")</f>
        <v>mai</v>
      </c>
      <c r="D15" s="7">
        <v>16.100000000000001</v>
      </c>
      <c r="E15" s="6">
        <v>3</v>
      </c>
      <c r="F15" s="9">
        <f>IF(Tableau1[[#This Row],[ETF/Action]]="","",VLOOKUP(Tableau1[[#This Row],[ETF/Action]],Tableau2[],3))</f>
        <v>1.1999999999999999E-3</v>
      </c>
    </row>
    <row r="16" spans="1:14" hidden="1" x14ac:dyDescent="0.25">
      <c r="A16" s="6" t="s">
        <v>7</v>
      </c>
      <c r="B16" s="8">
        <v>45810</v>
      </c>
      <c r="C16" s="8" t="str">
        <f>TEXT(Tableau1[[#This Row],[Date]],"mmm")</f>
        <v>juin</v>
      </c>
      <c r="D16" s="7">
        <v>37.950000000000003</v>
      </c>
      <c r="E16" s="6">
        <v>7</v>
      </c>
      <c r="F16" s="9">
        <f>IF(Tableau1[[#This Row],[ETF/Action]]="","",VLOOKUP(Tableau1[[#This Row],[ETF/Action]],Tableau2[],3))</f>
        <v>1.1999999999999999E-3</v>
      </c>
    </row>
    <row r="17" spans="1:9" hidden="1" x14ac:dyDescent="0.25">
      <c r="A17" s="6" t="s">
        <v>7</v>
      </c>
      <c r="B17" s="8">
        <v>45824</v>
      </c>
      <c r="C17" s="8" t="str">
        <f>TEXT(Tableau1[[#This Row],[Date]],"mmm")</f>
        <v>juin</v>
      </c>
      <c r="D17" s="7">
        <v>21.78</v>
      </c>
      <c r="E17" s="6">
        <v>4</v>
      </c>
      <c r="F17" s="9">
        <f>IF(Tableau1[[#This Row],[ETF/Action]]="","",VLOOKUP(Tableau1[[#This Row],[ETF/Action]],Tableau2[],3))</f>
        <v>1.1999999999999999E-3</v>
      </c>
    </row>
    <row r="18" spans="1:9" hidden="1" x14ac:dyDescent="0.25">
      <c r="A18" s="6" t="s">
        <v>7</v>
      </c>
      <c r="B18" s="8">
        <v>45840</v>
      </c>
      <c r="C18" s="8" t="str">
        <f>TEXT(Tableau1[[#This Row],[Date]],"mmm")</f>
        <v>juil</v>
      </c>
      <c r="D18" s="7">
        <v>22.03</v>
      </c>
      <c r="E18" s="6">
        <v>4</v>
      </c>
      <c r="F18" s="9">
        <f>IF(Tableau1[[#This Row],[ETF/Action]]="","",VLOOKUP(Tableau1[[#This Row],[ETF/Action]],Tableau2[],3))</f>
        <v>1.1999999999999999E-3</v>
      </c>
    </row>
    <row r="19" spans="1:9" ht="15" hidden="1" customHeight="1" x14ac:dyDescent="0.25">
      <c r="A19" s="6" t="s">
        <v>9</v>
      </c>
      <c r="B19" s="8">
        <v>45705</v>
      </c>
      <c r="C19" s="8" t="str">
        <f>TEXT(Tableau1[[#This Row],[Date]],"mmm")</f>
        <v>févr</v>
      </c>
      <c r="D19" s="7">
        <v>15.82</v>
      </c>
      <c r="E19" s="6">
        <v>1</v>
      </c>
      <c r="F19" s="9">
        <f>IF(Tableau1[[#This Row],[ETF/Action]]="","",VLOOKUP(Tableau1[[#This Row],[ETF/Action]],Tableau2[],3))</f>
        <v>1.1999999999999999E-3</v>
      </c>
    </row>
    <row r="20" spans="1:9" hidden="1" x14ac:dyDescent="0.25">
      <c r="A20" s="6" t="s">
        <v>11</v>
      </c>
      <c r="B20" s="8">
        <v>45705</v>
      </c>
      <c r="C20" s="8" t="str">
        <f>TEXT(Tableau1[[#This Row],[Date]],"mmm")</f>
        <v>févr</v>
      </c>
      <c r="D20" s="7">
        <v>29.28</v>
      </c>
      <c r="E20" s="6">
        <v>1</v>
      </c>
      <c r="F20" s="9">
        <f>IF(Tableau1[[#This Row],[ETF/Action]]="","",VLOOKUP(Tableau1[[#This Row],[ETF/Action]],Tableau2[],3))</f>
        <v>1.1999999999999999E-3</v>
      </c>
    </row>
    <row r="21" spans="1:9" x14ac:dyDescent="0.25">
      <c r="A21" s="6" t="s">
        <v>13</v>
      </c>
      <c r="B21" s="8">
        <v>45719</v>
      </c>
      <c r="C21" s="8" t="str">
        <f>TEXT(Tableau1[[#This Row],[Date]],"mmm")</f>
        <v>mars</v>
      </c>
      <c r="D21" s="7">
        <v>24.79</v>
      </c>
      <c r="E21" s="6">
        <v>1</v>
      </c>
      <c r="F21" s="9">
        <f>IF(Tableau1[[#This Row],[ETF/Action]]="","",VLOOKUP(Tableau1[[#This Row],[ETF/Action]],Tableau2[],3))</f>
        <v>1.1999999999999999E-3</v>
      </c>
    </row>
    <row r="22" spans="1:9" x14ac:dyDescent="0.25">
      <c r="A22" s="6" t="s">
        <v>9</v>
      </c>
      <c r="B22" s="8">
        <v>45719</v>
      </c>
      <c r="C22" s="8" t="str">
        <f>TEXT(Tableau1[[#This Row],[Date]],"mmm")</f>
        <v>mars</v>
      </c>
      <c r="D22" s="7">
        <v>16.04</v>
      </c>
      <c r="E22" s="6">
        <v>1</v>
      </c>
      <c r="F22" s="9">
        <f>IF(Tableau1[[#This Row],[ETF/Action]]="","",VLOOKUP(Tableau1[[#This Row],[ETF/Action]],Tableau2[],3))</f>
        <v>1.1999999999999999E-3</v>
      </c>
    </row>
    <row r="23" spans="1:9" ht="15" customHeight="1" x14ac:dyDescent="0.25">
      <c r="A23" s="6" t="s">
        <v>11</v>
      </c>
      <c r="B23" s="8">
        <v>45719</v>
      </c>
      <c r="C23" s="8" t="str">
        <f>TEXT(Tableau1[[#This Row],[Date]],"mmm")</f>
        <v>mars</v>
      </c>
      <c r="D23" s="7">
        <v>28.46</v>
      </c>
      <c r="E23" s="6">
        <v>1</v>
      </c>
      <c r="F23" s="9">
        <f>IF(Tableau1[[#This Row],[ETF/Action]]="","",VLOOKUP(Tableau1[[#This Row],[ETF/Action]],Tableau2[],3))</f>
        <v>1.1999999999999999E-3</v>
      </c>
      <c r="H23" s="10"/>
      <c r="I23" s="10"/>
    </row>
    <row r="24" spans="1:9" hidden="1" x14ac:dyDescent="0.25">
      <c r="A24" s="6" t="s">
        <v>9</v>
      </c>
      <c r="B24" s="8">
        <v>45749</v>
      </c>
      <c r="C24" s="8" t="str">
        <f>TEXT(Tableau1[[#This Row],[Date]],"mmm")</f>
        <v>avr</v>
      </c>
      <c r="D24" s="7">
        <v>15.35</v>
      </c>
      <c r="E24" s="6">
        <v>1</v>
      </c>
      <c r="F24" s="9">
        <f>IF(Tableau1[[#This Row],[ETF/Action]]="","",VLOOKUP(Tableau1[[#This Row],[ETF/Action]],Tableau2[],3))</f>
        <v>1.1999999999999999E-3</v>
      </c>
    </row>
    <row r="25" spans="1:9" hidden="1" x14ac:dyDescent="0.25">
      <c r="A25" s="6" t="s">
        <v>9</v>
      </c>
      <c r="B25" s="8">
        <v>45763</v>
      </c>
      <c r="C25" s="8" t="str">
        <f>TEXT(Tableau1[[#This Row],[Date]],"mmm")</f>
        <v>avr</v>
      </c>
      <c r="D25" s="7">
        <v>14.48</v>
      </c>
      <c r="E25" s="6">
        <v>1</v>
      </c>
      <c r="F25" s="9">
        <f>IF(Tableau1[[#This Row],[ETF/Action]]="","",VLOOKUP(Tableau1[[#This Row],[ETF/Action]],Tableau2[],3))</f>
        <v>1.1999999999999999E-3</v>
      </c>
    </row>
    <row r="26" spans="1:9" hidden="1" x14ac:dyDescent="0.25">
      <c r="A26" s="6" t="s">
        <v>9</v>
      </c>
      <c r="B26" s="8">
        <v>45779</v>
      </c>
      <c r="C26" s="8" t="str">
        <f>TEXT(Tableau1[[#This Row],[Date]],"mmm")</f>
        <v>mai</v>
      </c>
      <c r="D26" s="7">
        <v>15.26</v>
      </c>
      <c r="E26" s="6">
        <v>1</v>
      </c>
      <c r="F26" s="9">
        <f>IF(Tableau1[[#This Row],[ETF/Action]]="","",VLOOKUP(Tableau1[[#This Row],[ETF/Action]],Tableau2[],3))</f>
        <v>1.1999999999999999E-3</v>
      </c>
    </row>
    <row r="27" spans="1:9" hidden="1" x14ac:dyDescent="0.25">
      <c r="A27" s="6" t="s">
        <v>9</v>
      </c>
      <c r="B27" s="8">
        <v>45793</v>
      </c>
      <c r="C27" s="8" t="str">
        <f>TEXT(Tableau1[[#This Row],[Date]],"mmm")</f>
        <v>mai</v>
      </c>
      <c r="D27" s="7">
        <v>15.79</v>
      </c>
      <c r="E27" s="6">
        <v>1</v>
      </c>
      <c r="F27" s="9">
        <f>IF(Tableau1[[#This Row],[ETF/Action]]="","",VLOOKUP(Tableau1[[#This Row],[ETF/Action]],Tableau2[],3))</f>
        <v>1.1999999999999999E-3</v>
      </c>
    </row>
    <row r="28" spans="1:9" hidden="1" x14ac:dyDescent="0.25">
      <c r="A28" s="6" t="s">
        <v>9</v>
      </c>
      <c r="B28" s="8">
        <v>45810</v>
      </c>
      <c r="C28" s="8" t="str">
        <f>TEXT(Tableau1[[#This Row],[Date]],"mmm")</f>
        <v>juin</v>
      </c>
      <c r="D28" s="7">
        <v>31.51</v>
      </c>
      <c r="E28" s="6">
        <v>2</v>
      </c>
      <c r="F28" s="9">
        <f>IF(Tableau1[[#This Row],[ETF/Action]]="","",VLOOKUP(Tableau1[[#This Row],[ETF/Action]],Tableau2[],3))</f>
        <v>1.1999999999999999E-3</v>
      </c>
    </row>
    <row r="29" spans="1:9" hidden="1" x14ac:dyDescent="0.25">
      <c r="A29" s="6" t="s">
        <v>15</v>
      </c>
      <c r="B29" s="8">
        <v>45824</v>
      </c>
      <c r="C29" s="8" t="str">
        <f>TEXT(Tableau1[[#This Row],[Date]],"mmm")</f>
        <v>juin</v>
      </c>
      <c r="D29" s="7">
        <v>17.53</v>
      </c>
      <c r="E29" s="6">
        <v>1</v>
      </c>
      <c r="F29" s="9">
        <f>IF(Tableau1[[#This Row],[ETF/Action]]="","",VLOOKUP(Tableau1[[#This Row],[ETF/Action]],Tableau2[],3))</f>
        <v>1.1999999999999999E-3</v>
      </c>
    </row>
    <row r="30" spans="1:9" hidden="1" x14ac:dyDescent="0.25">
      <c r="A30" s="6" t="s">
        <v>13</v>
      </c>
      <c r="B30" s="8">
        <v>45810</v>
      </c>
      <c r="C30" s="8" t="str">
        <f>TEXT(Tableau1[[#This Row],[Date]],"mmm")</f>
        <v>juin</v>
      </c>
      <c r="D30" s="7">
        <v>24.04</v>
      </c>
      <c r="E30" s="6">
        <v>1</v>
      </c>
      <c r="F30" s="9">
        <f>IF(Tableau1[[#This Row],[ETF/Action]]="","",VLOOKUP(Tableau1[[#This Row],[ETF/Action]],Tableau2[],3))</f>
        <v>1.1999999999999999E-3</v>
      </c>
    </row>
    <row r="31" spans="1:9" hidden="1" x14ac:dyDescent="0.25">
      <c r="A31" s="6" t="s">
        <v>15</v>
      </c>
      <c r="B31" s="8">
        <v>45840</v>
      </c>
      <c r="C31" s="8" t="str">
        <f>TEXT(Tableau1[[#This Row],[Date]],"mmm")</f>
        <v>juil</v>
      </c>
      <c r="D31" s="7">
        <v>17.39</v>
      </c>
      <c r="E31" s="6">
        <v>1</v>
      </c>
      <c r="F31" s="9">
        <f>IF(Tableau1[[#This Row],[ETF/Action]]="","",VLOOKUP(Tableau1[[#This Row],[ETF/Action]],Tableau2[],3))</f>
        <v>1.1999999999999999E-3</v>
      </c>
    </row>
    <row r="46" spans="12:12" x14ac:dyDescent="0.25">
      <c r="L46" s="7"/>
    </row>
  </sheetData>
  <mergeCells count="4">
    <mergeCell ref="M2:M3"/>
    <mergeCell ref="N2:N3"/>
    <mergeCell ref="M5:M6"/>
    <mergeCell ref="N5:N6"/>
  </mergeCells>
  <dataValidations count="1">
    <dataValidation type="list" allowBlank="1" showInputMessage="1" showErrorMessage="1" sqref="A10:A31" xr:uid="{ADED9865-E379-4002-9CB7-2CF87FEE97C7}">
      <formula1>LCatégorie</formula1>
    </dataValidation>
  </dataValidations>
  <pageMargins left="0.7" right="0.7" top="0.75" bottom="0.75" header="0.3" footer="0.3"/>
  <drawing r:id="rId1"/>
  <legacy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FC46AC-C288-4DE5-9F50-B0DF99844C19}">
  <dimension ref="A1:D6"/>
  <sheetViews>
    <sheetView showGridLines="0" workbookViewId="0">
      <selection activeCell="F9" sqref="F9"/>
    </sheetView>
  </sheetViews>
  <sheetFormatPr baseColWidth="10" defaultRowHeight="15" x14ac:dyDescent="0.25"/>
  <cols>
    <col min="1" max="1" width="29.5703125" style="32" customWidth="1"/>
    <col min="2" max="2" width="23.140625" style="32" customWidth="1"/>
    <col min="3" max="3" width="15.5703125" style="32" customWidth="1"/>
    <col min="4" max="16384" width="11.42578125" style="32"/>
  </cols>
  <sheetData>
    <row r="1" spans="1:4" ht="15.75" thickBot="1" x14ac:dyDescent="0.3">
      <c r="A1" s="29" t="s">
        <v>43</v>
      </c>
      <c r="B1" s="11" t="s">
        <v>44</v>
      </c>
      <c r="C1" s="11" t="s">
        <v>45</v>
      </c>
      <c r="D1" s="33"/>
    </row>
    <row r="2" spans="1:4" ht="15.75" thickBot="1" x14ac:dyDescent="0.3">
      <c r="A2" s="30"/>
      <c r="B2" s="12" cm="1">
        <f t="array" ref="B2">IFERROR((SUMPRODUCT((Tableau1[ETF/Action]='Tableau de Bord'!A20)*Tableau1[Somme]*(1 + Tableau1[Frais])) / SUMIF(Tableau1[ETF/Action],'Tableau de Bord'!A20,Tableau1[Nbr Parts])), "")</f>
        <v>28.904644000000005</v>
      </c>
      <c r="C2" s="12" cm="1">
        <f t="array" ref="C2">IFERROR((SUMPRODUCT((Tableau1[ETF/Action]='Tableau de Bord'!A10)*Tableau1[Somme]*(1 + Tableau1[Frais])) / SUMIF(Tableau1[ETF/Action],'Tableau de Bord'!A10,Tableau1[Nbr Parts])), "")</f>
        <v>5.4485817435897435</v>
      </c>
      <c r="D2" s="33"/>
    </row>
    <row r="3" spans="1:4" ht="15.75" thickBot="1" x14ac:dyDescent="0.3">
      <c r="A3" s="30"/>
      <c r="B3" s="11" t="s">
        <v>46</v>
      </c>
      <c r="C3" s="11" t="s">
        <v>47</v>
      </c>
      <c r="D3" s="33"/>
    </row>
    <row r="4" spans="1:4" ht="15.75" thickBot="1" x14ac:dyDescent="0.3">
      <c r="A4" s="31"/>
      <c r="B4" s="12" cm="1">
        <f t="array" ref="B4">IFERROR((SUMPRODUCT((Tableau1[ETF/Action]='Tableau de Bord'!A19)*Tableau1[Somme]*(1 + Tableau1[Frais])) / SUMIF(Tableau1[ETF/Action],'Tableau de Bord'!A19,Tableau1[Nbr Parts])), "")</f>
        <v>15.549887500000002</v>
      </c>
      <c r="C4" s="12" cm="1">
        <f t="array" ref="C4">IFERROR((SUMPRODUCT((Tableau1[ETF/Action]='Tableau de Bord'!A21)*Tableau1[Somme]*(1 + Tableau1[Frais])) / SUMIF(Tableau1[ETF/Action],'Tableau de Bord'!A21,Tableau1[Nbr Parts])), "")</f>
        <v>24.444298000000003</v>
      </c>
      <c r="D4" s="33"/>
    </row>
    <row r="5" spans="1:4" x14ac:dyDescent="0.25">
      <c r="A5" s="33"/>
      <c r="B5" s="33"/>
      <c r="C5" s="33"/>
      <c r="D5" s="33"/>
    </row>
    <row r="6" spans="1:4" x14ac:dyDescent="0.25">
      <c r="A6" s="33"/>
      <c r="B6" s="33"/>
      <c r="C6" s="33"/>
      <c r="D6" s="33"/>
    </row>
  </sheetData>
  <mergeCells count="1">
    <mergeCell ref="A1:A4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3D6FAC-E124-4506-B1F3-AC2073DD6EFF}">
  <dimension ref="B2:J19"/>
  <sheetViews>
    <sheetView workbookViewId="0">
      <selection activeCell="G18" sqref="G18"/>
    </sheetView>
  </sheetViews>
  <sheetFormatPr baseColWidth="10" defaultRowHeight="15" x14ac:dyDescent="0.25"/>
  <cols>
    <col min="2" max="2" width="29" bestFit="1" customWidth="1"/>
    <col min="3" max="3" width="16.140625" customWidth="1"/>
    <col min="4" max="4" width="12.85546875" customWidth="1"/>
    <col min="8" max="8" width="12.42578125" bestFit="1" customWidth="1"/>
  </cols>
  <sheetData>
    <row r="2" spans="2:10" ht="15.75" thickBot="1" x14ac:dyDescent="0.3"/>
    <row r="3" spans="2:10" ht="15.75" thickBot="1" x14ac:dyDescent="0.3">
      <c r="B3" s="1" t="s">
        <v>5</v>
      </c>
      <c r="C3" s="1" t="s">
        <v>6</v>
      </c>
      <c r="D3" s="1" t="s">
        <v>4</v>
      </c>
      <c r="H3" s="13" t="s">
        <v>48</v>
      </c>
      <c r="I3" s="17" t="s">
        <v>53</v>
      </c>
      <c r="J3" s="13" t="s">
        <v>62</v>
      </c>
    </row>
    <row r="4" spans="2:10" x14ac:dyDescent="0.25">
      <c r="B4" s="1" t="s">
        <v>7</v>
      </c>
      <c r="C4" s="1" t="s">
        <v>8</v>
      </c>
      <c r="D4" s="2">
        <v>2.5000000000000001E-3</v>
      </c>
      <c r="H4" s="14" t="s">
        <v>54</v>
      </c>
      <c r="I4" s="18">
        <f>SUMIF(Tableau1[Mois],"H4",Tableau1[Somme])</f>
        <v>0</v>
      </c>
      <c r="J4" s="21">
        <f>I4</f>
        <v>0</v>
      </c>
    </row>
    <row r="5" spans="2:10" x14ac:dyDescent="0.25">
      <c r="B5" s="1" t="s">
        <v>9</v>
      </c>
      <c r="C5" s="1" t="s">
        <v>10</v>
      </c>
      <c r="D5" s="2">
        <v>1.8E-3</v>
      </c>
      <c r="H5" s="15" t="s">
        <v>55</v>
      </c>
      <c r="I5" s="18">
        <f>SUMIF(Tableau1[Mois],"févr",Tableau1[Somme])</f>
        <v>67.900000000000006</v>
      </c>
      <c r="J5" s="20">
        <f>IF(I5=0,NA(),I5+J4)</f>
        <v>67.900000000000006</v>
      </c>
    </row>
    <row r="6" spans="2:10" x14ac:dyDescent="0.25">
      <c r="B6" s="1" t="s">
        <v>11</v>
      </c>
      <c r="C6" s="1" t="s">
        <v>12</v>
      </c>
      <c r="D6" s="2">
        <v>1.2999999999999999E-3</v>
      </c>
      <c r="H6" s="14" t="s">
        <v>49</v>
      </c>
      <c r="I6" s="18">
        <f>SUMIF(Tableau1[Mois],"mars",Tableau1[Somme])</f>
        <v>98.59</v>
      </c>
      <c r="J6" s="20">
        <f t="shared" ref="J6:J15" si="0">IF(I6=0,NA(),I6+J5)</f>
        <v>166.49</v>
      </c>
    </row>
    <row r="7" spans="2:10" x14ac:dyDescent="0.25">
      <c r="B7" s="1" t="s">
        <v>13</v>
      </c>
      <c r="C7" s="1" t="s">
        <v>14</v>
      </c>
      <c r="D7" s="2">
        <v>3.0000000000000001E-3</v>
      </c>
      <c r="H7" s="15" t="s">
        <v>56</v>
      </c>
      <c r="I7" s="18">
        <f>SUMIF(Tableau1[Mois],"avr",Tableau1[Somme])</f>
        <v>71.23</v>
      </c>
      <c r="J7" s="20">
        <f t="shared" si="0"/>
        <v>237.72000000000003</v>
      </c>
    </row>
    <row r="8" spans="2:10" x14ac:dyDescent="0.25">
      <c r="B8" s="1" t="s">
        <v>15</v>
      </c>
      <c r="C8" s="1" t="s">
        <v>16</v>
      </c>
      <c r="D8" s="2">
        <v>1.8E-3</v>
      </c>
      <c r="H8" s="14" t="s">
        <v>50</v>
      </c>
      <c r="I8" s="18">
        <f>SUMIF(Tableau1[Mois],"mai",Tableau1[Somme])</f>
        <v>68.03</v>
      </c>
      <c r="J8" s="20">
        <f t="shared" si="0"/>
        <v>305.75</v>
      </c>
    </row>
    <row r="9" spans="2:10" x14ac:dyDescent="0.25">
      <c r="B9" s="1" t="s">
        <v>17</v>
      </c>
      <c r="C9" s="1" t="s">
        <v>18</v>
      </c>
      <c r="D9" s="2">
        <v>1.1999999999999999E-3</v>
      </c>
      <c r="H9" s="15" t="s">
        <v>51</v>
      </c>
      <c r="I9" s="18">
        <f>SUMIF(Tableau1[Mois],"juin",Tableau1[Somme])</f>
        <v>132.81</v>
      </c>
      <c r="J9" s="20">
        <f t="shared" si="0"/>
        <v>438.56</v>
      </c>
    </row>
    <row r="10" spans="2:10" x14ac:dyDescent="0.25">
      <c r="B10" s="1" t="s">
        <v>20</v>
      </c>
      <c r="C10" s="1" t="s">
        <v>21</v>
      </c>
      <c r="D10" s="2">
        <v>0</v>
      </c>
      <c r="H10" s="14" t="s">
        <v>57</v>
      </c>
      <c r="I10" s="18">
        <f>SUMIF(Tableau1[Mois],"juil",Tableau1[Somme])</f>
        <v>39.42</v>
      </c>
      <c r="J10" s="20">
        <f t="shared" si="0"/>
        <v>477.98</v>
      </c>
    </row>
    <row r="11" spans="2:10" x14ac:dyDescent="0.25">
      <c r="B11" s="1" t="s">
        <v>22</v>
      </c>
      <c r="C11" s="1" t="s">
        <v>23</v>
      </c>
      <c r="D11" s="2">
        <v>5.0000000000000001E-3</v>
      </c>
      <c r="H11" s="15" t="s">
        <v>52</v>
      </c>
      <c r="I11" s="18">
        <f>SUMIF(Tableau1[Mois],"Août",Tableau1[Somme])</f>
        <v>0</v>
      </c>
      <c r="J11" s="20" t="e">
        <f t="shared" si="0"/>
        <v>#N/A</v>
      </c>
    </row>
    <row r="12" spans="2:10" x14ac:dyDescent="0.25">
      <c r="B12" s="1" t="s">
        <v>24</v>
      </c>
      <c r="C12" s="1" t="s">
        <v>25</v>
      </c>
      <c r="D12" s="2">
        <v>1.1999999999999999E-3</v>
      </c>
      <c r="H12" s="14" t="s">
        <v>58</v>
      </c>
      <c r="I12" s="18">
        <f>SUMIF(Tableau1[Mois],"Sept",Tableau1[Somme])</f>
        <v>0</v>
      </c>
      <c r="J12" s="20" t="e">
        <f t="shared" si="0"/>
        <v>#N/A</v>
      </c>
    </row>
    <row r="13" spans="2:10" x14ac:dyDescent="0.25">
      <c r="B13" s="1" t="s">
        <v>26</v>
      </c>
      <c r="C13" s="1" t="s">
        <v>27</v>
      </c>
      <c r="D13" s="2">
        <v>3.0000000000000001E-3</v>
      </c>
      <c r="H13" s="15" t="s">
        <v>59</v>
      </c>
      <c r="I13" s="18">
        <f>SUMIF(Tableau1[Mois],"Oct$",Tableau1[Somme])</f>
        <v>0</v>
      </c>
      <c r="J13" s="20" t="e">
        <f t="shared" si="0"/>
        <v>#N/A</v>
      </c>
    </row>
    <row r="14" spans="2:10" x14ac:dyDescent="0.25">
      <c r="B14" s="1" t="s">
        <v>28</v>
      </c>
      <c r="C14" s="1" t="s">
        <v>29</v>
      </c>
      <c r="D14" s="2">
        <v>3.5000000000000001E-3</v>
      </c>
      <c r="H14" s="14" t="s">
        <v>60</v>
      </c>
      <c r="I14" s="18">
        <f>SUMIF(Tableau1[Mois],"Nov",Tableau1[Somme])</f>
        <v>0</v>
      </c>
      <c r="J14" s="20" t="e">
        <f t="shared" si="0"/>
        <v>#N/A</v>
      </c>
    </row>
    <row r="15" spans="2:10" ht="15.75" thickBot="1" x14ac:dyDescent="0.3">
      <c r="B15" s="1" t="s">
        <v>30</v>
      </c>
      <c r="C15" s="1" t="s">
        <v>31</v>
      </c>
      <c r="D15" s="2">
        <v>0</v>
      </c>
      <c r="H15" s="16" t="s">
        <v>61</v>
      </c>
      <c r="I15" s="19">
        <f>SUMIF(Tableau1[Mois],"Déc",Tableau1[Somme])</f>
        <v>0</v>
      </c>
      <c r="J15" s="22" t="e">
        <f t="shared" si="0"/>
        <v>#N/A</v>
      </c>
    </row>
    <row r="16" spans="2:10" x14ac:dyDescent="0.25">
      <c r="B16" s="1" t="s">
        <v>32</v>
      </c>
      <c r="C16" s="1" t="s">
        <v>33</v>
      </c>
      <c r="D16" s="2">
        <v>3.5000000000000001E-3</v>
      </c>
    </row>
    <row r="17" spans="2:4" x14ac:dyDescent="0.25">
      <c r="B17" s="1" t="s">
        <v>19</v>
      </c>
      <c r="C17" s="3" t="s">
        <v>34</v>
      </c>
      <c r="D17" s="2">
        <v>0</v>
      </c>
    </row>
    <row r="18" spans="2:4" x14ac:dyDescent="0.25">
      <c r="B18" s="1" t="s">
        <v>41</v>
      </c>
      <c r="C18" s="1" t="s">
        <v>42</v>
      </c>
      <c r="D18" s="2">
        <v>1.1999999999999999E-3</v>
      </c>
    </row>
    <row r="19" spans="2:4" x14ac:dyDescent="0.25">
      <c r="B19" s="1"/>
      <c r="C19" s="1"/>
      <c r="D19" s="2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A9AF2-BDA1-4297-BAB6-725A410F4CCD}">
  <dimension ref="A3:B9"/>
  <sheetViews>
    <sheetView workbookViewId="0">
      <selection activeCell="A6" sqref="A6"/>
    </sheetView>
  </sheetViews>
  <sheetFormatPr baseColWidth="10" defaultRowHeight="15" x14ac:dyDescent="0.25"/>
  <cols>
    <col min="1" max="1" width="25.28515625" bestFit="1" customWidth="1"/>
    <col min="2" max="2" width="18" bestFit="1" customWidth="1"/>
  </cols>
  <sheetData>
    <row r="3" spans="1:2" x14ac:dyDescent="0.25">
      <c r="A3" s="4" t="s">
        <v>36</v>
      </c>
      <c r="B3" t="s">
        <v>35</v>
      </c>
    </row>
    <row r="4" spans="1:2" x14ac:dyDescent="0.25">
      <c r="A4" s="5" t="s">
        <v>7</v>
      </c>
      <c r="B4" s="2">
        <v>0.44403531528515838</v>
      </c>
    </row>
    <row r="5" spans="1:2" x14ac:dyDescent="0.25">
      <c r="A5" s="5" t="s">
        <v>13</v>
      </c>
      <c r="B5" s="2">
        <v>0.10215908615423239</v>
      </c>
    </row>
    <row r="6" spans="1:2" x14ac:dyDescent="0.25">
      <c r="A6" s="5" t="s">
        <v>11</v>
      </c>
      <c r="B6" s="2">
        <v>0.12080003347420394</v>
      </c>
    </row>
    <row r="7" spans="1:2" x14ac:dyDescent="0.25">
      <c r="A7" s="5" t="s">
        <v>15</v>
      </c>
      <c r="B7" s="2">
        <v>7.3057450102514757E-2</v>
      </c>
    </row>
    <row r="8" spans="1:2" x14ac:dyDescent="0.25">
      <c r="A8" s="5" t="s">
        <v>9</v>
      </c>
      <c r="B8" s="2">
        <v>0.25994811498389053</v>
      </c>
    </row>
    <row r="9" spans="1:2" x14ac:dyDescent="0.25">
      <c r="A9" s="5" t="s">
        <v>37</v>
      </c>
      <c r="B9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de Bord</vt:lpstr>
      <vt:lpstr>Feuil1</vt:lpstr>
      <vt:lpstr>Base</vt:lpstr>
      <vt:lpstr>TCD</vt:lpstr>
      <vt:lpstr>BDD_Action</vt:lpstr>
      <vt:lpstr>Catégorie</vt:lpstr>
      <vt:lpstr>LCatégorie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blaque</dc:creator>
  <cp:lastModifiedBy>Chris_W10</cp:lastModifiedBy>
  <dcterms:created xsi:type="dcterms:W3CDTF">2025-06-29T10:47:52Z</dcterms:created>
  <dcterms:modified xsi:type="dcterms:W3CDTF">2025-07-10T19:47:18Z</dcterms:modified>
</cp:coreProperties>
</file>