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C1049D6-D8D6-4A87-A1A0-358BCB6BBDD1}" xr6:coauthVersionLast="47" xr6:coauthVersionMax="47" xr10:uidLastSave="{00000000-0000-0000-0000-000000000000}"/>
  <bookViews>
    <workbookView xWindow="-120" yWindow="-120" windowWidth="38640" windowHeight="15990" xr2:uid="{00000000-000D-0000-FFFF-FFFF00000000}"/>
  </bookViews>
  <sheets>
    <sheet name="EMMARG vins 2025" sheetId="1" r:id="rId1"/>
    <sheet name="CHAMPAGNE" sheetId="5" r:id="rId2"/>
    <sheet name="TARANI" sheetId="6" r:id="rId3"/>
    <sheet name="ALSACE" sheetId="7" r:id="rId4"/>
    <sheet name="Tarifs" sheetId="8" r:id="rId5"/>
  </sheets>
  <definedNames>
    <definedName name="DonnéesExternes_1" localSheetId="0" hidden="1">'EMMARG vins 2025'!$A$1:$L$6</definedName>
    <definedName name="_xlnm.Print_Titles" localSheetId="0">'EMMARG vins 2025'!#REF!</definedName>
    <definedName name="PrixC">'CHAMPAGNE'!$B$1</definedName>
    <definedName name="Recap">'EMMARG vins 2025'!$A$1:$L$68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7" l="1"/>
  <c r="F6" i="7" s="1"/>
  <c r="F3" i="7"/>
  <c r="F4" i="7"/>
  <c r="F5" i="7"/>
  <c r="F2" i="6"/>
  <c r="F6" i="6" s="1"/>
  <c r="F3" i="6"/>
  <c r="F4" i="6"/>
  <c r="F5" i="6"/>
  <c r="C6" i="7"/>
  <c r="D6" i="7"/>
  <c r="E6" i="7"/>
  <c r="B6" i="7"/>
  <c r="C6" i="6"/>
  <c r="D6" i="6"/>
  <c r="E6" i="6"/>
  <c r="B6" i="6"/>
  <c r="D4" i="5"/>
  <c r="D7" i="5" s="1"/>
  <c r="D5" i="5"/>
  <c r="D6" i="5"/>
  <c r="C7" i="5"/>
  <c r="B7" i="5"/>
  <c r="C5" i="5"/>
  <c r="C6" i="5"/>
  <c r="C4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89018D-9F1F-4589-9190-9EAC5BD5892D}" keepAlive="1" name="Requête - Alsace" description="Connexion à la requête « Alsace » dans le classeur." type="5" refreshedVersion="0" background="1">
    <dbPr connection="Provider=Microsoft.Mashup.OleDb.1;Data Source=$Workbook$;Location=Alsace;Extended Properties=&quot;&quot;" command="SELECT * FROM [Alsace]"/>
  </connection>
  <connection id="2" xr16:uid="{FA2160BD-9B7C-49E7-B152-D225D77616A5}" keepAlive="1" name="Requête - Champagne" description="Connexion à la requête « Champagne » dans le classeur." type="5" refreshedVersion="8" background="1" saveData="1">
    <dbPr connection="Provider=Microsoft.Mashup.OleDb.1;Data Source=$Workbook$;Location=Champagne;Extended Properties=&quot;&quot;" command="SELECT * FROM [Champagne]"/>
  </connection>
  <connection id="3" xr16:uid="{EB6BDC49-7C85-4919-AEC3-DB05241C6082}" keepAlive="1" name="Requête - Tarani" description="Connexion à la requête « Tarani » dans le classeur." type="5" refreshedVersion="0" background="1">
    <dbPr connection="Provider=Microsoft.Mashup.OleDb.1;Data Source=$Workbook$;Location=Tarani;Extended Properties=&quot;&quot;" command="SELECT * FROM [Tarani]"/>
  </connection>
</connections>
</file>

<file path=xl/sharedStrings.xml><?xml version="1.0" encoding="utf-8"?>
<sst xmlns="http://schemas.openxmlformats.org/spreadsheetml/2006/main" count="71" uniqueCount="31">
  <si>
    <t>Champagne</t>
  </si>
  <si>
    <t>Auxerrois</t>
  </si>
  <si>
    <t>Riesling</t>
  </si>
  <si>
    <t>Signature</t>
  </si>
  <si>
    <t>PRIX</t>
  </si>
  <si>
    <t>N°CHQ</t>
  </si>
  <si>
    <t>TOTAL</t>
  </si>
  <si>
    <t>TARANI ROUGE</t>
  </si>
  <si>
    <t>TARANI BLANC</t>
  </si>
  <si>
    <t>TARANI ROSE</t>
  </si>
  <si>
    <t>BORDEAUX</t>
  </si>
  <si>
    <t>Gewurtz</t>
  </si>
  <si>
    <t>Pinot</t>
  </si>
  <si>
    <t xml:space="preserve">  </t>
  </si>
  <si>
    <t>NOMS - PRENOMS</t>
  </si>
  <si>
    <t xml:space="preserve">BOUTEILLES </t>
  </si>
  <si>
    <t>CARTONS</t>
  </si>
  <si>
    <t>NOM 1</t>
  </si>
  <si>
    <t>NOM 2</t>
  </si>
  <si>
    <t>NOM 3</t>
  </si>
  <si>
    <t>NOM 4</t>
  </si>
  <si>
    <t>NOM 5</t>
  </si>
  <si>
    <t>Total</t>
  </si>
  <si>
    <t>Produit</t>
  </si>
  <si>
    <t>Prix</t>
  </si>
  <si>
    <t>Champagne BOUTEILLES</t>
  </si>
  <si>
    <t>Champagne CARTONS</t>
  </si>
  <si>
    <t/>
  </si>
  <si>
    <t>0 carton(s) et 3 bouteille(s)</t>
  </si>
  <si>
    <t>2 carton(s) et 0 bouteille(s)</t>
  </si>
  <si>
    <t>4 carton(s) et 0 bouteille(s)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</si>
</sst>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000000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30303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165" fontId="0" fillId="0" borderId="0" xfId="0" applyNumberFormat="1"/>
    <xf numFmtId="4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/>
    <xf numFmtId="164" fontId="0" fillId="0" borderId="0" xfId="0" applyNumberForma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 vertical="center"/>
    </xf>
    <xf numFmtId="0" fontId="0" fillId="0" borderId="1" xfId="0" applyBorder="1" applyAlignment="1">
      <alignment vertical="center" wrapText="1"/>
    </xf>
    <xf numFmtId="165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vertical="center"/>
    </xf>
    <xf numFmtId="0" fontId="0" fillId="2" borderId="0" xfId="0" applyFill="1" applyAlignment="1">
      <alignment horizont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44" fontId="6" fillId="0" borderId="0" xfId="1" applyFont="1" applyFill="1" applyBorder="1" applyAlignment="1">
      <alignment vertical="center"/>
    </xf>
    <xf numFmtId="0" fontId="6" fillId="0" borderId="0" xfId="0" applyFont="1"/>
    <xf numFmtId="164" fontId="0" fillId="0" borderId="0" xfId="0" applyNumberFormat="1" applyAlignment="1">
      <alignment wrapText="1"/>
    </xf>
    <xf numFmtId="164" fontId="6" fillId="0" borderId="0" xfId="0" applyNumberFormat="1" applyFont="1" applyAlignment="1">
      <alignment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44" fontId="0" fillId="0" borderId="0" xfId="1" applyFont="1" applyFill="1" applyAlignment="1"/>
    <xf numFmtId="44" fontId="5" fillId="0" borderId="0" xfId="0" applyNumberFormat="1" applyFont="1"/>
    <xf numFmtId="164" fontId="0" fillId="0" borderId="0" xfId="1" applyNumberFormat="1" applyFont="1" applyFill="1" applyBorder="1"/>
    <xf numFmtId="0" fontId="3" fillId="0" borderId="0" xfId="0" applyFont="1" applyAlignment="1">
      <alignment vertical="center"/>
    </xf>
  </cellXfs>
  <cellStyles count="2">
    <cellStyle name="Monétaire" xfId="1" builtinId="4"/>
    <cellStyle name="Normal" xfId="0" builtinId="0"/>
  </cellStyles>
  <dxfs count="57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00000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165" formatCode="00000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numFmt numFmtId="165" formatCode="000000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111B89EF-52E7-4154-89B7-90B6B874B660}" autoFormatId="16" applyNumberFormats="0" applyBorderFormats="0" applyFontFormats="0" applyPatternFormats="0" applyAlignmentFormats="0" applyWidthHeightFormats="0">
  <queryTableRefresh nextId="13">
    <queryTableFields count="12">
      <queryTableField id="1" name="NOMS - PRENOMS" tableColumnId="1"/>
      <queryTableField id="2" name="Champagne BOUTEILLES" tableColumnId="2"/>
      <queryTableField id="3" name="Champagne CARTONS" tableColumnId="3"/>
      <queryTableField id="4" name="TARANI ROUGE" tableColumnId="4"/>
      <queryTableField id="5" name="TARANI BLANC" tableColumnId="5"/>
      <queryTableField id="6" name="TARANI ROSE" tableColumnId="6"/>
      <queryTableField id="7" name="BORDEAUX" tableColumnId="7"/>
      <queryTableField id="8" name="Pinot" tableColumnId="8"/>
      <queryTableField id="9" name="Gewurtz" tableColumnId="9"/>
      <queryTableField id="10" name="Riesling" tableColumnId="10"/>
      <queryTableField id="11" name="Auxerrois" tableColumnId="11"/>
      <queryTableField id="12" name="Signature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9AA9CF0-28A5-4134-8460-B87A49D7C3EB}" name="Champagne_" displayName="Champagne_" ref="A1:L6" tableType="queryTable" totalsRowShown="0" headerRowDxfId="13" dataDxfId="12">
  <autoFilter ref="A1:L6" xr:uid="{A9AA9CF0-28A5-4134-8460-B87A49D7C3EB}"/>
  <tableColumns count="12">
    <tableColumn id="1" xr3:uid="{BAA7D4E8-F86A-4244-89E0-400475B82AFC}" uniqueName="1" name="NOMS - PRENOMS" queryTableFieldId="1" dataDxfId="11"/>
    <tableColumn id="2" xr3:uid="{B976ADED-F1B9-4137-9F6E-EDA07381730E}" uniqueName="2" name="Champagne BOUTEILLES" queryTableFieldId="2" dataDxfId="10"/>
    <tableColumn id="3" xr3:uid="{C18A1A17-C01B-48D6-A1E7-0245A6137FAE}" uniqueName="3" name="Champagne CARTONS" queryTableFieldId="3" dataDxfId="9"/>
    <tableColumn id="4" xr3:uid="{CE052040-B875-42DE-8872-C445182F2D88}" uniqueName="4" name="TARANI ROUGE" queryTableFieldId="4" dataDxfId="8"/>
    <tableColumn id="5" xr3:uid="{B1A0B1B6-3414-4A74-87A2-040389B216D6}" uniqueName="5" name="TARANI BLANC" queryTableFieldId="5" dataDxfId="7"/>
    <tableColumn id="6" xr3:uid="{95CF02CA-5CC8-4E59-AD49-F439025AC684}" uniqueName="6" name="TARANI ROSE" queryTableFieldId="6" dataDxfId="6"/>
    <tableColumn id="7" xr3:uid="{0D477A94-1072-4F84-BD71-5EBBF3674BC1}" uniqueName="7" name="BORDEAUX" queryTableFieldId="7" dataDxfId="5"/>
    <tableColumn id="8" xr3:uid="{3E9021DA-6932-41EF-87CE-2733B29BC9C7}" uniqueName="8" name="Pinot" queryTableFieldId="8" dataDxfId="4"/>
    <tableColumn id="9" xr3:uid="{628BE66C-E846-457A-9BBC-CDABF5B23F20}" uniqueName="9" name="Gewurtz" queryTableFieldId="9" dataDxfId="3"/>
    <tableColumn id="10" xr3:uid="{32BADA97-F919-4AE1-91B6-3A2521D409E8}" uniqueName="10" name="Riesling" queryTableFieldId="10" dataDxfId="2"/>
    <tableColumn id="11" xr3:uid="{671CC4FC-F9F1-4A96-89D5-9FBC8C069BB4}" uniqueName="11" name="Auxerrois" queryTableFieldId="11" dataDxfId="1"/>
    <tableColumn id="12" xr3:uid="{5C6FF800-7829-4920-928D-8BBED02D335D}" uniqueName="12" name="Signature" queryTableFieldId="1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71B4EF-1409-4CD0-8B97-F70037F3F03C}" name="Champagne" displayName="Champagne" ref="A3:E7" totalsRowCount="1" headerRowDxfId="56" tableBorderDxfId="55">
  <autoFilter ref="A3:E6" xr:uid="{1671B4EF-1409-4CD0-8B97-F70037F3F03C}"/>
  <tableColumns count="5">
    <tableColumn id="1" xr3:uid="{AC678677-8223-45D1-AA82-C4C434FEB614}" name="NOMS - PRENOMS" totalsRowLabel="Total"/>
    <tableColumn id="2" xr3:uid="{7A64BC00-51B2-4F5C-BF76-D3F9E66F9CE9}" name="BOUTEILLES " totalsRowFunction="sum" dataDxfId="54" totalsRowDxfId="53"/>
    <tableColumn id="3" xr3:uid="{D7C1DDD6-90BB-4227-9A64-B7C34FEB2B0D}" name="CARTONS" totalsRowFunction="custom" dataDxfId="52" totalsRowDxfId="51">
      <calculatedColumnFormula>INT(B4/6)&amp;" carton(s) et "&amp;MOD(B4,6)&amp;" bouteille(s)"</calculatedColumnFormula>
      <totalsRowFormula>INT(Champagne[[#Totals],[BOUTEILLES ]]/6)&amp;" carton(s) et "&amp;MOD(Champagne[[#Totals],[BOUTEILLES ]],6)&amp;" bouteille(s)"</totalsRowFormula>
    </tableColumn>
    <tableColumn id="4" xr3:uid="{7A322C6D-5A38-4427-A0C4-5FEFA5563FCF}" name="PRIX" totalsRowFunction="sum" dataDxfId="50" totalsRowDxfId="49">
      <calculatedColumnFormula>VLOOKUP($A$1,Tarifs[],2,0)*B4</calculatedColumnFormula>
    </tableColumn>
    <tableColumn id="5" xr3:uid="{F91FD0FB-694A-4BAC-BEE7-346F1E83C4B4}" name="N°CHQ" dataDxfId="48"/>
  </tableColumns>
  <tableStyleInfo name="TableStyleLight14" showFirstColumn="0" showLastColumn="0" showRowStripes="1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1DF8A45-E7EB-4390-A442-1EE1E1466ECF}" name="Tarani" displayName="Tarani" ref="A1:G6" totalsRowCount="1" headerRowDxfId="47" dataDxfId="46">
  <tableColumns count="7">
    <tableColumn id="1" xr3:uid="{4B145674-66D7-4BCF-AD0B-3690F01181A3}" name="NOMS - PRENOMS" totalsRowLabel="Total" dataDxfId="45" totalsRowDxfId="44"/>
    <tableColumn id="2" xr3:uid="{DDAB484B-21F7-4C43-A32B-68D4D00C51E9}" name="TARANI ROUGE" totalsRowFunction="sum" dataDxfId="43" totalsRowDxfId="42"/>
    <tableColumn id="3" xr3:uid="{E580FBA7-A9D6-41C4-88CA-8888BD0AF899}" name="TARANI BLANC" totalsRowFunction="sum" dataDxfId="41" totalsRowDxfId="40"/>
    <tableColumn id="4" xr3:uid="{15012010-8E05-4E59-BE1B-3CEBB705C4E7}" name="TARANI ROSE" totalsRowFunction="sum" dataDxfId="39" totalsRowDxfId="38"/>
    <tableColumn id="5" xr3:uid="{06BD86F8-0F79-4449-8F33-A7F0E8E20BE9}" name="BORDEAUX" totalsRowFunction="sum" dataDxfId="37" totalsRowDxfId="36"/>
    <tableColumn id="6" xr3:uid="{B768C251-63DF-42F3-9B4F-52E1290DDD20}" name="TOTAL" totalsRowFunction="sum" dataDxfId="35" totalsRowDxfId="34" totalsRowCellStyle="Monétaire">
      <calculatedColumnFormula>VLOOKUP(Tarani[[#Headers],[TARANI ROUGE]],Tarifs[],2,0)*Tarani[[#This Row],[TARANI ROUGE]]+VLOOKUP(Tarani[[#Headers],[TARANI BLANC]],Tarifs[],2,0)*Tarani[[#This Row],[TARANI BLANC]]+VLOOKUP(Tarani[[#Headers],[TARANI ROSE]],Tarifs[],2,0)*Tarani[[#This Row],[TARANI ROSE]]+VLOOKUP(Tarani[[#Headers],[BORDEAUX]],Tarifs[],2,0)*Tarani[[#This Row],[BORDEAUX]]</calculatedColumnFormula>
    </tableColumn>
    <tableColumn id="7" xr3:uid="{7CBEE435-F78E-4D9B-A89C-9E48A7990F22}" name="N°CHQ" dataDxfId="33" totalsRowDxfId="32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2B2DB1-045C-44C7-8879-521D803240C1}" name="Alsace" displayName="Alsace" ref="A1:G6" totalsRowCount="1" headerRowDxfId="31" dataDxfId="30">
  <autoFilter ref="A1:G5" xr:uid="{C62B2DB1-045C-44C7-8879-521D803240C1}"/>
  <tableColumns count="7">
    <tableColumn id="1" xr3:uid="{50E42E05-48C3-49B4-A507-F31F21FCB75A}" name="NOMS - PRENOMS" totalsRowLabel="Total" dataDxfId="29" totalsRowDxfId="28"/>
    <tableColumn id="2" xr3:uid="{F9DE6F4B-3799-4FAF-9007-76B78549FD80}" name="Pinot" totalsRowFunction="sum" dataDxfId="27" totalsRowDxfId="26"/>
    <tableColumn id="3" xr3:uid="{67F47814-0F93-45D6-B337-A0B3D98D322A}" name="Gewurtz" totalsRowFunction="sum" dataDxfId="25" totalsRowDxfId="24"/>
    <tableColumn id="4" xr3:uid="{96C07C6E-BC59-4808-A24B-2FE307EE7900}" name="Riesling" totalsRowFunction="sum" dataDxfId="23" totalsRowDxfId="22"/>
    <tableColumn id="5" xr3:uid="{F5AE11CF-4827-4934-BAC5-CFE8C8C5FA87}" name="Auxerrois" totalsRowFunction="sum" dataDxfId="21" totalsRowDxfId="20"/>
    <tableColumn id="6" xr3:uid="{89C97DAD-D523-4973-BB56-EDDFB78FB840}" name="PRIX" totalsRowFunction="sum" dataDxfId="19" totalsRowDxfId="18" dataCellStyle="Monétaire">
      <calculatedColumnFormula>VLOOKUP(Alsace[[#Headers],[Pinot]],Tarifs[],2,0)*Alsace[[#This Row],[Pinot]]+VLOOKUP(Alsace[[#Headers],[Gewurtz]],Tarifs[],2,0)*Alsace[[#This Row],[Gewurtz]]+VLOOKUP(Alsace[[#Headers],[Riesling]],Tarifs[],2,0)*Alsace[[#This Row],[Riesling]]+VLOOKUP(Alsace[[#Headers],[Auxerrois]],Tarifs[],2,0)*Alsace[[#This Row],[Auxerrois]]</calculatedColumnFormula>
    </tableColumn>
    <tableColumn id="7" xr3:uid="{97177280-4758-439D-842C-BBC5879666E6}" name="N°CHQ" dataDxfId="17" totalsRowDxfId="16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F5F3DD-8257-45B9-8011-9882832F7945}" name="Tarifs" displayName="Tarifs" ref="A1:B10" totalsRowShown="0">
  <autoFilter ref="A1:B10" xr:uid="{A3F5F3DD-8257-45B9-8011-9882832F7945}"/>
  <sortState xmlns:xlrd2="http://schemas.microsoft.com/office/spreadsheetml/2017/richdata2" ref="A2:B10">
    <sortCondition ref="A1:A10"/>
  </sortState>
  <tableColumns count="2">
    <tableColumn id="1" xr3:uid="{3771C5F7-3A68-40AA-9493-5948AE1B52BF}" name="Produit" dataDxfId="15"/>
    <tableColumn id="2" xr3:uid="{2BFBF26F-6512-41E9-9C98-77859FCD1738}" name="Prix" dataDxfId="1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"/>
  <sheetViews>
    <sheetView tabSelected="1" zoomScaleNormal="100" workbookViewId="0">
      <selection activeCell="F10" sqref="F10"/>
    </sheetView>
  </sheetViews>
  <sheetFormatPr baseColWidth="10" defaultRowHeight="27.75" customHeight="1" x14ac:dyDescent="0.25"/>
  <cols>
    <col min="1" max="1" width="22" style="23" bestFit="1" customWidth="1"/>
    <col min="2" max="2" width="27" style="23" bestFit="1" customWidth="1"/>
    <col min="3" max="3" width="25.140625" style="23" bestFit="1" customWidth="1"/>
    <col min="4" max="4" width="19.140625" style="3" bestFit="1" customWidth="1"/>
    <col min="5" max="5" width="18.5703125" style="3" bestFit="1" customWidth="1"/>
    <col min="6" max="6" width="17.28515625" style="3" bestFit="1" customWidth="1"/>
    <col min="7" max="7" width="15.42578125" style="3" bestFit="1" customWidth="1"/>
    <col min="8" max="8" width="10.28515625" style="3" bestFit="1" customWidth="1"/>
    <col min="9" max="9" width="13.140625" style="3" bestFit="1" customWidth="1"/>
    <col min="10" max="10" width="12.5703125" style="3" bestFit="1" customWidth="1"/>
    <col min="11" max="11" width="14.140625" style="23" bestFit="1" customWidth="1"/>
    <col min="12" max="12" width="14" style="23" bestFit="1" customWidth="1"/>
    <col min="13" max="16384" width="11.42578125" style="23"/>
  </cols>
  <sheetData>
    <row r="1" spans="1:28" ht="27.75" customHeight="1" x14ac:dyDescent="0.25">
      <c r="A1" s="3" t="s">
        <v>14</v>
      </c>
      <c r="B1" s="3" t="s">
        <v>25</v>
      </c>
      <c r="C1" s="3" t="s">
        <v>26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12</v>
      </c>
      <c r="I1" s="3" t="s">
        <v>11</v>
      </c>
      <c r="J1" s="3" t="s">
        <v>2</v>
      </c>
      <c r="K1" s="3" t="s">
        <v>1</v>
      </c>
      <c r="L1" s="3" t="s">
        <v>3</v>
      </c>
      <c r="AB1" s="24"/>
    </row>
    <row r="2" spans="1:28" ht="27.75" customHeight="1" x14ac:dyDescent="0.25">
      <c r="A2" s="23" t="s">
        <v>17</v>
      </c>
      <c r="D2" s="23">
        <v>1</v>
      </c>
      <c r="E2" s="23">
        <v>1</v>
      </c>
      <c r="F2" s="23"/>
      <c r="G2" s="23"/>
      <c r="H2" s="23"/>
      <c r="I2" s="23">
        <v>1</v>
      </c>
      <c r="J2" s="23"/>
      <c r="K2" s="23">
        <v>1</v>
      </c>
      <c r="L2" s="23" t="s">
        <v>27</v>
      </c>
      <c r="AB2" s="24"/>
    </row>
    <row r="3" spans="1:28" ht="27.75" customHeight="1" x14ac:dyDescent="0.25">
      <c r="A3" s="23" t="s">
        <v>18</v>
      </c>
      <c r="B3" s="23">
        <v>3</v>
      </c>
      <c r="C3" s="23" t="s">
        <v>28</v>
      </c>
      <c r="D3" s="23"/>
      <c r="E3" s="23"/>
      <c r="F3" s="23">
        <v>1</v>
      </c>
      <c r="G3" s="23">
        <v>1</v>
      </c>
      <c r="H3" s="23"/>
      <c r="I3" s="23"/>
      <c r="J3" s="23">
        <v>1</v>
      </c>
      <c r="K3" s="23">
        <v>1</v>
      </c>
      <c r="L3" s="23" t="s">
        <v>27</v>
      </c>
      <c r="AB3" s="24"/>
    </row>
    <row r="4" spans="1:28" ht="27.75" customHeight="1" x14ac:dyDescent="0.25">
      <c r="A4" s="23" t="s">
        <v>19</v>
      </c>
      <c r="D4" s="23">
        <v>1</v>
      </c>
      <c r="E4" s="23">
        <v>1</v>
      </c>
      <c r="F4" s="23"/>
      <c r="G4" s="23"/>
      <c r="H4" s="23">
        <v>1</v>
      </c>
      <c r="I4" s="23">
        <v>1</v>
      </c>
      <c r="J4" s="23"/>
      <c r="L4" s="23" t="s">
        <v>27</v>
      </c>
      <c r="AB4" s="24"/>
    </row>
    <row r="5" spans="1:28" ht="27.75" customHeight="1" x14ac:dyDescent="0.25">
      <c r="A5" s="23" t="s">
        <v>20</v>
      </c>
      <c r="B5" s="23">
        <v>12</v>
      </c>
      <c r="C5" s="23" t="s">
        <v>29</v>
      </c>
      <c r="D5" s="23">
        <v>1</v>
      </c>
      <c r="E5" s="23"/>
      <c r="F5" s="23"/>
      <c r="G5" s="23">
        <v>1</v>
      </c>
      <c r="H5" s="23"/>
      <c r="I5" s="23"/>
      <c r="J5" s="23"/>
      <c r="L5" s="23" t="s">
        <v>27</v>
      </c>
      <c r="AB5" s="24"/>
    </row>
    <row r="6" spans="1:28" ht="27.75" customHeight="1" x14ac:dyDescent="0.25">
      <c r="A6" s="23" t="s">
        <v>21</v>
      </c>
      <c r="B6" s="23">
        <v>24</v>
      </c>
      <c r="C6" s="23" t="s">
        <v>30</v>
      </c>
      <c r="D6" s="23"/>
      <c r="E6" s="23"/>
      <c r="F6" s="23"/>
      <c r="G6" s="23"/>
      <c r="H6" s="23">
        <v>1</v>
      </c>
      <c r="I6" s="23"/>
      <c r="J6" s="23">
        <v>1</v>
      </c>
      <c r="L6" s="23" t="s">
        <v>27</v>
      </c>
      <c r="AB6" s="24"/>
    </row>
    <row r="7" spans="1:28" ht="27.75" customHeight="1" x14ac:dyDescent="0.25">
      <c r="B7" s="3"/>
      <c r="C7" s="3"/>
      <c r="K7" s="3"/>
      <c r="AB7" s="24"/>
    </row>
    <row r="8" spans="1:28" ht="27.75" customHeight="1" x14ac:dyDescent="0.25">
      <c r="B8" s="3"/>
      <c r="C8" s="3"/>
      <c r="K8" s="3"/>
      <c r="AB8" s="24"/>
    </row>
    <row r="9" spans="1:28" ht="27.75" customHeight="1" x14ac:dyDescent="0.25">
      <c r="B9" s="3"/>
      <c r="C9" s="3"/>
      <c r="K9" s="3"/>
      <c r="AB9" s="24"/>
    </row>
    <row r="10" spans="1:28" ht="27.75" customHeight="1" x14ac:dyDescent="0.25">
      <c r="B10" s="3"/>
      <c r="C10" s="3"/>
      <c r="K10" s="3"/>
      <c r="AB10" s="24"/>
    </row>
    <row r="11" spans="1:28" ht="27.75" customHeight="1" x14ac:dyDescent="0.25">
      <c r="B11" s="3"/>
      <c r="C11" s="3"/>
      <c r="K11" s="3"/>
      <c r="AB11" s="24"/>
    </row>
    <row r="12" spans="1:28" ht="27.75" customHeight="1" x14ac:dyDescent="0.25">
      <c r="B12" s="3"/>
      <c r="C12" s="3"/>
      <c r="K12" s="3"/>
      <c r="AB12" s="24"/>
    </row>
    <row r="13" spans="1:28" ht="27.75" customHeight="1" x14ac:dyDescent="0.25">
      <c r="B13" s="3"/>
      <c r="C13" s="3"/>
      <c r="K13" s="3"/>
      <c r="AB13" s="24"/>
    </row>
    <row r="14" spans="1:28" ht="27.75" customHeight="1" x14ac:dyDescent="0.25">
      <c r="B14" s="3"/>
      <c r="C14" s="3"/>
      <c r="K14" s="3"/>
      <c r="AB14" s="24"/>
    </row>
    <row r="15" spans="1:28" ht="27.75" customHeight="1" x14ac:dyDescent="0.25">
      <c r="B15" s="3"/>
      <c r="C15" s="3"/>
      <c r="K15" s="3"/>
      <c r="AB15" s="24"/>
    </row>
    <row r="16" spans="1:28" ht="27.75" customHeight="1" x14ac:dyDescent="0.25">
      <c r="B16" s="3"/>
      <c r="C16" s="3"/>
      <c r="K16" s="3"/>
      <c r="AB16" s="24"/>
    </row>
    <row r="17" spans="2:28" ht="27.75" customHeight="1" x14ac:dyDescent="0.25">
      <c r="B17" s="6"/>
      <c r="C17" s="6"/>
      <c r="K17" s="3"/>
      <c r="AB17" s="24"/>
    </row>
    <row r="18" spans="2:28" ht="27.75" customHeight="1" x14ac:dyDescent="0.25">
      <c r="B18" s="3"/>
      <c r="C18" s="3"/>
      <c r="K18" s="3"/>
      <c r="AB18" s="24"/>
    </row>
    <row r="19" spans="2:28" ht="27.75" customHeight="1" x14ac:dyDescent="0.25">
      <c r="B19" s="3"/>
      <c r="C19" s="3"/>
      <c r="K19" s="3"/>
      <c r="AB19" s="24"/>
    </row>
    <row r="20" spans="2:28" ht="27.75" customHeight="1" x14ac:dyDescent="0.25">
      <c r="B20" s="3"/>
      <c r="C20" s="3"/>
      <c r="K20" s="3"/>
      <c r="AB20" s="24"/>
    </row>
    <row r="21" spans="2:28" ht="27.75" customHeight="1" x14ac:dyDescent="0.25">
      <c r="B21" s="3"/>
      <c r="C21" s="3"/>
      <c r="K21" s="3"/>
      <c r="AB21" s="24"/>
    </row>
    <row r="22" spans="2:28" ht="27.75" customHeight="1" x14ac:dyDescent="0.25">
      <c r="B22" s="3"/>
      <c r="C22" s="3"/>
      <c r="K22" s="3"/>
      <c r="AB22" s="24"/>
    </row>
    <row r="23" spans="2:28" ht="27.75" customHeight="1" x14ac:dyDescent="0.25">
      <c r="B23" s="3"/>
      <c r="C23" s="3"/>
      <c r="K23" s="3"/>
      <c r="AB23" s="24"/>
    </row>
    <row r="24" spans="2:28" ht="27.75" customHeight="1" x14ac:dyDescent="0.25">
      <c r="B24" s="7"/>
      <c r="C24" s="7"/>
      <c r="K24" s="3"/>
      <c r="AB24" s="24"/>
    </row>
    <row r="25" spans="2:28" ht="27.75" customHeight="1" x14ac:dyDescent="0.25">
      <c r="B25" s="3"/>
      <c r="C25" s="3"/>
      <c r="K25" s="3"/>
      <c r="AB25" s="24"/>
    </row>
    <row r="26" spans="2:28" ht="27.75" customHeight="1" x14ac:dyDescent="0.25">
      <c r="B26" s="3"/>
      <c r="C26" s="3"/>
      <c r="K26" s="3"/>
      <c r="AB26" s="24"/>
    </row>
    <row r="27" spans="2:28" ht="27.75" customHeight="1" x14ac:dyDescent="0.25">
      <c r="B27" s="3"/>
      <c r="C27" s="3"/>
      <c r="K27" s="3"/>
      <c r="AB27" s="24"/>
    </row>
    <row r="28" spans="2:28" ht="27.75" customHeight="1" x14ac:dyDescent="0.25">
      <c r="B28" s="3"/>
      <c r="C28" s="3"/>
      <c r="K28" s="3"/>
      <c r="AB28" s="24"/>
    </row>
    <row r="29" spans="2:28" ht="27.75" customHeight="1" x14ac:dyDescent="0.25">
      <c r="B29" s="3"/>
      <c r="C29" s="3"/>
      <c r="K29" s="3"/>
      <c r="AB29" s="24"/>
    </row>
    <row r="30" spans="2:28" ht="27.75" customHeight="1" x14ac:dyDescent="0.25">
      <c r="B30" s="3"/>
      <c r="C30" s="3"/>
      <c r="K30" s="3"/>
      <c r="AB30" s="24"/>
    </row>
    <row r="31" spans="2:28" ht="27.75" customHeight="1" x14ac:dyDescent="0.25">
      <c r="B31" s="3"/>
      <c r="C31" s="3"/>
      <c r="K31" s="3"/>
      <c r="AB31" s="24"/>
    </row>
    <row r="32" spans="2:28" ht="27.75" customHeight="1" x14ac:dyDescent="0.25">
      <c r="B32" s="3"/>
      <c r="C32" s="3"/>
      <c r="K32" s="3"/>
      <c r="AB32" s="24"/>
    </row>
    <row r="33" spans="2:28" ht="27.75" customHeight="1" x14ac:dyDescent="0.25">
      <c r="B33" s="3"/>
      <c r="C33" s="3"/>
      <c r="K33" s="3"/>
      <c r="AB33" s="24"/>
    </row>
    <row r="34" spans="2:28" ht="27.75" customHeight="1" x14ac:dyDescent="0.25">
      <c r="B34" s="3"/>
      <c r="C34" s="3"/>
      <c r="K34" s="3"/>
      <c r="AB34" s="24"/>
    </row>
    <row r="35" spans="2:28" ht="27.75" customHeight="1" x14ac:dyDescent="0.25">
      <c r="B35" s="3"/>
      <c r="C35" s="3"/>
      <c r="K35" s="3"/>
      <c r="AB35" s="24"/>
    </row>
    <row r="36" spans="2:28" ht="27.75" customHeight="1" x14ac:dyDescent="0.25">
      <c r="B36" s="3"/>
      <c r="C36" s="3"/>
      <c r="K36" s="3"/>
      <c r="AB36" s="24"/>
    </row>
    <row r="37" spans="2:28" ht="27.75" customHeight="1" x14ac:dyDescent="0.25">
      <c r="B37" s="3"/>
      <c r="C37" s="3"/>
      <c r="K37" s="3"/>
      <c r="AB37" s="24"/>
    </row>
    <row r="38" spans="2:28" ht="27.75" customHeight="1" x14ac:dyDescent="0.25">
      <c r="B38" s="3"/>
      <c r="C38" s="3"/>
      <c r="K38" s="3"/>
      <c r="AB38" s="24"/>
    </row>
    <row r="39" spans="2:28" ht="27.75" customHeight="1" x14ac:dyDescent="0.25">
      <c r="B39" s="3"/>
      <c r="C39" s="3"/>
      <c r="K39" s="3"/>
      <c r="AB39" s="24"/>
    </row>
    <row r="40" spans="2:28" ht="27.75" customHeight="1" x14ac:dyDescent="0.25">
      <c r="B40" s="3"/>
      <c r="C40" s="3"/>
      <c r="K40" s="3"/>
      <c r="AB40" s="24"/>
    </row>
    <row r="41" spans="2:28" ht="27.75" customHeight="1" x14ac:dyDescent="0.25">
      <c r="B41" s="3"/>
      <c r="C41" s="3"/>
      <c r="K41" s="3"/>
      <c r="AB41" s="24"/>
    </row>
    <row r="42" spans="2:28" ht="27.75" customHeight="1" x14ac:dyDescent="0.25">
      <c r="B42" s="3"/>
      <c r="C42" s="3"/>
      <c r="K42" s="3"/>
      <c r="AB42" s="24"/>
    </row>
    <row r="43" spans="2:28" ht="27.75" customHeight="1" x14ac:dyDescent="0.25">
      <c r="B43" s="3"/>
      <c r="C43" s="3"/>
      <c r="K43" s="3"/>
    </row>
    <row r="44" spans="2:28" ht="27.75" customHeight="1" x14ac:dyDescent="0.25">
      <c r="B44" s="7"/>
      <c r="C44" s="7"/>
      <c r="K44" s="3"/>
    </row>
    <row r="45" spans="2:28" ht="27.75" customHeight="1" x14ac:dyDescent="0.25">
      <c r="B45" s="3"/>
      <c r="C45" s="3"/>
      <c r="K45" s="3"/>
    </row>
    <row r="46" spans="2:28" ht="27.75" customHeight="1" x14ac:dyDescent="0.25">
      <c r="B46" s="6"/>
      <c r="C46" s="6"/>
      <c r="K46" s="3"/>
    </row>
    <row r="47" spans="2:28" ht="27.75" customHeight="1" x14ac:dyDescent="0.25">
      <c r="B47" s="3"/>
      <c r="C47" s="3"/>
      <c r="K47" s="3"/>
    </row>
    <row r="48" spans="2:28" ht="27.75" customHeight="1" x14ac:dyDescent="0.25">
      <c r="B48" s="3"/>
      <c r="C48" s="3"/>
      <c r="K48" s="3"/>
    </row>
    <row r="49" spans="2:11" ht="27.75" customHeight="1" x14ac:dyDescent="0.25">
      <c r="B49" s="3"/>
      <c r="C49" s="3"/>
      <c r="K49" s="3"/>
    </row>
    <row r="50" spans="2:11" ht="27.75" customHeight="1" x14ac:dyDescent="0.25">
      <c r="B50" s="3"/>
      <c r="C50" s="3"/>
      <c r="K50" s="3"/>
    </row>
    <row r="51" spans="2:11" ht="27.75" customHeight="1" x14ac:dyDescent="0.25">
      <c r="B51" s="3"/>
      <c r="C51" s="3"/>
      <c r="K51" s="3"/>
    </row>
    <row r="52" spans="2:11" ht="27.75" customHeight="1" x14ac:dyDescent="0.25">
      <c r="B52" s="3"/>
      <c r="C52" s="3"/>
      <c r="K52" s="3"/>
    </row>
    <row r="53" spans="2:11" ht="27.75" customHeight="1" x14ac:dyDescent="0.25">
      <c r="B53" s="3"/>
      <c r="C53" s="3"/>
      <c r="K53" s="3"/>
    </row>
    <row r="54" spans="2:11" ht="27.75" customHeight="1" x14ac:dyDescent="0.25">
      <c r="B54" s="3"/>
      <c r="C54" s="3"/>
      <c r="K54" s="3"/>
    </row>
    <row r="55" spans="2:11" ht="27.75" customHeight="1" x14ac:dyDescent="0.25">
      <c r="B55" s="3"/>
      <c r="C55" s="3"/>
      <c r="K55" s="3"/>
    </row>
    <row r="56" spans="2:11" ht="27.75" customHeight="1" x14ac:dyDescent="0.25">
      <c r="B56" s="3"/>
      <c r="C56" s="3"/>
      <c r="K56" s="3"/>
    </row>
    <row r="57" spans="2:11" ht="27.75" customHeight="1" x14ac:dyDescent="0.25">
      <c r="B57" s="3"/>
      <c r="C57" s="3"/>
      <c r="K57" s="3"/>
    </row>
    <row r="58" spans="2:11" ht="27.75" customHeight="1" x14ac:dyDescent="0.25">
      <c r="B58" s="8"/>
      <c r="C58" s="8"/>
      <c r="K58" s="3"/>
    </row>
    <row r="59" spans="2:11" ht="27.75" customHeight="1" x14ac:dyDescent="0.25">
      <c r="B59" s="7"/>
      <c r="C59" s="7"/>
      <c r="K59" s="3"/>
    </row>
    <row r="60" spans="2:11" ht="27.75" customHeight="1" x14ac:dyDescent="0.25">
      <c r="B60" s="3"/>
      <c r="C60" s="3"/>
      <c r="K60" s="3"/>
    </row>
    <row r="61" spans="2:11" ht="27.75" customHeight="1" x14ac:dyDescent="0.25">
      <c r="B61" s="3"/>
      <c r="C61" s="3"/>
      <c r="K61" s="3"/>
    </row>
    <row r="62" spans="2:11" ht="27.75" customHeight="1" x14ac:dyDescent="0.25">
      <c r="B62" s="3"/>
      <c r="C62" s="3"/>
      <c r="K62" s="3"/>
    </row>
    <row r="63" spans="2:11" ht="27.75" customHeight="1" x14ac:dyDescent="0.25">
      <c r="B63" s="3"/>
      <c r="C63" s="3"/>
      <c r="K63" s="3"/>
    </row>
    <row r="64" spans="2:11" ht="27.75" customHeight="1" x14ac:dyDescent="0.25">
      <c r="B64" s="7"/>
      <c r="C64" s="7"/>
      <c r="K64" s="3"/>
    </row>
    <row r="65" spans="1:11" ht="27.75" customHeight="1" x14ac:dyDescent="0.25">
      <c r="B65" s="3"/>
      <c r="C65" s="3"/>
      <c r="K65" s="3"/>
    </row>
    <row r="66" spans="1:11" ht="27.75" customHeight="1" x14ac:dyDescent="0.25">
      <c r="B66" s="3"/>
      <c r="C66" s="3"/>
      <c r="K66" s="3"/>
    </row>
    <row r="67" spans="1:11" ht="27.75" customHeight="1" x14ac:dyDescent="0.25">
      <c r="B67" s="3"/>
      <c r="C67" s="3"/>
      <c r="K67" s="3"/>
    </row>
    <row r="70" spans="1:11" ht="27.75" customHeight="1" x14ac:dyDescent="0.25">
      <c r="A70" s="29"/>
    </row>
  </sheetData>
  <dataConsolidate function="count" topLabels="1" link="1">
    <dataRefs count="3">
      <dataRef ref="A1:E6" sheet="ALSACE"/>
      <dataRef ref="A1:C9" sheet="CHAMPAGNE"/>
      <dataRef ref="A1:E9" sheet="TARANI"/>
    </dataRefs>
  </dataConsolidate>
  <pageMargins left="0.70866141732283472" right="0.70866141732283472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D27" sqref="D27"/>
    </sheetView>
  </sheetViews>
  <sheetFormatPr baseColWidth="10" defaultRowHeight="15" x14ac:dyDescent="0.25"/>
  <cols>
    <col min="1" max="1" width="28.85546875" bestFit="1" customWidth="1"/>
    <col min="2" max="2" width="15.85546875" style="3" bestFit="1" customWidth="1"/>
    <col min="3" max="3" width="26.42578125" customWidth="1"/>
    <col min="4" max="4" width="9.42578125" style="2" bestFit="1" customWidth="1"/>
    <col min="5" max="5" width="16.42578125" style="1" customWidth="1"/>
    <col min="6" max="6" width="30.42578125" bestFit="1" customWidth="1"/>
  </cols>
  <sheetData>
    <row r="1" spans="1:9" x14ac:dyDescent="0.25">
      <c r="A1" t="s">
        <v>0</v>
      </c>
      <c r="B1" s="10">
        <v>14.9</v>
      </c>
    </row>
    <row r="3" spans="1:9" x14ac:dyDescent="0.25">
      <c r="A3" s="13" t="s">
        <v>14</v>
      </c>
      <c r="B3" s="14" t="s">
        <v>15</v>
      </c>
      <c r="C3" s="11" t="s">
        <v>16</v>
      </c>
      <c r="D3" s="15" t="s">
        <v>4</v>
      </c>
      <c r="E3" s="12" t="s">
        <v>5</v>
      </c>
    </row>
    <row r="4" spans="1:9" ht="15.75" x14ac:dyDescent="0.25">
      <c r="A4" t="s">
        <v>18</v>
      </c>
      <c r="B4" s="3">
        <v>3</v>
      </c>
      <c r="C4" s="16" t="str">
        <f>INT(B4/6)&amp;" carton(s) et "&amp;MOD(B4,6)&amp;" bouteille(s)"</f>
        <v>0 carton(s) et 3 bouteille(s)</v>
      </c>
      <c r="D4" s="2">
        <f>VLOOKUP($A$1,Tarifs[],2,0)*B4</f>
        <v>44.7</v>
      </c>
      <c r="F4" s="4"/>
    </row>
    <row r="5" spans="1:9" ht="15.75" x14ac:dyDescent="0.25">
      <c r="A5" t="s">
        <v>20</v>
      </c>
      <c r="B5" s="3">
        <v>12</v>
      </c>
      <c r="C5" s="16" t="str">
        <f t="shared" ref="C5:C6" si="0">INT(B5/6)&amp;" carton(s) et "&amp;MOD(B5,6)&amp;" bouteille(s)"</f>
        <v>2 carton(s) et 0 bouteille(s)</v>
      </c>
      <c r="D5" s="2">
        <f>VLOOKUP($A$1,Tarifs[],2,0)*B5</f>
        <v>178.8</v>
      </c>
      <c r="F5" s="4"/>
      <c r="I5" t="s">
        <v>13</v>
      </c>
    </row>
    <row r="6" spans="1:9" ht="15.75" x14ac:dyDescent="0.25">
      <c r="A6" t="s">
        <v>21</v>
      </c>
      <c r="B6" s="3">
        <v>24</v>
      </c>
      <c r="C6" s="16" t="str">
        <f t="shared" si="0"/>
        <v>4 carton(s) et 0 bouteille(s)</v>
      </c>
      <c r="D6" s="2">
        <f>VLOOKUP($A$1,Tarifs[],2,0)*B6</f>
        <v>357.6</v>
      </c>
      <c r="F6" s="4"/>
    </row>
    <row r="7" spans="1:9" x14ac:dyDescent="0.25">
      <c r="A7" t="s">
        <v>22</v>
      </c>
      <c r="B7" s="3">
        <f>SUBTOTAL(109,Champagne[[BOUTEILLES ]])</f>
        <v>39</v>
      </c>
      <c r="C7" s="16" t="str">
        <f>INT(Champagne[[#Totals],[BOUTEILLES ]]/6)&amp;" carton(s) et "&amp;MOD(Champagne[[#Totals],[BOUTEILLES ]],6)&amp;" bouteille(s)"</f>
        <v>6 carton(s) et 3 bouteille(s)</v>
      </c>
      <c r="D7" s="2">
        <f>SUBTOTAL(109,Champagne[PRIX])</f>
        <v>581.1</v>
      </c>
      <c r="E7"/>
    </row>
  </sheetData>
  <sortState xmlns:xlrd2="http://schemas.microsoft.com/office/spreadsheetml/2017/richdata2" ref="A4:F6">
    <sortCondition ref="A4"/>
  </sortState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"/>
  <sheetViews>
    <sheetView workbookViewId="0">
      <pane xSplit="6" ySplit="1" topLeftCell="G2" activePane="bottomRight" state="frozen"/>
      <selection pane="topRight" activeCell="G1" sqref="G1"/>
      <selection pane="bottomLeft" activeCell="A3" sqref="A3"/>
      <selection pane="bottomRight" activeCell="C3" sqref="C3"/>
    </sheetView>
  </sheetViews>
  <sheetFormatPr baseColWidth="10" defaultRowHeight="15" x14ac:dyDescent="0.25"/>
  <cols>
    <col min="1" max="1" width="31.42578125" customWidth="1"/>
    <col min="2" max="2" width="16.42578125" customWidth="1"/>
    <col min="3" max="3" width="16.140625" customWidth="1"/>
    <col min="4" max="5" width="15.85546875" customWidth="1"/>
    <col min="6" max="6" width="14.7109375" customWidth="1"/>
    <col min="7" max="7" width="13" customWidth="1"/>
  </cols>
  <sheetData>
    <row r="1" spans="1:7" x14ac:dyDescent="0.25">
      <c r="A1" s="23" t="s">
        <v>14</v>
      </c>
      <c r="B1" s="18" t="s">
        <v>7</v>
      </c>
      <c r="C1" s="18" t="s">
        <v>8</v>
      </c>
      <c r="D1" s="18" t="s">
        <v>9</v>
      </c>
      <c r="E1" s="18" t="s">
        <v>10</v>
      </c>
      <c r="F1" s="24" t="s">
        <v>6</v>
      </c>
      <c r="G1" s="25" t="s">
        <v>5</v>
      </c>
    </row>
    <row r="2" spans="1:7" x14ac:dyDescent="0.25">
      <c r="A2" t="s">
        <v>17</v>
      </c>
      <c r="B2" s="9">
        <v>1</v>
      </c>
      <c r="C2" s="9">
        <v>1</v>
      </c>
      <c r="D2" s="9"/>
      <c r="E2" s="9"/>
      <c r="F2" s="5">
        <f>VLOOKUP(Tarani[[#Headers],[TARANI ROUGE]],Tarifs[],2,0)*Tarani[[#This Row],[TARANI ROUGE]]+VLOOKUP(Tarani[[#Headers],[TARANI BLANC]],Tarifs[],2,0)*Tarani[[#This Row],[TARANI BLANC]]+VLOOKUP(Tarani[[#Headers],[TARANI ROSE]],Tarifs[],2,0)*Tarani[[#This Row],[TARANI ROSE]]+VLOOKUP(Tarani[[#Headers],[BORDEAUX]],Tarifs[],2,0)*Tarani[[#This Row],[BORDEAUX]]</f>
        <v>54</v>
      </c>
      <c r="G2" s="1"/>
    </row>
    <row r="3" spans="1:7" x14ac:dyDescent="0.25">
      <c r="A3" t="s">
        <v>18</v>
      </c>
      <c r="B3" s="9"/>
      <c r="C3" s="9"/>
      <c r="D3" s="9">
        <v>1</v>
      </c>
      <c r="E3" s="9">
        <v>1</v>
      </c>
      <c r="F3" s="5">
        <f>VLOOKUP(Tarani[[#Headers],[TARANI ROUGE]],Tarifs[],2,0)*Tarani[[#This Row],[TARANI ROUGE]]+VLOOKUP(Tarani[[#Headers],[TARANI BLANC]],Tarifs[],2,0)*Tarani[[#This Row],[TARANI BLANC]]+VLOOKUP(Tarani[[#Headers],[TARANI ROSE]],Tarifs[],2,0)*Tarani[[#This Row],[TARANI ROSE]]+VLOOKUP(Tarani[[#Headers],[BORDEAUX]],Tarifs[],2,0)*Tarani[[#This Row],[BORDEAUX]]</f>
        <v>50.7</v>
      </c>
      <c r="G3" s="1"/>
    </row>
    <row r="4" spans="1:7" x14ac:dyDescent="0.25">
      <c r="A4" t="s">
        <v>19</v>
      </c>
      <c r="B4" s="9">
        <v>1</v>
      </c>
      <c r="C4" s="9">
        <v>1</v>
      </c>
      <c r="D4" s="9"/>
      <c r="E4" s="9"/>
      <c r="F4" s="5">
        <f>VLOOKUP(Tarani[[#Headers],[TARANI ROUGE]],Tarifs[],2,0)*Tarani[[#This Row],[TARANI ROUGE]]+VLOOKUP(Tarani[[#Headers],[TARANI BLANC]],Tarifs[],2,0)*Tarani[[#This Row],[TARANI BLANC]]+VLOOKUP(Tarani[[#Headers],[TARANI ROSE]],Tarifs[],2,0)*Tarani[[#This Row],[TARANI ROSE]]+VLOOKUP(Tarani[[#Headers],[BORDEAUX]],Tarifs[],2,0)*Tarani[[#This Row],[BORDEAUX]]</f>
        <v>54</v>
      </c>
      <c r="G4" s="1"/>
    </row>
    <row r="5" spans="1:7" x14ac:dyDescent="0.25">
      <c r="A5" t="s">
        <v>20</v>
      </c>
      <c r="B5" s="9">
        <v>1</v>
      </c>
      <c r="C5" s="9"/>
      <c r="D5" s="9"/>
      <c r="E5" s="9">
        <v>1</v>
      </c>
      <c r="F5" s="5">
        <f>VLOOKUP(Tarani[[#Headers],[TARANI ROUGE]],Tarifs[],2,0)*Tarani[[#This Row],[TARANI ROUGE]]+VLOOKUP(Tarani[[#Headers],[TARANI BLANC]],Tarifs[],2,0)*Tarani[[#This Row],[TARANI BLANC]]+VLOOKUP(Tarani[[#Headers],[TARANI ROSE]],Tarifs[],2,0)*Tarani[[#This Row],[TARANI ROSE]]+VLOOKUP(Tarani[[#Headers],[BORDEAUX]],Tarifs[],2,0)*Tarani[[#This Row],[BORDEAUX]]</f>
        <v>50.7</v>
      </c>
      <c r="G5" s="1"/>
    </row>
    <row r="6" spans="1:7" x14ac:dyDescent="0.25">
      <c r="A6" t="s">
        <v>22</v>
      </c>
      <c r="B6" s="9">
        <f>SUBTOTAL(109,Tarani[TARANI ROUGE])</f>
        <v>3</v>
      </c>
      <c r="C6" s="9">
        <f>SUBTOTAL(109,Tarani[TARANI BLANC])</f>
        <v>2</v>
      </c>
      <c r="D6" s="9">
        <f>SUBTOTAL(109,Tarani[TARANI ROSE])</f>
        <v>1</v>
      </c>
      <c r="E6" s="9">
        <f>SUBTOTAL(109,Tarani[BORDEAUX])</f>
        <v>2</v>
      </c>
      <c r="F6" s="26">
        <f>SUBTOTAL(109,Tarani[TOTAL])</f>
        <v>209.39999999999998</v>
      </c>
    </row>
  </sheetData>
  <sortState xmlns:xlrd2="http://schemas.microsoft.com/office/spreadsheetml/2017/richdata2" ref="A2:J5">
    <sortCondition ref="A2"/>
  </sortState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"/>
  <sheetViews>
    <sheetView zoomScaleNormal="100" workbookViewId="0">
      <selection activeCell="E4" sqref="E4"/>
    </sheetView>
  </sheetViews>
  <sheetFormatPr baseColWidth="10" defaultRowHeight="15" x14ac:dyDescent="0.25"/>
  <cols>
    <col min="1" max="1" width="26.140625" customWidth="1"/>
    <col min="2" max="6" width="15.85546875" customWidth="1"/>
    <col min="7" max="7" width="15.85546875" style="1" customWidth="1"/>
  </cols>
  <sheetData>
    <row r="1" spans="1:7" x14ac:dyDescent="0.25">
      <c r="A1" s="23" t="s">
        <v>14</v>
      </c>
      <c r="B1" s="3" t="s">
        <v>12</v>
      </c>
      <c r="C1" s="3" t="s">
        <v>11</v>
      </c>
      <c r="D1" s="3" t="s">
        <v>2</v>
      </c>
      <c r="E1" s="3" t="s">
        <v>1</v>
      </c>
      <c r="F1" s="23" t="s">
        <v>4</v>
      </c>
      <c r="G1" s="25" t="s">
        <v>5</v>
      </c>
    </row>
    <row r="2" spans="1:7" x14ac:dyDescent="0.25">
      <c r="A2" t="s">
        <v>19</v>
      </c>
      <c r="B2" s="9">
        <v>1</v>
      </c>
      <c r="C2" s="9">
        <v>1</v>
      </c>
      <c r="D2" s="9"/>
      <c r="E2" s="9"/>
      <c r="F2" s="5">
        <f>VLOOKUP(Alsace[[#Headers],[Pinot]],Tarifs[],2,0)*Alsace[[#This Row],[Pinot]]+VLOOKUP(Alsace[[#Headers],[Gewurtz]],Tarifs[],2,0)*Alsace[[#This Row],[Gewurtz]]+VLOOKUP(Alsace[[#Headers],[Riesling]],Tarifs[],2,0)*Alsace[[#This Row],[Riesling]]+VLOOKUP(Alsace[[#Headers],[Auxerrois]],Tarifs[],2,0)*Alsace[[#This Row],[Auxerrois]]</f>
        <v>110.5</v>
      </c>
    </row>
    <row r="3" spans="1:7" x14ac:dyDescent="0.25">
      <c r="A3" t="s">
        <v>18</v>
      </c>
      <c r="B3" s="9"/>
      <c r="C3" s="9"/>
      <c r="D3" s="9">
        <v>1</v>
      </c>
      <c r="E3" s="9">
        <v>1</v>
      </c>
      <c r="F3" s="28">
        <f>VLOOKUP(Alsace[[#Headers],[Pinot]],Tarifs[],2,0)*Alsace[[#This Row],[Pinot]]+VLOOKUP(Alsace[[#Headers],[Gewurtz]],Tarifs[],2,0)*Alsace[[#This Row],[Gewurtz]]+VLOOKUP(Alsace[[#Headers],[Riesling]],Tarifs[],2,0)*Alsace[[#This Row],[Riesling]]+VLOOKUP(Alsace[[#Headers],[Auxerrois]],Tarifs[],2,0)*Alsace[[#This Row],[Auxerrois]]</f>
        <v>97.8</v>
      </c>
    </row>
    <row r="4" spans="1:7" x14ac:dyDescent="0.25">
      <c r="A4" t="s">
        <v>21</v>
      </c>
      <c r="B4" s="9">
        <v>1</v>
      </c>
      <c r="C4" s="9"/>
      <c r="D4" s="9">
        <v>1</v>
      </c>
      <c r="E4" s="9"/>
      <c r="F4" s="28">
        <f>VLOOKUP(Alsace[[#Headers],[Pinot]],Tarifs[],2,0)*Alsace[[#This Row],[Pinot]]+VLOOKUP(Alsace[[#Headers],[Gewurtz]],Tarifs[],2,0)*Alsace[[#This Row],[Gewurtz]]+VLOOKUP(Alsace[[#Headers],[Riesling]],Tarifs[],2,0)*Alsace[[#This Row],[Riesling]]+VLOOKUP(Alsace[[#Headers],[Auxerrois]],Tarifs[],2,0)*Alsace[[#This Row],[Auxerrois]]</f>
        <v>110.5</v>
      </c>
    </row>
    <row r="5" spans="1:7" x14ac:dyDescent="0.25">
      <c r="A5" t="s">
        <v>17</v>
      </c>
      <c r="B5" s="9"/>
      <c r="C5" s="9">
        <v>1</v>
      </c>
      <c r="D5" s="9"/>
      <c r="E5" s="9">
        <v>1</v>
      </c>
      <c r="F5" s="28">
        <f>VLOOKUP(Alsace[[#Headers],[Pinot]],Tarifs[],2,0)*Alsace[[#This Row],[Pinot]]+VLOOKUP(Alsace[[#Headers],[Gewurtz]],Tarifs[],2,0)*Alsace[[#This Row],[Gewurtz]]+VLOOKUP(Alsace[[#Headers],[Riesling]],Tarifs[],2,0)*Alsace[[#This Row],[Riesling]]+VLOOKUP(Alsace[[#Headers],[Auxerrois]],Tarifs[],2,0)*Alsace[[#This Row],[Auxerrois]]</f>
        <v>97.8</v>
      </c>
    </row>
    <row r="6" spans="1:7" x14ac:dyDescent="0.25">
      <c r="A6" t="s">
        <v>22</v>
      </c>
      <c r="B6" s="9">
        <f>SUBTOTAL(109,Alsace[Pinot])</f>
        <v>2</v>
      </c>
      <c r="C6" s="9">
        <f>SUBTOTAL(109,Alsace[Gewurtz])</f>
        <v>2</v>
      </c>
      <c r="D6" s="9">
        <f>SUBTOTAL(109,Alsace[Riesling])</f>
        <v>2</v>
      </c>
      <c r="E6" s="9">
        <f>SUBTOTAL(109,Alsace[Auxerrois])</f>
        <v>2</v>
      </c>
      <c r="F6" s="27">
        <f>SUBTOTAL(109,Alsace[PRIX])</f>
        <v>416.6</v>
      </c>
      <c r="G6"/>
    </row>
  </sheetData>
  <sortState xmlns:xlrd2="http://schemas.microsoft.com/office/spreadsheetml/2017/richdata2" ref="A2:G3">
    <sortCondition ref="A2"/>
  </sortState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320C2-0968-45F9-AFCF-610903C8CDA7}">
  <dimension ref="A1:B10"/>
  <sheetViews>
    <sheetView workbookViewId="0">
      <selection activeCell="B5" sqref="B5"/>
    </sheetView>
  </sheetViews>
  <sheetFormatPr baseColWidth="10" defaultRowHeight="15" x14ac:dyDescent="0.25"/>
  <cols>
    <col min="1" max="1" width="20.85546875" style="20" customWidth="1"/>
    <col min="2" max="16384" width="11.42578125" style="17"/>
  </cols>
  <sheetData>
    <row r="1" spans="1:2" x14ac:dyDescent="0.25">
      <c r="A1" s="20" t="s">
        <v>23</v>
      </c>
      <c r="B1" s="17" t="s">
        <v>24</v>
      </c>
    </row>
    <row r="2" spans="1:2" x14ac:dyDescent="0.25">
      <c r="A2" s="20" t="s">
        <v>1</v>
      </c>
      <c r="B2" s="22">
        <v>40</v>
      </c>
    </row>
    <row r="3" spans="1:2" x14ac:dyDescent="0.25">
      <c r="A3" t="s">
        <v>10</v>
      </c>
      <c r="B3" s="21">
        <v>23.7</v>
      </c>
    </row>
    <row r="4" spans="1:2" x14ac:dyDescent="0.25">
      <c r="A4" s="20" t="s">
        <v>0</v>
      </c>
      <c r="B4" s="19">
        <v>14.9</v>
      </c>
    </row>
    <row r="5" spans="1:2" x14ac:dyDescent="0.25">
      <c r="A5" s="20" t="s">
        <v>11</v>
      </c>
      <c r="B5" s="22">
        <v>57.8</v>
      </c>
    </row>
    <row r="6" spans="1:2" x14ac:dyDescent="0.25">
      <c r="A6" s="20" t="s">
        <v>12</v>
      </c>
      <c r="B6" s="22">
        <v>52.7</v>
      </c>
    </row>
    <row r="7" spans="1:2" x14ac:dyDescent="0.25">
      <c r="A7" s="20" t="s">
        <v>2</v>
      </c>
      <c r="B7" s="22">
        <v>57.8</v>
      </c>
    </row>
    <row r="8" spans="1:2" x14ac:dyDescent="0.25">
      <c r="A8" t="s">
        <v>8</v>
      </c>
      <c r="B8" s="21">
        <v>27</v>
      </c>
    </row>
    <row r="9" spans="1:2" x14ac:dyDescent="0.25">
      <c r="A9" t="s">
        <v>9</v>
      </c>
      <c r="B9" s="21">
        <v>27</v>
      </c>
    </row>
    <row r="10" spans="1:2" x14ac:dyDescent="0.25">
      <c r="A10" t="s">
        <v>7</v>
      </c>
      <c r="B10" s="21">
        <v>27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BFC856-EA6E-466E-904F-A320584850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EMMARG vins 2025</vt:lpstr>
      <vt:lpstr>CHAMPAGNE</vt:lpstr>
      <vt:lpstr>TARANI</vt:lpstr>
      <vt:lpstr>ALSACE</vt:lpstr>
      <vt:lpstr>Tarifs</vt:lpstr>
      <vt:lpstr>PrixC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groupement d'entraide</dc:creator>
  <cp:lastModifiedBy>Chris_W10</cp:lastModifiedBy>
  <cp:lastPrinted>2024-12-04T14:01:56Z</cp:lastPrinted>
  <dcterms:created xsi:type="dcterms:W3CDTF">2024-10-11T16:26:05Z</dcterms:created>
  <dcterms:modified xsi:type="dcterms:W3CDTF">2025-03-07T23:00:26Z</dcterms:modified>
</cp:coreProperties>
</file>