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1EB373E-F308-4B15-ACAB-85459F494AE4}" xr6:coauthVersionLast="47" xr6:coauthVersionMax="47" xr10:uidLastSave="{00000000-0000-0000-0000-000000000000}"/>
  <bookViews>
    <workbookView xWindow="-120" yWindow="-120" windowWidth="38640" windowHeight="15990" activeTab="1" xr2:uid="{0820ED5F-996F-4DAA-B98B-64F265CACCBE}"/>
  </bookViews>
  <sheets>
    <sheet name="EXTRACT LOG CAISSE" sheetId="1" r:id="rId1"/>
    <sheet name="JRNAL A OBTENIR" sheetId="2" r:id="rId2"/>
    <sheet name="Tables" sheetId="3" r:id="rId3"/>
  </sheets>
  <definedNames>
    <definedName name="DonnéesExternes_1" localSheetId="1" hidden="1">'JRNAL A OBTENIR'!$S$1:$Y$19</definedName>
    <definedName name="Journal">OFFSET('EXTRACT LOG CAISSE'!$A$6,,,COUNTA('EXTRACT LOG CAISSE'!$A:$A)-4,COUNTA('EXTRACT LOG CAISSE'!$6:$6))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0" i="2" l="1"/>
  <c r="X20" i="2"/>
  <c r="Y20" i="2"/>
  <c r="J2" i="2"/>
  <c r="J11" i="2" s="1"/>
  <c r="K11" i="2" s="1"/>
  <c r="N2" i="2" l="1"/>
  <c r="J19" i="2"/>
  <c r="M19" i="2" s="1"/>
  <c r="J30" i="2"/>
  <c r="K30" i="2" s="1"/>
  <c r="J3" i="2"/>
  <c r="N3" i="2" s="1"/>
  <c r="J24" i="2"/>
  <c r="J5" i="2"/>
  <c r="N5" i="2" s="1"/>
  <c r="M11" i="2"/>
  <c r="J13" i="2"/>
  <c r="J21" i="2"/>
  <c r="J29" i="2"/>
  <c r="J27" i="2"/>
  <c r="J18" i="2"/>
  <c r="J26" i="2"/>
  <c r="J7" i="2"/>
  <c r="J23" i="2"/>
  <c r="M2" i="2"/>
  <c r="J4" i="2"/>
  <c r="N4" i="2" s="1"/>
  <c r="J12" i="2"/>
  <c r="O12" i="2" s="1"/>
  <c r="J20" i="2"/>
  <c r="J28" i="2"/>
  <c r="K2" i="2"/>
  <c r="J31" i="2"/>
  <c r="J9" i="2"/>
  <c r="O9" i="2" s="1"/>
  <c r="J17" i="2"/>
  <c r="J25" i="2"/>
  <c r="J8" i="2"/>
  <c r="O8" i="2" s="1"/>
  <c r="J16" i="2"/>
  <c r="J10" i="2"/>
  <c r="O10" i="2" s="1"/>
  <c r="J15" i="2"/>
  <c r="J6" i="2"/>
  <c r="N6" i="2" s="1"/>
  <c r="J14" i="2"/>
  <c r="J22" i="2"/>
  <c r="M3" i="2" l="1"/>
  <c r="K3" i="2"/>
  <c r="K19" i="2"/>
  <c r="M30" i="2"/>
  <c r="K25" i="2"/>
  <c r="M25" i="2"/>
  <c r="M12" i="2"/>
  <c r="K12" i="2"/>
  <c r="M27" i="2"/>
  <c r="K27" i="2"/>
  <c r="M24" i="2"/>
  <c r="K24" i="2"/>
  <c r="K22" i="2"/>
  <c r="M22" i="2"/>
  <c r="K17" i="2"/>
  <c r="M17" i="2"/>
  <c r="M4" i="2"/>
  <c r="K4" i="2"/>
  <c r="M29" i="2"/>
  <c r="K29" i="2"/>
  <c r="M15" i="2"/>
  <c r="K15" i="2"/>
  <c r="M31" i="2"/>
  <c r="K31" i="2"/>
  <c r="M7" i="2"/>
  <c r="K7" i="2"/>
  <c r="K13" i="2"/>
  <c r="M13" i="2"/>
  <c r="K6" i="2"/>
  <c r="M6" i="2"/>
  <c r="K10" i="2"/>
  <c r="M10" i="2"/>
  <c r="M26" i="2"/>
  <c r="K26" i="2"/>
  <c r="M16" i="2"/>
  <c r="K16" i="2"/>
  <c r="M28" i="2"/>
  <c r="K28" i="2"/>
  <c r="K18" i="2"/>
  <c r="M18" i="2"/>
  <c r="M5" i="2"/>
  <c r="K5" i="2"/>
  <c r="K14" i="2"/>
  <c r="M14" i="2"/>
  <c r="K9" i="2"/>
  <c r="M9" i="2"/>
  <c r="M21" i="2"/>
  <c r="K21" i="2"/>
  <c r="M23" i="2"/>
  <c r="K23" i="2"/>
  <c r="M8" i="2"/>
  <c r="K8" i="2"/>
  <c r="M20" i="2"/>
  <c r="K20" i="2"/>
  <c r="P2" i="2" l="1"/>
  <c r="P3" i="2"/>
  <c r="P4" i="2"/>
  <c r="P5" i="2"/>
  <c r="P6" i="2"/>
  <c r="P9" i="2" s="1"/>
  <c r="N21" i="2" l="1"/>
  <c r="P21" i="2" s="1"/>
  <c r="N18" i="2"/>
  <c r="P18" i="2" s="1"/>
  <c r="O27" i="2"/>
  <c r="P27" i="2" s="1"/>
  <c r="P12" i="2"/>
  <c r="N20" i="2"/>
  <c r="P20" i="2" s="1"/>
  <c r="O14" i="2"/>
  <c r="P14" i="2" s="1"/>
  <c r="O13" i="2"/>
  <c r="P13" i="2" s="1"/>
  <c r="N17" i="2"/>
  <c r="N19" i="2"/>
  <c r="P19" i="2" s="1"/>
  <c r="P10" i="2"/>
  <c r="O23" i="2"/>
  <c r="P23" i="2" s="1"/>
  <c r="O15" i="2"/>
  <c r="P15" i="2" s="1"/>
  <c r="O11" i="2"/>
  <c r="O30" i="2"/>
  <c r="P30" i="2" s="1"/>
  <c r="O28" i="2"/>
  <c r="P28" i="2" s="1"/>
  <c r="O25" i="2"/>
  <c r="P25" i="2" s="1"/>
  <c r="O29" i="2"/>
  <c r="P29" i="2" s="1"/>
  <c r="O26" i="2"/>
  <c r="P26" i="2" s="1"/>
  <c r="O24" i="2"/>
  <c r="P24" i="2" s="1"/>
  <c r="P11" i="2" l="1"/>
  <c r="O16" i="2"/>
  <c r="P16" i="2" s="1"/>
  <c r="O31" i="2"/>
  <c r="P31" i="2" s="1"/>
  <c r="P8" i="2"/>
  <c r="P17" i="2"/>
  <c r="O34" i="2" l="1"/>
  <c r="N7" i="2"/>
  <c r="N22" i="2"/>
  <c r="P22" i="2" s="1"/>
  <c r="P7" i="2" l="1"/>
  <c r="P34" i="2" s="1"/>
  <c r="N3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34C9EE-1E84-41A3-9148-8B03DCC12220}" keepAlive="1" name="Requête - Comptes" description="Connexion à la requête « Comptes » dans le classeur." type="5" refreshedVersion="8" background="1" saveData="1">
    <dbPr connection="Provider=Microsoft.Mashup.OleDb.1;Data Source=$Workbook$;Location=Comptes;Extended Properties=&quot;&quot;" command="SELECT * FROM [Comptes]"/>
  </connection>
  <connection id="2" xr16:uid="{27E1C176-5299-43FC-BB9F-8B496076D13D}" keepAlive="1" name="Requête - Comptes2" description="Connexion à la requête « Comptes2 » dans le classeur." type="5" refreshedVersion="0" background="1">
    <dbPr connection="Provider=Microsoft.Mashup.OleDb.1;Data Source=$Workbook$;Location=Comptes2;Extended Properties=&quot;&quot;" command="SELECT * FROM [Comptes2]"/>
  </connection>
  <connection id="3" xr16:uid="{C892A157-681D-493D-9A4D-66A6F16014AD}" keepAlive="1" name="Requête - Journal" description="Connexion à la requête « Journal » dans le classeur." type="5" refreshedVersion="8" background="1" saveData="1">
    <dbPr connection="Provider=Microsoft.Mashup.OleDb.1;Data Source=$Workbook$;Location=Journal;Extended Properties=&quot;&quot;" command="SELECT * FROM [Journal]"/>
  </connection>
</connections>
</file>

<file path=xl/sharedStrings.xml><?xml version="1.0" encoding="utf-8"?>
<sst xmlns="http://schemas.openxmlformats.org/spreadsheetml/2006/main" count="290" uniqueCount="136">
  <si>
    <t>Rapport quotidien de ventes</t>
  </si>
  <si>
    <t>Période du 01/10/2023 au 31/10/2023</t>
  </si>
  <si>
    <t>Chaque ligne représente la somme des ventes par jour sur la période</t>
  </si>
  <si>
    <t>Ventes</t>
  </si>
  <si>
    <t>Montant des encaissements</t>
  </si>
  <si>
    <t>Trop-perçus</t>
  </si>
  <si>
    <t>Mouvements de caisse</t>
  </si>
  <si>
    <t>Ventes par catégories</t>
  </si>
  <si>
    <t>Vendeurs</t>
  </si>
  <si>
    <t>Clients</t>
  </si>
  <si>
    <t>Date</t>
  </si>
  <si>
    <t>Nombre de ventes</t>
  </si>
  <si>
    <t>Montant Moyen</t>
  </si>
  <si>
    <t>Ventes Brutes</t>
  </si>
  <si>
    <t>Ventes Nettes</t>
  </si>
  <si>
    <t>Remboursement / Annulation</t>
  </si>
  <si>
    <t>TVA 0.00 %</t>
  </si>
  <si>
    <t>TVA 2.10 %</t>
  </si>
  <si>
    <t>TVA 5.50 %</t>
  </si>
  <si>
    <t>TVA 8.50 %</t>
  </si>
  <si>
    <t>TVA 10.00 %</t>
  </si>
  <si>
    <t>TVA 16.50 %</t>
  </si>
  <si>
    <t>TVA 20.00 %</t>
  </si>
  <si>
    <t>Total TVA</t>
  </si>
  <si>
    <t>Total Net HT</t>
  </si>
  <si>
    <t>CB</t>
  </si>
  <si>
    <t>CB Déconnectée</t>
  </si>
  <si>
    <t>CB PLBS clôturé</t>
  </si>
  <si>
    <t>Espèces</t>
  </si>
  <si>
    <t>Chèque</t>
  </si>
  <si>
    <t>Avoir</t>
  </si>
  <si>
    <t>Ticket Restaurant</t>
  </si>
  <si>
    <t>Chèque-vacances</t>
  </si>
  <si>
    <t>VAD</t>
  </si>
  <si>
    <t>Pourboires (à cumuler avec Ventes brutes et Ventes nettes)</t>
  </si>
  <si>
    <t>Avoirs</t>
  </si>
  <si>
    <t>Total entrées</t>
  </si>
  <si>
    <t>Total sorties</t>
  </si>
  <si>
    <t>Articles non catégorisés</t>
  </si>
  <si>
    <t>Blanche</t>
  </si>
  <si>
    <t>Boissons alcool</t>
  </si>
  <si>
    <t>Boissons sans alcool</t>
  </si>
  <si>
    <t>Café 10%</t>
  </si>
  <si>
    <t>Desserts</t>
  </si>
  <si>
    <t>Glace</t>
  </si>
  <si>
    <t>Lasagnes</t>
  </si>
  <si>
    <t>Rouges</t>
  </si>
  <si>
    <t>Salades</t>
  </si>
  <si>
    <t>Supplements</t>
  </si>
  <si>
    <t>Comptes fidélité</t>
  </si>
  <si>
    <t>Nouveaux clients</t>
  </si>
  <si>
    <t>31/10/2023</t>
  </si>
  <si>
    <t>30/10/2023</t>
  </si>
  <si>
    <t>Vendeur A</t>
  </si>
  <si>
    <t>Code journal</t>
  </si>
  <si>
    <t>N° compte</t>
  </si>
  <si>
    <t xml:space="preserve">Lib </t>
  </si>
  <si>
    <t>débit</t>
  </si>
  <si>
    <t>crédit</t>
  </si>
  <si>
    <t>solde</t>
  </si>
  <si>
    <t>VE</t>
  </si>
  <si>
    <t>CA 31/10 Cb</t>
  </si>
  <si>
    <t>CA 31/10 Cb dec</t>
  </si>
  <si>
    <t>CA 31/10 Esp</t>
  </si>
  <si>
    <t>CA 31/10 Chq</t>
  </si>
  <si>
    <t>CA 31/10 TR</t>
  </si>
  <si>
    <t>CA 31/10 Arrondi</t>
  </si>
  <si>
    <t>CA 31/10 TVA 5,5%</t>
  </si>
  <si>
    <t>CA 31/10 TVA 10%</t>
  </si>
  <si>
    <t>CA 31/10 TVA 20%</t>
  </si>
  <si>
    <t>CA 31/10 Cafés 10%</t>
  </si>
  <si>
    <t>CA 31/10 Pizzas 5,5%</t>
  </si>
  <si>
    <t>CA 31/10 Autre 5,5%</t>
  </si>
  <si>
    <t>CA 31/10 Frais livr 5,5%</t>
  </si>
  <si>
    <t>CA 31/10 Boissons 20%</t>
  </si>
  <si>
    <t>CA 31/10 Boissons 5,5%</t>
  </si>
  <si>
    <t>CA 30/10 Cb</t>
  </si>
  <si>
    <t>CA 30/10 Cb dec</t>
  </si>
  <si>
    <t>CA 30/10 Esp</t>
  </si>
  <si>
    <t>CA 30/10 Chq</t>
  </si>
  <si>
    <t>CA 30/10 TR</t>
  </si>
  <si>
    <t>CA 30/10 Arrondi</t>
  </si>
  <si>
    <t>CA 30/10 TVA 5,5%</t>
  </si>
  <si>
    <t>CA 30/10 TVA 10%</t>
  </si>
  <si>
    <t>CA 30/10 TVA 20%</t>
  </si>
  <si>
    <t>CA 30/10 Cafés 10%</t>
  </si>
  <si>
    <t>CA 30/10 Pizzas 5,5%</t>
  </si>
  <si>
    <t>CA 30/10 Autre 5,5%</t>
  </si>
  <si>
    <t>CA 30/10 Frais livr 5,5%</t>
  </si>
  <si>
    <t>CA 30/10 Boissons 20%</t>
  </si>
  <si>
    <t>CA 30/10 Boissons 5,5%</t>
  </si>
  <si>
    <t>date</t>
  </si>
  <si>
    <t xml:space="preserve">VERSION AVEC FORMULE : </t>
  </si>
  <si>
    <t>Compte</t>
  </si>
  <si>
    <t>TR</t>
  </si>
  <si>
    <t>TVA 5,5%</t>
  </si>
  <si>
    <t>TVA 10%</t>
  </si>
  <si>
    <t>TVA 20%</t>
  </si>
  <si>
    <t>Pizzas 5,5%</t>
  </si>
  <si>
    <t>Autre 5,5%</t>
  </si>
  <si>
    <t>Boissons 20%</t>
  </si>
  <si>
    <t>Boissons 5,5%</t>
  </si>
  <si>
    <t>Libellé</t>
  </si>
  <si>
    <t>Sens</t>
  </si>
  <si>
    <t>Libellé T</t>
  </si>
  <si>
    <t>Crédit</t>
  </si>
  <si>
    <t>Débit</t>
  </si>
  <si>
    <t>CB déco</t>
  </si>
  <si>
    <t>CB PLBS</t>
  </si>
  <si>
    <t>Chèque V</t>
  </si>
  <si>
    <t>TVA 0%</t>
  </si>
  <si>
    <t>TVA 2,1%</t>
  </si>
  <si>
    <t>TVA 8,5%</t>
  </si>
  <si>
    <t>TVA 16,5%</t>
  </si>
  <si>
    <t>Lib</t>
  </si>
  <si>
    <t>Solde</t>
  </si>
  <si>
    <t>CA 30/10/2023 TVA 20%</t>
  </si>
  <si>
    <t>CA 30/10/2023 TVA 5,5%</t>
  </si>
  <si>
    <t>CA 30/10/2023 CB</t>
  </si>
  <si>
    <t>CA 30/10/2023 CB déco</t>
  </si>
  <si>
    <t>CA 30/10/2023 Espèces</t>
  </si>
  <si>
    <t>CA 30/10/2023 Pizzas 5,5%</t>
  </si>
  <si>
    <t>CA 30/10/2023 Autre 5,5%</t>
  </si>
  <si>
    <t>CA 30/10/2023 Boissons 5,5%</t>
  </si>
  <si>
    <t>CA 30/10/2023 Boissons 20%</t>
  </si>
  <si>
    <t>CA 31/10/2023 TVA 20%</t>
  </si>
  <si>
    <t>CA 31/10/2023 TVA 5,5%</t>
  </si>
  <si>
    <t>CA 31/10/2023 CB</t>
  </si>
  <si>
    <t>CA 31/10/2023 CB déco</t>
  </si>
  <si>
    <t>CA 31/10/2023 Espèces</t>
  </si>
  <si>
    <t>CA 31/10/2023 Pizzas 5,5%</t>
  </si>
  <si>
    <t>CA 31/10/2023 Autre 5,5%</t>
  </si>
  <si>
    <t>CA 31/10/2023 Boissons 5,5%</t>
  </si>
  <si>
    <t>CA 31/10/2023 Boissons 20%</t>
  </si>
  <si>
    <t>Total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</si>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</sst>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3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4" fillId="0" borderId="0" xfId="0" applyFont="1" applyAlignment="1">
      <alignment horizontal="left"/>
    </xf>
    <xf numFmtId="2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0" fontId="4" fillId="0" borderId="0" xfId="0" applyFont="1"/>
    <xf numFmtId="164" fontId="4" fillId="0" borderId="0" xfId="0" applyNumberFormat="1" applyFont="1"/>
    <xf numFmtId="164" fontId="0" fillId="0" borderId="0" xfId="0" applyNumberFormat="1"/>
    <xf numFmtId="0" fontId="0" fillId="2" borderId="0" xfId="0" applyFill="1"/>
    <xf numFmtId="0" fontId="4" fillId="2" borderId="0" xfId="0" applyFont="1" applyFill="1" applyAlignment="1">
      <alignment horizontal="left"/>
    </xf>
    <xf numFmtId="2" fontId="0" fillId="2" borderId="0" xfId="0" applyNumberFormat="1" applyFill="1"/>
    <xf numFmtId="0" fontId="0" fillId="2" borderId="0" xfId="0" applyFill="1" applyAlignment="1">
      <alignment horizontal="left"/>
    </xf>
    <xf numFmtId="14" fontId="0" fillId="2" borderId="0" xfId="0" applyNumberFormat="1" applyFill="1"/>
    <xf numFmtId="0" fontId="4" fillId="2" borderId="0" xfId="0" applyFont="1" applyFill="1"/>
    <xf numFmtId="164" fontId="4" fillId="2" borderId="0" xfId="0" applyNumberFormat="1" applyFont="1" applyFill="1"/>
    <xf numFmtId="164" fontId="0" fillId="2" borderId="0" xfId="0" applyNumberFormat="1" applyFill="1"/>
    <xf numFmtId="14" fontId="0" fillId="0" borderId="7" xfId="0" applyNumberFormat="1" applyBorder="1"/>
    <xf numFmtId="0" fontId="0" fillId="0" borderId="7" xfId="0" applyBorder="1"/>
    <xf numFmtId="0" fontId="4" fillId="0" borderId="7" xfId="0" applyFont="1" applyBorder="1" applyAlignment="1">
      <alignment horizontal="left"/>
    </xf>
    <xf numFmtId="2" fontId="0" fillId="0" borderId="7" xfId="0" applyNumberFormat="1" applyBorder="1"/>
    <xf numFmtId="164" fontId="0" fillId="0" borderId="7" xfId="0" applyNumberFormat="1" applyBorder="1"/>
    <xf numFmtId="44" fontId="0" fillId="0" borderId="0" xfId="1" applyFont="1"/>
    <xf numFmtId="2" fontId="0" fillId="3" borderId="0" xfId="0" applyNumberFormat="1" applyFill="1"/>
    <xf numFmtId="44" fontId="0" fillId="0" borderId="0" xfId="0" applyNumberFormat="1"/>
    <xf numFmtId="44" fontId="0" fillId="0" borderId="0" xfId="1" applyFont="1" applyFill="1"/>
    <xf numFmtId="10" fontId="0" fillId="0" borderId="0" xfId="0" applyNumberFormat="1"/>
    <xf numFmtId="9" fontId="0" fillId="0" borderId="0" xfId="0" applyNumberFormat="1"/>
    <xf numFmtId="0" fontId="1" fillId="0" borderId="0" xfId="0" applyFont="1" applyAlignment="1">
      <alignment horizontal="left"/>
    </xf>
    <xf numFmtId="0" fontId="0" fillId="0" borderId="0" xfId="0"/>
  </cellXfs>
  <cellStyles count="2">
    <cellStyle name="Monétaire" xfId="1" builtinId="4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D8F81DAD-A463-49F1-B33B-8B0CAAABE07E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Code journal" tableColumnId="2"/>
      <queryTableField id="3" name="Compte" tableColumnId="3"/>
      <queryTableField id="4" name="Lib" tableColumnId="4"/>
      <queryTableField id="5" name="Débit" tableColumnId="5"/>
      <queryTableField id="6" name="Crédit" tableColumnId="6"/>
      <queryTableField id="7" name="Solde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F9597E-A14C-4916-9876-5AE260F81D94}" name="Journal_1" displayName="Journal_1" ref="S1:Y20" tableType="queryTable" totalsRowCount="1">
  <autoFilter ref="S1:Y19" xr:uid="{41F9597E-A14C-4916-9876-5AE260F81D94}"/>
  <tableColumns count="7">
    <tableColumn id="1" xr3:uid="{05260781-C6FE-4F7A-AFFA-DB89949035F3}" uniqueName="1" name="Date" totalsRowLabel="Total" queryTableFieldId="1" dataDxfId="3"/>
    <tableColumn id="2" xr3:uid="{745A5910-373E-4EE8-843D-FE2C81CF52A1}" uniqueName="2" name="Code journal" queryTableFieldId="2"/>
    <tableColumn id="3" xr3:uid="{B6704562-9629-4919-96A7-56F340460875}" uniqueName="3" name="Compte" queryTableFieldId="3"/>
    <tableColumn id="4" xr3:uid="{C161156D-6D74-4A80-AE5E-B49CD4C1F541}" uniqueName="4" name="Lib" queryTableFieldId="4"/>
    <tableColumn id="5" xr3:uid="{2EC35640-F5F7-4090-9B12-798DE7C3816D}" uniqueName="5" name="Débit" totalsRowFunction="sum" queryTableFieldId="5" dataDxfId="2" totalsRowDxfId="4" dataCellStyle="Monétaire"/>
    <tableColumn id="6" xr3:uid="{C1B64E5A-C357-4ED8-931A-18972D6CBB21}" uniqueName="6" name="Crédit" totalsRowFunction="sum" queryTableFieldId="6" dataDxfId="1" totalsRowDxfId="5" dataCellStyle="Monétaire"/>
    <tableColumn id="7" xr3:uid="{4E09F81E-4659-4799-85D8-E3F175341BB7}" uniqueName="7" name="Solde" totalsRowFunction="sum" queryTableFieldId="7" dataDxfId="0" totalsRowDxfId="6" dataCellStyle="Monétair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218BFA-98EF-4E4F-849F-9E7DEB784987}" name="Comptes" displayName="Comptes" ref="A1:E28" totalsRowShown="0">
  <autoFilter ref="A1:E28" xr:uid="{B0218BFA-98EF-4E4F-849F-9E7DEB784987}"/>
  <sortState xmlns:xlrd2="http://schemas.microsoft.com/office/spreadsheetml/2017/richdata2" ref="A2:C5">
    <sortCondition ref="A1:A5"/>
  </sortState>
  <tableColumns count="5">
    <tableColumn id="1" xr3:uid="{D11FA5DA-DD6A-4CA5-9F2C-2D42D9250FA5}" name="Compte" dataDxfId="8"/>
    <tableColumn id="5" xr3:uid="{963E3C73-BC34-4BA8-8DF7-1C663648A96C}" name="Libellé T" dataDxfId="7" dataCellStyle="Normal"/>
    <tableColumn id="2" xr3:uid="{A2F5E4EF-7FA4-4214-9B4D-4A7382A4C893}" name="Libellé"/>
    <tableColumn id="4" xr3:uid="{25031D42-114F-4F54-AA4A-A0C934127891}" name="Sens"/>
    <tableColumn id="3" xr3:uid="{300BC3C3-69BD-46F5-B45D-64154E22F64A}" name="Tau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0AD6-376A-455B-89F0-4DCF0BD23255}">
  <dimension ref="A1:AQ8"/>
  <sheetViews>
    <sheetView workbookViewId="0">
      <selection activeCell="A7" sqref="A7"/>
    </sheetView>
  </sheetViews>
  <sheetFormatPr baseColWidth="10" defaultRowHeight="15" x14ac:dyDescent="0.25"/>
  <cols>
    <col min="1" max="1" width="10.7109375" bestFit="1" customWidth="1"/>
    <col min="2" max="2" width="17.5703125" bestFit="1" customWidth="1"/>
    <col min="3" max="3" width="15.42578125" bestFit="1" customWidth="1"/>
    <col min="4" max="4" width="13.42578125" bestFit="1" customWidth="1"/>
    <col min="5" max="5" width="13.7109375" bestFit="1" customWidth="1"/>
    <col min="6" max="6" width="27.85546875" bestFit="1" customWidth="1"/>
    <col min="7" max="10" width="10.5703125" bestFit="1" customWidth="1"/>
    <col min="11" max="13" width="11.5703125" bestFit="1" customWidth="1"/>
    <col min="14" max="14" width="9.42578125" bestFit="1" customWidth="1"/>
    <col min="15" max="15" width="11.85546875" bestFit="1" customWidth="1"/>
    <col min="16" max="16" width="30.28515625" bestFit="1" customWidth="1"/>
    <col min="17" max="17" width="15.42578125" bestFit="1" customWidth="1"/>
    <col min="18" max="18" width="14.5703125" bestFit="1" customWidth="1"/>
    <col min="19" max="19" width="8" bestFit="1" customWidth="1"/>
    <col min="20" max="20" width="7.85546875" bestFit="1" customWidth="1"/>
    <col min="21" max="21" width="5.7109375" bestFit="1" customWidth="1"/>
    <col min="22" max="22" width="16.42578125" bestFit="1" customWidth="1"/>
    <col min="23" max="23" width="16.5703125" bestFit="1" customWidth="1"/>
    <col min="24" max="24" width="4.85546875" bestFit="1" customWidth="1"/>
    <col min="25" max="25" width="13.28515625" bestFit="1" customWidth="1"/>
    <col min="26" max="26" width="54.85546875" bestFit="1" customWidth="1"/>
    <col min="27" max="27" width="6.5703125" bestFit="1" customWidth="1"/>
    <col min="28" max="28" width="24.85546875" bestFit="1" customWidth="1"/>
    <col min="29" max="29" width="11.85546875" bestFit="1" customWidth="1"/>
    <col min="30" max="30" width="23.5703125" bestFit="1" customWidth="1"/>
    <col min="31" max="31" width="8" bestFit="1" customWidth="1"/>
    <col min="32" max="32" width="14.42578125" bestFit="1" customWidth="1"/>
    <col min="33" max="33" width="18.85546875" bestFit="1" customWidth="1"/>
    <col min="34" max="34" width="9" bestFit="1" customWidth="1"/>
    <col min="35" max="35" width="8.5703125" bestFit="1" customWidth="1"/>
    <col min="36" max="36" width="6" bestFit="1" customWidth="1"/>
    <col min="37" max="37" width="8.85546875" bestFit="1" customWidth="1"/>
    <col min="38" max="38" width="8" bestFit="1" customWidth="1"/>
    <col min="39" max="39" width="7.7109375" bestFit="1" customWidth="1"/>
    <col min="40" max="40" width="12.7109375" bestFit="1" customWidth="1"/>
    <col min="41" max="41" width="17.7109375" bestFit="1" customWidth="1"/>
    <col min="42" max="42" width="15.85546875" bestFit="1" customWidth="1"/>
    <col min="43" max="43" width="16.42578125" bestFit="1" customWidth="1"/>
  </cols>
  <sheetData>
    <row r="1" spans="1:43" ht="19.5" x14ac:dyDescent="0.3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</row>
    <row r="2" spans="1:43" x14ac:dyDescent="0.25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</row>
    <row r="3" spans="1:43" x14ac:dyDescent="0.25">
      <c r="A3" s="38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</row>
    <row r="5" spans="1:43" ht="17.25" x14ac:dyDescent="0.3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 t="s">
        <v>4</v>
      </c>
      <c r="Q5" s="1"/>
      <c r="R5" s="1"/>
      <c r="S5" s="1"/>
      <c r="T5" s="1"/>
      <c r="U5" s="1"/>
      <c r="V5" s="1"/>
      <c r="W5" s="1"/>
      <c r="X5" s="1"/>
      <c r="Y5" s="1" t="s">
        <v>5</v>
      </c>
      <c r="Z5" s="1"/>
      <c r="AA5" s="1"/>
      <c r="AB5" s="1" t="s">
        <v>6</v>
      </c>
      <c r="AC5" s="1"/>
      <c r="AD5" s="1" t="s">
        <v>7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 t="s">
        <v>8</v>
      </c>
      <c r="AP5" s="1" t="s">
        <v>9</v>
      </c>
      <c r="AQ5" s="1"/>
    </row>
    <row r="6" spans="1:43" x14ac:dyDescent="0.25">
      <c r="A6" s="2" t="s">
        <v>10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  <c r="K6" s="2" t="s">
        <v>20</v>
      </c>
      <c r="L6" s="2" t="s">
        <v>21</v>
      </c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28</v>
      </c>
      <c r="Z6" s="2" t="s">
        <v>34</v>
      </c>
      <c r="AA6" s="2" t="s">
        <v>35</v>
      </c>
      <c r="AB6" s="2" t="s">
        <v>36</v>
      </c>
      <c r="AC6" s="2" t="s">
        <v>37</v>
      </c>
      <c r="AD6" s="2" t="s">
        <v>38</v>
      </c>
      <c r="AE6" s="2" t="s">
        <v>39</v>
      </c>
      <c r="AF6" s="2" t="s">
        <v>40</v>
      </c>
      <c r="AG6" s="2" t="s">
        <v>41</v>
      </c>
      <c r="AH6" s="2" t="s">
        <v>42</v>
      </c>
      <c r="AI6" s="2" t="s">
        <v>43</v>
      </c>
      <c r="AJ6" s="2" t="s">
        <v>44</v>
      </c>
      <c r="AK6" s="2" t="s">
        <v>45</v>
      </c>
      <c r="AL6" s="2" t="s">
        <v>46</v>
      </c>
      <c r="AM6" s="2" t="s">
        <v>47</v>
      </c>
      <c r="AN6" s="2" t="s">
        <v>48</v>
      </c>
      <c r="AO6" s="2" t="s">
        <v>53</v>
      </c>
      <c r="AP6" s="2" t="s">
        <v>49</v>
      </c>
      <c r="AQ6" s="2" t="s">
        <v>50</v>
      </c>
    </row>
    <row r="7" spans="1:43" x14ac:dyDescent="0.25">
      <c r="A7" s="3" t="s">
        <v>51</v>
      </c>
      <c r="B7" s="4">
        <v>17</v>
      </c>
      <c r="C7" s="5">
        <v>31.59</v>
      </c>
      <c r="D7" s="5">
        <v>537</v>
      </c>
      <c r="E7" s="5">
        <v>537</v>
      </c>
      <c r="F7" s="5">
        <v>0</v>
      </c>
      <c r="G7" s="5"/>
      <c r="H7" s="5"/>
      <c r="I7" s="5">
        <v>27.04</v>
      </c>
      <c r="J7" s="5"/>
      <c r="K7" s="5"/>
      <c r="L7" s="5"/>
      <c r="M7" s="5">
        <v>3.08</v>
      </c>
      <c r="N7" s="5">
        <v>30.12</v>
      </c>
      <c r="O7" s="5">
        <v>506.88</v>
      </c>
      <c r="P7" s="5">
        <v>290</v>
      </c>
      <c r="Q7" s="5">
        <v>37</v>
      </c>
      <c r="R7" s="5"/>
      <c r="S7" s="5">
        <v>210</v>
      </c>
      <c r="T7" s="5"/>
      <c r="U7" s="5"/>
      <c r="V7" s="5"/>
      <c r="W7" s="5"/>
      <c r="X7" s="5"/>
      <c r="Y7" s="5"/>
      <c r="Z7" s="5">
        <v>0</v>
      </c>
      <c r="AA7" s="5"/>
      <c r="AB7" s="5"/>
      <c r="AC7" s="5"/>
      <c r="AD7" s="5">
        <v>75</v>
      </c>
      <c r="AE7" s="5">
        <v>85.5</v>
      </c>
      <c r="AF7" s="5">
        <v>18.5</v>
      </c>
      <c r="AG7" s="5">
        <v>13.5</v>
      </c>
      <c r="AH7" s="5"/>
      <c r="AI7" s="5">
        <v>20</v>
      </c>
      <c r="AJ7" s="5"/>
      <c r="AK7" s="5"/>
      <c r="AL7" s="5">
        <v>320.5</v>
      </c>
      <c r="AM7" s="5"/>
      <c r="AN7" s="5">
        <v>4</v>
      </c>
      <c r="AO7" s="5">
        <v>537</v>
      </c>
      <c r="AP7" s="4"/>
      <c r="AQ7" s="6"/>
    </row>
    <row r="8" spans="1:43" x14ac:dyDescent="0.25">
      <c r="A8" s="7" t="s">
        <v>52</v>
      </c>
      <c r="B8" s="8">
        <v>10</v>
      </c>
      <c r="C8" s="9">
        <v>29.75</v>
      </c>
      <c r="D8" s="9">
        <v>297.5</v>
      </c>
      <c r="E8" s="9">
        <v>297.5</v>
      </c>
      <c r="F8" s="9">
        <v>0</v>
      </c>
      <c r="G8" s="9"/>
      <c r="H8" s="9"/>
      <c r="I8" s="9">
        <v>14.21</v>
      </c>
      <c r="J8" s="9"/>
      <c r="K8" s="9"/>
      <c r="L8" s="9"/>
      <c r="M8" s="9">
        <v>4.17</v>
      </c>
      <c r="N8" s="9">
        <v>18.38</v>
      </c>
      <c r="O8" s="9">
        <v>279.12</v>
      </c>
      <c r="P8" s="9">
        <v>159</v>
      </c>
      <c r="Q8" s="9">
        <v>38.5</v>
      </c>
      <c r="R8" s="9"/>
      <c r="S8" s="9">
        <v>100</v>
      </c>
      <c r="T8" s="9"/>
      <c r="U8" s="9"/>
      <c r="V8" s="9"/>
      <c r="W8" s="9"/>
      <c r="X8" s="9"/>
      <c r="Y8" s="9"/>
      <c r="Z8" s="9">
        <v>0</v>
      </c>
      <c r="AA8" s="9"/>
      <c r="AB8" s="9"/>
      <c r="AC8" s="9"/>
      <c r="AD8" s="9"/>
      <c r="AE8" s="9">
        <v>126.5</v>
      </c>
      <c r="AF8" s="9">
        <v>25</v>
      </c>
      <c r="AG8" s="9">
        <v>8.5</v>
      </c>
      <c r="AH8" s="9"/>
      <c r="AI8" s="9">
        <v>16</v>
      </c>
      <c r="AJ8" s="9"/>
      <c r="AK8" s="9">
        <v>38</v>
      </c>
      <c r="AL8" s="9">
        <v>81.5</v>
      </c>
      <c r="AM8" s="9"/>
      <c r="AN8" s="9">
        <v>2</v>
      </c>
      <c r="AO8" s="9">
        <v>297.5</v>
      </c>
      <c r="AP8" s="8"/>
      <c r="AQ8" s="10"/>
    </row>
  </sheetData>
  <mergeCells count="3">
    <mergeCell ref="A1:AQ1"/>
    <mergeCell ref="A2:AQ2"/>
    <mergeCell ref="A3:A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256BF-2D61-4BCD-AE2B-08C6D621380F}">
  <dimension ref="A1:Y34"/>
  <sheetViews>
    <sheetView tabSelected="1" topLeftCell="J1" workbookViewId="0">
      <selection activeCell="V14" sqref="V14"/>
    </sheetView>
  </sheetViews>
  <sheetFormatPr baseColWidth="10" defaultRowHeight="15" x14ac:dyDescent="0.25"/>
  <cols>
    <col min="4" max="4" width="24.5703125" customWidth="1"/>
    <col min="13" max="13" width="21.7109375" bestFit="1" customWidth="1"/>
    <col min="15" max="15" width="10" customWidth="1"/>
    <col min="18" max="18" width="10.28515625" bestFit="1" customWidth="1"/>
    <col min="19" max="19" width="10.7109375" bestFit="1" customWidth="1"/>
    <col min="20" max="20" width="7.42578125" bestFit="1" customWidth="1"/>
    <col min="21" max="21" width="10.28515625" bestFit="1" customWidth="1"/>
    <col min="22" max="22" width="26.7109375" bestFit="1" customWidth="1"/>
    <col min="23" max="23" width="12.42578125" bestFit="1" customWidth="1"/>
    <col min="24" max="24" width="12.7109375" bestFit="1" customWidth="1"/>
    <col min="25" max="25" width="12.42578125" bestFit="1" customWidth="1"/>
    <col min="26" max="26" width="2.85546875" customWidth="1"/>
  </cols>
  <sheetData>
    <row r="1" spans="1:25" x14ac:dyDescent="0.25">
      <c r="A1" s="14" t="s">
        <v>91</v>
      </c>
      <c r="B1" s="15" t="s">
        <v>54</v>
      </c>
      <c r="C1" s="15" t="s">
        <v>55</v>
      </c>
      <c r="D1" s="15" t="s">
        <v>56</v>
      </c>
      <c r="E1" s="15" t="s">
        <v>57</v>
      </c>
      <c r="F1" s="15" t="s">
        <v>58</v>
      </c>
      <c r="G1" s="15" t="s">
        <v>59</v>
      </c>
      <c r="J1" s="22" t="s">
        <v>91</v>
      </c>
      <c r="K1" s="23" t="s">
        <v>54</v>
      </c>
      <c r="L1" s="23" t="s">
        <v>55</v>
      </c>
      <c r="M1" s="23" t="s">
        <v>56</v>
      </c>
      <c r="N1" s="23" t="s">
        <v>57</v>
      </c>
      <c r="O1" s="23" t="s">
        <v>58</v>
      </c>
      <c r="P1" s="23" t="s">
        <v>59</v>
      </c>
      <c r="S1" t="s">
        <v>10</v>
      </c>
      <c r="T1" t="s">
        <v>54</v>
      </c>
      <c r="U1" t="s">
        <v>93</v>
      </c>
      <c r="V1" t="s">
        <v>114</v>
      </c>
      <c r="W1" t="s">
        <v>106</v>
      </c>
      <c r="X1" t="s">
        <v>105</v>
      </c>
      <c r="Y1" t="s">
        <v>115</v>
      </c>
    </row>
    <row r="2" spans="1:25" x14ac:dyDescent="0.25">
      <c r="A2" s="14" t="s">
        <v>51</v>
      </c>
      <c r="B2" t="s">
        <v>60</v>
      </c>
      <c r="C2" s="11">
        <v>5111</v>
      </c>
      <c r="D2" t="s">
        <v>61</v>
      </c>
      <c r="E2" s="12">
        <v>290</v>
      </c>
      <c r="F2" s="16"/>
      <c r="G2" s="17">
        <v>290</v>
      </c>
      <c r="J2" s="22" t="str">
        <f>'EXTRACT LOG CAISSE'!A7</f>
        <v>31/10/2023</v>
      </c>
      <c r="K2" s="18" t="str">
        <f>IF(ISBLANK(J2),"","VE")</f>
        <v>VE</v>
      </c>
      <c r="L2" s="19">
        <v>5111</v>
      </c>
      <c r="M2" s="18" t="str">
        <f>"CA "&amp;TEXT(J2,"jj/mm")&amp; " Cb"</f>
        <v>CA 31/10 Cb</v>
      </c>
      <c r="N2" s="20">
        <f>IFERROR(VLOOKUP($J2,'EXTRACT LOG CAISSE'!$A$6:$AQ$8,MATCH("CB",'EXTRACT LOG CAISSE'!$A$6:$AQ$6,0),FALSE),0)</f>
        <v>290</v>
      </c>
      <c r="O2" s="20"/>
      <c r="P2" s="25">
        <f>N2-O2</f>
        <v>290</v>
      </c>
      <c r="S2" s="14">
        <v>45230</v>
      </c>
      <c r="T2" t="s">
        <v>60</v>
      </c>
      <c r="U2">
        <v>5111000</v>
      </c>
      <c r="V2" t="s">
        <v>127</v>
      </c>
      <c r="W2" s="31">
        <v>290</v>
      </c>
      <c r="X2" s="31">
        <v>0</v>
      </c>
      <c r="Y2" s="31">
        <v>290</v>
      </c>
    </row>
    <row r="3" spans="1:25" x14ac:dyDescent="0.25">
      <c r="A3" s="14" t="s">
        <v>51</v>
      </c>
      <c r="B3" t="s">
        <v>60</v>
      </c>
      <c r="C3" s="11">
        <v>51112</v>
      </c>
      <c r="D3" t="s">
        <v>62</v>
      </c>
      <c r="E3" s="12">
        <v>37</v>
      </c>
      <c r="G3" s="17">
        <v>37</v>
      </c>
      <c r="J3" s="22" t="str">
        <f>+J2</f>
        <v>31/10/2023</v>
      </c>
      <c r="K3" s="18" t="str">
        <f t="shared" ref="K3:K16" si="0">IF(ISBLANK(J3),"","VE")</f>
        <v>VE</v>
      </c>
      <c r="L3" s="19">
        <v>51112</v>
      </c>
      <c r="M3" s="18" t="str">
        <f>"CA "&amp;TEXT(J3,"jj/mm")&amp; " Cb dec"</f>
        <v>CA 31/10 Cb dec</v>
      </c>
      <c r="N3" s="20">
        <f>IFERROR(VLOOKUP(J3,'EXTRACT LOG CAISSE'!$A$6:$AQ$8,MATCH("CB déconnectée",'EXTRACT LOG CAISSE'!$A$6:$AQ$6,0),FALSE),0)</f>
        <v>37</v>
      </c>
      <c r="O3" s="20"/>
      <c r="P3" s="25">
        <f t="shared" ref="P3:P31" si="1">N3-O3</f>
        <v>37</v>
      </c>
      <c r="S3" s="14">
        <v>45230</v>
      </c>
      <c r="T3" t="s">
        <v>60</v>
      </c>
      <c r="U3">
        <v>5111200</v>
      </c>
      <c r="V3" t="s">
        <v>128</v>
      </c>
      <c r="W3" s="31">
        <v>37</v>
      </c>
      <c r="X3" s="31">
        <v>0</v>
      </c>
      <c r="Y3" s="31">
        <v>37</v>
      </c>
    </row>
    <row r="4" spans="1:25" x14ac:dyDescent="0.25">
      <c r="A4" s="14" t="s">
        <v>51</v>
      </c>
      <c r="B4" t="s">
        <v>60</v>
      </c>
      <c r="C4" s="11">
        <v>53</v>
      </c>
      <c r="D4" t="s">
        <v>63</v>
      </c>
      <c r="E4" s="12">
        <v>210</v>
      </c>
      <c r="G4" s="17">
        <v>210</v>
      </c>
      <c r="J4" s="22" t="str">
        <f>+J2</f>
        <v>31/10/2023</v>
      </c>
      <c r="K4" s="18" t="str">
        <f t="shared" si="0"/>
        <v>VE</v>
      </c>
      <c r="L4" s="19">
        <v>53</v>
      </c>
      <c r="M4" s="18" t="str">
        <f>"CA "&amp;TEXT(J4,"jj/mm")&amp; " Esp"</f>
        <v>CA 31/10 Esp</v>
      </c>
      <c r="N4" s="20">
        <f>IFERROR(VLOOKUP(J4,'EXTRACT LOG CAISSE'!$A$6:$AQ$8,MATCH("Espèces",'EXTRACT LOG CAISSE'!$A$6:$AQ$6,0),FALSE),0)</f>
        <v>210</v>
      </c>
      <c r="O4" s="20"/>
      <c r="P4" s="25">
        <f t="shared" si="1"/>
        <v>210</v>
      </c>
      <c r="S4" s="14">
        <v>45230</v>
      </c>
      <c r="T4" t="s">
        <v>60</v>
      </c>
      <c r="U4">
        <v>5300000</v>
      </c>
      <c r="V4" t="s">
        <v>129</v>
      </c>
      <c r="W4" s="31">
        <v>210</v>
      </c>
      <c r="X4" s="31">
        <v>0</v>
      </c>
      <c r="Y4" s="31">
        <v>210</v>
      </c>
    </row>
    <row r="5" spans="1:25" x14ac:dyDescent="0.25">
      <c r="A5" s="14" t="s">
        <v>51</v>
      </c>
      <c r="B5" t="s">
        <v>60</v>
      </c>
      <c r="C5" s="11">
        <v>5112</v>
      </c>
      <c r="D5" t="s">
        <v>64</v>
      </c>
      <c r="E5" s="12">
        <v>0</v>
      </c>
      <c r="G5" s="17">
        <v>0</v>
      </c>
      <c r="J5" s="22" t="str">
        <f>+J2</f>
        <v>31/10/2023</v>
      </c>
      <c r="K5" s="18" t="str">
        <f t="shared" si="0"/>
        <v>VE</v>
      </c>
      <c r="L5" s="19">
        <v>5112</v>
      </c>
      <c r="M5" s="18" t="str">
        <f>"CA "&amp;TEXT(J5,"jj/mm")&amp; " Chq"</f>
        <v>CA 31/10 Chq</v>
      </c>
      <c r="N5" s="20">
        <f>IFERROR(VLOOKUP(J5,'EXTRACT LOG CAISSE'!$A$6:$AQ$8,MATCH("Chèque",'EXTRACT LOG CAISSE'!$A$6:$AQ$6,0),FALSE),0)</f>
        <v>0</v>
      </c>
      <c r="O5" s="20"/>
      <c r="P5" s="25">
        <f t="shared" si="1"/>
        <v>0</v>
      </c>
      <c r="S5" s="14">
        <v>45230</v>
      </c>
      <c r="T5" t="s">
        <v>60</v>
      </c>
      <c r="U5">
        <v>4457155</v>
      </c>
      <c r="V5" t="s">
        <v>126</v>
      </c>
      <c r="W5" s="31">
        <v>0</v>
      </c>
      <c r="X5" s="34">
        <v>27.04</v>
      </c>
      <c r="Y5" s="34">
        <v>-27.04</v>
      </c>
    </row>
    <row r="6" spans="1:25" x14ac:dyDescent="0.25">
      <c r="A6" s="14" t="s">
        <v>51</v>
      </c>
      <c r="B6" t="s">
        <v>60</v>
      </c>
      <c r="C6" s="11">
        <v>5113</v>
      </c>
      <c r="D6" t="s">
        <v>65</v>
      </c>
      <c r="E6" s="12">
        <v>0</v>
      </c>
      <c r="G6" s="17">
        <v>0</v>
      </c>
      <c r="J6" s="22" t="str">
        <f>+J2</f>
        <v>31/10/2023</v>
      </c>
      <c r="K6" s="18" t="str">
        <f t="shared" si="0"/>
        <v>VE</v>
      </c>
      <c r="L6" s="19">
        <v>5113</v>
      </c>
      <c r="M6" s="18" t="str">
        <f>"CA "&amp;TEXT(J6,"jj/mm")&amp; " TR"</f>
        <v>CA 31/10 TR</v>
      </c>
      <c r="N6" s="20">
        <f>IFERROR(VLOOKUP(J6,'EXTRACT LOG CAISSE'!$A$6:$AQ$8,MATCH("Ticket Restaurant",'EXTRACT LOG CAISSE'!$A$6:$AQ$6,0),FALSE),0)</f>
        <v>0</v>
      </c>
      <c r="O6" s="20"/>
      <c r="P6" s="25">
        <f t="shared" si="1"/>
        <v>0</v>
      </c>
      <c r="S6" s="14">
        <v>45230</v>
      </c>
      <c r="T6" t="s">
        <v>60</v>
      </c>
      <c r="U6">
        <v>4457120</v>
      </c>
      <c r="V6" t="s">
        <v>125</v>
      </c>
      <c r="W6" s="31">
        <v>0</v>
      </c>
      <c r="X6" s="34">
        <v>3.08</v>
      </c>
      <c r="Y6" s="34">
        <v>-3.08</v>
      </c>
    </row>
    <row r="7" spans="1:25" x14ac:dyDescent="0.25">
      <c r="A7" s="14" t="s">
        <v>51</v>
      </c>
      <c r="B7" t="s">
        <v>60</v>
      </c>
      <c r="C7" s="11">
        <v>7021</v>
      </c>
      <c r="D7" t="s">
        <v>66</v>
      </c>
      <c r="E7" s="12">
        <v>0.02</v>
      </c>
      <c r="G7" s="17">
        <v>0.02</v>
      </c>
      <c r="J7" s="22" t="str">
        <f>+J2</f>
        <v>31/10/2023</v>
      </c>
      <c r="K7" s="18" t="str">
        <f t="shared" si="0"/>
        <v>VE</v>
      </c>
      <c r="L7" s="19">
        <v>7021</v>
      </c>
      <c r="M7" s="18" t="str">
        <f>"CA "&amp;TEXT(J7,"jj/mm")&amp; " Arrondi"</f>
        <v>CA 31/10 Arrondi</v>
      </c>
      <c r="N7" s="32">
        <f>ROUND(-SUM(N2:N6)+SUM(O8:O16),2)</f>
        <v>-50.24</v>
      </c>
      <c r="O7" s="20"/>
      <c r="P7" s="25">
        <f t="shared" si="1"/>
        <v>-50.24</v>
      </c>
      <c r="S7" s="14">
        <v>45230</v>
      </c>
      <c r="T7" t="s">
        <v>60</v>
      </c>
      <c r="U7">
        <v>7011500</v>
      </c>
      <c r="V7" t="s">
        <v>130</v>
      </c>
      <c r="W7" s="31">
        <v>0</v>
      </c>
      <c r="X7" s="34">
        <v>459.71559999999999</v>
      </c>
      <c r="Y7" s="34">
        <v>-459.71559999999999</v>
      </c>
    </row>
    <row r="8" spans="1:25" x14ac:dyDescent="0.25">
      <c r="A8" s="14" t="s">
        <v>51</v>
      </c>
      <c r="B8" t="s">
        <v>60</v>
      </c>
      <c r="C8" s="13">
        <v>4457155</v>
      </c>
      <c r="D8" t="s">
        <v>67</v>
      </c>
      <c r="E8" s="12"/>
      <c r="F8" s="12">
        <v>27.04</v>
      </c>
      <c r="G8" s="17">
        <v>-27.04</v>
      </c>
      <c r="J8" s="22" t="str">
        <f>+J2</f>
        <v>31/10/2023</v>
      </c>
      <c r="K8" s="18" t="str">
        <f t="shared" si="0"/>
        <v>VE</v>
      </c>
      <c r="L8" s="21">
        <v>4457155</v>
      </c>
      <c r="M8" s="18" t="str">
        <f>"CA "&amp;TEXT(J8,"jj/mm")&amp; " TVA 5,5%"</f>
        <v>CA 31/10 TVA 5,5%</v>
      </c>
      <c r="N8" s="20"/>
      <c r="O8" s="20">
        <f>IFERROR(VLOOKUP($J8,'EXTRACT LOG CAISSE'!$A$6:$AQ$8,MATCH("TVA 5.50 %",'EXTRACT LOG CAISSE'!$A$6:$AQ$6,0),FALSE),0)</f>
        <v>27.04</v>
      </c>
      <c r="P8" s="25">
        <f t="shared" si="1"/>
        <v>-27.04</v>
      </c>
      <c r="S8" s="14">
        <v>45230</v>
      </c>
      <c r="T8" t="s">
        <v>60</v>
      </c>
      <c r="U8">
        <v>7013200</v>
      </c>
      <c r="V8" t="s">
        <v>133</v>
      </c>
      <c r="W8" s="31">
        <v>0</v>
      </c>
      <c r="X8" s="34">
        <v>15.416700000000001</v>
      </c>
      <c r="Y8" s="34">
        <v>-15.416700000000001</v>
      </c>
    </row>
    <row r="9" spans="1:25" x14ac:dyDescent="0.25">
      <c r="A9" s="14" t="s">
        <v>51</v>
      </c>
      <c r="B9" t="s">
        <v>60</v>
      </c>
      <c r="C9" s="13">
        <v>445711</v>
      </c>
      <c r="D9" t="s">
        <v>68</v>
      </c>
      <c r="E9" s="12"/>
      <c r="F9" s="12">
        <v>0</v>
      </c>
      <c r="G9" s="17">
        <v>0</v>
      </c>
      <c r="J9" s="22" t="str">
        <f>+J2</f>
        <v>31/10/2023</v>
      </c>
      <c r="K9" s="18" t="str">
        <f t="shared" si="0"/>
        <v>VE</v>
      </c>
      <c r="L9" s="21">
        <v>445711</v>
      </c>
      <c r="M9" s="18" t="str">
        <f>"CA "&amp;TEXT(J9,"jj/mm")&amp; " TVA 10%"</f>
        <v>CA 31/10 TVA 10%</v>
      </c>
      <c r="N9" s="20"/>
      <c r="O9" s="20">
        <f>IFERROR(VLOOKUP($J9,'EXTRACT LOG CAISSE'!$A$6:$AQ$8,MATCH("TVA 10%",'EXTRACT LOG CAISSE'!$A$6:$AQ$6,0),FALSE),0)</f>
        <v>0</v>
      </c>
      <c r="P9" s="25">
        <f t="shared" si="1"/>
        <v>0</v>
      </c>
      <c r="S9" s="14">
        <v>45230</v>
      </c>
      <c r="T9" t="s">
        <v>60</v>
      </c>
      <c r="U9">
        <v>7013000</v>
      </c>
      <c r="V9" t="s">
        <v>132</v>
      </c>
      <c r="W9" s="31">
        <v>0</v>
      </c>
      <c r="X9" s="34">
        <v>12.796200000000001</v>
      </c>
      <c r="Y9" s="34">
        <v>-12.796200000000001</v>
      </c>
    </row>
    <row r="10" spans="1:25" x14ac:dyDescent="0.25">
      <c r="A10" s="14" t="s">
        <v>51</v>
      </c>
      <c r="B10" t="s">
        <v>60</v>
      </c>
      <c r="C10" s="13">
        <v>445712</v>
      </c>
      <c r="D10" t="s">
        <v>69</v>
      </c>
      <c r="E10" s="12"/>
      <c r="F10" s="12">
        <v>3.08</v>
      </c>
      <c r="G10" s="17">
        <v>-3.08</v>
      </c>
      <c r="J10" s="22" t="str">
        <f>+J2</f>
        <v>31/10/2023</v>
      </c>
      <c r="K10" s="18" t="str">
        <f t="shared" si="0"/>
        <v>VE</v>
      </c>
      <c r="L10" s="21">
        <v>445712</v>
      </c>
      <c r="M10" s="18" t="str">
        <f>"CA "&amp;TEXT(J10,"jj/mm")&amp; " TVA 20%"</f>
        <v>CA 31/10 TVA 20%</v>
      </c>
      <c r="N10" s="20"/>
      <c r="O10" s="20">
        <f>IFERROR(VLOOKUP($J10,'EXTRACT LOG CAISSE'!$A$6:$AQ$8,MATCH(" TVA 20%",'EXTRACT LOG CAISSE'!$A$6:$AQ$6,0),FALSE),0)</f>
        <v>0</v>
      </c>
      <c r="P10" s="25">
        <f t="shared" si="1"/>
        <v>0</v>
      </c>
      <c r="S10" s="14">
        <v>45230</v>
      </c>
      <c r="T10" t="s">
        <v>60</v>
      </c>
      <c r="U10">
        <v>7012000</v>
      </c>
      <c r="V10" t="s">
        <v>131</v>
      </c>
      <c r="W10" s="31">
        <v>0</v>
      </c>
      <c r="X10" s="34">
        <v>18.9573</v>
      </c>
      <c r="Y10" s="34">
        <v>-18.9573</v>
      </c>
    </row>
    <row r="11" spans="1:25" x14ac:dyDescent="0.25">
      <c r="A11" s="14" t="s">
        <v>51</v>
      </c>
      <c r="B11" t="s">
        <v>60</v>
      </c>
      <c r="C11" s="11">
        <v>70131</v>
      </c>
      <c r="D11" t="s">
        <v>70</v>
      </c>
      <c r="E11" s="12"/>
      <c r="F11" s="12">
        <v>0</v>
      </c>
      <c r="G11" s="17">
        <v>0</v>
      </c>
      <c r="J11" s="22" t="str">
        <f>+J2</f>
        <v>31/10/2023</v>
      </c>
      <c r="K11" s="18" t="str">
        <f t="shared" si="0"/>
        <v>VE</v>
      </c>
      <c r="L11" s="19">
        <v>70131</v>
      </c>
      <c r="M11" s="18" t="str">
        <f>"CA "&amp;TEXT(J11,"jj/mm")&amp; " Cafés 10%"</f>
        <v>CA 31/10 Cafés 10%</v>
      </c>
      <c r="N11" s="20"/>
      <c r="O11" s="20">
        <f>ROUND(IFERROR(VLOOKUP(J11,$A$7:$BZ$36,MATCH("TVA 10.00 %",$A$6:$BZ$6,0),FALSE)/0.1,0),2)</f>
        <v>0</v>
      </c>
      <c r="P11" s="25">
        <f t="shared" si="1"/>
        <v>0</v>
      </c>
      <c r="S11" s="14">
        <v>45229</v>
      </c>
      <c r="T11" t="s">
        <v>60</v>
      </c>
      <c r="U11">
        <v>5111000</v>
      </c>
      <c r="V11" t="s">
        <v>118</v>
      </c>
      <c r="W11" s="31">
        <v>159</v>
      </c>
      <c r="X11" s="34">
        <v>0</v>
      </c>
      <c r="Y11" s="34">
        <v>159</v>
      </c>
    </row>
    <row r="12" spans="1:25" x14ac:dyDescent="0.25">
      <c r="A12" s="14" t="s">
        <v>51</v>
      </c>
      <c r="B12" t="s">
        <v>60</v>
      </c>
      <c r="C12" s="11">
        <v>70115</v>
      </c>
      <c r="D12" t="s">
        <v>71</v>
      </c>
      <c r="E12" s="12"/>
      <c r="F12" s="12">
        <v>459.72</v>
      </c>
      <c r="G12" s="17">
        <v>-459.72</v>
      </c>
      <c r="J12" s="22" t="str">
        <f>+J2</f>
        <v>31/10/2023</v>
      </c>
      <c r="K12" s="18" t="str">
        <f t="shared" si="0"/>
        <v>VE</v>
      </c>
      <c r="L12" s="19">
        <v>70115</v>
      </c>
      <c r="M12" s="18" t="str">
        <f>"CA "&amp;TEXT(J12,"jj/mm")&amp; " Pizzas 5,5%"</f>
        <v>CA 31/10 Pizzas 5,5%</v>
      </c>
      <c r="N12" s="20"/>
      <c r="O12" s="20">
        <f>ROUND(IFERROR((VLOOKUP(J12,'EXTRACT LOG CAISSE'!$A$6:$AQ$8,MATCH("Blanche",'EXTRACT LOG CAISSE'!$A$6:$AQ$6,0),FALSE)/1.055),0)+IFERROR((VLOOKUP(J12,'EXTRACT LOG CAISSE'!$A$6:$AQ$8,MATCH("Blanche J.E.",'EXTRACT LOG CAISSE'!$A$6:$AQ$6,0),FALSE)/1.055),0)+IFERROR((VLOOKUP(J12,'EXTRACT LOG CAISSE'!$A$6:$AQ$8,MATCH("Rouge J.E.",'EXTRACT LOG CAISSE'!$A$6:$AQ$6,0),FALSE)/1.055),0)+IFERROR((VLOOKUP(J12,'EXTRACT LOG CAISSE'!$A$6:$AQ$8,MATCH("Rouges",'EXTRACT LOG CAISSE'!$A$6:$AQ$6,0),FALSE)/1.055),0)+IFERROR((VLOOKUP(J12,'EXTRACT LOG CAISSE'!$A$6:$AQ$8,MATCH("Supplements",'EXTRACT LOG CAISSE'!$A$6:$AQ$6,0),FALSE)/1.055),0)+IFERROR((VLOOKUP(J12,'EXTRACT LOG CAISSE'!$A$6:$AQ$8,MATCH("Pizzas du jour",'EXTRACT LOG CAISSE'!$A$6:$AQ$6,0),FALSE)/1.055),0)+IFERROR((VLOOKUP(J12,'EXTRACT LOG CAISSE'!$A$6:$AQ$8,MATCH("Articles non catégorisés",'EXTRACT LOG CAISSE'!$A$6:$AQ$6,0),FALSE)/1.055),0),2)</f>
        <v>459.72</v>
      </c>
      <c r="P12" s="25">
        <f t="shared" si="1"/>
        <v>-459.72</v>
      </c>
      <c r="S12" s="14">
        <v>45229</v>
      </c>
      <c r="T12" t="s">
        <v>60</v>
      </c>
      <c r="U12">
        <v>5111200</v>
      </c>
      <c r="V12" t="s">
        <v>119</v>
      </c>
      <c r="W12" s="31">
        <v>38.5</v>
      </c>
      <c r="X12" s="34">
        <v>0</v>
      </c>
      <c r="Y12" s="34">
        <v>38.5</v>
      </c>
    </row>
    <row r="13" spans="1:25" x14ac:dyDescent="0.25">
      <c r="A13" s="14" t="s">
        <v>51</v>
      </c>
      <c r="B13" t="s">
        <v>60</v>
      </c>
      <c r="C13" s="11">
        <v>7012</v>
      </c>
      <c r="D13" t="s">
        <v>72</v>
      </c>
      <c r="E13" s="12"/>
      <c r="F13" s="12">
        <v>18.96</v>
      </c>
      <c r="G13" s="17">
        <v>-18.96</v>
      </c>
      <c r="J13" s="22" t="str">
        <f>+J2</f>
        <v>31/10/2023</v>
      </c>
      <c r="K13" s="18" t="str">
        <f t="shared" si="0"/>
        <v>VE</v>
      </c>
      <c r="L13" s="19">
        <v>7012</v>
      </c>
      <c r="M13" s="18" t="str">
        <f>"CA "&amp;TEXT(J13,"jj/mm")&amp;" Autre 5,5%"</f>
        <v>CA 31/10 Autre 5,5%</v>
      </c>
      <c r="N13" s="20"/>
      <c r="O13" s="20">
        <f>ROUND(IFERROR((VLOOKUP(J13,$A$7:$BZ$36,MATCH("Desserts",$A$6:$BZ$6,0),FALSE)/1.055),0)+IFERROR((VLOOKUP(J13,$A$7:$BZ$36,MATCH("Glace",$A$6:$BZ$6,0),FALSE)/1.055),0)+IFERROR((VLOOKUP(J13,$A$7:$BZ$36,MATCH("Lasagnes",$A$6:$BZ$6,0),FALSE)/1.055),0)+IFERROR((VLOOKUP(J13,$A$7:$BZ$36,MATCH("Salade J.E.",$A$6:$BZ$6,0),FALSE)/1.055),0)+IFERROR((VLOOKUP(J13,$A$7:$BZ$36,MATCH("Salades",$A$6:$BZ$6,0),FALSE)/1.055),0)+IFERROR((VLOOKUP(J13,$A$7:$BZ$36,MATCH("Desserts J.E.",$A$6:$BZ$6,0),FALSE)/1.055),0),2)</f>
        <v>0</v>
      </c>
      <c r="P13" s="25">
        <f t="shared" si="1"/>
        <v>0</v>
      </c>
      <c r="S13" s="14">
        <v>45229</v>
      </c>
      <c r="T13" t="s">
        <v>60</v>
      </c>
      <c r="U13">
        <v>5300000</v>
      </c>
      <c r="V13" t="s">
        <v>120</v>
      </c>
      <c r="W13" s="31">
        <v>100</v>
      </c>
      <c r="X13" s="34">
        <v>0</v>
      </c>
      <c r="Y13" s="34">
        <v>100</v>
      </c>
    </row>
    <row r="14" spans="1:25" x14ac:dyDescent="0.25">
      <c r="A14" s="14" t="s">
        <v>51</v>
      </c>
      <c r="B14" t="s">
        <v>60</v>
      </c>
      <c r="C14" s="11">
        <v>7014</v>
      </c>
      <c r="D14" t="s">
        <v>73</v>
      </c>
      <c r="E14" s="12"/>
      <c r="F14" s="12">
        <v>0</v>
      </c>
      <c r="G14" s="17">
        <v>0</v>
      </c>
      <c r="J14" s="22" t="str">
        <f>+J2</f>
        <v>31/10/2023</v>
      </c>
      <c r="K14" s="18" t="str">
        <f t="shared" si="0"/>
        <v>VE</v>
      </c>
      <c r="L14" s="19">
        <v>7014</v>
      </c>
      <c r="M14" s="18" t="str">
        <f>"CA "&amp;TEXT(J14,"jj/mm")&amp;" Frais livr 5,5%"</f>
        <v>CA 31/10 Frais livr 5,5%</v>
      </c>
      <c r="N14" s="20"/>
      <c r="O14" s="20">
        <f>ROUND(IFERROR((VLOOKUP(J14,$A$7:$BZ$36,MATCH("Just eat",$A$6:$BZ$6,0),FALSE)/1.055),0),2)</f>
        <v>0</v>
      </c>
      <c r="P14" s="25">
        <f t="shared" si="1"/>
        <v>0</v>
      </c>
      <c r="S14" s="14">
        <v>45229</v>
      </c>
      <c r="T14" t="s">
        <v>60</v>
      </c>
      <c r="U14">
        <v>4457155</v>
      </c>
      <c r="V14" t="s">
        <v>117</v>
      </c>
      <c r="W14" s="31">
        <v>0</v>
      </c>
      <c r="X14" s="34">
        <v>14.21</v>
      </c>
      <c r="Y14" s="34">
        <v>-14.21</v>
      </c>
    </row>
    <row r="15" spans="1:25" x14ac:dyDescent="0.25">
      <c r="A15" s="14" t="s">
        <v>51</v>
      </c>
      <c r="B15" t="s">
        <v>60</v>
      </c>
      <c r="C15" s="11">
        <v>70132</v>
      </c>
      <c r="D15" t="s">
        <v>74</v>
      </c>
      <c r="E15" s="12"/>
      <c r="F15" s="12">
        <v>15.42</v>
      </c>
      <c r="G15" s="17">
        <v>-15.42</v>
      </c>
      <c r="J15" s="22" t="str">
        <f>+J2</f>
        <v>31/10/2023</v>
      </c>
      <c r="K15" s="18" t="str">
        <f t="shared" si="0"/>
        <v>VE</v>
      </c>
      <c r="L15" s="19">
        <v>70132</v>
      </c>
      <c r="M15" s="18" t="str">
        <f>"CA "&amp;TEXT(J15,"jj/mm")&amp;" Boissons 20%"</f>
        <v>CA 31/10 Boissons 20%</v>
      </c>
      <c r="N15" s="20"/>
      <c r="O15" s="20">
        <f>ROUND(IFERROR((VLOOKUP(J15,$A$7:$BZ$36,MATCH("Boissons alcool",$A$6:$BZ$6,0),FALSE)/1.2),0),2)</f>
        <v>0</v>
      </c>
      <c r="P15" s="25">
        <f t="shared" si="1"/>
        <v>0</v>
      </c>
      <c r="S15" s="14">
        <v>45229</v>
      </c>
      <c r="T15" t="s">
        <v>60</v>
      </c>
      <c r="U15">
        <v>4457120</v>
      </c>
      <c r="V15" t="s">
        <v>116</v>
      </c>
      <c r="W15" s="31">
        <v>0</v>
      </c>
      <c r="X15" s="34">
        <v>4.17</v>
      </c>
      <c r="Y15" s="34">
        <v>-4.17</v>
      </c>
    </row>
    <row r="16" spans="1:25" x14ac:dyDescent="0.25">
      <c r="A16" s="26" t="s">
        <v>51</v>
      </c>
      <c r="B16" s="27" t="s">
        <v>60</v>
      </c>
      <c r="C16" s="28">
        <v>7013</v>
      </c>
      <c r="D16" s="27" t="s">
        <v>75</v>
      </c>
      <c r="E16" s="29"/>
      <c r="F16" s="29">
        <v>12.8</v>
      </c>
      <c r="G16" s="30">
        <v>-12.8</v>
      </c>
      <c r="J16" s="22" t="str">
        <f>+J2</f>
        <v>31/10/2023</v>
      </c>
      <c r="K16" s="18" t="str">
        <f t="shared" si="0"/>
        <v>VE</v>
      </c>
      <c r="L16" s="19">
        <v>7013</v>
      </c>
      <c r="M16" s="18" t="str">
        <f>"CA "&amp;TEXT(J16,"jj/mm")&amp;" Boissons 5,5%"</f>
        <v>CA 31/10 Boissons 5,5%</v>
      </c>
      <c r="N16" s="20"/>
      <c r="O16" s="20">
        <f>ROUND(IFERROR((VLOOKUP(J16,$A$7:$BZ$36,MATCH("Boisson J.E.",$A$6:$BZ$6,0),FALSE)/1.055),0)+IFERROR(((VLOOKUP(J16,$A$7:$BZ$36,MATCH("Boissons sans alcool",$A$6:$BZ$6,0),FALSE)-O11*1.1)/1.055),0)+IFERROR(((VLOOKUP(J16,$A$7:$BZ$36,MATCH("Boissons",$A$6:$BZ$6,0),FALSE))/1.055),0),2)</f>
        <v>0</v>
      </c>
      <c r="P16" s="25">
        <f t="shared" si="1"/>
        <v>0</v>
      </c>
      <c r="S16" s="14">
        <v>45229</v>
      </c>
      <c r="T16" t="s">
        <v>60</v>
      </c>
      <c r="U16">
        <v>7011500</v>
      </c>
      <c r="V16" t="s">
        <v>121</v>
      </c>
      <c r="W16" s="31">
        <v>0</v>
      </c>
      <c r="X16" s="34">
        <v>199.0521</v>
      </c>
      <c r="Y16" s="34">
        <v>-199.0521</v>
      </c>
    </row>
    <row r="17" spans="1:25" x14ac:dyDescent="0.25">
      <c r="A17" s="14" t="s">
        <v>52</v>
      </c>
      <c r="B17" t="s">
        <v>60</v>
      </c>
      <c r="C17" s="11">
        <v>5111</v>
      </c>
      <c r="D17" t="s">
        <v>76</v>
      </c>
      <c r="E17" s="12">
        <v>159</v>
      </c>
      <c r="F17" s="16"/>
      <c r="G17" s="17">
        <v>159</v>
      </c>
      <c r="J17" s="22" t="str">
        <f>TEXT(J2-1,"jj/mm/aaaa")</f>
        <v>30/10/2023</v>
      </c>
      <c r="K17" s="18" t="str">
        <f>IF(ISBLANK(J17),"","VE")</f>
        <v>VE</v>
      </c>
      <c r="L17" s="19">
        <v>5111</v>
      </c>
      <c r="M17" s="18" t="str">
        <f>"CA "&amp;TEXT(J17,"jj/mm")&amp; " Cb"</f>
        <v>CA 30/10 Cb</v>
      </c>
      <c r="N17" s="20">
        <f t="shared" ref="N17" si="2">IFERROR(VLOOKUP(J17,$A$7:$BZ$36,MATCH("CB",$A$6:$BZ$6,0),FALSE),0)</f>
        <v>0</v>
      </c>
      <c r="O17" s="24"/>
      <c r="P17" s="25">
        <f t="shared" si="1"/>
        <v>0</v>
      </c>
      <c r="S17" s="14">
        <v>45229</v>
      </c>
      <c r="T17" t="s">
        <v>60</v>
      </c>
      <c r="U17">
        <v>7013200</v>
      </c>
      <c r="V17" t="s">
        <v>124</v>
      </c>
      <c r="W17" s="31">
        <v>0</v>
      </c>
      <c r="X17" s="34">
        <v>20.833300000000001</v>
      </c>
      <c r="Y17" s="34">
        <v>-20.833300000000001</v>
      </c>
    </row>
    <row r="18" spans="1:25" x14ac:dyDescent="0.25">
      <c r="A18" s="14" t="s">
        <v>52</v>
      </c>
      <c r="B18" t="s">
        <v>60</v>
      </c>
      <c r="C18" s="11">
        <v>51112</v>
      </c>
      <c r="D18" t="s">
        <v>77</v>
      </c>
      <c r="E18" s="12">
        <v>38.5</v>
      </c>
      <c r="G18" s="17">
        <v>38.5</v>
      </c>
      <c r="J18" s="22" t="str">
        <f>TEXT(J2-1,"jj/mm/aaaa")</f>
        <v>30/10/2023</v>
      </c>
      <c r="K18" s="18" t="str">
        <f t="shared" ref="K18:K31" si="3">IF(ISBLANK(J18),"","VE")</f>
        <v>VE</v>
      </c>
      <c r="L18" s="19">
        <v>51112</v>
      </c>
      <c r="M18" s="18" t="str">
        <f>"CA "&amp;TEXT(J18,"jj/mm")&amp; " Cb dec"</f>
        <v>CA 30/10 Cb dec</v>
      </c>
      <c r="N18" s="20">
        <f t="shared" ref="N18" si="4">IFERROR(VLOOKUP(J18,$A$7:$BZ$36,MATCH("CB déconnectée",$A$6:$BZ$6,0),FALSE),0)</f>
        <v>0</v>
      </c>
      <c r="O18" s="18"/>
      <c r="P18" s="25">
        <f t="shared" si="1"/>
        <v>0</v>
      </c>
      <c r="S18" s="14">
        <v>45229</v>
      </c>
      <c r="T18" t="s">
        <v>60</v>
      </c>
      <c r="U18">
        <v>7013000</v>
      </c>
      <c r="V18" t="s">
        <v>123</v>
      </c>
      <c r="W18" s="31">
        <v>0</v>
      </c>
      <c r="X18" s="34">
        <v>8.0569000000000006</v>
      </c>
      <c r="Y18" s="34">
        <v>-8.0569000000000006</v>
      </c>
    </row>
    <row r="19" spans="1:25" x14ac:dyDescent="0.25">
      <c r="A19" s="14" t="s">
        <v>52</v>
      </c>
      <c r="B19" t="s">
        <v>60</v>
      </c>
      <c r="C19" s="11">
        <v>53</v>
      </c>
      <c r="D19" t="s">
        <v>78</v>
      </c>
      <c r="E19" s="12">
        <v>100</v>
      </c>
      <c r="G19" s="17">
        <v>100</v>
      </c>
      <c r="J19" s="22" t="str">
        <f>TEXT(J2-1,"jj/mm/aaaa")</f>
        <v>30/10/2023</v>
      </c>
      <c r="K19" s="18" t="str">
        <f t="shared" si="3"/>
        <v>VE</v>
      </c>
      <c r="L19" s="19">
        <v>53</v>
      </c>
      <c r="M19" s="18" t="str">
        <f>"CA "&amp;TEXT(J19,"jj/mm")&amp; " Esp"</f>
        <v>CA 30/10 Esp</v>
      </c>
      <c r="N19" s="20">
        <f t="shared" ref="N19" si="5">IFERROR(VLOOKUP(J19,$A$7:$BZ$36,MATCH("Espèces",$A$6:$BZ$6,0),FALSE),0)</f>
        <v>0</v>
      </c>
      <c r="O19" s="18"/>
      <c r="P19" s="25">
        <f t="shared" si="1"/>
        <v>0</v>
      </c>
      <c r="S19" s="14">
        <v>45229</v>
      </c>
      <c r="T19" t="s">
        <v>60</v>
      </c>
      <c r="U19">
        <v>7012000</v>
      </c>
      <c r="V19" t="s">
        <v>122</v>
      </c>
      <c r="W19" s="31">
        <v>0</v>
      </c>
      <c r="X19" s="34">
        <v>51.184800000000003</v>
      </c>
      <c r="Y19" s="34">
        <v>-51.184800000000003</v>
      </c>
    </row>
    <row r="20" spans="1:25" x14ac:dyDescent="0.25">
      <c r="A20" s="14" t="s">
        <v>52</v>
      </c>
      <c r="B20" t="s">
        <v>60</v>
      </c>
      <c r="C20" s="11">
        <v>5112</v>
      </c>
      <c r="D20" t="s">
        <v>79</v>
      </c>
      <c r="E20" s="12">
        <v>0</v>
      </c>
      <c r="G20" s="17">
        <v>0</v>
      </c>
      <c r="J20" s="22" t="str">
        <f>TEXT(J2-1,"jj/mm/aaaa")</f>
        <v>30/10/2023</v>
      </c>
      <c r="K20" s="18" t="str">
        <f t="shared" si="3"/>
        <v>VE</v>
      </c>
      <c r="L20" s="19">
        <v>5112</v>
      </c>
      <c r="M20" s="18" t="str">
        <f>"CA "&amp;TEXT(J20,"jj/mm")&amp; " Chq"</f>
        <v>CA 30/10 Chq</v>
      </c>
      <c r="N20" s="20">
        <f t="shared" ref="N20" si="6">IFERROR(VLOOKUP(J20,$A$7:$BZ$36,MATCH("Chèque",$A$6:$BZ$6,0),FALSE),0)</f>
        <v>0</v>
      </c>
      <c r="O20" s="18"/>
      <c r="P20" s="25">
        <f t="shared" si="1"/>
        <v>0</v>
      </c>
      <c r="S20" t="s">
        <v>134</v>
      </c>
      <c r="W20" s="33">
        <f>SUBTOTAL(109,Journal_1[Débit])</f>
        <v>834.5</v>
      </c>
      <c r="X20" s="33">
        <f>SUBTOTAL(109,Journal_1[Crédit])</f>
        <v>834.51290000000006</v>
      </c>
      <c r="Y20" s="33">
        <f>SUBTOTAL(109,Journal_1[Solde])</f>
        <v>-1.2900000000016121E-2</v>
      </c>
    </row>
    <row r="21" spans="1:25" x14ac:dyDescent="0.25">
      <c r="A21" s="14" t="s">
        <v>52</v>
      </c>
      <c r="B21" t="s">
        <v>60</v>
      </c>
      <c r="C21" s="11">
        <v>5113</v>
      </c>
      <c r="D21" t="s">
        <v>80</v>
      </c>
      <c r="E21" s="12">
        <v>0</v>
      </c>
      <c r="G21" s="17">
        <v>0</v>
      </c>
      <c r="J21" s="22" t="str">
        <f>TEXT(J2-1,"jj/mm/aaaa")</f>
        <v>30/10/2023</v>
      </c>
      <c r="K21" s="18" t="str">
        <f t="shared" si="3"/>
        <v>VE</v>
      </c>
      <c r="L21" s="19">
        <v>5113</v>
      </c>
      <c r="M21" s="18" t="str">
        <f>"CA "&amp;TEXT(J21,"jj/mm")&amp; " TR"</f>
        <v>CA 30/10 TR</v>
      </c>
      <c r="N21" s="20">
        <f t="shared" ref="N21" si="7">IFERROR(VLOOKUP(J21,$A$7:$BZ$36,MATCH("Ticket Restaurant",$A$6:$BZ$6,0),FALSE),0)</f>
        <v>0</v>
      </c>
      <c r="O21" s="18"/>
      <c r="P21" s="25">
        <f t="shared" si="1"/>
        <v>0</v>
      </c>
    </row>
    <row r="22" spans="1:25" x14ac:dyDescent="0.25">
      <c r="A22" s="14" t="s">
        <v>52</v>
      </c>
      <c r="B22" t="s">
        <v>60</v>
      </c>
      <c r="C22" s="11">
        <v>7021</v>
      </c>
      <c r="D22" t="s">
        <v>81</v>
      </c>
      <c r="E22" s="12">
        <v>0</v>
      </c>
      <c r="G22" s="17">
        <v>0</v>
      </c>
      <c r="J22" s="22" t="str">
        <f>TEXT(J2-1,"jj/mm/aaaa")</f>
        <v>30/10/2023</v>
      </c>
      <c r="K22" s="18" t="str">
        <f t="shared" si="3"/>
        <v>VE</v>
      </c>
      <c r="L22" s="19">
        <v>7021</v>
      </c>
      <c r="M22" s="18" t="str">
        <f>"CA "&amp;TEXT(J22,"jj/mm")&amp; " Arrondi"</f>
        <v>CA 30/10 Arrondi</v>
      </c>
      <c r="N22" s="20">
        <f t="shared" ref="N22" si="8">ROUND(-SUM(N17:N21)+SUM(O23:O31),2)</f>
        <v>0</v>
      </c>
      <c r="O22" s="18"/>
      <c r="P22" s="25">
        <f t="shared" si="1"/>
        <v>0</v>
      </c>
    </row>
    <row r="23" spans="1:25" x14ac:dyDescent="0.25">
      <c r="A23" s="14" t="s">
        <v>52</v>
      </c>
      <c r="B23" t="s">
        <v>60</v>
      </c>
      <c r="C23" s="13">
        <v>4457155</v>
      </c>
      <c r="D23" t="s">
        <v>82</v>
      </c>
      <c r="E23" s="12"/>
      <c r="F23" s="12">
        <v>14.21</v>
      </c>
      <c r="G23" s="17">
        <v>-14.21</v>
      </c>
      <c r="J23" s="22" t="str">
        <f>TEXT(J2-1,"jj/mm/aaaa")</f>
        <v>30/10/2023</v>
      </c>
      <c r="K23" s="18" t="str">
        <f t="shared" si="3"/>
        <v>VE</v>
      </c>
      <c r="L23" s="21">
        <v>4457155</v>
      </c>
      <c r="M23" s="18" t="str">
        <f>"CA "&amp;TEXT(J23,"jj/mm")&amp; " TVA 5,5%"</f>
        <v>CA 30/10 TVA 5,5%</v>
      </c>
      <c r="N23" s="20"/>
      <c r="O23" s="20">
        <f t="shared" ref="O23" si="9">IFERROR(VLOOKUP(J23,$A$7:$BZ$36,MATCH("TVA 5.50 %",$A$6:$BZ$6,0),FALSE),0)</f>
        <v>0</v>
      </c>
      <c r="P23" s="25">
        <f t="shared" si="1"/>
        <v>0</v>
      </c>
    </row>
    <row r="24" spans="1:25" x14ac:dyDescent="0.25">
      <c r="A24" s="14" t="s">
        <v>52</v>
      </c>
      <c r="B24" t="s">
        <v>60</v>
      </c>
      <c r="C24" s="13">
        <v>445711</v>
      </c>
      <c r="D24" t="s">
        <v>83</v>
      </c>
      <c r="E24" s="12"/>
      <c r="F24" s="12">
        <v>0</v>
      </c>
      <c r="G24" s="17">
        <v>0</v>
      </c>
      <c r="J24" s="22" t="str">
        <f>TEXT(J2-1,"jj/mm/aaaa")</f>
        <v>30/10/2023</v>
      </c>
      <c r="K24" s="18" t="str">
        <f t="shared" si="3"/>
        <v>VE</v>
      </c>
      <c r="L24" s="21">
        <v>445711</v>
      </c>
      <c r="M24" s="18" t="str">
        <f>"CA "&amp;TEXT(J24,"jj/mm")&amp; " TVA 10%"</f>
        <v>CA 30/10 TVA 10%</v>
      </c>
      <c r="N24" s="20"/>
      <c r="O24" s="20">
        <f t="shared" ref="O24" si="10">IFERROR(VLOOKUP(J24,$A$7:$BZ$36,MATCH("TVA 10.00 %",$A$6:$BZ$6,0),FALSE),0)</f>
        <v>0</v>
      </c>
      <c r="P24" s="25">
        <f t="shared" si="1"/>
        <v>0</v>
      </c>
      <c r="W24" s="33"/>
    </row>
    <row r="25" spans="1:25" x14ac:dyDescent="0.25">
      <c r="A25" s="14" t="s">
        <v>52</v>
      </c>
      <c r="B25" t="s">
        <v>60</v>
      </c>
      <c r="C25" s="13">
        <v>445712</v>
      </c>
      <c r="D25" t="s">
        <v>84</v>
      </c>
      <c r="E25" s="12"/>
      <c r="F25" s="12">
        <v>4.17</v>
      </c>
      <c r="G25" s="17">
        <v>-4.17</v>
      </c>
      <c r="J25" s="22" t="str">
        <f>TEXT(J2-1,"jj/mm/aaaa")</f>
        <v>30/10/2023</v>
      </c>
      <c r="K25" s="18" t="str">
        <f t="shared" si="3"/>
        <v>VE</v>
      </c>
      <c r="L25" s="21">
        <v>445712</v>
      </c>
      <c r="M25" s="18" t="str">
        <f>"CA "&amp;TEXT(J25,"jj/mm")&amp; " TVA 20%"</f>
        <v>CA 30/10 TVA 20%</v>
      </c>
      <c r="N25" s="20"/>
      <c r="O25" s="20">
        <f t="shared" ref="O25" si="11">IFERROR(VLOOKUP(J25,$A$7:$BZ$36,MATCH("TVA 20.00 %",$A$6:$BZ$6,0),FALSE),0)</f>
        <v>0</v>
      </c>
      <c r="P25" s="25">
        <f t="shared" si="1"/>
        <v>0</v>
      </c>
    </row>
    <row r="26" spans="1:25" x14ac:dyDescent="0.25">
      <c r="A26" s="14" t="s">
        <v>52</v>
      </c>
      <c r="B26" t="s">
        <v>60</v>
      </c>
      <c r="C26" s="11">
        <v>70131</v>
      </c>
      <c r="D26" t="s">
        <v>85</v>
      </c>
      <c r="E26" s="12"/>
      <c r="F26" s="12">
        <v>0</v>
      </c>
      <c r="G26" s="17">
        <v>0</v>
      </c>
      <c r="J26" s="22" t="str">
        <f>TEXT(J2-1,"jj/mm/aaaa")</f>
        <v>30/10/2023</v>
      </c>
      <c r="K26" s="18" t="str">
        <f t="shared" si="3"/>
        <v>VE</v>
      </c>
      <c r="L26" s="19">
        <v>70131</v>
      </c>
      <c r="M26" s="18" t="str">
        <f>"CA "&amp;TEXT(J26,"jj/mm")&amp; " Cafés 10%"</f>
        <v>CA 30/10 Cafés 10%</v>
      </c>
      <c r="N26" s="20"/>
      <c r="O26" s="20">
        <f t="shared" ref="O26" si="12">ROUND(IFERROR(VLOOKUP(J26,$A$7:$BZ$36,MATCH("TVA 10.00 %",$A$6:$BZ$6,0),FALSE)/0.1,0),2)</f>
        <v>0</v>
      </c>
      <c r="P26" s="25">
        <f t="shared" si="1"/>
        <v>0</v>
      </c>
    </row>
    <row r="27" spans="1:25" x14ac:dyDescent="0.25">
      <c r="A27" s="14" t="s">
        <v>52</v>
      </c>
      <c r="B27" t="s">
        <v>60</v>
      </c>
      <c r="C27" s="11">
        <v>70115</v>
      </c>
      <c r="D27" t="s">
        <v>86</v>
      </c>
      <c r="E27" s="12"/>
      <c r="F27" s="12">
        <v>199.05</v>
      </c>
      <c r="G27" s="17">
        <v>-199.05</v>
      </c>
      <c r="J27" s="22" t="str">
        <f>TEXT(J2-1,"jj/mm/aaaa")</f>
        <v>30/10/2023</v>
      </c>
      <c r="K27" s="18" t="str">
        <f t="shared" si="3"/>
        <v>VE</v>
      </c>
      <c r="L27" s="19">
        <v>70115</v>
      </c>
      <c r="M27" s="18" t="str">
        <f>"CA "&amp;TEXT(J27,"jj/mm")&amp; " Pizzas 5,5%"</f>
        <v>CA 30/10 Pizzas 5,5%</v>
      </c>
      <c r="N27" s="20"/>
      <c r="O27" s="20">
        <f t="shared" ref="O27" si="13">ROUND(IFERROR((VLOOKUP(J27,$A$7:$BZ$36,MATCH("Blanche",$A$6:$BZ$6,0),FALSE)/1.055),0)+IFERROR((VLOOKUP(J27,$A$7:$BZ$36,MATCH("Blanche J.E.",$A$6:$BZ$6,0),FALSE)/1.055),0)+IFERROR((VLOOKUP(J27,$A$7:$BZ$36,MATCH("Rouge J.E.",$A$6:$BZ$6,0),FALSE)/1.055),0)+IFERROR((VLOOKUP(J27,$A$7:$BZ$36,MATCH("Rouges",$A$6:$BZ$6,0),FALSE)/1.055),0)+IFERROR((VLOOKUP(J27,$A$7:$BZ$36,MATCH("Supplements",$A$6:$BZ$6,0),FALSE)/1.055),0)+IFERROR((VLOOKUP(J27,$A$7:$BZ$36,MATCH("Pizzas du jour",$A$6:$BZ$6,0),FALSE)/1.055),0)+IFERROR((VLOOKUP(J27,$A$7:$BZ$36,MATCH("Articles non catégorisés",$A$6:$BZ$6,0),FALSE)/1.055),0),2)</f>
        <v>0</v>
      </c>
      <c r="P27" s="25">
        <f t="shared" si="1"/>
        <v>0</v>
      </c>
    </row>
    <row r="28" spans="1:25" x14ac:dyDescent="0.25">
      <c r="A28" s="14" t="s">
        <v>52</v>
      </c>
      <c r="B28" t="s">
        <v>60</v>
      </c>
      <c r="C28" s="11">
        <v>7012</v>
      </c>
      <c r="D28" t="s">
        <v>87</v>
      </c>
      <c r="E28" s="12"/>
      <c r="F28" s="12">
        <v>51.18</v>
      </c>
      <c r="G28" s="17">
        <v>-51.18</v>
      </c>
      <c r="J28" s="22" t="str">
        <f>TEXT(J2-1,"jj/mm/aaaa")</f>
        <v>30/10/2023</v>
      </c>
      <c r="K28" s="18" t="str">
        <f t="shared" si="3"/>
        <v>VE</v>
      </c>
      <c r="L28" s="19">
        <v>7012</v>
      </c>
      <c r="M28" s="18" t="str">
        <f>"CA "&amp;TEXT(J28,"jj/mm")&amp;" Autre 5,5%"</f>
        <v>CA 30/10 Autre 5,5%</v>
      </c>
      <c r="N28" s="20"/>
      <c r="O28" s="20">
        <f t="shared" ref="O28" si="14">ROUND(IFERROR((VLOOKUP(J28,$A$7:$BZ$36,MATCH("Desserts",$A$6:$BZ$6,0),FALSE)/1.055),0)+IFERROR((VLOOKUP(J28,$A$7:$BZ$36,MATCH("Glace",$A$6:$BZ$6,0),FALSE)/1.055),0)+IFERROR((VLOOKUP(J28,$A$7:$BZ$36,MATCH("Lasagnes",$A$6:$BZ$6,0),FALSE)/1.055),0)+IFERROR((VLOOKUP(J28,$A$7:$BZ$36,MATCH("Salade J.E.",$A$6:$BZ$6,0),FALSE)/1.055),0)+IFERROR((VLOOKUP(J28,$A$7:$BZ$36,MATCH("Salades",$A$6:$BZ$6,0),FALSE)/1.055),0)+IFERROR((VLOOKUP(J28,$A$7:$BZ$36,MATCH("Desserts J.E.",$A$6:$BZ$6,0),FALSE)/1.055),0),2)</f>
        <v>0</v>
      </c>
      <c r="P28" s="25">
        <f t="shared" si="1"/>
        <v>0</v>
      </c>
    </row>
    <row r="29" spans="1:25" x14ac:dyDescent="0.25">
      <c r="A29" s="14" t="s">
        <v>52</v>
      </c>
      <c r="B29" t="s">
        <v>60</v>
      </c>
      <c r="C29" s="11">
        <v>7014</v>
      </c>
      <c r="D29" t="s">
        <v>88</v>
      </c>
      <c r="E29" s="12"/>
      <c r="F29" s="12">
        <v>0</v>
      </c>
      <c r="G29" s="17">
        <v>0</v>
      </c>
      <c r="J29" s="22" t="str">
        <f>TEXT(J2-1,"jj/mm/aaaa")</f>
        <v>30/10/2023</v>
      </c>
      <c r="K29" s="18" t="str">
        <f t="shared" si="3"/>
        <v>VE</v>
      </c>
      <c r="L29" s="19">
        <v>7014</v>
      </c>
      <c r="M29" s="18" t="str">
        <f>"CA "&amp;TEXT(J29,"jj/mm")&amp;" Frais livr 5,5%"</f>
        <v>CA 30/10 Frais livr 5,5%</v>
      </c>
      <c r="N29" s="20"/>
      <c r="O29" s="20">
        <f t="shared" ref="O29" si="15">ROUND(IFERROR((VLOOKUP(J29,$A$7:$BZ$36,MATCH("Just eat",$A$6:$BZ$6,0),FALSE)/1.055),0),2)</f>
        <v>0</v>
      </c>
      <c r="P29" s="25">
        <f t="shared" si="1"/>
        <v>0</v>
      </c>
    </row>
    <row r="30" spans="1:25" x14ac:dyDescent="0.25">
      <c r="A30" s="14" t="s">
        <v>52</v>
      </c>
      <c r="B30" t="s">
        <v>60</v>
      </c>
      <c r="C30" s="11">
        <v>70132</v>
      </c>
      <c r="D30" t="s">
        <v>89</v>
      </c>
      <c r="E30" s="12"/>
      <c r="F30" s="12">
        <v>20.83</v>
      </c>
      <c r="G30" s="17">
        <v>-20.83</v>
      </c>
      <c r="J30" s="22" t="str">
        <f>TEXT(J2-1,"jj/mm/aaaa")</f>
        <v>30/10/2023</v>
      </c>
      <c r="K30" s="18" t="str">
        <f t="shared" si="3"/>
        <v>VE</v>
      </c>
      <c r="L30" s="19">
        <v>70132</v>
      </c>
      <c r="M30" s="18" t="str">
        <f>"CA "&amp;TEXT(J30,"jj/mm")&amp;" Boissons 20%"</f>
        <v>CA 30/10 Boissons 20%</v>
      </c>
      <c r="N30" s="20"/>
      <c r="O30" s="20">
        <f t="shared" ref="O30" si="16">ROUND(IFERROR((VLOOKUP(J30,$A$7:$BZ$36,MATCH("Boissons alcool",$A$6:$BZ$6,0),FALSE)/1.2),0),2)</f>
        <v>0</v>
      </c>
      <c r="P30" s="25">
        <f t="shared" si="1"/>
        <v>0</v>
      </c>
    </row>
    <row r="31" spans="1:25" x14ac:dyDescent="0.25">
      <c r="A31" s="14" t="s">
        <v>52</v>
      </c>
      <c r="B31" t="s">
        <v>60</v>
      </c>
      <c r="C31" s="11">
        <v>7013</v>
      </c>
      <c r="D31" t="s">
        <v>90</v>
      </c>
      <c r="E31" s="12"/>
      <c r="F31" s="12">
        <v>8.06</v>
      </c>
      <c r="G31" s="17">
        <v>-8.06</v>
      </c>
      <c r="J31" s="22" t="str">
        <f>TEXT(J2-1,"jj/mm/aaaa")</f>
        <v>30/10/2023</v>
      </c>
      <c r="K31" s="18" t="str">
        <f t="shared" si="3"/>
        <v>VE</v>
      </c>
      <c r="L31" s="19">
        <v>7013</v>
      </c>
      <c r="M31" s="18" t="str">
        <f>"CA "&amp;TEXT(J31,"jj/mm")&amp;" Boissons 5,5%"</f>
        <v>CA 30/10 Boissons 5,5%</v>
      </c>
      <c r="N31" s="20"/>
      <c r="O31" s="20">
        <f t="shared" ref="O31" si="17">ROUND(IFERROR((VLOOKUP(J31,$A$7:$BZ$36,MATCH("Boisson J.E.",$A$6:$BZ$6,0),FALSE)/1.055),0)+IFERROR(((VLOOKUP(J31,$A$7:$BZ$36,MATCH("Boissons sans alcool",$A$6:$BZ$6,0),FALSE)-O26*1.1)/1.055),0)+IFERROR(((VLOOKUP(J31,$A$7:$BZ$36,MATCH("Boissons",$A$6:$BZ$6,0),FALSE))/1.055),0),2)</f>
        <v>0</v>
      </c>
      <c r="P31" s="25">
        <f t="shared" si="1"/>
        <v>0</v>
      </c>
    </row>
    <row r="32" spans="1:25" x14ac:dyDescent="0.25">
      <c r="J32" s="18"/>
      <c r="K32" s="18"/>
      <c r="L32" s="18"/>
      <c r="M32" s="18"/>
      <c r="N32" s="18"/>
      <c r="O32" s="18"/>
      <c r="P32" s="18"/>
    </row>
    <row r="33" spans="10:16" x14ac:dyDescent="0.25">
      <c r="J33" s="18"/>
      <c r="K33" s="18"/>
      <c r="L33" s="18"/>
      <c r="M33" s="18"/>
      <c r="N33" s="18"/>
      <c r="O33" s="18"/>
      <c r="P33" s="18"/>
    </row>
    <row r="34" spans="10:16" x14ac:dyDescent="0.25">
      <c r="J34" s="18" t="s">
        <v>92</v>
      </c>
      <c r="K34" s="18"/>
      <c r="L34" s="18"/>
      <c r="M34" s="18"/>
      <c r="N34" s="20">
        <f>SUM(N2:N33)</f>
        <v>486.76</v>
      </c>
      <c r="O34" s="20">
        <f t="shared" ref="O34:P34" si="18">SUM(O2:O33)</f>
        <v>486.76000000000005</v>
      </c>
      <c r="P34" s="20">
        <f t="shared" si="18"/>
        <v>-5.6843418860808015E-14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8D99-BAB1-4F7F-8097-B1951623F222}">
  <dimension ref="A1:E28"/>
  <sheetViews>
    <sheetView workbookViewId="0">
      <selection activeCell="E1" sqref="E1"/>
    </sheetView>
  </sheetViews>
  <sheetFormatPr baseColWidth="10" defaultRowHeight="15" x14ac:dyDescent="0.25"/>
  <cols>
    <col min="2" max="2" width="16.42578125" bestFit="1" customWidth="1"/>
    <col min="3" max="3" width="13.28515625" bestFit="1" customWidth="1"/>
    <col min="4" max="4" width="19.85546875" customWidth="1"/>
  </cols>
  <sheetData>
    <row r="1" spans="1:5" x14ac:dyDescent="0.25">
      <c r="A1" t="s">
        <v>93</v>
      </c>
      <c r="B1" t="s">
        <v>104</v>
      </c>
      <c r="C1" t="s">
        <v>102</v>
      </c>
      <c r="D1" t="s">
        <v>103</v>
      </c>
      <c r="E1" t="s">
        <v>135</v>
      </c>
    </row>
    <row r="2" spans="1:5" x14ac:dyDescent="0.25">
      <c r="A2">
        <v>5111000</v>
      </c>
      <c r="B2" s="11" t="s">
        <v>25</v>
      </c>
      <c r="C2" t="s">
        <v>25</v>
      </c>
      <c r="D2" t="s">
        <v>106</v>
      </c>
    </row>
    <row r="3" spans="1:5" x14ac:dyDescent="0.25">
      <c r="A3">
        <v>5111200</v>
      </c>
      <c r="B3" s="11" t="s">
        <v>26</v>
      </c>
      <c r="C3" t="s">
        <v>107</v>
      </c>
      <c r="D3" t="s">
        <v>106</v>
      </c>
    </row>
    <row r="4" spans="1:5" x14ac:dyDescent="0.25">
      <c r="A4">
        <v>5111210</v>
      </c>
      <c r="B4" s="11" t="s">
        <v>27</v>
      </c>
      <c r="C4" t="s">
        <v>108</v>
      </c>
      <c r="D4" t="s">
        <v>106</v>
      </c>
    </row>
    <row r="5" spans="1:5" x14ac:dyDescent="0.25">
      <c r="A5">
        <v>5300000</v>
      </c>
      <c r="B5" s="11" t="s">
        <v>28</v>
      </c>
      <c r="C5" t="s">
        <v>28</v>
      </c>
      <c r="D5" t="s">
        <v>106</v>
      </c>
    </row>
    <row r="6" spans="1:5" x14ac:dyDescent="0.25">
      <c r="A6">
        <v>5112000</v>
      </c>
      <c r="B6" s="11" t="s">
        <v>29</v>
      </c>
      <c r="C6" t="s">
        <v>29</v>
      </c>
      <c r="D6" t="s">
        <v>106</v>
      </c>
    </row>
    <row r="7" spans="1:5" x14ac:dyDescent="0.25">
      <c r="A7">
        <v>5115000</v>
      </c>
      <c r="B7" s="11" t="s">
        <v>30</v>
      </c>
      <c r="C7" t="s">
        <v>30</v>
      </c>
      <c r="D7" t="s">
        <v>106</v>
      </c>
    </row>
    <row r="8" spans="1:5" x14ac:dyDescent="0.25">
      <c r="A8">
        <v>5115000</v>
      </c>
      <c r="B8" s="11" t="s">
        <v>31</v>
      </c>
      <c r="C8" t="s">
        <v>94</v>
      </c>
      <c r="D8" t="s">
        <v>106</v>
      </c>
    </row>
    <row r="9" spans="1:5" x14ac:dyDescent="0.25">
      <c r="A9">
        <v>5115000</v>
      </c>
      <c r="B9" s="11" t="s">
        <v>32</v>
      </c>
      <c r="C9" t="s">
        <v>109</v>
      </c>
      <c r="D9" t="s">
        <v>106</v>
      </c>
    </row>
    <row r="10" spans="1:5" x14ac:dyDescent="0.25">
      <c r="A10">
        <v>5115000</v>
      </c>
      <c r="B10" s="11" t="s">
        <v>33</v>
      </c>
      <c r="C10" t="s">
        <v>33</v>
      </c>
      <c r="D10" t="s">
        <v>106</v>
      </c>
    </row>
    <row r="11" spans="1:5" x14ac:dyDescent="0.25">
      <c r="A11">
        <v>4457190</v>
      </c>
      <c r="B11" s="11" t="s">
        <v>16</v>
      </c>
      <c r="C11" t="s">
        <v>110</v>
      </c>
      <c r="D11" t="s">
        <v>105</v>
      </c>
    </row>
    <row r="12" spans="1:5" x14ac:dyDescent="0.25">
      <c r="A12">
        <v>4457190</v>
      </c>
      <c r="B12" s="11" t="s">
        <v>17</v>
      </c>
      <c r="C12" t="s">
        <v>111</v>
      </c>
      <c r="D12" t="s">
        <v>105</v>
      </c>
    </row>
    <row r="13" spans="1:5" x14ac:dyDescent="0.25">
      <c r="A13">
        <v>4457155</v>
      </c>
      <c r="B13" s="11" t="s">
        <v>18</v>
      </c>
      <c r="C13" t="s">
        <v>95</v>
      </c>
      <c r="D13" t="s">
        <v>105</v>
      </c>
    </row>
    <row r="14" spans="1:5" x14ac:dyDescent="0.25">
      <c r="A14">
        <v>4457190</v>
      </c>
      <c r="B14" s="11" t="s">
        <v>19</v>
      </c>
      <c r="C14" t="s">
        <v>112</v>
      </c>
      <c r="D14" t="s">
        <v>105</v>
      </c>
    </row>
    <row r="15" spans="1:5" x14ac:dyDescent="0.25">
      <c r="A15">
        <v>4457110</v>
      </c>
      <c r="B15" s="11" t="s">
        <v>20</v>
      </c>
      <c r="C15" t="s">
        <v>96</v>
      </c>
      <c r="D15" t="s">
        <v>105</v>
      </c>
    </row>
    <row r="16" spans="1:5" x14ac:dyDescent="0.25">
      <c r="A16">
        <v>4457190</v>
      </c>
      <c r="B16" s="11" t="s">
        <v>21</v>
      </c>
      <c r="C16" t="s">
        <v>113</v>
      </c>
      <c r="D16" t="s">
        <v>105</v>
      </c>
    </row>
    <row r="17" spans="1:5" x14ac:dyDescent="0.25">
      <c r="A17">
        <v>4457120</v>
      </c>
      <c r="B17" s="11" t="s">
        <v>22</v>
      </c>
      <c r="C17" t="s">
        <v>97</v>
      </c>
      <c r="D17" t="s">
        <v>105</v>
      </c>
    </row>
    <row r="18" spans="1:5" x14ac:dyDescent="0.25">
      <c r="A18">
        <v>7011500</v>
      </c>
      <c r="B18" s="11" t="s">
        <v>39</v>
      </c>
      <c r="C18" t="s">
        <v>98</v>
      </c>
      <c r="D18" t="s">
        <v>105</v>
      </c>
      <c r="E18" s="35">
        <v>5.5E-2</v>
      </c>
    </row>
    <row r="19" spans="1:5" x14ac:dyDescent="0.25">
      <c r="A19">
        <v>7013200</v>
      </c>
      <c r="B19" s="11" t="s">
        <v>40</v>
      </c>
      <c r="C19" t="s">
        <v>100</v>
      </c>
      <c r="D19" t="s">
        <v>105</v>
      </c>
      <c r="E19" s="36">
        <v>0.2</v>
      </c>
    </row>
    <row r="20" spans="1:5" x14ac:dyDescent="0.25">
      <c r="A20">
        <v>7013000</v>
      </c>
      <c r="B20" s="11" t="s">
        <v>41</v>
      </c>
      <c r="C20" t="s">
        <v>101</v>
      </c>
      <c r="D20" t="s">
        <v>105</v>
      </c>
      <c r="E20" s="35">
        <v>5.5E-2</v>
      </c>
    </row>
    <row r="21" spans="1:5" x14ac:dyDescent="0.25">
      <c r="A21">
        <v>7013100</v>
      </c>
      <c r="B21" s="11" t="s">
        <v>42</v>
      </c>
      <c r="C21" t="s">
        <v>42</v>
      </c>
      <c r="D21" t="s">
        <v>105</v>
      </c>
      <c r="E21" s="36">
        <v>0.1</v>
      </c>
    </row>
    <row r="22" spans="1:5" x14ac:dyDescent="0.25">
      <c r="A22">
        <v>7012000</v>
      </c>
      <c r="B22" s="11" t="s">
        <v>43</v>
      </c>
      <c r="C22" t="s">
        <v>99</v>
      </c>
      <c r="D22" t="s">
        <v>105</v>
      </c>
      <c r="E22" s="35">
        <v>5.5E-2</v>
      </c>
    </row>
    <row r="23" spans="1:5" x14ac:dyDescent="0.25">
      <c r="A23">
        <v>7012000</v>
      </c>
      <c r="B23" s="11" t="s">
        <v>44</v>
      </c>
      <c r="C23" t="s">
        <v>99</v>
      </c>
      <c r="D23" t="s">
        <v>105</v>
      </c>
      <c r="E23" s="35">
        <v>5.5E-2</v>
      </c>
    </row>
    <row r="24" spans="1:5" x14ac:dyDescent="0.25">
      <c r="A24">
        <v>7012000</v>
      </c>
      <c r="B24" s="11" t="s">
        <v>45</v>
      </c>
      <c r="C24" t="s">
        <v>99</v>
      </c>
      <c r="D24" t="s">
        <v>105</v>
      </c>
      <c r="E24" s="35">
        <v>5.5E-2</v>
      </c>
    </row>
    <row r="25" spans="1:5" x14ac:dyDescent="0.25">
      <c r="A25">
        <v>7011500</v>
      </c>
      <c r="B25" s="11" t="s">
        <v>46</v>
      </c>
      <c r="C25" t="s">
        <v>98</v>
      </c>
      <c r="D25" t="s">
        <v>105</v>
      </c>
      <c r="E25" s="35">
        <v>5.5E-2</v>
      </c>
    </row>
    <row r="26" spans="1:5" x14ac:dyDescent="0.25">
      <c r="A26">
        <v>7012000</v>
      </c>
      <c r="B26" s="11" t="s">
        <v>47</v>
      </c>
      <c r="C26" t="s">
        <v>99</v>
      </c>
      <c r="D26" t="s">
        <v>105</v>
      </c>
      <c r="E26" s="35">
        <v>5.5E-2</v>
      </c>
    </row>
    <row r="27" spans="1:5" x14ac:dyDescent="0.25">
      <c r="A27">
        <v>7011500</v>
      </c>
      <c r="B27" s="11" t="s">
        <v>48</v>
      </c>
      <c r="C27" t="s">
        <v>98</v>
      </c>
      <c r="D27" t="s">
        <v>105</v>
      </c>
      <c r="E27" s="35">
        <v>5.5E-2</v>
      </c>
    </row>
    <row r="28" spans="1:5" x14ac:dyDescent="0.25">
      <c r="A28">
        <v>7011500</v>
      </c>
      <c r="B28" t="s">
        <v>38</v>
      </c>
      <c r="C28" t="s">
        <v>98</v>
      </c>
      <c r="D28" t="s">
        <v>105</v>
      </c>
      <c r="E28" s="35">
        <v>5.5E-2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9CF76F3-4908-4B32-ABC2-3483ED4DF2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LOG CAISSE</vt:lpstr>
      <vt:lpstr>JRNAL A OBTENIR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 ARCHET</cp:lastModifiedBy>
  <cp:lastPrinted>2024-02-15T12:05:01Z</cp:lastPrinted>
  <dcterms:created xsi:type="dcterms:W3CDTF">2024-02-15T12:02:20Z</dcterms:created>
  <dcterms:modified xsi:type="dcterms:W3CDTF">2024-02-21T09:46:57Z</dcterms:modified>
</cp:coreProperties>
</file>