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pivotTables/pivotTable1.xml" ContentType="application/vnd.openxmlformats-officedocument.spreadsheetml.pivot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hidePivotFieldList="1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05F7E70-98F2-4EA9-A5AA-8A800E2C5AB4}" xr6:coauthVersionLast="47" xr6:coauthVersionMax="47" xr10:uidLastSave="{00000000-0000-0000-0000-000000000000}"/>
  <bookViews>
    <workbookView xWindow="-120" yWindow="-120" windowWidth="29040" windowHeight="15990" activeTab="10" xr2:uid="{00000000-000D-0000-FFFF-FFFF00000000}"/>
  </bookViews>
  <sheets>
    <sheet name="Base" sheetId="1" r:id="rId1"/>
    <sheet name="Biscuits" sheetId="9" r:id="rId2"/>
    <sheet name="Brioches" sheetId="7" r:id="rId3"/>
    <sheet name="Cakes" sheetId="3" r:id="rId4"/>
    <sheet name="Cookies" sheetId="2" r:id="rId5"/>
    <sheet name="Gâteaux" sheetId="4" r:id="rId6"/>
    <sheet name="Indivs" sheetId="8" r:id="rId7"/>
    <sheet name="Divers" sheetId="10" r:id="rId8"/>
    <sheet name="Salé" sheetId="11" r:id="rId9"/>
    <sheet name="Planning" sheetId="5" r:id="rId10"/>
    <sheet name="Liste courses" sheetId="6" r:id="rId11"/>
  </sheets>
  <definedNames>
    <definedName name="DonnéesExternes_1" localSheetId="0" hidden="1">Base!$M$3:$M$10</definedName>
    <definedName name="DonnéesExternes_1" localSheetId="10" hidden="1">'Liste courses'!$B$8:$G$15</definedName>
    <definedName name="DonnéesExternes_3" localSheetId="0" hidden="1">Base!$O$3:$P$46</definedName>
    <definedName name="L_Catégories">T_Catégories[Catégorie]</definedName>
    <definedName name="L_ingrédients">OFFSET(T_ingrédients[[#Headers],[Ingrédient]],MATCH(!A1&amp;"*",T_ingrédients[Ingrédient],0),0,COUNTIF(T_ingrédients[Ingrédient],!A1&amp;"*"),1)</definedName>
    <definedName name="L_Q_C_D">OFFSET(T_Catégories_recettes[[#Headers],[Format]],MATCH(T_Planning[[#This Row],[Catégorie]]&amp;T_Planning[[#This Row],[Recette]],T_Catégories_recettes[Catégorie]&amp;T_Catégories_recettes[Recette],0),,COUNTIFS(T_Catégories_recettes[Catégorie],T_Planning[[#This Row],[Catégorie]],T_Catégories_recettes[Recette],T_Planning[[#This Row],[Recette]]))</definedName>
    <definedName name="L_Recettes">OFFSET(T_Recettes[[#Headers],[Recette]],MATCH(T_Planning[[#This Row],[Catégorie]],T_Recettes[Catégorie],0),,COUNTIF(T_Recettes[Catégorie],T_Planning[[#This Row],[Catégorie]]))</definedName>
  </definedNames>
  <calcPr calcId="191029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7" i="7" l="1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5" i="9"/>
  <c r="D6" i="9"/>
  <c r="D7" i="9"/>
  <c r="D8" i="9"/>
  <c r="D9" i="9"/>
  <c r="D10" i="9"/>
  <c r="D11" i="9"/>
  <c r="D12" i="9"/>
  <c r="D13" i="9"/>
  <c r="K5" i="9"/>
  <c r="K6" i="9"/>
  <c r="K7" i="9"/>
  <c r="K8" i="9"/>
  <c r="K9" i="9"/>
  <c r="K10" i="9"/>
  <c r="K11" i="9"/>
  <c r="K12" i="9"/>
  <c r="D104" i="2"/>
  <c r="D105" i="2"/>
  <c r="D106" i="2"/>
  <c r="D107" i="2"/>
  <c r="D108" i="2"/>
  <c r="D109" i="2"/>
  <c r="D110" i="2"/>
  <c r="D111" i="2"/>
  <c r="D112" i="2"/>
  <c r="D113" i="2"/>
  <c r="D38" i="8"/>
  <c r="D39" i="8"/>
  <c r="D40" i="8"/>
  <c r="D41" i="8"/>
  <c r="D42" i="8"/>
  <c r="D43" i="8"/>
  <c r="D44" i="8"/>
  <c r="D45" i="8"/>
  <c r="D46" i="8"/>
  <c r="D47" i="8"/>
  <c r="D48" i="8"/>
  <c r="G32" i="8"/>
  <c r="F32" i="8"/>
  <c r="E32" i="8"/>
  <c r="D31" i="8"/>
  <c r="D30" i="8"/>
  <c r="D29" i="8"/>
  <c r="D28" i="8"/>
  <c r="D27" i="8"/>
  <c r="D26" i="8"/>
  <c r="D25" i="8"/>
  <c r="D24" i="8"/>
  <c r="D23" i="8"/>
  <c r="D22" i="8"/>
  <c r="F13" i="10"/>
  <c r="G13" i="10"/>
  <c r="G285" i="10"/>
  <c r="F285" i="10"/>
  <c r="E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G251" i="10"/>
  <c r="F251" i="10"/>
  <c r="E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G217" i="10"/>
  <c r="F217" i="10"/>
  <c r="E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G183" i="10"/>
  <c r="F183" i="10"/>
  <c r="E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G149" i="10"/>
  <c r="F149" i="10"/>
  <c r="E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G115" i="10"/>
  <c r="F115" i="10"/>
  <c r="E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G81" i="10"/>
  <c r="F81" i="10"/>
  <c r="E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G47" i="10"/>
  <c r="F47" i="10"/>
  <c r="E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E13" i="10"/>
  <c r="D12" i="10"/>
  <c r="D11" i="10"/>
  <c r="D10" i="10"/>
  <c r="D9" i="10"/>
  <c r="D8" i="10"/>
  <c r="D7" i="10"/>
  <c r="D6" i="10"/>
  <c r="D5" i="10"/>
  <c r="G83" i="4"/>
  <c r="F83" i="4"/>
  <c r="E83" i="4"/>
  <c r="D82" i="4"/>
  <c r="D81" i="4"/>
  <c r="D80" i="4"/>
  <c r="D79" i="4"/>
  <c r="D78" i="4"/>
  <c r="D77" i="4"/>
  <c r="D76" i="4"/>
  <c r="N166" i="4" l="1"/>
  <c r="M166" i="4"/>
  <c r="L166" i="4"/>
  <c r="K165" i="4"/>
  <c r="K164" i="4"/>
  <c r="K163" i="4"/>
  <c r="K162" i="4"/>
  <c r="K161" i="4"/>
  <c r="K160" i="4"/>
  <c r="K159" i="4"/>
  <c r="K158" i="4"/>
  <c r="G168" i="4"/>
  <c r="F168" i="4"/>
  <c r="E168" i="4"/>
  <c r="D167" i="4"/>
  <c r="D166" i="4"/>
  <c r="D165" i="4"/>
  <c r="D164" i="4"/>
  <c r="D163" i="4"/>
  <c r="D162" i="4"/>
  <c r="D161" i="4"/>
  <c r="D160" i="4"/>
  <c r="G155" i="4"/>
  <c r="F155" i="4"/>
  <c r="E155" i="4"/>
  <c r="D154" i="4"/>
  <c r="D153" i="4"/>
  <c r="D152" i="4"/>
  <c r="D151" i="4"/>
  <c r="D150" i="4"/>
  <c r="D149" i="4"/>
  <c r="D148" i="4"/>
  <c r="D147" i="4"/>
  <c r="D146" i="4"/>
  <c r="D145" i="4"/>
  <c r="D144" i="4"/>
  <c r="G138" i="4"/>
  <c r="F138" i="4"/>
  <c r="E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13" i="4"/>
  <c r="D114" i="4"/>
  <c r="D115" i="4"/>
  <c r="D116" i="4"/>
  <c r="D117" i="4"/>
  <c r="G118" i="4"/>
  <c r="F118" i="4"/>
  <c r="E118" i="4"/>
  <c r="D112" i="4"/>
  <c r="D111" i="4"/>
  <c r="D110" i="4"/>
  <c r="D109" i="4"/>
  <c r="D108" i="4"/>
  <c r="D107" i="4"/>
  <c r="D106" i="4"/>
  <c r="D105" i="4"/>
  <c r="D104" i="4"/>
  <c r="G98" i="4"/>
  <c r="F98" i="4"/>
  <c r="E98" i="4"/>
  <c r="D97" i="4"/>
  <c r="D96" i="4"/>
  <c r="D95" i="4"/>
  <c r="D94" i="4"/>
  <c r="D93" i="4"/>
  <c r="D92" i="4"/>
  <c r="D91" i="4"/>
  <c r="D90" i="4"/>
  <c r="D89" i="4"/>
  <c r="D69" i="4"/>
  <c r="D65" i="4"/>
  <c r="D66" i="4"/>
  <c r="D56" i="4"/>
  <c r="D57" i="4"/>
  <c r="D58" i="4"/>
  <c r="D59" i="4"/>
  <c r="D60" i="4"/>
  <c r="D61" i="4"/>
  <c r="D64" i="4"/>
  <c r="D67" i="4"/>
  <c r="G70" i="4"/>
  <c r="F70" i="4"/>
  <c r="E70" i="4"/>
  <c r="D68" i="4"/>
  <c r="D63" i="4"/>
  <c r="D62" i="4"/>
  <c r="D55" i="4"/>
  <c r="D54" i="4"/>
  <c r="D53" i="4"/>
  <c r="D52" i="4"/>
  <c r="D51" i="4"/>
  <c r="D50" i="4"/>
  <c r="D49" i="4"/>
  <c r="D35" i="4"/>
  <c r="D40" i="4"/>
  <c r="D41" i="4"/>
  <c r="G43" i="4"/>
  <c r="F43" i="4"/>
  <c r="E43" i="4"/>
  <c r="D42" i="4"/>
  <c r="D39" i="4"/>
  <c r="D38" i="4"/>
  <c r="D37" i="4"/>
  <c r="D36" i="4"/>
  <c r="D34" i="4"/>
  <c r="D33" i="4"/>
  <c r="N27" i="4"/>
  <c r="M27" i="4"/>
  <c r="L27" i="4"/>
  <c r="K26" i="4"/>
  <c r="K25" i="4"/>
  <c r="K24" i="4"/>
  <c r="K23" i="4"/>
  <c r="K22" i="4"/>
  <c r="K21" i="4"/>
  <c r="K20" i="4"/>
  <c r="K19" i="4"/>
  <c r="G27" i="4"/>
  <c r="F27" i="4"/>
  <c r="E27" i="4"/>
  <c r="D26" i="4"/>
  <c r="D25" i="4"/>
  <c r="D24" i="4"/>
  <c r="D23" i="4"/>
  <c r="D22" i="4"/>
  <c r="D21" i="4"/>
  <c r="D20" i="4"/>
  <c r="D19" i="4"/>
  <c r="D12" i="4"/>
  <c r="N12" i="4"/>
  <c r="M12" i="4"/>
  <c r="L12" i="4"/>
  <c r="K11" i="4"/>
  <c r="K10" i="4"/>
  <c r="K9" i="4"/>
  <c r="K8" i="4"/>
  <c r="K7" i="4"/>
  <c r="K6" i="4"/>
  <c r="K5" i="4"/>
  <c r="D91" i="2"/>
  <c r="D90" i="2"/>
  <c r="G98" i="2"/>
  <c r="F98" i="2"/>
  <c r="E98" i="2"/>
  <c r="D97" i="2"/>
  <c r="D96" i="2"/>
  <c r="D95" i="2"/>
  <c r="D94" i="2"/>
  <c r="D93" i="2"/>
  <c r="D92" i="2"/>
  <c r="D89" i="2"/>
  <c r="D88" i="2"/>
  <c r="D87" i="2"/>
  <c r="D33" i="2"/>
  <c r="G34" i="2"/>
  <c r="F34" i="2"/>
  <c r="E34" i="2"/>
  <c r="D32" i="2"/>
  <c r="D31" i="2"/>
  <c r="D30" i="2"/>
  <c r="D29" i="2"/>
  <c r="D28" i="2"/>
  <c r="D27" i="2"/>
  <c r="D26" i="2"/>
  <c r="D25" i="2"/>
  <c r="D128" i="2"/>
  <c r="G129" i="2"/>
  <c r="F129" i="2"/>
  <c r="E129" i="2"/>
  <c r="D127" i="2"/>
  <c r="D126" i="2"/>
  <c r="D125" i="2"/>
  <c r="D124" i="2"/>
  <c r="D123" i="2"/>
  <c r="D122" i="2"/>
  <c r="D121" i="2"/>
  <c r="D120" i="2"/>
  <c r="G143" i="2"/>
  <c r="F143" i="2"/>
  <c r="E143" i="2"/>
  <c r="D142" i="2"/>
  <c r="D141" i="2"/>
  <c r="D140" i="2"/>
  <c r="D139" i="2"/>
  <c r="D138" i="2"/>
  <c r="D137" i="2"/>
  <c r="D136" i="2"/>
  <c r="D135" i="2"/>
  <c r="G49" i="2"/>
  <c r="F49" i="2"/>
  <c r="E49" i="2"/>
  <c r="D48" i="2"/>
  <c r="D47" i="2"/>
  <c r="D46" i="2"/>
  <c r="D45" i="2"/>
  <c r="D44" i="2"/>
  <c r="D43" i="2"/>
  <c r="D42" i="2"/>
  <c r="D41" i="2"/>
  <c r="D40" i="2"/>
  <c r="D18" i="2"/>
  <c r="D17" i="2"/>
  <c r="D10" i="2"/>
  <c r="D6" i="2"/>
  <c r="G19" i="2"/>
  <c r="F19" i="2"/>
  <c r="E19" i="2"/>
  <c r="D16" i="2"/>
  <c r="D15" i="2"/>
  <c r="D14" i="2"/>
  <c r="D13" i="2"/>
  <c r="D12" i="2"/>
  <c r="D11" i="2"/>
  <c r="D9" i="2"/>
  <c r="D8" i="2"/>
  <c r="D7" i="2"/>
  <c r="D5" i="2"/>
  <c r="G65" i="2"/>
  <c r="F65" i="2"/>
  <c r="E65" i="2"/>
  <c r="D64" i="2"/>
  <c r="D63" i="2"/>
  <c r="D62" i="2"/>
  <c r="D61" i="2"/>
  <c r="D60" i="2"/>
  <c r="D59" i="2"/>
  <c r="D58" i="2"/>
  <c r="D57" i="2"/>
  <c r="D56" i="2"/>
  <c r="D55" i="2"/>
  <c r="D77" i="2"/>
  <c r="D54" i="3"/>
  <c r="G163" i="3"/>
  <c r="F163" i="3"/>
  <c r="E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G129" i="3"/>
  <c r="F129" i="3"/>
  <c r="E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G95" i="3"/>
  <c r="F95" i="3"/>
  <c r="E95" i="3"/>
  <c r="D94" i="3"/>
  <c r="D93" i="3"/>
  <c r="D92" i="3"/>
  <c r="D91" i="3"/>
  <c r="D90" i="3"/>
  <c r="D89" i="3"/>
  <c r="D88" i="3"/>
  <c r="D87" i="3"/>
  <c r="D86" i="3"/>
  <c r="D85" i="3"/>
  <c r="D84" i="3"/>
  <c r="D83" i="3"/>
  <c r="G77" i="3"/>
  <c r="F77" i="3"/>
  <c r="E77" i="3"/>
  <c r="D76" i="3"/>
  <c r="D75" i="3"/>
  <c r="D74" i="3"/>
  <c r="D73" i="3"/>
  <c r="D72" i="3"/>
  <c r="D71" i="3"/>
  <c r="D70" i="3"/>
  <c r="D69" i="3"/>
  <c r="D68" i="3"/>
  <c r="D67" i="3"/>
  <c r="D66" i="3"/>
  <c r="G43" i="3"/>
  <c r="F43" i="3"/>
  <c r="E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G20" i="3"/>
  <c r="F20" i="3"/>
  <c r="E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G61" i="7"/>
  <c r="F61" i="7"/>
  <c r="E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67" i="7"/>
  <c r="D68" i="7"/>
  <c r="G41" i="7"/>
  <c r="F41" i="7"/>
  <c r="E41" i="7"/>
  <c r="N60" i="9"/>
  <c r="M60" i="9"/>
  <c r="L60" i="9"/>
  <c r="K59" i="9"/>
  <c r="K58" i="9"/>
  <c r="K57" i="9"/>
  <c r="K56" i="9"/>
  <c r="K55" i="9"/>
  <c r="K54" i="9"/>
  <c r="K53" i="9"/>
  <c r="K52" i="9"/>
  <c r="D54" i="9"/>
  <c r="D57" i="9"/>
  <c r="G62" i="9"/>
  <c r="F62" i="9"/>
  <c r="E62" i="9"/>
  <c r="D61" i="9"/>
  <c r="D60" i="9"/>
  <c r="D59" i="9"/>
  <c r="D58" i="9"/>
  <c r="D56" i="9"/>
  <c r="D55" i="9"/>
  <c r="D53" i="9"/>
  <c r="D52" i="9"/>
  <c r="N13" i="9"/>
  <c r="M13" i="9"/>
  <c r="L13" i="9"/>
  <c r="G14" i="9"/>
  <c r="F14" i="9"/>
  <c r="E14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E33" i="9"/>
  <c r="F33" i="9"/>
  <c r="G33" i="9"/>
  <c r="G334" i="8"/>
  <c r="F334" i="8"/>
  <c r="E334" i="8"/>
  <c r="D333" i="8"/>
  <c r="D332" i="8"/>
  <c r="D331" i="8"/>
  <c r="D330" i="8"/>
  <c r="D329" i="8"/>
  <c r="D328" i="8"/>
  <c r="D327" i="8"/>
  <c r="D326" i="8"/>
  <c r="D325" i="8"/>
  <c r="D324" i="8"/>
  <c r="D323" i="8"/>
  <c r="D322" i="8"/>
  <c r="D321" i="8"/>
  <c r="D320" i="8"/>
  <c r="D319" i="8"/>
  <c r="D318" i="8"/>
  <c r="D317" i="8"/>
  <c r="D316" i="8"/>
  <c r="D315" i="8"/>
  <c r="D314" i="8"/>
  <c r="D313" i="8"/>
  <c r="D312" i="8"/>
  <c r="D311" i="8"/>
  <c r="D310" i="8"/>
  <c r="D309" i="8"/>
  <c r="D308" i="8"/>
  <c r="D307" i="8"/>
  <c r="D306" i="8"/>
  <c r="G300" i="8"/>
  <c r="F300" i="8"/>
  <c r="E300" i="8"/>
  <c r="D299" i="8"/>
  <c r="D298" i="8"/>
  <c r="D297" i="8"/>
  <c r="D296" i="8"/>
  <c r="D295" i="8"/>
  <c r="D294" i="8"/>
  <c r="D293" i="8"/>
  <c r="D292" i="8"/>
  <c r="D291" i="8"/>
  <c r="D290" i="8"/>
  <c r="D289" i="8"/>
  <c r="D288" i="8"/>
  <c r="D287" i="8"/>
  <c r="D286" i="8"/>
  <c r="D285" i="8"/>
  <c r="D284" i="8"/>
  <c r="D283" i="8"/>
  <c r="D282" i="8"/>
  <c r="D281" i="8"/>
  <c r="D280" i="8"/>
  <c r="D279" i="8"/>
  <c r="D278" i="8"/>
  <c r="D277" i="8"/>
  <c r="D276" i="8"/>
  <c r="D275" i="8"/>
  <c r="D274" i="8"/>
  <c r="D273" i="8"/>
  <c r="D272" i="8"/>
  <c r="G266" i="8"/>
  <c r="F266" i="8"/>
  <c r="E266" i="8"/>
  <c r="D265" i="8"/>
  <c r="D264" i="8"/>
  <c r="D263" i="8"/>
  <c r="D262" i="8"/>
  <c r="D261" i="8"/>
  <c r="D260" i="8"/>
  <c r="D259" i="8"/>
  <c r="D258" i="8"/>
  <c r="D257" i="8"/>
  <c r="D256" i="8"/>
  <c r="D255" i="8"/>
  <c r="D254" i="8"/>
  <c r="D253" i="8"/>
  <c r="D252" i="8"/>
  <c r="D251" i="8"/>
  <c r="D250" i="8"/>
  <c r="D249" i="8"/>
  <c r="D248" i="8"/>
  <c r="D247" i="8"/>
  <c r="D246" i="8"/>
  <c r="D245" i="8"/>
  <c r="D244" i="8"/>
  <c r="D243" i="8"/>
  <c r="D242" i="8"/>
  <c r="D241" i="8"/>
  <c r="D240" i="8"/>
  <c r="D239" i="8"/>
  <c r="D238" i="8"/>
  <c r="G232" i="8"/>
  <c r="F232" i="8"/>
  <c r="E232" i="8"/>
  <c r="D231" i="8"/>
  <c r="D230" i="8"/>
  <c r="D229" i="8"/>
  <c r="D228" i="8"/>
  <c r="D227" i="8"/>
  <c r="D226" i="8"/>
  <c r="D225" i="8"/>
  <c r="D224" i="8"/>
  <c r="D223" i="8"/>
  <c r="D222" i="8"/>
  <c r="D221" i="8"/>
  <c r="D220" i="8"/>
  <c r="D219" i="8"/>
  <c r="D218" i="8"/>
  <c r="D217" i="8"/>
  <c r="D216" i="8"/>
  <c r="D215" i="8"/>
  <c r="D214" i="8"/>
  <c r="D213" i="8"/>
  <c r="D212" i="8"/>
  <c r="D211" i="8"/>
  <c r="D210" i="8"/>
  <c r="D209" i="8"/>
  <c r="D208" i="8"/>
  <c r="D207" i="8"/>
  <c r="D206" i="8"/>
  <c r="D205" i="8"/>
  <c r="D204" i="8"/>
  <c r="G198" i="8"/>
  <c r="F198" i="8"/>
  <c r="E198" i="8"/>
  <c r="D197" i="8"/>
  <c r="D196" i="8"/>
  <c r="D195" i="8"/>
  <c r="D194" i="8"/>
  <c r="D193" i="8"/>
  <c r="D192" i="8"/>
  <c r="D191" i="8"/>
  <c r="D190" i="8"/>
  <c r="D189" i="8"/>
  <c r="D188" i="8"/>
  <c r="D187" i="8"/>
  <c r="D186" i="8"/>
  <c r="D185" i="8"/>
  <c r="D184" i="8"/>
  <c r="D183" i="8"/>
  <c r="D182" i="8"/>
  <c r="D181" i="8"/>
  <c r="D180" i="8"/>
  <c r="D179" i="8"/>
  <c r="D178" i="8"/>
  <c r="D177" i="8"/>
  <c r="D176" i="8"/>
  <c r="D175" i="8"/>
  <c r="D174" i="8"/>
  <c r="D173" i="8"/>
  <c r="D172" i="8"/>
  <c r="D171" i="8"/>
  <c r="D170" i="8"/>
  <c r="G164" i="8"/>
  <c r="F164" i="8"/>
  <c r="E164" i="8"/>
  <c r="D163" i="8"/>
  <c r="D162" i="8"/>
  <c r="D161" i="8"/>
  <c r="D160" i="8"/>
  <c r="D159" i="8"/>
  <c r="D158" i="8"/>
  <c r="D157" i="8"/>
  <c r="D156" i="8"/>
  <c r="D155" i="8"/>
  <c r="D154" i="8"/>
  <c r="D153" i="8"/>
  <c r="D152" i="8"/>
  <c r="D151" i="8"/>
  <c r="D150" i="8"/>
  <c r="D149" i="8"/>
  <c r="D148" i="8"/>
  <c r="D147" i="8"/>
  <c r="D146" i="8"/>
  <c r="D145" i="8"/>
  <c r="D144" i="8"/>
  <c r="D143" i="8"/>
  <c r="D142" i="8"/>
  <c r="D141" i="8"/>
  <c r="D140" i="8"/>
  <c r="D139" i="8"/>
  <c r="D138" i="8"/>
  <c r="D137" i="8"/>
  <c r="D136" i="8"/>
  <c r="G130" i="8"/>
  <c r="F130" i="8"/>
  <c r="E130" i="8"/>
  <c r="D129" i="8"/>
  <c r="D128" i="8"/>
  <c r="D127" i="8"/>
  <c r="D126" i="8"/>
  <c r="D125" i="8"/>
  <c r="D124" i="8"/>
  <c r="D123" i="8"/>
  <c r="D122" i="8"/>
  <c r="D121" i="8"/>
  <c r="D120" i="8"/>
  <c r="D119" i="8"/>
  <c r="D118" i="8"/>
  <c r="D117" i="8"/>
  <c r="D116" i="8"/>
  <c r="D115" i="8"/>
  <c r="D114" i="8"/>
  <c r="D113" i="8"/>
  <c r="D112" i="8"/>
  <c r="D111" i="8"/>
  <c r="D110" i="8"/>
  <c r="D109" i="8"/>
  <c r="D108" i="8"/>
  <c r="D107" i="8"/>
  <c r="D106" i="8"/>
  <c r="D105" i="8"/>
  <c r="D104" i="8"/>
  <c r="D103" i="8"/>
  <c r="D102" i="8"/>
  <c r="G96" i="8"/>
  <c r="F96" i="8"/>
  <c r="E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G62" i="8"/>
  <c r="F62" i="8"/>
  <c r="E62" i="8"/>
  <c r="D61" i="8"/>
  <c r="D60" i="8"/>
  <c r="D59" i="8"/>
  <c r="D58" i="8"/>
  <c r="D57" i="8"/>
  <c r="D56" i="8"/>
  <c r="D55" i="8"/>
  <c r="G49" i="8"/>
  <c r="F49" i="8"/>
  <c r="E49" i="8"/>
  <c r="G16" i="8"/>
  <c r="F16" i="8"/>
  <c r="E16" i="8"/>
  <c r="D15" i="8"/>
  <c r="D14" i="8"/>
  <c r="D13" i="8"/>
  <c r="D12" i="8"/>
  <c r="D11" i="8"/>
  <c r="D10" i="8"/>
  <c r="D9" i="8"/>
  <c r="D8" i="8"/>
  <c r="D7" i="8"/>
  <c r="D6" i="8"/>
  <c r="D5" i="8"/>
  <c r="G356" i="7"/>
  <c r="F356" i="7"/>
  <c r="E356" i="7"/>
  <c r="D355" i="7"/>
  <c r="D354" i="7"/>
  <c r="D353" i="7"/>
  <c r="D352" i="7"/>
  <c r="D351" i="7"/>
  <c r="D350" i="7"/>
  <c r="D349" i="7"/>
  <c r="D348" i="7"/>
  <c r="D347" i="7"/>
  <c r="D346" i="7"/>
  <c r="D345" i="7"/>
  <c r="D344" i="7"/>
  <c r="D343" i="7"/>
  <c r="D342" i="7"/>
  <c r="D341" i="7"/>
  <c r="D340" i="7"/>
  <c r="D339" i="7"/>
  <c r="D338" i="7"/>
  <c r="D337" i="7"/>
  <c r="D336" i="7"/>
  <c r="D335" i="7"/>
  <c r="D334" i="7"/>
  <c r="D333" i="7"/>
  <c r="D332" i="7"/>
  <c r="D331" i="7"/>
  <c r="D330" i="7"/>
  <c r="D329" i="7"/>
  <c r="D328" i="7"/>
  <c r="G322" i="7"/>
  <c r="F322" i="7"/>
  <c r="E322" i="7"/>
  <c r="D321" i="7"/>
  <c r="D320" i="7"/>
  <c r="D319" i="7"/>
  <c r="D318" i="7"/>
  <c r="D317" i="7"/>
  <c r="D316" i="7"/>
  <c r="D315" i="7"/>
  <c r="D314" i="7"/>
  <c r="D313" i="7"/>
  <c r="D312" i="7"/>
  <c r="D311" i="7"/>
  <c r="D310" i="7"/>
  <c r="D309" i="7"/>
  <c r="D308" i="7"/>
  <c r="D307" i="7"/>
  <c r="D306" i="7"/>
  <c r="D305" i="7"/>
  <c r="D304" i="7"/>
  <c r="D303" i="7"/>
  <c r="D302" i="7"/>
  <c r="D301" i="7"/>
  <c r="D300" i="7"/>
  <c r="D299" i="7"/>
  <c r="D298" i="7"/>
  <c r="D297" i="7"/>
  <c r="D296" i="7"/>
  <c r="D295" i="7"/>
  <c r="D294" i="7"/>
  <c r="G288" i="7"/>
  <c r="F288" i="7"/>
  <c r="E288" i="7"/>
  <c r="D287" i="7"/>
  <c r="D286" i="7"/>
  <c r="D285" i="7"/>
  <c r="D284" i="7"/>
  <c r="D283" i="7"/>
  <c r="D282" i="7"/>
  <c r="D281" i="7"/>
  <c r="D280" i="7"/>
  <c r="D279" i="7"/>
  <c r="D278" i="7"/>
  <c r="D277" i="7"/>
  <c r="D276" i="7"/>
  <c r="D275" i="7"/>
  <c r="D274" i="7"/>
  <c r="D273" i="7"/>
  <c r="D272" i="7"/>
  <c r="D271" i="7"/>
  <c r="D270" i="7"/>
  <c r="D269" i="7"/>
  <c r="D268" i="7"/>
  <c r="D267" i="7"/>
  <c r="D266" i="7"/>
  <c r="D265" i="7"/>
  <c r="D264" i="7"/>
  <c r="D263" i="7"/>
  <c r="D262" i="7"/>
  <c r="D261" i="7"/>
  <c r="D260" i="7"/>
  <c r="G254" i="7"/>
  <c r="F254" i="7"/>
  <c r="E254" i="7"/>
  <c r="D253" i="7"/>
  <c r="D252" i="7"/>
  <c r="D251" i="7"/>
  <c r="D250" i="7"/>
  <c r="D249" i="7"/>
  <c r="D248" i="7"/>
  <c r="D247" i="7"/>
  <c r="D246" i="7"/>
  <c r="D245" i="7"/>
  <c r="D244" i="7"/>
  <c r="D243" i="7"/>
  <c r="D242" i="7"/>
  <c r="D241" i="7"/>
  <c r="D240" i="7"/>
  <c r="D239" i="7"/>
  <c r="D238" i="7"/>
  <c r="D237" i="7"/>
  <c r="D236" i="7"/>
  <c r="D235" i="7"/>
  <c r="D234" i="7"/>
  <c r="D233" i="7"/>
  <c r="D232" i="7"/>
  <c r="D231" i="7"/>
  <c r="D230" i="7"/>
  <c r="D229" i="7"/>
  <c r="D228" i="7"/>
  <c r="D227" i="7"/>
  <c r="D226" i="7"/>
  <c r="G220" i="7"/>
  <c r="F220" i="7"/>
  <c r="E220" i="7"/>
  <c r="D219" i="7"/>
  <c r="D218" i="7"/>
  <c r="D217" i="7"/>
  <c r="D216" i="7"/>
  <c r="D215" i="7"/>
  <c r="D214" i="7"/>
  <c r="D213" i="7"/>
  <c r="D212" i="7"/>
  <c r="D211" i="7"/>
  <c r="D210" i="7"/>
  <c r="D209" i="7"/>
  <c r="D208" i="7"/>
  <c r="D207" i="7"/>
  <c r="D206" i="7"/>
  <c r="D205" i="7"/>
  <c r="D204" i="7"/>
  <c r="D203" i="7"/>
  <c r="D202" i="7"/>
  <c r="D201" i="7"/>
  <c r="D200" i="7"/>
  <c r="D199" i="7"/>
  <c r="D198" i="7"/>
  <c r="D197" i="7"/>
  <c r="D196" i="7"/>
  <c r="D195" i="7"/>
  <c r="D194" i="7"/>
  <c r="D193" i="7"/>
  <c r="D192" i="7"/>
  <c r="G186" i="7"/>
  <c r="F186" i="7"/>
  <c r="E186" i="7"/>
  <c r="D185" i="7"/>
  <c r="D184" i="7"/>
  <c r="D183" i="7"/>
  <c r="D182" i="7"/>
  <c r="D181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G152" i="7"/>
  <c r="F152" i="7"/>
  <c r="E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G118" i="7"/>
  <c r="F118" i="7"/>
  <c r="E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G84" i="7"/>
  <c r="F84" i="7"/>
  <c r="E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G21" i="7"/>
  <c r="F21" i="7"/>
  <c r="E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G280" i="9"/>
  <c r="F280" i="9"/>
  <c r="E280" i="9"/>
  <c r="D279" i="9"/>
  <c r="D278" i="9"/>
  <c r="D277" i="9"/>
  <c r="D276" i="9"/>
  <c r="D275" i="9"/>
  <c r="D274" i="9"/>
  <c r="D273" i="9"/>
  <c r="D272" i="9"/>
  <c r="D271" i="9"/>
  <c r="D270" i="9"/>
  <c r="D269" i="9"/>
  <c r="D268" i="9"/>
  <c r="D267" i="9"/>
  <c r="D266" i="9"/>
  <c r="D265" i="9"/>
  <c r="D264" i="9"/>
  <c r="D263" i="9"/>
  <c r="D262" i="9"/>
  <c r="D261" i="9"/>
  <c r="D260" i="9"/>
  <c r="D259" i="9"/>
  <c r="D258" i="9"/>
  <c r="D257" i="9"/>
  <c r="D256" i="9"/>
  <c r="D255" i="9"/>
  <c r="D254" i="9"/>
  <c r="D253" i="9"/>
  <c r="D252" i="9"/>
  <c r="G246" i="9"/>
  <c r="F246" i="9"/>
  <c r="E246" i="9"/>
  <c r="D245" i="9"/>
  <c r="D244" i="9"/>
  <c r="D243" i="9"/>
  <c r="D242" i="9"/>
  <c r="D241" i="9"/>
  <c r="D240" i="9"/>
  <c r="D239" i="9"/>
  <c r="D238" i="9"/>
  <c r="D237" i="9"/>
  <c r="D236" i="9"/>
  <c r="D235" i="9"/>
  <c r="D234" i="9"/>
  <c r="D233" i="9"/>
  <c r="D232" i="9"/>
  <c r="D231" i="9"/>
  <c r="D230" i="9"/>
  <c r="D229" i="9"/>
  <c r="D228" i="9"/>
  <c r="D227" i="9"/>
  <c r="D226" i="9"/>
  <c r="D225" i="9"/>
  <c r="D224" i="9"/>
  <c r="D223" i="9"/>
  <c r="D222" i="9"/>
  <c r="D221" i="9"/>
  <c r="D220" i="9"/>
  <c r="D219" i="9"/>
  <c r="D218" i="9"/>
  <c r="G212" i="9"/>
  <c r="F212" i="9"/>
  <c r="E212" i="9"/>
  <c r="D211" i="9"/>
  <c r="D210" i="9"/>
  <c r="D209" i="9"/>
  <c r="D208" i="9"/>
  <c r="D207" i="9"/>
  <c r="D206" i="9"/>
  <c r="D205" i="9"/>
  <c r="D204" i="9"/>
  <c r="D203" i="9"/>
  <c r="D202" i="9"/>
  <c r="D201" i="9"/>
  <c r="D200" i="9"/>
  <c r="D199" i="9"/>
  <c r="D198" i="9"/>
  <c r="D197" i="9"/>
  <c r="D196" i="9"/>
  <c r="D195" i="9"/>
  <c r="D194" i="9"/>
  <c r="D193" i="9"/>
  <c r="D192" i="9"/>
  <c r="D191" i="9"/>
  <c r="D190" i="9"/>
  <c r="D189" i="9"/>
  <c r="D188" i="9"/>
  <c r="D187" i="9"/>
  <c r="D186" i="9"/>
  <c r="D185" i="9"/>
  <c r="D184" i="9"/>
  <c r="G178" i="9"/>
  <c r="F178" i="9"/>
  <c r="E178" i="9"/>
  <c r="D177" i="9"/>
  <c r="D176" i="9"/>
  <c r="D175" i="9"/>
  <c r="D174" i="9"/>
  <c r="D173" i="9"/>
  <c r="D172" i="9"/>
  <c r="D171" i="9"/>
  <c r="D170" i="9"/>
  <c r="D169" i="9"/>
  <c r="D168" i="9"/>
  <c r="D167" i="9"/>
  <c r="D166" i="9"/>
  <c r="D165" i="9"/>
  <c r="D164" i="9"/>
  <c r="D163" i="9"/>
  <c r="D162" i="9"/>
  <c r="D161" i="9"/>
  <c r="D160" i="9"/>
  <c r="D159" i="9"/>
  <c r="D158" i="9"/>
  <c r="D157" i="9"/>
  <c r="D156" i="9"/>
  <c r="D155" i="9"/>
  <c r="D154" i="9"/>
  <c r="D153" i="9"/>
  <c r="D152" i="9"/>
  <c r="D151" i="9"/>
  <c r="D150" i="9"/>
  <c r="G144" i="9"/>
  <c r="F144" i="9"/>
  <c r="E144" i="9"/>
  <c r="D143" i="9"/>
  <c r="D142" i="9"/>
  <c r="D141" i="9"/>
  <c r="D140" i="9"/>
  <c r="D139" i="9"/>
  <c r="D138" i="9"/>
  <c r="D137" i="9"/>
  <c r="D136" i="9"/>
  <c r="D135" i="9"/>
  <c r="D134" i="9"/>
  <c r="D133" i="9"/>
  <c r="D132" i="9"/>
  <c r="D131" i="9"/>
  <c r="D130" i="9"/>
  <c r="D129" i="9"/>
  <c r="D128" i="9"/>
  <c r="D127" i="9"/>
  <c r="D126" i="9"/>
  <c r="D125" i="9"/>
  <c r="D124" i="9"/>
  <c r="D123" i="9"/>
  <c r="D122" i="9"/>
  <c r="D121" i="9"/>
  <c r="D120" i="9"/>
  <c r="D119" i="9"/>
  <c r="D118" i="9"/>
  <c r="D117" i="9"/>
  <c r="D116" i="9"/>
  <c r="G110" i="9"/>
  <c r="F110" i="9"/>
  <c r="E110" i="9"/>
  <c r="D109" i="9"/>
  <c r="D108" i="9"/>
  <c r="D107" i="9"/>
  <c r="D106" i="9"/>
  <c r="D105" i="9"/>
  <c r="D104" i="9"/>
  <c r="D103" i="9"/>
  <c r="D102" i="9"/>
  <c r="D101" i="9"/>
  <c r="D100" i="9"/>
  <c r="D99" i="9"/>
  <c r="D98" i="9"/>
  <c r="D97" i="9"/>
  <c r="D96" i="9"/>
  <c r="D95" i="9"/>
  <c r="D94" i="9"/>
  <c r="D93" i="9"/>
  <c r="D92" i="9"/>
  <c r="D91" i="9"/>
  <c r="D90" i="9"/>
  <c r="D89" i="9"/>
  <c r="D88" i="9"/>
  <c r="D87" i="9"/>
  <c r="D86" i="9"/>
  <c r="D85" i="9"/>
  <c r="D84" i="9"/>
  <c r="D83" i="9"/>
  <c r="D82" i="9"/>
  <c r="G76" i="9"/>
  <c r="F76" i="9"/>
  <c r="E76" i="9"/>
  <c r="D75" i="9"/>
  <c r="D74" i="9"/>
  <c r="D73" i="9"/>
  <c r="D72" i="9"/>
  <c r="D71" i="9"/>
  <c r="D70" i="9"/>
  <c r="D69" i="9"/>
  <c r="D68" i="9"/>
  <c r="D46" i="9"/>
  <c r="D45" i="9"/>
  <c r="D44" i="9"/>
  <c r="D43" i="9"/>
  <c r="D42" i="9"/>
  <c r="D41" i="9"/>
  <c r="D40" i="9"/>
  <c r="D39" i="9"/>
  <c r="G13" i="4" l="1"/>
  <c r="F13" i="4"/>
  <c r="E13" i="4"/>
  <c r="D11" i="4"/>
  <c r="D10" i="4"/>
  <c r="D9" i="4"/>
  <c r="D8" i="4"/>
  <c r="D7" i="4"/>
  <c r="D6" i="4"/>
  <c r="D5" i="4"/>
  <c r="D79" i="2"/>
  <c r="D80" i="2"/>
  <c r="D56" i="3"/>
  <c r="D58" i="3"/>
  <c r="G60" i="3"/>
  <c r="F60" i="3"/>
  <c r="E60" i="3"/>
  <c r="D59" i="3"/>
  <c r="D57" i="3"/>
  <c r="D55" i="3"/>
  <c r="D53" i="3"/>
  <c r="D52" i="3"/>
  <c r="D51" i="3"/>
  <c r="D50" i="3"/>
  <c r="D49" i="3"/>
  <c r="G81" i="2"/>
  <c r="F81" i="2"/>
  <c r="E81" i="2"/>
  <c r="D78" i="2"/>
  <c r="D76" i="2"/>
  <c r="D75" i="2"/>
  <c r="D74" i="2"/>
  <c r="D73" i="2"/>
  <c r="D72" i="2"/>
  <c r="D71" i="2"/>
  <c r="E114" i="2" l="1"/>
  <c r="F114" i="2"/>
  <c r="G11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atégories_recettes" description="Connexion à la requête « Catégories_recettes » dans le classeur." type="5" refreshedVersion="8" background="1" saveData="1">
    <dbPr connection="Provider=Microsoft.Mashup.OleDb.1;Data Source=$Workbook$;Location=Catégories_recettes;Extended Properties=&quot;&quot;" command="SELECT * FROM [Catégories_recettes]"/>
  </connection>
  <connection id="2" xr16:uid="{00000000-0015-0000-FFFF-FFFF01000000}" keepAlive="1" name="Requête - ChoixS" description="Connexion à la requête « ChoixS » dans le classeur." type="5" refreshedVersion="0" background="1">
    <dbPr connection="Provider=Microsoft.Mashup.OleDb.1;Data Source=$Workbook$;Location=ChoixS;Extended Properties=&quot;&quot;" command="SELECT * FROM [ChoixS]"/>
  </connection>
  <connection id="3" xr16:uid="{00000000-0015-0000-FFFF-FFFF02000000}" keepAlive="1" name="Requête - LIste_Courses" description="Connexion à la requête « LIste_Courses » dans le classeur." type="5" refreshedVersion="8" background="1" saveData="1">
    <dbPr connection="Provider=Microsoft.Mashup.OleDb.1;Data Source=$Workbook$;Location=LIste_Courses;Extended Properties=&quot;&quot;" command="SELECT * FROM [LIste_Courses]"/>
  </connection>
  <connection id="4" xr16:uid="{00000000-0015-0000-FFFF-FFFF03000000}" keepAlive="1" name="Requête - Recettes" description="Connexion à la requête « Recettes » dans le classeur." type="5" refreshedVersion="0" background="1">
    <dbPr connection="Provider=Microsoft.Mashup.OleDb.1;Data Source=$Workbook$;Location=Recettes;Extended Properties=&quot;&quot;" command="SELECT * FROM [Recettes]"/>
  </connection>
  <connection id="5" xr16:uid="{00000000-0015-0000-FFFF-FFFF04000000}" keepAlive="1" name="Requête - T_Catégories" description="Connexion à la requête « T_Catégories » dans le classeur." type="5" refreshedVersion="8" refreshOnLoad="1" saveData="1">
    <dbPr connection="Provider=Microsoft.Mashup.OleDb.1;Data Source=$Workbook$;Location=T_Catégories;Extended Properties=&quot;&quot;" command="SELECT * FROM [T_Catégories]"/>
  </connection>
  <connection id="6" xr16:uid="{00000000-0015-0000-FFFF-FFFF05000000}" keepAlive="1" name="Requête - T_ingrédients" description="Connexion à la requête « T_ingrédients » dans le classeur." type="5" refreshedVersion="0" background="1">
    <dbPr connection="Provider=Microsoft.Mashup.OleDb.1;Data Source=$Workbook$;Location=T_ingrédients;Extended Properties=&quot;&quot;" command="SELECT * FROM [T_ingrédients]"/>
  </connection>
  <connection id="7" xr16:uid="{00000000-0015-0000-FFFF-FFFF06000000}" keepAlive="1" name="Requête - T_Planning" description="Connexion à la requête « T_Planning » dans le classeur." type="5" refreshedVersion="0" background="1">
    <dbPr connection="Provider=Microsoft.Mashup.OleDb.1;Data Source=$Workbook$;Location=T_Planning;Extended Properties=&quot;&quot;" command="SELECT * FROM [T_Planning]"/>
  </connection>
  <connection id="8" xr16:uid="{00000000-0015-0000-FFFF-FFFF07000000}" keepAlive="1" name="Requête - T_Recettes" description="Connexion à la requête « T_Recettes » dans le classeur." type="5" refreshedVersion="8" refreshOnLoad="1" saveData="1">
    <dbPr connection="Provider=Microsoft.Mashup.OleDb.1;Data Source=$Workbook$;Location=T_Recettes;Extended Properties=&quot;&quot;" command="SELECT * FROM [T_Recettes]"/>
  </connection>
</connections>
</file>

<file path=xl/sharedStrings.xml><?xml version="1.0" encoding="utf-8"?>
<sst xmlns="http://schemas.openxmlformats.org/spreadsheetml/2006/main" count="2111" uniqueCount="299">
  <si>
    <t>Ingrédients</t>
  </si>
  <si>
    <t>Unité</t>
  </si>
  <si>
    <t>Rayon</t>
  </si>
  <si>
    <t>Prix/Kg</t>
  </si>
  <si>
    <t>Beurre doux</t>
  </si>
  <si>
    <t>Beurre demi-sel</t>
  </si>
  <si>
    <t>Sucre cassonade</t>
  </si>
  <si>
    <t>Vergeoise brune</t>
  </si>
  <si>
    <t>Œufs coquilles</t>
  </si>
  <si>
    <t>Farine de riz complète</t>
  </si>
  <si>
    <t>Levure chimique</t>
  </si>
  <si>
    <t>Cacahuètes grillées non salées</t>
  </si>
  <si>
    <t>g</t>
  </si>
  <si>
    <t>Quantité</t>
  </si>
  <si>
    <t>Philadelphia</t>
  </si>
  <si>
    <t>Sucre semoule</t>
  </si>
  <si>
    <t>Fleur de sel</t>
  </si>
  <si>
    <t>Jaunes d'œufs coquilles</t>
  </si>
  <si>
    <t>Crème liquide 35% MG</t>
  </si>
  <si>
    <t>Fécule de maïs</t>
  </si>
  <si>
    <t>Cake crème de marrons</t>
  </si>
  <si>
    <t>Farine de blé T55</t>
  </si>
  <si>
    <t>gousse</t>
  </si>
  <si>
    <t>B.O.L.</t>
  </si>
  <si>
    <t>Épicerie sucrée</t>
  </si>
  <si>
    <t>Épicerie salée</t>
  </si>
  <si>
    <t>Basque cheesecake nature</t>
  </si>
  <si>
    <t>Catégorie</t>
  </si>
  <si>
    <t>Recette</t>
  </si>
  <si>
    <t>Cookies</t>
  </si>
  <si>
    <t>Cakes</t>
  </si>
  <si>
    <t>Gâteaux</t>
  </si>
  <si>
    <t>Rhum ambré</t>
  </si>
  <si>
    <t>Fournisseur</t>
  </si>
  <si>
    <t>Qualifrais</t>
  </si>
  <si>
    <t>Métro</t>
  </si>
  <si>
    <t>Rungis market</t>
  </si>
  <si>
    <t>David Vanille</t>
  </si>
  <si>
    <t>Ingrédient</t>
  </si>
  <si>
    <t>Total</t>
  </si>
  <si>
    <t>6</t>
  </si>
  <si>
    <t>12</t>
  </si>
  <si>
    <t>16</t>
  </si>
  <si>
    <t>18</t>
  </si>
  <si>
    <t>26</t>
  </si>
  <si>
    <t>Boissons</t>
  </si>
  <si>
    <t>Alcools</t>
  </si>
  <si>
    <t>1800</t>
  </si>
  <si>
    <t>2400</t>
  </si>
  <si>
    <t>Semaine</t>
  </si>
  <si>
    <t>Quantité / contenance / diamètre</t>
  </si>
  <si>
    <t>Planning</t>
  </si>
  <si>
    <t>S40</t>
  </si>
  <si>
    <t xml:space="preserve">Liste courses </t>
  </si>
  <si>
    <t>Liste des ingrédients utilisés</t>
  </si>
  <si>
    <t>Formule utilisée pour liste déroulante semi automatique</t>
  </si>
  <si>
    <t>SI(B5&lt;&gt;"";DECALER(f_ingrédients;EQUIV(B5&amp;"*";Liste_ingrédients;0)-1;;NB.SI(f_ingrédients;B5&amp;"*");1);f_ingrédients)</t>
  </si>
  <si>
    <t>Colonne1</t>
  </si>
  <si>
    <t>Colonne2</t>
  </si>
  <si>
    <t>Colonne3</t>
  </si>
  <si>
    <t>Modèle tableau recette</t>
  </si>
  <si>
    <t>Diamètre</t>
  </si>
  <si>
    <t>Contenance</t>
  </si>
  <si>
    <t>R_CookieSG_cacahuètes</t>
  </si>
  <si>
    <t>R_Cake_Marrons</t>
  </si>
  <si>
    <t>R_Basque_CheeseCakeN</t>
  </si>
  <si>
    <t>Choix semaine(s)</t>
  </si>
  <si>
    <t>Quantité d'unités / lot</t>
  </si>
  <si>
    <t>(vide)</t>
  </si>
  <si>
    <t>Biscuits</t>
  </si>
  <si>
    <t>Indivs</t>
  </si>
  <si>
    <t>Basque cheesecake poivre de timut</t>
  </si>
  <si>
    <t>Basque cheesecake fève tonka</t>
  </si>
  <si>
    <t>Basque cheesecake vanille</t>
  </si>
  <si>
    <t>Carrot cake</t>
  </si>
  <si>
    <t>Gramm's apple cake</t>
  </si>
  <si>
    <t>Gâteau Nantais</t>
  </si>
  <si>
    <t>Classique chocolat</t>
  </si>
  <si>
    <t>Basque cheesecake - nature</t>
  </si>
  <si>
    <t>Basque cheesecake - poivre de timut</t>
  </si>
  <si>
    <t>Basque cheesecake - fève tonka</t>
  </si>
  <si>
    <t>Basque cheesecake - vanille</t>
  </si>
  <si>
    <t>Gâteau de Savoie - fève tonka</t>
  </si>
  <si>
    <t>Gâteau de Savoie - vanille</t>
  </si>
  <si>
    <t>Banana bread</t>
  </si>
  <si>
    <t>Cake à l'orange douce-amère</t>
  </si>
  <si>
    <t>Marbré au chocolat</t>
  </si>
  <si>
    <t>Fondants chocolat noir &amp; sarrasin</t>
  </si>
  <si>
    <t>Moelleux crème de marrons</t>
  </si>
  <si>
    <t>Cookies sésame &amp; chocolat au lait</t>
  </si>
  <si>
    <t>Cookies matcha &amp; chocolat blanc</t>
  </si>
  <si>
    <t>Cookies noisettes &amp; chocolat au lait</t>
  </si>
  <si>
    <t>Cookies huile d'olive &amp; chocolat noir</t>
  </si>
  <si>
    <t>Cookies amande &amp; chocolat noir</t>
  </si>
  <si>
    <t>Cookies classiques chocolat noir</t>
  </si>
  <si>
    <t>Cookies SG cacahuètes, chocolat noir &amp; caramel</t>
  </si>
  <si>
    <t>Cookies SG oranges confites &amp; chocolat noir</t>
  </si>
  <si>
    <t>Cookies SG cranberries, graines de courges &amp; chocolat blanc</t>
  </si>
  <si>
    <t>Palets Bretons - fève tonka</t>
  </si>
  <si>
    <t>Palets Bretons - citron vert &amp; coco</t>
  </si>
  <si>
    <t>Cake pavot &amp; vanille</t>
  </si>
  <si>
    <t>Basque cheesecake - citron &amp; lavande</t>
  </si>
  <si>
    <t>Spritz</t>
  </si>
  <si>
    <t>Babkas cannelle &amp; noix de pécan</t>
  </si>
  <si>
    <t>Babkas caramel &amp; noix de pécan</t>
  </si>
  <si>
    <t>Scones aux amandes</t>
  </si>
  <si>
    <t>Biscuits rustiques sarrasin &amp; chocolat noir</t>
  </si>
  <si>
    <t>Biscuits fourretout - farine de blé</t>
  </si>
  <si>
    <t>Biscuits fourretout - farine de gaudes</t>
  </si>
  <si>
    <t>Paramètres</t>
  </si>
  <si>
    <t>R_Cake_Pavot_Vanille</t>
  </si>
  <si>
    <t>R_Marbré_Chocolat</t>
  </si>
  <si>
    <t>R_Cake_Orange</t>
  </si>
  <si>
    <t>R_Banana_Bread</t>
  </si>
  <si>
    <t>R_Scones_Amandes</t>
  </si>
  <si>
    <t>R_Biscuits_Citron_Pavot</t>
  </si>
  <si>
    <t>R_Biscuits_Rustiques</t>
  </si>
  <si>
    <t>R_Biscuits_FourretoutB</t>
  </si>
  <si>
    <t>R_Biscuits_FourretoutG</t>
  </si>
  <si>
    <t>R_Palets_BretonsFT</t>
  </si>
  <si>
    <t>R_Palets_BretonsCVC</t>
  </si>
  <si>
    <t>R_Spritz</t>
  </si>
  <si>
    <t>R_Babkas_CannelleP</t>
  </si>
  <si>
    <t>R_Babkas_CaramelP</t>
  </si>
  <si>
    <t>R_Cookies_AmandesCN</t>
  </si>
  <si>
    <t>R_Cookies_ClassiquesCN</t>
  </si>
  <si>
    <t>R_Cookies_OliveCN</t>
  </si>
  <si>
    <t>R_Cookies_MatchaCB</t>
  </si>
  <si>
    <t>R_Cookies_NoisettesCL</t>
  </si>
  <si>
    <t>R_Cookies_SésameCL</t>
  </si>
  <si>
    <t>R_CookiesSG_CranberriesCB</t>
  </si>
  <si>
    <t>R_CookiesSG_OrangesCN</t>
  </si>
  <si>
    <t>R_Basque_CheeseCakeCL</t>
  </si>
  <si>
    <t>R_Basque_CheeseCakePT</t>
  </si>
  <si>
    <t>R_Basque_CheeseCakeFT</t>
  </si>
  <si>
    <t>R_Basque_CheeseCakeV</t>
  </si>
  <si>
    <t>R_CarrotCake</t>
  </si>
  <si>
    <t>R_Classique_Choco</t>
  </si>
  <si>
    <t>R_Gâteau_Nantais</t>
  </si>
  <si>
    <t>R_Gâteau_SavoieFT</t>
  </si>
  <si>
    <t>R_Gâteau_SavoieV</t>
  </si>
  <si>
    <t>Brownies aux fruits à coque</t>
  </si>
  <si>
    <t>R_Brownies_Fruits_Coque</t>
  </si>
  <si>
    <t>R_Fondants_SarrasinCN</t>
  </si>
  <si>
    <t>R_Moelleux_Marrons</t>
  </si>
  <si>
    <t>R_Moelleux_Citron</t>
  </si>
  <si>
    <t>Brioches</t>
  </si>
  <si>
    <t xml:space="preserve">Amandes effilées </t>
  </si>
  <si>
    <t>Badiane</t>
  </si>
  <si>
    <t>Bananes</t>
  </si>
  <si>
    <t>Beurre de cacao</t>
  </si>
  <si>
    <t>Bicarbonate de soude</t>
  </si>
  <si>
    <t>Café moulu</t>
  </si>
  <si>
    <t>Carottes</t>
  </si>
  <si>
    <t>Citronnettes</t>
  </si>
  <si>
    <t>Crème mascarpone</t>
  </si>
  <si>
    <t>Farine de blé T110</t>
  </si>
  <si>
    <t>Farine de blé T150</t>
  </si>
  <si>
    <t>Farine de blé T45</t>
  </si>
  <si>
    <t>Farine de blé T65</t>
  </si>
  <si>
    <t>Farine de blé T80</t>
  </si>
  <si>
    <t>Farine de gruau T45</t>
  </si>
  <si>
    <t>Farine de sarrasin</t>
  </si>
  <si>
    <t>Fève tonka</t>
  </si>
  <si>
    <t>Huile de coco non désodorisée</t>
  </si>
  <si>
    <t>Huile de pépin de raisin</t>
  </si>
  <si>
    <t>Kéfir</t>
  </si>
  <si>
    <t>Lait frais entier</t>
  </si>
  <si>
    <t>Lavande séchée</t>
  </si>
  <si>
    <t>Levure de boulanger</t>
  </si>
  <si>
    <t>Malibu coco</t>
  </si>
  <si>
    <t>Miel</t>
  </si>
  <si>
    <t>Nappage neutre</t>
  </si>
  <si>
    <t>Noix de coco râpée</t>
  </si>
  <si>
    <t>Noix de Grenoble</t>
  </si>
  <si>
    <t>Pépites de chocolat au lait</t>
  </si>
  <si>
    <t>Pépites de chocolat noir</t>
  </si>
  <si>
    <t>Poires</t>
  </si>
  <si>
    <t>Pommes Golden</t>
  </si>
  <si>
    <t>Ricotta</t>
  </si>
  <si>
    <t>Sarrasin grillé</t>
  </si>
  <si>
    <t>Sel fin</t>
  </si>
  <si>
    <t>Sirop de glucose</t>
  </si>
  <si>
    <t>Sucre codineige</t>
  </si>
  <si>
    <t>Sucre glace</t>
  </si>
  <si>
    <t>Sucre muscovado</t>
  </si>
  <si>
    <t>Thé vert Matcha</t>
  </si>
  <si>
    <t>Vergeoise blonde</t>
  </si>
  <si>
    <t>Amandes décortiquées</t>
  </si>
  <si>
    <t>Poudre d'amandes</t>
  </si>
  <si>
    <t>Ananas au sirop</t>
  </si>
  <si>
    <t>Café en grains</t>
  </si>
  <si>
    <t>Cannelle moulue</t>
  </si>
  <si>
    <t>Cardamone moulue</t>
  </si>
  <si>
    <t>Cardamone capsule</t>
  </si>
  <si>
    <t>Chocolat de couverture blanc 35% Cacao Barry</t>
  </si>
  <si>
    <t>Chocolat de couverture lait 40%  Cacao Barry</t>
  </si>
  <si>
    <t>Chocolat de couverture noir 55%  Cacao Barry</t>
  </si>
  <si>
    <t>Chocolat de couverture noir 70%  Cacao Barry</t>
  </si>
  <si>
    <t>Citrons jaunes non traités</t>
  </si>
  <si>
    <t>Citrons verts non traités</t>
  </si>
  <si>
    <t>Crème de coco 98% MG</t>
  </si>
  <si>
    <t>Crème de marrons 40% minium</t>
  </si>
  <si>
    <t>Arôme naturel de fleur d'oranger</t>
  </si>
  <si>
    <t>Arôme naturel de rose</t>
  </si>
  <si>
    <t>Quatre épices moulues</t>
  </si>
  <si>
    <t>Arôme naturel d'amande amère</t>
  </si>
  <si>
    <t>Extrait naturel de vanille liquide</t>
  </si>
  <si>
    <t>Farine de gaudes</t>
  </si>
  <si>
    <t>Gélatine feuilles</t>
  </si>
  <si>
    <t>Gélatine poudre</t>
  </si>
  <si>
    <t>Gingembre moulu</t>
  </si>
  <si>
    <t>Graines de pavot bleu</t>
  </si>
  <si>
    <t>Graines de sésame blond</t>
  </si>
  <si>
    <t>Graines de sésame noir</t>
  </si>
  <si>
    <t>Lait de coco 98% MG</t>
  </si>
  <si>
    <t>Poudre de noisettes</t>
  </si>
  <si>
    <t>Noix de muscade moule</t>
  </si>
  <si>
    <t>Oranges</t>
  </si>
  <si>
    <t>Noisettes décortiquées</t>
  </si>
  <si>
    <t>Noix de Pécan décortiquées</t>
  </si>
  <si>
    <t>Pistaches décortiquées</t>
  </si>
  <si>
    <t>Poivre de timut</t>
  </si>
  <si>
    <t>Poudre de cacao Cacao Barry</t>
  </si>
  <si>
    <t>Poudre de pistaches</t>
  </si>
  <si>
    <t>Purée de sésame blond</t>
  </si>
  <si>
    <t>Graines de courges</t>
  </si>
  <si>
    <t>Cranberries</t>
  </si>
  <si>
    <t>Blancs d'œufs coquilles</t>
  </si>
  <si>
    <t>Eau filtrée</t>
  </si>
  <si>
    <t>Nanana</t>
  </si>
  <si>
    <t>Fruits &amp; légumes frais</t>
  </si>
  <si>
    <t>goutte</t>
  </si>
  <si>
    <t>Gousse de vanille</t>
  </si>
  <si>
    <t>Biscuits moelleux citron&amp; pavot</t>
  </si>
  <si>
    <t>Zestes de citrons jaunes non traités</t>
  </si>
  <si>
    <t>Zestes de citrons verts non traités</t>
  </si>
  <si>
    <t>Zestes d'oranges non traités</t>
  </si>
  <si>
    <t>Jus de citrons jaunes non traités</t>
  </si>
  <si>
    <t>Jus de citrons verts non traités</t>
  </si>
  <si>
    <t>24</t>
  </si>
  <si>
    <t>Caramel au beurre salé maison</t>
  </si>
  <si>
    <t>Noisettes caramélisées</t>
  </si>
  <si>
    <t>10</t>
  </si>
  <si>
    <t>20</t>
  </si>
  <si>
    <t>40</t>
  </si>
  <si>
    <t>Palets Bretons - citron vert &amp; noix de coco</t>
  </si>
  <si>
    <t>Babkas Nocciolata &amp; noisettes</t>
  </si>
  <si>
    <t>R_Babkas_NocciolataN</t>
  </si>
  <si>
    <t>Nocciolata</t>
  </si>
  <si>
    <t>Bananabread</t>
  </si>
  <si>
    <t>1000</t>
  </si>
  <si>
    <t>Cake à l'ornage douce-amère</t>
  </si>
  <si>
    <t>Sucre grain</t>
  </si>
  <si>
    <t>Jus d'oranges jaunes non traités</t>
  </si>
  <si>
    <t>Marbé au chocolat</t>
  </si>
  <si>
    <t>Confit d'oranges</t>
  </si>
  <si>
    <t>Imbibage</t>
  </si>
  <si>
    <t>Fourrage</t>
  </si>
  <si>
    <t>Dressage</t>
  </si>
  <si>
    <t>Glaçage</t>
  </si>
  <si>
    <t>Cookie SG cacahuètes, chocolat noir &amp; caramel</t>
  </si>
  <si>
    <t>Topping</t>
  </si>
  <si>
    <t>Purée d'amandes complètes</t>
  </si>
  <si>
    <t>Huile d'olive vierge extra</t>
  </si>
  <si>
    <t>Oranges confites</t>
  </si>
  <si>
    <t>Basque cheesecake citron &amp; lavande</t>
  </si>
  <si>
    <t>Huile essentielles de mandarine jaune</t>
  </si>
  <si>
    <t>Huile essentielles d'orange</t>
  </si>
  <si>
    <t>Para</t>
  </si>
  <si>
    <t>Mascarpone</t>
  </si>
  <si>
    <t>Chantilly mascarpone</t>
  </si>
  <si>
    <t>Huile de noisettes</t>
  </si>
  <si>
    <t>Moelleux citron</t>
  </si>
  <si>
    <t>Rondelles de citron jaune confit</t>
  </si>
  <si>
    <t>R_Gramms_Apple_Cake</t>
  </si>
  <si>
    <t>Mélange à verser</t>
  </si>
  <si>
    <t>Crème fraîche épaisse entière</t>
  </si>
  <si>
    <t>Crème fleurette</t>
  </si>
  <si>
    <t>Fondants chocolat noir, caramel, sarrasin grillé &amp; fleur de sel</t>
  </si>
  <si>
    <t>Confit d'oranges non traitées maison</t>
  </si>
  <si>
    <t>Crème fraîche épaisse entière 40%</t>
  </si>
  <si>
    <t>Crumble</t>
  </si>
  <si>
    <t>Clafoutis aux fruits</t>
  </si>
  <si>
    <t>R_Clafoutis</t>
  </si>
  <si>
    <t>Divers</t>
  </si>
  <si>
    <t>Caramel onctueux au beurre salé</t>
  </si>
  <si>
    <t>R_Caramel_onctueux</t>
  </si>
  <si>
    <t>Caramel onctueux au beurre salé maison</t>
  </si>
  <si>
    <t>Mélange 1</t>
  </si>
  <si>
    <t>Mélange 2</t>
  </si>
  <si>
    <t>2856</t>
  </si>
  <si>
    <t>3500</t>
  </si>
  <si>
    <t>Nom du tableau</t>
  </si>
  <si>
    <t>Récap catégories/Recettes/format (nombre,diamètre ou contenanc)</t>
  </si>
  <si>
    <t>Format</t>
  </si>
  <si>
    <t>Financiers noix &amp; café</t>
  </si>
  <si>
    <t>R_FinanciersNC</t>
  </si>
  <si>
    <t>Café (boisson)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</si>
</sst>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"/>
    <numFmt numFmtId="165" formatCode="_-* #,##0_-;\-* #,##0_-;_-* &quot;-&quot;??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</font>
    <font>
      <sz val="13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  <font>
      <sz val="11"/>
      <name val="Calibri"/>
      <scheme val="minor"/>
    </font>
    <font>
      <b/>
      <i/>
      <sz val="13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theme="4" tint="0.79998168889431442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medium">
        <color indexed="64"/>
      </top>
      <bottom/>
      <diagonal/>
    </border>
    <border>
      <left style="thin">
        <color theme="0" tint="-0.14999847407452621"/>
      </left>
      <right/>
      <top/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05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164" fontId="2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/>
    <xf numFmtId="0" fontId="1" fillId="0" borderId="0" xfId="0" applyFont="1" applyAlignment="1">
      <alignment vertical="center" wrapText="1"/>
    </xf>
    <xf numFmtId="0" fontId="7" fillId="0" borderId="11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0" xfId="0" applyFont="1"/>
    <xf numFmtId="0" fontId="10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/>
    <xf numFmtId="0" fontId="1" fillId="0" borderId="0" xfId="0" applyFont="1"/>
    <xf numFmtId="0" fontId="9" fillId="0" borderId="11" xfId="0" applyFont="1" applyBorder="1" applyAlignment="1">
      <alignment horizontal="right" vertical="center" wrapText="1"/>
    </xf>
    <xf numFmtId="0" fontId="12" fillId="0" borderId="17" xfId="0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 wrapText="1"/>
    </xf>
    <xf numFmtId="0" fontId="11" fillId="0" borderId="2" xfId="0" applyFont="1" applyBorder="1" applyAlignment="1">
      <alignment vertical="center"/>
    </xf>
    <xf numFmtId="0" fontId="10" fillId="0" borderId="18" xfId="0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vertical="center" wrapText="1"/>
    </xf>
    <xf numFmtId="0" fontId="11" fillId="0" borderId="3" xfId="0" applyFont="1" applyBorder="1" applyAlignment="1">
      <alignment horizontal="center" vertical="center"/>
    </xf>
    <xf numFmtId="165" fontId="11" fillId="0" borderId="2" xfId="1" applyNumberFormat="1" applyFont="1" applyBorder="1" applyAlignment="1">
      <alignment horizontal="center" vertical="center"/>
    </xf>
    <xf numFmtId="165" fontId="11" fillId="0" borderId="1" xfId="1" applyNumberFormat="1" applyFont="1" applyBorder="1" applyAlignment="1">
      <alignment horizontal="center" vertical="center"/>
    </xf>
    <xf numFmtId="165" fontId="11" fillId="0" borderId="10" xfId="1" applyNumberFormat="1" applyFont="1" applyBorder="1" applyAlignment="1">
      <alignment horizontal="center" vertical="center"/>
    </xf>
    <xf numFmtId="165" fontId="11" fillId="0" borderId="2" xfId="1" applyNumberFormat="1" applyFont="1" applyFill="1" applyBorder="1" applyAlignment="1">
      <alignment horizontal="right" vertical="center"/>
    </xf>
    <xf numFmtId="165" fontId="11" fillId="0" borderId="0" xfId="1" applyNumberFormat="1" applyFont="1" applyFill="1" applyBorder="1" applyAlignment="1">
      <alignment horizontal="right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" xfId="0" applyFont="1" applyBorder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11" fillId="0" borderId="16" xfId="0" applyFont="1" applyBorder="1" applyAlignment="1">
      <alignment horizontal="right" vertical="center"/>
    </xf>
    <xf numFmtId="0" fontId="11" fillId="0" borderId="14" xfId="0" applyFont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7" fillId="0" borderId="1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" xfId="0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0" xfId="0" applyBorder="1"/>
    <xf numFmtId="0" fontId="0" fillId="0" borderId="3" xfId="0" applyBorder="1"/>
    <xf numFmtId="0" fontId="0" fillId="0" borderId="9" xfId="0" applyBorder="1"/>
    <xf numFmtId="0" fontId="0" fillId="0" borderId="6" xfId="0" applyBorder="1"/>
    <xf numFmtId="0" fontId="0" fillId="0" borderId="8" xfId="0" applyBorder="1"/>
    <xf numFmtId="0" fontId="0" fillId="0" borderId="0" xfId="0" applyAlignment="1">
      <alignment vertical="center" wrapText="1"/>
    </xf>
    <xf numFmtId="0" fontId="0" fillId="0" borderId="1" xfId="0" applyBorder="1"/>
    <xf numFmtId="0" fontId="0" fillId="0" borderId="12" xfId="0" applyBorder="1"/>
    <xf numFmtId="0" fontId="0" fillId="0" borderId="11" xfId="0" applyBorder="1" applyAlignment="1">
      <alignment vertical="center"/>
    </xf>
    <xf numFmtId="0" fontId="11" fillId="0" borderId="10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1" fillId="0" borderId="1" xfId="0" applyFont="1" applyBorder="1"/>
    <xf numFmtId="0" fontId="11" fillId="0" borderId="2" xfId="0" applyFont="1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1" fillId="0" borderId="6" xfId="0" applyFont="1" applyBorder="1" applyAlignment="1">
      <alignment horizontal="center" vertical="center"/>
    </xf>
    <xf numFmtId="0" fontId="11" fillId="0" borderId="12" xfId="0" applyFont="1" applyBorder="1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2" xfId="0" applyFont="1" applyBorder="1" applyAlignment="1">
      <alignment horizontal="left" vertical="center"/>
    </xf>
    <xf numFmtId="0" fontId="11" fillId="0" borderId="2" xfId="0" applyFont="1" applyBorder="1" applyAlignment="1">
      <alignment horizontal="left"/>
    </xf>
    <xf numFmtId="0" fontId="11" fillId="0" borderId="12" xfId="0" applyFont="1" applyBorder="1" applyAlignment="1">
      <alignment horizontal="left" vertical="center"/>
    </xf>
    <xf numFmtId="0" fontId="11" fillId="0" borderId="7" xfId="0" applyFont="1" applyBorder="1" applyAlignment="1">
      <alignment horizontal="center" vertical="center"/>
    </xf>
    <xf numFmtId="0" fontId="11" fillId="0" borderId="12" xfId="0" applyFont="1" applyBorder="1"/>
    <xf numFmtId="0" fontId="11" fillId="0" borderId="10" xfId="0" applyFont="1" applyBorder="1" applyAlignment="1">
      <alignment horizontal="left"/>
    </xf>
    <xf numFmtId="0" fontId="11" fillId="0" borderId="5" xfId="0" applyFont="1" applyBorder="1"/>
    <xf numFmtId="0" fontId="11" fillId="0" borderId="10" xfId="0" applyFont="1" applyBorder="1"/>
    <xf numFmtId="0" fontId="11" fillId="0" borderId="8" xfId="0" applyFont="1" applyBorder="1"/>
    <xf numFmtId="0" fontId="11" fillId="0" borderId="8" xfId="0" applyFont="1" applyBorder="1" applyAlignment="1">
      <alignment horizontal="left" vertical="center"/>
    </xf>
    <xf numFmtId="0" fontId="11" fillId="0" borderId="8" xfId="0" applyFont="1" applyBorder="1" applyAlignment="1">
      <alignment vertical="center"/>
    </xf>
    <xf numFmtId="0" fontId="11" fillId="0" borderId="8" xfId="0" applyFont="1" applyBorder="1" applyAlignment="1">
      <alignment horizontal="left"/>
    </xf>
    <xf numFmtId="0" fontId="13" fillId="0" borderId="0" xfId="0" applyFont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7" fillId="0" borderId="10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1" fillId="0" borderId="5" xfId="0" applyFont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9" fillId="0" borderId="0" xfId="0" applyFont="1" applyAlignment="1">
      <alignment horizontal="right" vertical="center" wrapText="1"/>
    </xf>
    <xf numFmtId="0" fontId="12" fillId="0" borderId="0" xfId="0" applyFont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3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right" vertical="center"/>
    </xf>
    <xf numFmtId="1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1" fillId="0" borderId="3" xfId="0" applyFont="1" applyBorder="1" applyAlignment="1">
      <alignment horizontal="right" vertical="center"/>
    </xf>
    <xf numFmtId="0" fontId="2" fillId="0" borderId="15" xfId="0" applyFont="1" applyBorder="1" applyAlignment="1">
      <alignment vertical="center" wrapText="1"/>
    </xf>
    <xf numFmtId="0" fontId="11" fillId="0" borderId="16" xfId="0" applyFont="1" applyBorder="1" applyAlignment="1">
      <alignment horizontal="center" vertical="center"/>
    </xf>
    <xf numFmtId="0" fontId="11" fillId="0" borderId="2" xfId="0" applyFont="1" applyBorder="1" applyAlignment="1">
      <alignment horizontal="right" vertical="center"/>
    </xf>
    <xf numFmtId="0" fontId="11" fillId="0" borderId="15" xfId="0" applyFont="1" applyBorder="1" applyAlignment="1">
      <alignment horizontal="right" vertical="center"/>
    </xf>
    <xf numFmtId="0" fontId="11" fillId="0" borderId="9" xfId="0" applyFont="1" applyBorder="1" applyAlignment="1">
      <alignment horizontal="right" vertical="center"/>
    </xf>
    <xf numFmtId="0" fontId="11" fillId="0" borderId="12" xfId="0" applyFont="1" applyBorder="1" applyAlignment="1">
      <alignment horizontal="right" vertical="center"/>
    </xf>
    <xf numFmtId="0" fontId="11" fillId="0" borderId="6" xfId="0" applyFont="1" applyBorder="1" applyAlignment="1">
      <alignment horizontal="right" vertical="center"/>
    </xf>
    <xf numFmtId="0" fontId="9" fillId="0" borderId="17" xfId="0" applyFont="1" applyBorder="1" applyAlignment="1">
      <alignment horizontal="right" vertical="center" wrapText="1"/>
    </xf>
    <xf numFmtId="0" fontId="12" fillId="0" borderId="11" xfId="0" applyFont="1" applyBorder="1" applyAlignment="1">
      <alignment horizontal="center" vertical="center"/>
    </xf>
    <xf numFmtId="165" fontId="12" fillId="0" borderId="18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/>
    </xf>
    <xf numFmtId="165" fontId="11" fillId="0" borderId="2" xfId="1" applyNumberFormat="1" applyFont="1" applyFill="1" applyBorder="1" applyAlignment="1">
      <alignment horizontal="center" vertical="center"/>
    </xf>
    <xf numFmtId="165" fontId="11" fillId="0" borderId="10" xfId="1" applyNumberFormat="1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5" fontId="11" fillId="0" borderId="0" xfId="1" applyNumberFormat="1" applyFont="1" applyBorder="1" applyAlignment="1">
      <alignment horizontal="center" vertical="center"/>
    </xf>
    <xf numFmtId="165" fontId="11" fillId="0" borderId="0" xfId="1" applyNumberFormat="1" applyFont="1" applyFill="1" applyBorder="1" applyAlignment="1">
      <alignment horizontal="center" vertical="center"/>
    </xf>
    <xf numFmtId="165" fontId="14" fillId="0" borderId="0" xfId="1" applyNumberFormat="1" applyFont="1" applyFill="1" applyBorder="1" applyAlignment="1">
      <alignment horizontal="center" vertical="center"/>
    </xf>
    <xf numFmtId="165" fontId="11" fillId="0" borderId="4" xfId="1" applyNumberFormat="1" applyFont="1" applyBorder="1" applyAlignment="1">
      <alignment horizontal="center" vertical="center"/>
    </xf>
    <xf numFmtId="165" fontId="11" fillId="0" borderId="5" xfId="1" applyNumberFormat="1" applyFont="1" applyBorder="1" applyAlignment="1">
      <alignment horizontal="center" vertical="center"/>
    </xf>
    <xf numFmtId="0" fontId="2" fillId="0" borderId="6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9" fillId="3" borderId="12" xfId="0" applyFont="1" applyFill="1" applyBorder="1" applyAlignment="1">
      <alignment horizontal="right" vertical="center" wrapText="1"/>
    </xf>
    <xf numFmtId="0" fontId="12" fillId="3" borderId="6" xfId="0" applyFont="1" applyFill="1" applyBorder="1" applyAlignment="1">
      <alignment horizontal="center" vertical="center"/>
    </xf>
    <xf numFmtId="165" fontId="12" fillId="3" borderId="12" xfId="0" applyNumberFormat="1" applyFont="1" applyFill="1" applyBorder="1" applyAlignment="1">
      <alignment horizontal="center" vertical="center"/>
    </xf>
    <xf numFmtId="165" fontId="12" fillId="3" borderId="8" xfId="0" applyNumberFormat="1" applyFont="1" applyFill="1" applyBorder="1" applyAlignment="1">
      <alignment horizontal="center" vertical="center"/>
    </xf>
    <xf numFmtId="165" fontId="14" fillId="0" borderId="2" xfId="1" applyNumberFormat="1" applyFont="1" applyFill="1" applyBorder="1" applyAlignment="1">
      <alignment horizontal="center" vertical="center"/>
    </xf>
    <xf numFmtId="165" fontId="11" fillId="0" borderId="7" xfId="1" applyNumberFormat="1" applyFont="1" applyFill="1" applyBorder="1" applyAlignment="1">
      <alignment horizontal="center" vertical="center"/>
    </xf>
    <xf numFmtId="0" fontId="9" fillId="0" borderId="12" xfId="0" applyFont="1" applyBorder="1" applyAlignment="1">
      <alignment horizontal="right" vertical="center" wrapText="1"/>
    </xf>
    <xf numFmtId="165" fontId="14" fillId="0" borderId="10" xfId="1" applyNumberFormat="1" applyFont="1" applyFill="1" applyBorder="1" applyAlignment="1">
      <alignment horizontal="center" vertical="center"/>
    </xf>
    <xf numFmtId="165" fontId="11" fillId="0" borderId="8" xfId="1" applyNumberFormat="1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65" fontId="11" fillId="0" borderId="12" xfId="1" applyNumberFormat="1" applyFont="1" applyFill="1" applyBorder="1" applyAlignment="1">
      <alignment horizontal="center" vertical="center"/>
    </xf>
    <xf numFmtId="165" fontId="11" fillId="0" borderId="16" xfId="1" applyNumberFormat="1" applyFont="1" applyFill="1" applyBorder="1" applyAlignment="1">
      <alignment horizontal="right" vertical="center"/>
    </xf>
    <xf numFmtId="165" fontId="11" fillId="0" borderId="14" xfId="1" applyNumberFormat="1" applyFont="1" applyFill="1" applyBorder="1" applyAlignment="1">
      <alignment horizontal="right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13" xfId="0" applyFont="1" applyBorder="1" applyAlignment="1">
      <alignment horizontal="right" vertical="center" wrapText="1"/>
    </xf>
    <xf numFmtId="0" fontId="1" fillId="0" borderId="7" xfId="0" applyFont="1" applyBorder="1" applyAlignment="1">
      <alignment vertical="center"/>
    </xf>
    <xf numFmtId="0" fontId="5" fillId="0" borderId="11" xfId="0" applyFont="1" applyBorder="1"/>
    <xf numFmtId="0" fontId="0" fillId="4" borderId="11" xfId="0" applyFill="1" applyBorder="1"/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1" fillId="0" borderId="0" xfId="0" applyFont="1" applyAlignment="1">
      <alignment vertical="center"/>
    </xf>
    <xf numFmtId="0" fontId="10" fillId="0" borderId="13" xfId="0" applyFont="1" applyBorder="1" applyAlignment="1">
      <alignment horizontal="center" vertical="center"/>
    </xf>
    <xf numFmtId="0" fontId="2" fillId="0" borderId="10" xfId="0" applyFont="1" applyBorder="1" applyAlignment="1">
      <alignment vertical="center" wrapText="1"/>
    </xf>
    <xf numFmtId="0" fontId="1" fillId="7" borderId="21" xfId="0" applyFont="1" applyFill="1" applyBorder="1" applyAlignment="1">
      <alignment vertical="center"/>
    </xf>
    <xf numFmtId="0" fontId="0" fillId="0" borderId="23" xfId="0" applyBorder="1"/>
    <xf numFmtId="0" fontId="0" fillId="0" borderId="24" xfId="0" applyBorder="1"/>
    <xf numFmtId="0" fontId="12" fillId="7" borderId="22" xfId="0" applyFont="1" applyFill="1" applyBorder="1" applyAlignment="1">
      <alignment vertical="center"/>
    </xf>
    <xf numFmtId="0" fontId="12" fillId="7" borderId="25" xfId="0" applyFont="1" applyFill="1" applyBorder="1" applyAlignment="1">
      <alignment vertical="center"/>
    </xf>
    <xf numFmtId="0" fontId="12" fillId="7" borderId="20" xfId="0" applyFont="1" applyFill="1" applyBorder="1" applyAlignment="1">
      <alignment vertical="center"/>
    </xf>
    <xf numFmtId="0" fontId="12" fillId="7" borderId="21" xfId="0" applyFont="1" applyFill="1" applyBorder="1" applyAlignment="1">
      <alignment vertical="center"/>
    </xf>
    <xf numFmtId="0" fontId="11" fillId="0" borderId="19" xfId="0" applyFont="1" applyBorder="1"/>
    <xf numFmtId="0" fontId="11" fillId="0" borderId="0" xfId="0" applyFont="1"/>
    <xf numFmtId="0" fontId="11" fillId="0" borderId="11" xfId="0" applyFont="1" applyBorder="1" applyAlignment="1">
      <alignment vertical="center"/>
    </xf>
    <xf numFmtId="0" fontId="11" fillId="0" borderId="11" xfId="0" applyFont="1" applyBorder="1"/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15" fillId="6" borderId="3" xfId="0" applyFont="1" applyFill="1" applyBorder="1" applyAlignment="1">
      <alignment horizontal="center" vertical="center"/>
    </xf>
    <xf numFmtId="0" fontId="15" fillId="6" borderId="4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6" borderId="6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2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/>
        <bottom/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>
        <left/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vertical="center" textRotation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vertical="center" textRotation="0" indent="0" justifyLastLine="0" shrinkToFit="0" readingOrder="0"/>
    </dxf>
    <dxf>
      <border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G" refreshedDate="45000.896980324076" createdVersion="6" refreshedVersion="6" minRefreshableVersion="3" recordCount="36" xr:uid="{00000000-000A-0000-FFFF-FFFF52000000}">
  <cacheSource type="worksheet">
    <worksheetSource name="T_Planning"/>
  </cacheSource>
  <cacheFields count="5">
    <cacheField name="Semaine" numFmtId="0">
      <sharedItems containsBlank="1"/>
    </cacheField>
    <cacheField name="Catégorie" numFmtId="0">
      <sharedItems containsBlank="1" count="4">
        <s v="Gâteaux"/>
        <m/>
        <s v="Cookies" u="1"/>
        <s v="Cakes" u="1"/>
      </sharedItems>
    </cacheField>
    <cacheField name="Recette" numFmtId="0">
      <sharedItems containsBlank="1" count="5">
        <s v="Basque cheesecake - nature"/>
        <m/>
        <s v="Basque cheesecake nature" u="1"/>
        <s v="Cookies chocolat noir, cacahuètes &amp; caramel" u="1"/>
        <s v="Cake crème de marrons" u="1"/>
      </sharedItems>
    </cacheField>
    <cacheField name="Quantité / contenance / diamètre" numFmtId="0">
      <sharedItems containsString="0" containsBlank="1" containsNumber="1" containsInteger="1" minValue="6" maxValue="2400" count="7">
        <n v="26"/>
        <m/>
        <n v="1800" u="1"/>
        <n v="6" u="1"/>
        <n v="16" u="1"/>
        <n v="18" u="1"/>
        <n v="2400" u="1"/>
      </sharedItems>
    </cacheField>
    <cacheField name="Quantité d'unités / lot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s v="S40"/>
    <x v="0"/>
    <x v="0"/>
    <x v="0"/>
    <n v="1"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9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5" firstHeaderRow="0" firstDataRow="0" firstDataCol="0" rowPageCount="3" colPageCount="1"/>
  <pivotFields count="5">
    <pivotField showAll="0"/>
    <pivotField axis="axisPage" showAll="0">
      <items count="5">
        <item m="1" x="3"/>
        <item m="1" x="2"/>
        <item x="0"/>
        <item x="1"/>
        <item t="default"/>
      </items>
    </pivotField>
    <pivotField axis="axisPage" showAll="0">
      <items count="6">
        <item m="1" x="2"/>
        <item m="1" x="4"/>
        <item m="1" x="3"/>
        <item x="1"/>
        <item x="0"/>
        <item t="default"/>
      </items>
    </pivotField>
    <pivotField axis="axisPage" showAll="0">
      <items count="8">
        <item m="1" x="4"/>
        <item x="0"/>
        <item m="1" x="6"/>
        <item x="1"/>
        <item m="1" x="3"/>
        <item m="1" x="2"/>
        <item m="1" x="5"/>
        <item t="default"/>
      </items>
    </pivotField>
    <pivotField showAll="0"/>
  </pivotFields>
  <pageFields count="3">
    <pageField fld="1" item="3" hier="-1"/>
    <pageField fld="2" item="3" hier="-1"/>
    <pageField fld="3" item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refreshOnLoad="1" connectionId="5" xr16:uid="{00000000-0016-0000-0000-000000000000}" autoFormatId="16" applyNumberFormats="0" applyBorderFormats="0" applyFontFormats="0" applyPatternFormats="0" applyAlignmentFormats="0" applyWidthHeightFormats="0">
  <queryTableRefresh nextId="2">
    <queryTableFields count="1">
      <queryTableField id="1" name="Catégori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refreshOnLoad="1" connectionId="8" xr16:uid="{00000000-0016-0000-0000-000001000000}" autoFormatId="16" applyNumberFormats="0" applyBorderFormats="0" applyFontFormats="0" applyPatternFormats="0" applyAlignmentFormats="0" applyWidthHeightFormats="0">
  <queryTableRefresh nextId="3">
    <queryTableFields count="2">
      <queryTableField id="1" name="Catégorie" tableColumnId="1"/>
      <queryTableField id="2" name="Recette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0000000-0016-0000-0A00-000002000000}" autoFormatId="16" applyNumberFormats="0" applyBorderFormats="0" applyFontFormats="0" applyPatternFormats="0" applyAlignmentFormats="0" applyWidthHeightFormats="0">
  <queryTableRefresh nextId="7">
    <queryTableFields count="6">
      <queryTableField id="1" name="Semaine" tableColumnId="1"/>
      <queryTableField id="2" name="Ingrédients" tableColumnId="2"/>
      <queryTableField id="3" name="Unité" tableColumnId="3"/>
      <queryTableField id="4" name="Rayon" tableColumnId="4"/>
      <queryTableField id="5" name="Fournisseur" tableColumnId="5"/>
      <queryTableField id="6" name="Quantité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8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ngrédients" displayName="T_ingrédients" ref="B3:F126" totalsRowShown="0" headerRowDxfId="1236" dataDxfId="1234" headerRowBorderDxfId="1235" tableBorderDxfId="1233">
  <autoFilter ref="B3:F126" xr:uid="{00000000-000C-0000-FFFF-FFFF00000000}"/>
  <sortState xmlns:xlrd2="http://schemas.microsoft.com/office/spreadsheetml/2017/richdata2" ref="B4:F107">
    <sortCondition ref="B107"/>
  </sortState>
  <tableColumns count="5">
    <tableColumn id="1" xr3:uid="{00000000-0010-0000-0000-000001000000}" name="Ingrédient" dataDxfId="1232"/>
    <tableColumn id="3" xr3:uid="{00000000-0010-0000-0000-000003000000}" name="Rayon" dataDxfId="1231"/>
    <tableColumn id="2" xr3:uid="{00000000-0010-0000-0000-000002000000}" name="Unité" dataDxfId="1230"/>
    <tableColumn id="7" xr3:uid="{00000000-0010-0000-0000-000007000000}" name="Prix/Kg" dataDxfId="1229"/>
    <tableColumn id="4" xr3:uid="{00000000-0010-0000-0000-000004000000}" name="Fournisseur" dataDxfId="1228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1000000}" name="T_Catégories_recettes" displayName="T_Catégories_recettes" ref="H3:K130" totalsRowShown="0" headerRowDxfId="1227" dataDxfId="1226">
  <autoFilter ref="H3:K130" xr:uid="{00000000-0009-0000-0100-00000A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Catégorie" dataDxfId="1225"/>
    <tableColumn id="2" xr3:uid="{00000000-0010-0000-0100-000002000000}" name="Recette" dataDxfId="1224"/>
    <tableColumn id="3" xr3:uid="{00000000-0010-0000-0100-000003000000}" name="Format" dataDxfId="1223"/>
    <tableColumn id="4" xr3:uid="{00000000-0010-0000-0100-000004000000}" name="Nom du tableau" dataDxfId="1222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Catégories" displayName="T_Catégories" ref="M3:M10" tableType="queryTable" totalsRowShown="0" headerRowDxfId="1221" dataDxfId="1219" headerRowBorderDxfId="1220" tableBorderDxfId="1218">
  <autoFilter ref="M3:M10" xr:uid="{00000000-0009-0000-0100-000005000000}">
    <filterColumn colId="0" hiddenButton="1"/>
  </autoFilter>
  <tableColumns count="1">
    <tableColumn id="1" xr3:uid="{00000000-0010-0000-0200-000001000000}" uniqueName="1" name="Catégorie" queryTableFieldId="1" dataDxfId="35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3000000}" name="T_Recettes" displayName="T_Recettes" ref="O3:P46" tableType="queryTable" totalsRowShown="0" headerRowDxfId="1217" dataDxfId="1215" headerRowBorderDxfId="1216" tableBorderDxfId="1214">
  <autoFilter ref="O3:P46" xr:uid="{00000000-0009-0000-0100-00000B000000}">
    <filterColumn colId="0" hiddenButton="1"/>
    <filterColumn colId="1" hiddenButton="1"/>
  </autoFilter>
  <tableColumns count="2">
    <tableColumn id="1" xr3:uid="{00000000-0010-0000-0300-000001000000}" uniqueName="1" name="Catégorie" queryTableFieldId="1" dataDxfId="36"/>
    <tableColumn id="2" xr3:uid="{00000000-0010-0000-0300-000002000000}" uniqueName="2" name="Recette" queryTableFieldId="2" dataDxfId="1213"/>
  </tableColumns>
  <tableStyleInfo name="TableStyleLight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4000000}" name="R_Biscuits_Rustiques" displayName="R_Biscuits_Rustiques" ref="C38:G46" totalsRowShown="0" headerRowDxfId="1212" dataDxfId="1210" totalsRowDxfId="1208" headerRowBorderDxfId="1211" tableBorderDxfId="1209" totalsRowBorderDxfId="1207">
  <autoFilter ref="C38:G46" xr:uid="{00000000-0009-0000-0100-00000E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400-000001000000}" name="Ingrédients" dataDxfId="1206" totalsRowDxfId="1205"/>
    <tableColumn id="2" xr3:uid="{00000000-0010-0000-0400-000002000000}" name="Unité" dataDxfId="1204" totalsRowDxfId="1203">
      <calculatedColumnFormula>VLOOKUP(R_Biscuits_Rustiques[[#This Row],[Ingrédients]],T_ingrédients[],3,0)</calculatedColumnFormula>
    </tableColumn>
    <tableColumn id="3" xr3:uid="{00000000-0010-0000-0400-000003000000}" name="6" dataDxfId="1202" totalsRowDxfId="1201" dataCellStyle="Milliers"/>
    <tableColumn id="4" xr3:uid="{00000000-0010-0000-0400-000004000000}" name="12" dataDxfId="1200" totalsRowDxfId="1199" dataCellStyle="Milliers"/>
    <tableColumn id="5" xr3:uid="{00000000-0010-0000-0400-000005000000}" name="24" dataDxfId="1198" totalsRowDxfId="1197" dataCellStyle="Milliers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5000000}" name="R_Spritz" displayName="R_Spritz" ref="C67:G76" totalsRowCount="1" headerRowDxfId="1196" dataDxfId="1194" totalsRowDxfId="1192" headerRowBorderDxfId="1195" tableBorderDxfId="1193" totalsRowBorderDxfId="1191">
  <autoFilter ref="C67:G75" xr:uid="{00000000-0009-0000-0100-000010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500-000001000000}" name="Ingrédients" totalsRowLabel="Total" dataDxfId="1190" totalsRowDxfId="1189"/>
    <tableColumn id="2" xr3:uid="{00000000-0010-0000-0500-000002000000}" name="Unité" totalsRowLabel="g" dataDxfId="1188" totalsRowDxfId="1187">
      <calculatedColumnFormula>VLOOKUP(R_Spritz[[#This Row],[Ingrédients]],T_ingrédients[],3,0)</calculatedColumnFormula>
    </tableColumn>
    <tableColumn id="3" xr3:uid="{00000000-0010-0000-0500-000003000000}" name="6" totalsRowFunction="sum" dataDxfId="1186" totalsRowDxfId="1185" dataCellStyle="Milliers"/>
    <tableColumn id="4" xr3:uid="{00000000-0010-0000-0500-000004000000}" name="12" totalsRowFunction="sum" dataDxfId="1184" totalsRowDxfId="1183" dataCellStyle="Milliers"/>
    <tableColumn id="5" xr3:uid="{00000000-0010-0000-0500-000005000000}" name="24" totalsRowFunction="sum" dataDxfId="1182" totalsRowDxfId="1181" dataCellStyle="Milliers"/>
  </tableColumns>
  <tableStyleInfo name="TableStyleLight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6000000}" name="TR_Modèle918" displayName="TR_Modèle918" ref="C81:G110" totalsRowCount="1" headerRowDxfId="1180" dataDxfId="1178" totalsRowDxfId="1176" headerRowBorderDxfId="1179" tableBorderDxfId="1177" totalsRowBorderDxfId="1175">
  <autoFilter ref="C81:G109" xr:uid="{00000000-0009-0000-0100-000011000000}"/>
  <tableColumns count="5">
    <tableColumn id="1" xr3:uid="{00000000-0010-0000-0600-000001000000}" name="Ingrédients" totalsRowLabel="Total" dataDxfId="1174" totalsRowDxfId="1173"/>
    <tableColumn id="2" xr3:uid="{00000000-0010-0000-0600-000002000000}" name="Unité" totalsRowLabel="g" dataDxfId="1172" totalsRowDxfId="1171">
      <calculatedColumnFormula>VLOOKUP(TR_Modèle918[[#This Row],[Ingrédients]],T_ingrédients[],3,0)</calculatedColumnFormula>
    </tableColumn>
    <tableColumn id="3" xr3:uid="{00000000-0010-0000-0600-000003000000}" name="Colonne1" totalsRowFunction="sum" dataDxfId="1170" totalsRowDxfId="1169" dataCellStyle="Milliers"/>
    <tableColumn id="4" xr3:uid="{00000000-0010-0000-0600-000004000000}" name="Colonne2" totalsRowFunction="sum" dataDxfId="1168" totalsRowDxfId="1167" dataCellStyle="Milliers"/>
    <tableColumn id="5" xr3:uid="{00000000-0010-0000-0600-000005000000}" name="Colonne3" totalsRowFunction="sum" dataDxfId="1166" totalsRowDxfId="1165" dataCellStyle="Milliers"/>
  </tableColumns>
  <tableStyleInfo name="TableStyleLight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7000000}" name="TR_Modèle919" displayName="TR_Modèle919" ref="C115:G144" totalsRowCount="1" headerRowDxfId="1164" dataDxfId="1162" totalsRowDxfId="1160" headerRowBorderDxfId="1163" tableBorderDxfId="1161" totalsRowBorderDxfId="1159">
  <autoFilter ref="C115:G143" xr:uid="{00000000-0009-0000-0100-000012000000}"/>
  <tableColumns count="5">
    <tableColumn id="1" xr3:uid="{00000000-0010-0000-0700-000001000000}" name="Ingrédients" totalsRowLabel="Total" dataDxfId="1158" totalsRowDxfId="1157"/>
    <tableColumn id="2" xr3:uid="{00000000-0010-0000-0700-000002000000}" name="Unité" totalsRowLabel="g" dataDxfId="1156" totalsRowDxfId="1155">
      <calculatedColumnFormula>VLOOKUP(TR_Modèle919[[#This Row],[Ingrédients]],T_ingrédients[],3,0)</calculatedColumnFormula>
    </tableColumn>
    <tableColumn id="3" xr3:uid="{00000000-0010-0000-0700-000003000000}" name="Colonne1" totalsRowFunction="sum" dataDxfId="1154" totalsRowDxfId="1153" dataCellStyle="Milliers"/>
    <tableColumn id="4" xr3:uid="{00000000-0010-0000-0700-000004000000}" name="Colonne2" totalsRowFunction="sum" dataDxfId="1152" totalsRowDxfId="1151" dataCellStyle="Milliers"/>
    <tableColumn id="5" xr3:uid="{00000000-0010-0000-0700-000005000000}" name="Colonne3" totalsRowFunction="sum" dataDxfId="1150" totalsRowDxfId="1149" dataCellStyle="Milliers"/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8000000}" name="TR_Modèle920" displayName="TR_Modèle920" ref="C149:G178" totalsRowCount="1" headerRowDxfId="1148" dataDxfId="1146" totalsRowDxfId="1144" headerRowBorderDxfId="1147" tableBorderDxfId="1145" totalsRowBorderDxfId="1143">
  <autoFilter ref="C149:G177" xr:uid="{00000000-0009-0000-0100-000013000000}"/>
  <tableColumns count="5">
    <tableColumn id="1" xr3:uid="{00000000-0010-0000-0800-000001000000}" name="Ingrédients" totalsRowLabel="Total" dataDxfId="1142" totalsRowDxfId="1141"/>
    <tableColumn id="2" xr3:uid="{00000000-0010-0000-0800-000002000000}" name="Unité" totalsRowLabel="g" dataDxfId="1140" totalsRowDxfId="1139">
      <calculatedColumnFormula>VLOOKUP(TR_Modèle920[[#This Row],[Ingrédients]],T_ingrédients[],3,0)</calculatedColumnFormula>
    </tableColumn>
    <tableColumn id="3" xr3:uid="{00000000-0010-0000-0800-000003000000}" name="Colonne1" totalsRowFunction="sum" dataDxfId="1138" totalsRowDxfId="1137" dataCellStyle="Milliers"/>
    <tableColumn id="4" xr3:uid="{00000000-0010-0000-0800-000004000000}" name="Colonne2" totalsRowFunction="sum" dataDxfId="1136" totalsRowDxfId="1135" dataCellStyle="Milliers"/>
    <tableColumn id="5" xr3:uid="{00000000-0010-0000-0800-000005000000}" name="Colonne3" totalsRowFunction="sum" dataDxfId="1134" totalsRowDxfId="1133" dataCellStyle="Milliers"/>
  </tableColumns>
  <tableStyleInfo name="TableStyleLight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9000000}" name="TR_Modèle921" displayName="TR_Modèle921" ref="C183:G212" totalsRowCount="1" headerRowDxfId="1132" dataDxfId="1130" totalsRowDxfId="1128" headerRowBorderDxfId="1131" tableBorderDxfId="1129" totalsRowBorderDxfId="1127">
  <autoFilter ref="C183:G211" xr:uid="{00000000-0009-0000-0100-000014000000}"/>
  <tableColumns count="5">
    <tableColumn id="1" xr3:uid="{00000000-0010-0000-0900-000001000000}" name="Ingrédients" totalsRowLabel="Total" dataDxfId="1126" totalsRowDxfId="1125"/>
    <tableColumn id="2" xr3:uid="{00000000-0010-0000-0900-000002000000}" name="Unité" totalsRowLabel="g" dataDxfId="1124" totalsRowDxfId="1123">
      <calculatedColumnFormula>VLOOKUP(TR_Modèle921[[#This Row],[Ingrédients]],T_ingrédients[],3,0)</calculatedColumnFormula>
    </tableColumn>
    <tableColumn id="3" xr3:uid="{00000000-0010-0000-0900-000003000000}" name="Colonne1" totalsRowFunction="sum" dataDxfId="1122" totalsRowDxfId="1121" dataCellStyle="Milliers"/>
    <tableColumn id="4" xr3:uid="{00000000-0010-0000-0900-000004000000}" name="Colonne2" totalsRowFunction="sum" dataDxfId="1120" totalsRowDxfId="1119" dataCellStyle="Milliers"/>
    <tableColumn id="5" xr3:uid="{00000000-0010-0000-0900-000005000000}" name="Colonne3" totalsRowFunction="sum" dataDxfId="1118" totalsRowDxfId="1117" dataCellStyle="Milliers"/>
  </tableColumns>
  <tableStyleInfo name="TableStyleLight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A000000}" name="TR_Modèle922" displayName="TR_Modèle922" ref="C217:G246" totalsRowCount="1" headerRowDxfId="1116" dataDxfId="1114" totalsRowDxfId="1112" headerRowBorderDxfId="1115" tableBorderDxfId="1113" totalsRowBorderDxfId="1111">
  <autoFilter ref="C217:G245" xr:uid="{00000000-0009-0000-0100-000015000000}"/>
  <tableColumns count="5">
    <tableColumn id="1" xr3:uid="{00000000-0010-0000-0A00-000001000000}" name="Ingrédients" totalsRowLabel="Total" dataDxfId="1110" totalsRowDxfId="1109"/>
    <tableColumn id="2" xr3:uid="{00000000-0010-0000-0A00-000002000000}" name="Unité" totalsRowLabel="g" dataDxfId="1108" totalsRowDxfId="1107">
      <calculatedColumnFormula>VLOOKUP(TR_Modèle922[[#This Row],[Ingrédients]],T_ingrédients[],3,0)</calculatedColumnFormula>
    </tableColumn>
    <tableColumn id="3" xr3:uid="{00000000-0010-0000-0A00-000003000000}" name="Colonne1" totalsRowFunction="sum" dataDxfId="1106" totalsRowDxfId="1105" dataCellStyle="Milliers"/>
    <tableColumn id="4" xr3:uid="{00000000-0010-0000-0A00-000004000000}" name="Colonne2" totalsRowFunction="sum" dataDxfId="1104" totalsRowDxfId="1103" dataCellStyle="Milliers"/>
    <tableColumn id="5" xr3:uid="{00000000-0010-0000-0A00-000005000000}" name="Colonne3" totalsRowFunction="sum" dataDxfId="1102" totalsRowDxfId="1101" dataCellStyle="Milliers"/>
  </tableColumns>
  <tableStyleInfo name="TableStyleLight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B000000}" name="TR_Modèle923" displayName="TR_Modèle923" ref="C251:G280" totalsRowCount="1" headerRowDxfId="1100" dataDxfId="1098" totalsRowDxfId="1096" headerRowBorderDxfId="1099" tableBorderDxfId="1097" totalsRowBorderDxfId="1095">
  <autoFilter ref="C251:G279" xr:uid="{00000000-0009-0000-0100-000016000000}"/>
  <tableColumns count="5">
    <tableColumn id="1" xr3:uid="{00000000-0010-0000-0B00-000001000000}" name="Ingrédients" totalsRowLabel="Total" dataDxfId="1094" totalsRowDxfId="1093"/>
    <tableColumn id="2" xr3:uid="{00000000-0010-0000-0B00-000002000000}" name="Unité" totalsRowLabel="g" dataDxfId="1092" totalsRowDxfId="1091">
      <calculatedColumnFormula>VLOOKUP(TR_Modèle923[[#This Row],[Ingrédients]],T_ingrédients[],3,0)</calculatedColumnFormula>
    </tableColumn>
    <tableColumn id="3" xr3:uid="{00000000-0010-0000-0B00-000003000000}" name="Colonne1" totalsRowFunction="sum" dataDxfId="1090" totalsRowDxfId="1089" dataCellStyle="Milliers"/>
    <tableColumn id="4" xr3:uid="{00000000-0010-0000-0B00-000004000000}" name="Colonne2" totalsRowFunction="sum" dataDxfId="1088" totalsRowDxfId="1087" dataCellStyle="Milliers"/>
    <tableColumn id="5" xr3:uid="{00000000-0010-0000-0B00-000005000000}" name="Colonne3" totalsRowFunction="sum" dataDxfId="1086" totalsRowDxfId="1085" dataCellStyle="Milliers"/>
  </tableColumns>
  <tableStyleInfo name="TableStyleLight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C000000}" name="R_Biscuits_Citron_Pavot" displayName="R_Biscuits_Citron_Pavot" ref="C19:G33" totalsRowCount="1" headerRowDxfId="1084" dataDxfId="1082" totalsRowDxfId="1080" headerRowBorderDxfId="1083" tableBorderDxfId="1081" totalsRowBorderDxfId="1079">
  <autoFilter ref="C19:G32" xr:uid="{00000000-0009-0000-0100-000008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C00-000001000000}" name="Ingrédients" totalsRowLabel="Total" dataDxfId="1078" totalsRowDxfId="1077"/>
    <tableColumn id="2" xr3:uid="{00000000-0010-0000-0C00-000002000000}" name="Unité" totalsRowLabel="g" dataDxfId="1076" totalsRowDxfId="1075">
      <calculatedColumnFormula>VLOOKUP(R_Biscuits_Citron_Pavot[[#This Row],[Ingrédients]],T_ingrédients[],3,0)</calculatedColumnFormula>
    </tableColumn>
    <tableColumn id="3" xr3:uid="{00000000-0010-0000-0C00-000003000000}" name="6" totalsRowFunction="sum" dataDxfId="1074" totalsRowDxfId="1073" dataCellStyle="Milliers"/>
    <tableColumn id="4" xr3:uid="{00000000-0010-0000-0C00-000004000000}" name="12" totalsRowFunction="sum" dataDxfId="1072" totalsRowDxfId="1071" dataCellStyle="Milliers"/>
    <tableColumn id="5" xr3:uid="{00000000-0010-0000-0C00-000005000000}" name="24" totalsRowFunction="sum" dataDxfId="1070" totalsRowDxfId="1069" dataCellStyle="Milliers"/>
  </tableColumns>
  <tableStyleInfo name="TableStyleLight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0D000000}" name="R_Biscuits_FourretoutB" displayName="R_Biscuits_FourretoutB" ref="C4:G14" totalsRowCount="1" headerRowDxfId="1068" dataDxfId="1066" totalsRowDxfId="1064" headerRowBorderDxfId="1067" tableBorderDxfId="1065" totalsRowBorderDxfId="1063">
  <autoFilter ref="C4:G13" xr:uid="{00000000-0009-0000-0100-00002F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D00-000001000000}" name="Ingrédients" totalsRowLabel="Total" dataDxfId="1062" totalsRowDxfId="11"/>
    <tableColumn id="2" xr3:uid="{00000000-0010-0000-0D00-000002000000}" name="Unité" totalsRowLabel="g" dataDxfId="6" totalsRowDxfId="10">
      <calculatedColumnFormula>IFERROR(VLOOKUP(R_Biscuits_FourretoutB[[#This Row],[Ingrédients]],T_ingrédients[],3,0),"")</calculatedColumnFormula>
    </tableColumn>
    <tableColumn id="3" xr3:uid="{00000000-0010-0000-0D00-000003000000}" name="10" totalsRowFunction="sum" dataDxfId="1061" totalsRowDxfId="9" dataCellStyle="Milliers"/>
    <tableColumn id="4" xr3:uid="{00000000-0010-0000-0D00-000004000000}" name="20" totalsRowFunction="sum" dataDxfId="1060" totalsRowDxfId="8" dataCellStyle="Milliers"/>
    <tableColumn id="5" xr3:uid="{00000000-0010-0000-0D00-000005000000}" name="40" totalsRowFunction="sum" dataDxfId="1059" totalsRowDxfId="7" dataCellStyle="Milliers"/>
  </tableColumns>
  <tableStyleInfo name="TableStyleLight6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0E000000}" name="R_Biscuits_FourretoutG" displayName="R_Biscuits_FourretoutG" ref="J4:N13" totalsRowCount="1" headerRowDxfId="1058" dataDxfId="1056" totalsRowDxfId="1054" headerRowBorderDxfId="1057" tableBorderDxfId="1055" totalsRowBorderDxfId="1053">
  <autoFilter ref="J4:N12" xr:uid="{00000000-0009-0000-0100-000030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E00-000001000000}" name="Ingrédients" totalsRowLabel="Total" dataDxfId="1052" totalsRowDxfId="17"/>
    <tableColumn id="2" xr3:uid="{00000000-0010-0000-0E00-000002000000}" name="Unité" totalsRowLabel="g" dataDxfId="12" totalsRowDxfId="16">
      <calculatedColumnFormula>IFERROR(VLOOKUP(R_Biscuits_FourretoutG[[#This Row],[Ingrédients]],T_ingrédients[],3,0),"")</calculatedColumnFormula>
    </tableColumn>
    <tableColumn id="3" xr3:uid="{00000000-0010-0000-0E00-000003000000}" name="10" totalsRowFunction="sum" dataDxfId="1051" totalsRowDxfId="15" dataCellStyle="Milliers"/>
    <tableColumn id="4" xr3:uid="{00000000-0010-0000-0E00-000004000000}" name="20" totalsRowFunction="sum" dataDxfId="1050" totalsRowDxfId="14" dataCellStyle="Milliers"/>
    <tableColumn id="5" xr3:uid="{00000000-0010-0000-0E00-000005000000}" name="40" totalsRowFunction="sum" dataDxfId="1049" totalsRowDxfId="13" dataCellStyle="Milliers"/>
  </tableColumns>
  <tableStyleInfo name="TableStyleLight6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0F000000}" name="R_Palets_BretonsCVC" displayName="R_Palets_BretonsCVC" ref="C51:G62" totalsRowCount="1" headerRowDxfId="1048" dataDxfId="1046" totalsRowDxfId="1044" headerRowBorderDxfId="1047" tableBorderDxfId="1045" totalsRowBorderDxfId="1043">
  <autoFilter ref="C51:G61" xr:uid="{00000000-0009-0000-0100-00003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F00-000001000000}" name="Ingrédients" totalsRowLabel="Total" dataDxfId="1042" totalsRowDxfId="1041"/>
    <tableColumn id="2" xr3:uid="{00000000-0010-0000-0F00-000002000000}" name="Unité" totalsRowLabel="g" dataDxfId="1040" totalsRowDxfId="1039">
      <calculatedColumnFormula>VLOOKUP(R_Palets_BretonsCVC[[#This Row],[Ingrédients]],T_ingrédients[],3,0)</calculatedColumnFormula>
    </tableColumn>
    <tableColumn id="3" xr3:uid="{00000000-0010-0000-0F00-000003000000}" name="6" totalsRowFunction="sum" dataDxfId="1038" totalsRowDxfId="1037" dataCellStyle="Milliers"/>
    <tableColumn id="4" xr3:uid="{00000000-0010-0000-0F00-000004000000}" name="12" totalsRowFunction="sum" dataDxfId="1036" totalsRowDxfId="1035" dataCellStyle="Milliers"/>
    <tableColumn id="5" xr3:uid="{00000000-0010-0000-0F00-000005000000}" name="24" totalsRowFunction="sum" dataDxfId="1034" totalsRowDxfId="1033" dataCellStyle="Milliers"/>
  </tableColumns>
  <tableStyleInfo name="TableStyleLight6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0000000}" name="R_Palets_BretonsFT" displayName="R_Palets_BretonsFT" ref="J51:N60" totalsRowCount="1" headerRowDxfId="1032" dataDxfId="1030" totalsRowDxfId="1028" headerRowBorderDxfId="1031" tableBorderDxfId="1029" totalsRowBorderDxfId="1027">
  <autoFilter ref="J51:N59" xr:uid="{00000000-0009-0000-0100-000032000000}"/>
  <tableColumns count="5">
    <tableColumn id="1" xr3:uid="{00000000-0010-0000-1000-000001000000}" name="Ingrédients" totalsRowLabel="Total" dataDxfId="1026" totalsRowDxfId="1025"/>
    <tableColumn id="2" xr3:uid="{00000000-0010-0000-1000-000002000000}" name="Unité" totalsRowLabel="g" dataDxfId="1024" totalsRowDxfId="1023">
      <calculatedColumnFormula>VLOOKUP(R_Palets_BretonsFT[[#This Row],[Ingrédients]],T_ingrédients[],3,0)</calculatedColumnFormula>
    </tableColumn>
    <tableColumn id="3" xr3:uid="{00000000-0010-0000-1000-000003000000}" name="6" totalsRowFunction="sum" dataDxfId="1022" totalsRowDxfId="1021" dataCellStyle="Milliers"/>
    <tableColumn id="4" xr3:uid="{00000000-0010-0000-1000-000004000000}" name="12" totalsRowFunction="sum" dataDxfId="1020" totalsRowDxfId="1019" dataCellStyle="Milliers"/>
    <tableColumn id="5" xr3:uid="{00000000-0010-0000-1000-000005000000}" name="24" totalsRowFunction="sum" dataDxfId="1018" totalsRowDxfId="1017" dataCellStyle="Milliers"/>
  </tableColumns>
  <tableStyleInfo name="TableStyleLight6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1000000}" name="R_Babkas_CannelleP" displayName="R_Babkas_CannelleP" ref="C4:G21" totalsRowCount="1" headerRowDxfId="1016" dataDxfId="1014" totalsRowDxfId="1012" headerRowBorderDxfId="1015" tableBorderDxfId="1013" totalsRowBorderDxfId="1011">
  <autoFilter ref="C4:G20" xr:uid="{00000000-0009-0000-0100-000018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100-000001000000}" name="Ingrédients" totalsRowLabel="Total" dataDxfId="1010" totalsRowDxfId="1009"/>
    <tableColumn id="2" xr3:uid="{00000000-0010-0000-1100-000002000000}" name="Unité" totalsRowLabel="g" dataDxfId="1008" totalsRowDxfId="1007">
      <calculatedColumnFormula>VLOOKUP(R_Babkas_CannelleP[[#This Row],[Ingrédients]],T_ingrédients[],3,0)</calculatedColumnFormula>
    </tableColumn>
    <tableColumn id="3" xr3:uid="{00000000-0010-0000-1100-000003000000}" name="6" totalsRowFunction="sum" dataDxfId="1006" totalsRowDxfId="1005" dataCellStyle="Milliers"/>
    <tableColumn id="4" xr3:uid="{00000000-0010-0000-1100-000004000000}" name="12" totalsRowFunction="sum" dataDxfId="1004" totalsRowDxfId="1003" dataCellStyle="Milliers"/>
    <tableColumn id="5" xr3:uid="{00000000-0010-0000-1100-000005000000}" name="18" totalsRowFunction="sum" dataDxfId="1002" totalsRowDxfId="1001" dataCellStyle="Milliers"/>
  </tableColumns>
  <tableStyleInfo name="TableStyleLight6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12000000}" name="R_Scones_Amandes" displayName="R_Scones_Amandes" ref="C66:G84" totalsRowCount="1" headerRowDxfId="1000" dataDxfId="998" totalsRowDxfId="996" headerRowBorderDxfId="999" tableBorderDxfId="997" totalsRowBorderDxfId="995">
  <autoFilter ref="C66:G83" xr:uid="{00000000-0009-0000-0100-00001A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200-000001000000}" name="Ingrédients" totalsRowLabel="Total" dataDxfId="994" totalsRowDxfId="993"/>
    <tableColumn id="2" xr3:uid="{00000000-0010-0000-1200-000002000000}" name="Unité" totalsRowLabel="g" dataDxfId="992" totalsRowDxfId="991">
      <calculatedColumnFormula>VLOOKUP(R_Scones_Amandes[[#This Row],[Ingrédients]],T_ingrédients[],3,0)</calculatedColumnFormula>
    </tableColumn>
    <tableColumn id="3" xr3:uid="{00000000-0010-0000-1200-000003000000}" name="6" totalsRowFunction="sum" dataDxfId="990" totalsRowDxfId="989" dataCellStyle="Milliers"/>
    <tableColumn id="4" xr3:uid="{00000000-0010-0000-1200-000004000000}" name="12" totalsRowFunction="sum" dataDxfId="988" totalsRowDxfId="987" dataCellStyle="Milliers"/>
    <tableColumn id="5" xr3:uid="{00000000-0010-0000-1200-000005000000}" name="18" totalsRowFunction="sum" dataDxfId="986" totalsRowDxfId="985" dataCellStyle="Milliers"/>
  </tableColumns>
  <tableStyleInfo name="TableStyleLight6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3000000}" name="TR_Modèle91628" displayName="TR_Modèle91628" ref="C89:G118" totalsRowCount="1" headerRowDxfId="984" dataDxfId="982" totalsRowDxfId="980" headerRowBorderDxfId="983" tableBorderDxfId="981" totalsRowBorderDxfId="979">
  <autoFilter ref="C89:G117" xr:uid="{00000000-0009-0000-0100-00001B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300-000001000000}" name="Ingrédients" totalsRowLabel="Total" dataDxfId="978" totalsRowDxfId="977"/>
    <tableColumn id="2" xr3:uid="{00000000-0010-0000-1300-000002000000}" name="Unité" totalsRowLabel="g" dataDxfId="976" totalsRowDxfId="975">
      <calculatedColumnFormula>VLOOKUP(TR_Modèle91628[[#This Row],[Ingrédients]],T_ingrédients[],3,0)</calculatedColumnFormula>
    </tableColumn>
    <tableColumn id="3" xr3:uid="{00000000-0010-0000-1300-000003000000}" name="Colonne1" totalsRowFunction="sum" dataDxfId="974" totalsRowDxfId="973" dataCellStyle="Milliers"/>
    <tableColumn id="4" xr3:uid="{00000000-0010-0000-1300-000004000000}" name="Colonne2" totalsRowFunction="sum" dataDxfId="972" totalsRowDxfId="971" dataCellStyle="Milliers"/>
    <tableColumn id="5" xr3:uid="{00000000-0010-0000-1300-000005000000}" name="Colonne3" totalsRowFunction="sum" dataDxfId="970" totalsRowDxfId="969" dataCellStyle="Milliers"/>
  </tableColumns>
  <tableStyleInfo name="TableStyleLight6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4000000}" name="TR_Modèle91729" displayName="TR_Modèle91729" ref="C123:G152" totalsRowCount="1" headerRowDxfId="968" dataDxfId="966" totalsRowDxfId="964" headerRowBorderDxfId="967" tableBorderDxfId="965" totalsRowBorderDxfId="963">
  <autoFilter ref="C123:G151" xr:uid="{00000000-0009-0000-0100-00001C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400-000001000000}" name="Ingrédients" totalsRowLabel="Total" dataDxfId="962" totalsRowDxfId="961"/>
    <tableColumn id="2" xr3:uid="{00000000-0010-0000-1400-000002000000}" name="Unité" totalsRowLabel="g" dataDxfId="960" totalsRowDxfId="959">
      <calculatedColumnFormula>VLOOKUP(TR_Modèle91729[[#This Row],[Ingrédients]],T_ingrédients[],3,0)</calculatedColumnFormula>
    </tableColumn>
    <tableColumn id="3" xr3:uid="{00000000-0010-0000-1400-000003000000}" name="Colonne1" totalsRowFunction="sum" dataDxfId="958" totalsRowDxfId="957" dataCellStyle="Milliers"/>
    <tableColumn id="4" xr3:uid="{00000000-0010-0000-1400-000004000000}" name="Colonne2" totalsRowFunction="sum" dataDxfId="956" totalsRowDxfId="955" dataCellStyle="Milliers"/>
    <tableColumn id="5" xr3:uid="{00000000-0010-0000-1400-000005000000}" name="Colonne3" totalsRowFunction="sum" dataDxfId="954" totalsRowDxfId="953" dataCellStyle="Milliers"/>
  </tableColumns>
  <tableStyleInfo name="TableStyleLight6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5000000}" name="TR_Modèle91830" displayName="TR_Modèle91830" ref="C157:G186" totalsRowCount="1" headerRowDxfId="952" dataDxfId="950" totalsRowDxfId="948" headerRowBorderDxfId="951" tableBorderDxfId="949" totalsRowBorderDxfId="947">
  <autoFilter ref="C157:G185" xr:uid="{00000000-0009-0000-0100-00001D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500-000001000000}" name="Ingrédients" totalsRowLabel="Total" dataDxfId="946" totalsRowDxfId="945"/>
    <tableColumn id="2" xr3:uid="{00000000-0010-0000-1500-000002000000}" name="Unité" totalsRowLabel="g" dataDxfId="944" totalsRowDxfId="943">
      <calculatedColumnFormula>VLOOKUP(TR_Modèle91830[[#This Row],[Ingrédients]],T_ingrédients[],3,0)</calculatedColumnFormula>
    </tableColumn>
    <tableColumn id="3" xr3:uid="{00000000-0010-0000-1500-000003000000}" name="Colonne1" totalsRowFunction="sum" dataDxfId="942" totalsRowDxfId="941" dataCellStyle="Milliers"/>
    <tableColumn id="4" xr3:uid="{00000000-0010-0000-1500-000004000000}" name="Colonne2" totalsRowFunction="sum" dataDxfId="940" totalsRowDxfId="939" dataCellStyle="Milliers"/>
    <tableColumn id="5" xr3:uid="{00000000-0010-0000-1500-000005000000}" name="Colonne3" totalsRowFunction="sum" dataDxfId="938" totalsRowDxfId="937" dataCellStyle="Milliers"/>
  </tableColumns>
  <tableStyleInfo name="TableStyleLight6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16000000}" name="TR_Modèle91931" displayName="TR_Modèle91931" ref="C191:G220" totalsRowCount="1" headerRowDxfId="936" dataDxfId="934" totalsRowDxfId="932" headerRowBorderDxfId="935" tableBorderDxfId="933" totalsRowBorderDxfId="931">
  <autoFilter ref="C191:G219" xr:uid="{00000000-0009-0000-0100-00001E000000}"/>
  <tableColumns count="5">
    <tableColumn id="1" xr3:uid="{00000000-0010-0000-1600-000001000000}" name="Ingrédients" totalsRowLabel="Total" dataDxfId="930" totalsRowDxfId="929"/>
    <tableColumn id="2" xr3:uid="{00000000-0010-0000-1600-000002000000}" name="Unité" totalsRowLabel="g" dataDxfId="928" totalsRowDxfId="927">
      <calculatedColumnFormula>VLOOKUP(TR_Modèle91931[[#This Row],[Ingrédients]],T_ingrédients[],3,0)</calculatedColumnFormula>
    </tableColumn>
    <tableColumn id="3" xr3:uid="{00000000-0010-0000-1600-000003000000}" name="Colonne1" totalsRowFunction="sum" dataDxfId="926" totalsRowDxfId="925" dataCellStyle="Milliers"/>
    <tableColumn id="4" xr3:uid="{00000000-0010-0000-1600-000004000000}" name="Colonne2" totalsRowFunction="sum" dataDxfId="924" totalsRowDxfId="923" dataCellStyle="Milliers"/>
    <tableColumn id="5" xr3:uid="{00000000-0010-0000-1600-000005000000}" name="Colonne3" totalsRowFunction="sum" dataDxfId="922" totalsRowDxfId="921" dataCellStyle="Milliers"/>
  </tableColumns>
  <tableStyleInfo name="TableStyleLight6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17000000}" name="TR_Modèle92032" displayName="TR_Modèle92032" ref="C225:G254" totalsRowCount="1" headerRowDxfId="920" dataDxfId="918" totalsRowDxfId="916" headerRowBorderDxfId="919" tableBorderDxfId="917" totalsRowBorderDxfId="915">
  <autoFilter ref="C225:G253" xr:uid="{00000000-0009-0000-0100-00001F000000}"/>
  <tableColumns count="5">
    <tableColumn id="1" xr3:uid="{00000000-0010-0000-1700-000001000000}" name="Ingrédients" totalsRowLabel="Total" dataDxfId="914" totalsRowDxfId="913"/>
    <tableColumn id="2" xr3:uid="{00000000-0010-0000-1700-000002000000}" name="Unité" totalsRowLabel="g" dataDxfId="912" totalsRowDxfId="911">
      <calculatedColumnFormula>VLOOKUP(TR_Modèle92032[[#This Row],[Ingrédients]],T_ingrédients[],3,0)</calculatedColumnFormula>
    </tableColumn>
    <tableColumn id="3" xr3:uid="{00000000-0010-0000-1700-000003000000}" name="Colonne1" totalsRowFunction="sum" dataDxfId="910" totalsRowDxfId="909" dataCellStyle="Milliers"/>
    <tableColumn id="4" xr3:uid="{00000000-0010-0000-1700-000004000000}" name="Colonne2" totalsRowFunction="sum" dataDxfId="908" totalsRowDxfId="907" dataCellStyle="Milliers"/>
    <tableColumn id="5" xr3:uid="{00000000-0010-0000-1700-000005000000}" name="Colonne3" totalsRowFunction="sum" dataDxfId="906" totalsRowDxfId="905" dataCellStyle="Milliers"/>
  </tableColumns>
  <tableStyleInfo name="TableStyleLight6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18000000}" name="TR_Modèle92133" displayName="TR_Modèle92133" ref="C259:G288" totalsRowCount="1" headerRowDxfId="904" dataDxfId="902" totalsRowDxfId="900" headerRowBorderDxfId="903" tableBorderDxfId="901" totalsRowBorderDxfId="899">
  <autoFilter ref="C259:G287" xr:uid="{00000000-0009-0000-0100-000020000000}"/>
  <tableColumns count="5">
    <tableColumn id="1" xr3:uid="{00000000-0010-0000-1800-000001000000}" name="Ingrédients" totalsRowLabel="Total" dataDxfId="898" totalsRowDxfId="897"/>
    <tableColumn id="2" xr3:uid="{00000000-0010-0000-1800-000002000000}" name="Unité" totalsRowLabel="g" dataDxfId="896" totalsRowDxfId="895">
      <calculatedColumnFormula>VLOOKUP(TR_Modèle92133[[#This Row],[Ingrédients]],T_ingrédients[],3,0)</calculatedColumnFormula>
    </tableColumn>
    <tableColumn id="3" xr3:uid="{00000000-0010-0000-1800-000003000000}" name="Colonne1" totalsRowFunction="sum" dataDxfId="894" totalsRowDxfId="893" dataCellStyle="Milliers"/>
    <tableColumn id="4" xr3:uid="{00000000-0010-0000-1800-000004000000}" name="Colonne2" totalsRowFunction="sum" dataDxfId="892" totalsRowDxfId="891" dataCellStyle="Milliers"/>
    <tableColumn id="5" xr3:uid="{00000000-0010-0000-1800-000005000000}" name="Colonne3" totalsRowFunction="sum" dataDxfId="890" totalsRowDxfId="889" dataCellStyle="Milliers"/>
  </tableColumns>
  <tableStyleInfo name="TableStyleLight6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19000000}" name="TR_Modèle92234" displayName="TR_Modèle92234" ref="C293:G322" totalsRowCount="1" headerRowDxfId="888" dataDxfId="886" totalsRowDxfId="884" headerRowBorderDxfId="887" tableBorderDxfId="885" totalsRowBorderDxfId="883">
  <autoFilter ref="C293:G321" xr:uid="{00000000-0009-0000-0100-000021000000}"/>
  <tableColumns count="5">
    <tableColumn id="1" xr3:uid="{00000000-0010-0000-1900-000001000000}" name="Ingrédients" totalsRowLabel="Total" dataDxfId="882" totalsRowDxfId="881"/>
    <tableColumn id="2" xr3:uid="{00000000-0010-0000-1900-000002000000}" name="Unité" totalsRowLabel="g" dataDxfId="880" totalsRowDxfId="879">
      <calculatedColumnFormula>VLOOKUP(TR_Modèle92234[[#This Row],[Ingrédients]],T_ingrédients[],3,0)</calculatedColumnFormula>
    </tableColumn>
    <tableColumn id="3" xr3:uid="{00000000-0010-0000-1900-000003000000}" name="Colonne1" totalsRowFunction="sum" dataDxfId="878" totalsRowDxfId="877" dataCellStyle="Milliers"/>
    <tableColumn id="4" xr3:uid="{00000000-0010-0000-1900-000004000000}" name="Colonne2" totalsRowFunction="sum" dataDxfId="876" totalsRowDxfId="875" dataCellStyle="Milliers"/>
    <tableColumn id="5" xr3:uid="{00000000-0010-0000-1900-000005000000}" name="Colonne3" totalsRowFunction="sum" dataDxfId="874" totalsRowDxfId="873" dataCellStyle="Milliers"/>
  </tableColumns>
  <tableStyleInfo name="TableStyleLight6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1A000000}" name="TR_Modèle92335" displayName="TR_Modèle92335" ref="C327:G356" totalsRowCount="1" headerRowDxfId="872" dataDxfId="870" totalsRowDxfId="868" headerRowBorderDxfId="871" tableBorderDxfId="869" totalsRowBorderDxfId="867">
  <autoFilter ref="C327:G355" xr:uid="{00000000-0009-0000-0100-000022000000}"/>
  <tableColumns count="5">
    <tableColumn id="1" xr3:uid="{00000000-0010-0000-1A00-000001000000}" name="Ingrédients" totalsRowLabel="Total" dataDxfId="866" totalsRowDxfId="865"/>
    <tableColumn id="2" xr3:uid="{00000000-0010-0000-1A00-000002000000}" name="Unité" totalsRowLabel="g" dataDxfId="864" totalsRowDxfId="863">
      <calculatedColumnFormula>VLOOKUP(TR_Modèle92335[[#This Row],[Ingrédients]],T_ingrédients[],3,0)</calculatedColumnFormula>
    </tableColumn>
    <tableColumn id="3" xr3:uid="{00000000-0010-0000-1A00-000003000000}" name="Colonne1" totalsRowFunction="sum" dataDxfId="862" totalsRowDxfId="861" dataCellStyle="Milliers"/>
    <tableColumn id="4" xr3:uid="{00000000-0010-0000-1A00-000004000000}" name="Colonne2" totalsRowFunction="sum" dataDxfId="860" totalsRowDxfId="859" dataCellStyle="Milliers"/>
    <tableColumn id="5" xr3:uid="{00000000-0010-0000-1A00-000005000000}" name="Colonne3" totalsRowFunction="sum" dataDxfId="858" totalsRowDxfId="857" dataCellStyle="Milliers"/>
  </tableColumns>
  <tableStyleInfo name="TableStyleLight6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B000000}" name="R_Babkas_CaramelP" displayName="R_Babkas_CaramelP" ref="C26:G41" totalsRowCount="1" headerRowDxfId="856" dataDxfId="854" totalsRowDxfId="852" headerRowBorderDxfId="855" tableBorderDxfId="853" totalsRowBorderDxfId="851">
  <autoFilter ref="C26:G40" xr:uid="{00000000-0009-0000-0100-000033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B00-000001000000}" name="Ingrédients" totalsRowLabel="Total" dataDxfId="850" totalsRowDxfId="5"/>
    <tableColumn id="2" xr3:uid="{00000000-0010-0000-1B00-000002000000}" name="Unité" totalsRowLabel="g" dataDxfId="0" totalsRowDxfId="4">
      <calculatedColumnFormula>IFERROR(VLOOKUP(R_Babkas_CaramelP[[#This Row],[Ingrédients]],T_ingrédients[],3,0),"")</calculatedColumnFormula>
    </tableColumn>
    <tableColumn id="3" xr3:uid="{00000000-0010-0000-1B00-000003000000}" name="6" totalsRowFunction="sum" dataDxfId="849" totalsRowDxfId="3" dataCellStyle="Milliers"/>
    <tableColumn id="4" xr3:uid="{00000000-0010-0000-1B00-000004000000}" name="12" totalsRowFunction="sum" dataDxfId="848" totalsRowDxfId="2" dataCellStyle="Milliers"/>
    <tableColumn id="5" xr3:uid="{00000000-0010-0000-1B00-000005000000}" name="18" totalsRowFunction="sum" dataDxfId="847" totalsRowDxfId="1" dataCellStyle="Milliers"/>
  </tableColumns>
  <tableStyleInfo name="TableStyleLight6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C000000}" name="R_Babkas_NocciolataN" displayName="R_Babkas_NocciolataN" ref="C46:G61" totalsRowCount="1" headerRowDxfId="846" dataDxfId="844" totalsRowDxfId="842" headerRowBorderDxfId="845" tableBorderDxfId="843" totalsRowBorderDxfId="841">
  <autoFilter ref="C46:G60" xr:uid="{00000000-0009-0000-0100-000034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C00-000001000000}" name="Ingrédients" totalsRowLabel="Total" dataDxfId="840" totalsRowDxfId="839"/>
    <tableColumn id="2" xr3:uid="{00000000-0010-0000-1C00-000002000000}" name="Unité" totalsRowLabel="g" dataDxfId="838" totalsRowDxfId="837">
      <calculatedColumnFormula>VLOOKUP(R_Babkas_NocciolataN[[#This Row],[Ingrédients]],T_ingrédients[],3,0)</calculatedColumnFormula>
    </tableColumn>
    <tableColumn id="3" xr3:uid="{00000000-0010-0000-1C00-000003000000}" name="6" totalsRowFunction="sum" dataDxfId="836" totalsRowDxfId="835" dataCellStyle="Milliers"/>
    <tableColumn id="4" xr3:uid="{00000000-0010-0000-1C00-000004000000}" name="12" totalsRowFunction="sum" dataDxfId="834" totalsRowDxfId="833" dataCellStyle="Milliers"/>
    <tableColumn id="5" xr3:uid="{00000000-0010-0000-1C00-000005000000}" name="18" totalsRowFunction="sum" dataDxfId="832" totalsRowDxfId="831" dataCellStyle="Milliers"/>
  </tableColumns>
  <tableStyleInfo name="TableStyleLight6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1D000000}" name="R_Cake_Marrons" displayName="R_Cake_Marrons" ref="C48:G60" totalsRowCount="1" headerRowDxfId="830" dataDxfId="829" totalsRowDxfId="827" tableBorderDxfId="828" totalsRowBorderDxfId="826">
  <autoFilter ref="C48:G59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D00-000001000000}" name="Ingrédients" totalsRowLabel="Total" dataDxfId="825" totalsRowDxfId="824"/>
    <tableColumn id="2" xr3:uid="{00000000-0010-0000-1D00-000002000000}" name="Unité" totalsRowLabel="g" dataDxfId="823" totalsRowDxfId="822">
      <calculatedColumnFormula>VLOOKUP(R_Cake_Marrons[[#This Row],[Ingrédients]],T_ingrédients[],3,0)</calculatedColumnFormula>
    </tableColumn>
    <tableColumn id="3" xr3:uid="{00000000-0010-0000-1D00-000003000000}" name="1000" totalsRowFunction="sum" dataDxfId="821" totalsRowDxfId="820" dataCellStyle="Milliers"/>
    <tableColumn id="4" xr3:uid="{00000000-0010-0000-1D00-000004000000}" name="1800" totalsRowFunction="sum" dataDxfId="819" totalsRowDxfId="818" dataCellStyle="Milliers"/>
    <tableColumn id="5" xr3:uid="{00000000-0010-0000-1D00-000005000000}" name="2400" totalsRowFunction="sum" dataDxfId="817" totalsRowDxfId="816" dataCellStyle="Milliers"/>
  </tableColumns>
  <tableStyleInfo name="TableStyleLight6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E000000}" name="R_Banana_Bread" displayName="R_Banana_Bread" ref="C4:G20" totalsRowCount="1" headerRowDxfId="815" dataDxfId="813" totalsRowDxfId="811" headerRowBorderDxfId="814" tableBorderDxfId="812" totalsRowBorderDxfId="810">
  <autoFilter ref="C4:G19" xr:uid="{00000000-0009-0000-0100-000035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E00-000001000000}" name="Ingrédients" totalsRowLabel="Total" dataDxfId="809" totalsRowDxfId="808"/>
    <tableColumn id="2" xr3:uid="{00000000-0010-0000-1E00-000002000000}" name="Unité" totalsRowLabel="g" dataDxfId="807" totalsRowDxfId="806">
      <calculatedColumnFormula>VLOOKUP(R_Banana_Bread[[#This Row],[Ingrédients]],T_ingrédients[],3,0)</calculatedColumnFormula>
    </tableColumn>
    <tableColumn id="3" xr3:uid="{00000000-0010-0000-1E00-000003000000}" name="1000" totalsRowFunction="sum" dataDxfId="805" totalsRowDxfId="804" dataCellStyle="Milliers"/>
    <tableColumn id="4" xr3:uid="{00000000-0010-0000-1E00-000004000000}" name="1800" totalsRowFunction="sum" dataDxfId="803" totalsRowDxfId="802" dataCellStyle="Milliers"/>
    <tableColumn id="5" xr3:uid="{00000000-0010-0000-1E00-000005000000}" name="2400" totalsRowFunction="sum" dataDxfId="801" totalsRowDxfId="800" dataCellStyle="Milliers"/>
  </tableColumns>
  <tableStyleInfo name="TableStyleLight6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00000000-000C-0000-FFFF-FFFF1F000000}" name="R_Cake_Orange" displayName="R_Cake_Orange" ref="C25:G43" totalsRowCount="1" headerRowDxfId="799" dataDxfId="797" totalsRowDxfId="795" headerRowBorderDxfId="798" tableBorderDxfId="796" totalsRowBorderDxfId="794">
  <autoFilter ref="C25:G42" xr:uid="{00000000-0009-0000-0100-000036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1F00-000001000000}" name="Ingrédients" totalsRowLabel="Total" dataDxfId="793" totalsRowDxfId="792"/>
    <tableColumn id="2" xr3:uid="{00000000-0010-0000-1F00-000002000000}" name="Unité" totalsRowLabel="g" dataDxfId="791" totalsRowDxfId="790">
      <calculatedColumnFormula>VLOOKUP(R_Cake_Orange[[#This Row],[Ingrédients]],T_ingrédients[],3,0)</calculatedColumnFormula>
    </tableColumn>
    <tableColumn id="3" xr3:uid="{00000000-0010-0000-1F00-000003000000}" name="1000" totalsRowFunction="sum" dataDxfId="789" totalsRowDxfId="788" dataCellStyle="Milliers"/>
    <tableColumn id="4" xr3:uid="{00000000-0010-0000-1F00-000004000000}" name="1800" totalsRowFunction="sum" dataDxfId="787" totalsRowDxfId="786" dataCellStyle="Milliers"/>
    <tableColumn id="5" xr3:uid="{00000000-0010-0000-1F00-000005000000}" name="2400" totalsRowFunction="sum" dataDxfId="785" totalsRowDxfId="784" dataCellStyle="Milliers"/>
  </tableColumns>
  <tableStyleInfo name="TableStyleLight6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00000000-000C-0000-FFFF-FFFF20000000}" name="R_Cake_Pavot_Vanille" displayName="R_Cake_Pavot_Vanille" ref="C65:G77" totalsRowCount="1" headerRowDxfId="783" dataDxfId="781" totalsRowDxfId="779" headerRowBorderDxfId="782" tableBorderDxfId="780" totalsRowBorderDxfId="778">
  <autoFilter ref="C65:G76" xr:uid="{00000000-0009-0000-0100-000037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000-000001000000}" name="Ingrédients" totalsRowLabel="Total" dataDxfId="777" totalsRowDxfId="776"/>
    <tableColumn id="2" xr3:uid="{00000000-0010-0000-2000-000002000000}" name="Unité" totalsRowLabel="g" dataDxfId="775" totalsRowDxfId="774">
      <calculatedColumnFormula>VLOOKUP(R_Cake_Pavot_Vanille[[#This Row],[Ingrédients]],T_ingrédients[],3,0)</calculatedColumnFormula>
    </tableColumn>
    <tableColumn id="3" xr3:uid="{00000000-0010-0000-2000-000003000000}" name="1000" totalsRowFunction="sum" dataDxfId="773" totalsRowDxfId="772" dataCellStyle="Milliers"/>
    <tableColumn id="4" xr3:uid="{00000000-0010-0000-2000-000004000000}" name="1800" totalsRowFunction="sum" dataDxfId="771" totalsRowDxfId="770" dataCellStyle="Milliers"/>
    <tableColumn id="5" xr3:uid="{00000000-0010-0000-2000-000005000000}" name="2400" totalsRowFunction="sum" dataDxfId="769" totalsRowDxfId="768" dataCellStyle="Milliers"/>
  </tableColumns>
  <tableStyleInfo name="TableStyleLight6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00000000-000C-0000-FFFF-FFFF21000000}" name="R_Marbré_Chocolat" displayName="R_Marbré_Chocolat" ref="C82:G95" totalsRowCount="1" headerRowDxfId="767" dataDxfId="765" totalsRowDxfId="763" headerRowBorderDxfId="766" tableBorderDxfId="764" totalsRowBorderDxfId="762">
  <autoFilter ref="C82:G94" xr:uid="{00000000-0009-0000-0100-000038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100-000001000000}" name="Ingrédients" totalsRowLabel="Total" dataDxfId="761" totalsRowDxfId="760"/>
    <tableColumn id="2" xr3:uid="{00000000-0010-0000-2100-000002000000}" name="Unité" totalsRowLabel="g" dataDxfId="759" totalsRowDxfId="758">
      <calculatedColumnFormula>VLOOKUP(R_Marbré_Chocolat[[#This Row],[Ingrédients]],T_ingrédients[],3,0)</calculatedColumnFormula>
    </tableColumn>
    <tableColumn id="3" xr3:uid="{00000000-0010-0000-2100-000003000000}" name="1000" totalsRowFunction="sum" dataDxfId="757" totalsRowDxfId="756" dataCellStyle="Milliers"/>
    <tableColumn id="4" xr3:uid="{00000000-0010-0000-2100-000004000000}" name="1800" totalsRowFunction="sum" dataDxfId="755" totalsRowDxfId="754" dataCellStyle="Milliers"/>
    <tableColumn id="5" xr3:uid="{00000000-0010-0000-2100-000005000000}" name="2400" totalsRowFunction="sum" dataDxfId="753" totalsRowDxfId="752" dataCellStyle="Milliers"/>
  </tableColumns>
  <tableStyleInfo name="TableStyleLight6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00000000-000C-0000-FFFF-FFFF22000000}" name="TR_Modèle9193158" displayName="TR_Modèle9193158" ref="C100:G129" totalsRowCount="1" headerRowDxfId="751" dataDxfId="749" totalsRowDxfId="747" headerRowBorderDxfId="750" tableBorderDxfId="748" totalsRowBorderDxfId="746">
  <autoFilter ref="C100:G128" xr:uid="{00000000-0009-0000-0100-000039000000}"/>
  <tableColumns count="5">
    <tableColumn id="1" xr3:uid="{00000000-0010-0000-2200-000001000000}" name="Ingrédients" totalsRowLabel="Total" dataDxfId="745" totalsRowDxfId="744"/>
    <tableColumn id="2" xr3:uid="{00000000-0010-0000-2200-000002000000}" name="Unité" totalsRowLabel="g" dataDxfId="743" totalsRowDxfId="742">
      <calculatedColumnFormula>VLOOKUP(TR_Modèle9193158[[#This Row],[Ingrédients]],T_ingrédients[],3,0)</calculatedColumnFormula>
    </tableColumn>
    <tableColumn id="3" xr3:uid="{00000000-0010-0000-2200-000003000000}" name="1000" totalsRowFunction="sum" dataDxfId="741" totalsRowDxfId="740" dataCellStyle="Milliers"/>
    <tableColumn id="4" xr3:uid="{00000000-0010-0000-2200-000004000000}" name="1800" totalsRowFunction="sum" dataDxfId="739" totalsRowDxfId="738" dataCellStyle="Milliers"/>
    <tableColumn id="5" xr3:uid="{00000000-0010-0000-2200-000005000000}" name="2400" totalsRowFunction="sum" dataDxfId="737" totalsRowDxfId="736" dataCellStyle="Milliers"/>
  </tableColumns>
  <tableStyleInfo name="TableStyleLight6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00000000-000C-0000-FFFF-FFFF23000000}" name="TR_Modèle9203259" displayName="TR_Modèle9203259" ref="C134:G163" totalsRowCount="1" headerRowDxfId="735" dataDxfId="733" totalsRowDxfId="731" headerRowBorderDxfId="734" tableBorderDxfId="732" totalsRowBorderDxfId="730">
  <autoFilter ref="C134:G162" xr:uid="{00000000-0009-0000-0100-00003A000000}"/>
  <tableColumns count="5">
    <tableColumn id="1" xr3:uid="{00000000-0010-0000-2300-000001000000}" name="Ingrédients" totalsRowLabel="Total" dataDxfId="729" totalsRowDxfId="728"/>
    <tableColumn id="2" xr3:uid="{00000000-0010-0000-2300-000002000000}" name="Unité" totalsRowLabel="g" dataDxfId="727" totalsRowDxfId="726">
      <calculatedColumnFormula>VLOOKUP(TR_Modèle9203259[[#This Row],[Ingrédients]],T_ingrédients[],3,0)</calculatedColumnFormula>
    </tableColumn>
    <tableColumn id="3" xr3:uid="{00000000-0010-0000-2300-000003000000}" name="Colonne1" totalsRowFunction="sum" dataDxfId="725" totalsRowDxfId="724" dataCellStyle="Milliers"/>
    <tableColumn id="4" xr3:uid="{00000000-0010-0000-2300-000004000000}" name="Colonne2" totalsRowFunction="sum" dataDxfId="723" totalsRowDxfId="722" dataCellStyle="Milliers"/>
    <tableColumn id="5" xr3:uid="{00000000-0010-0000-2300-000005000000}" name="Colonne3" totalsRowFunction="sum" dataDxfId="721" totalsRowDxfId="720" dataCellStyle="Milliers"/>
  </tableColumns>
  <tableStyleInfo name="TableStyleLight6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24000000}" name="R_CookieSG_cacahuètes" displayName="R_CookieSG_cacahuètes" ref="C103:G114" totalsRowCount="1" headerRowDxfId="719" dataDxfId="718" totalsRowDxfId="716" tableBorderDxfId="717" totalsRowBorderDxfId="715">
  <autoFilter ref="C103:G113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400-000001000000}" name="Ingrédients" totalsRowLabel="Total" dataDxfId="714" totalsRowDxfId="23"/>
    <tableColumn id="2" xr3:uid="{00000000-0010-0000-2400-000002000000}" name="Unité" totalsRowLabel="g" dataDxfId="18" totalsRowDxfId="22">
      <calculatedColumnFormula>IFERROR(VLOOKUP(R_CookieSG_cacahuètes[[#This Row],[Ingrédients]],T_ingrédients[],3,0),"")</calculatedColumnFormula>
    </tableColumn>
    <tableColumn id="3" xr3:uid="{00000000-0010-0000-2400-000003000000}" name="6" totalsRowFunction="sum" dataDxfId="713" totalsRowDxfId="21" dataCellStyle="Milliers"/>
    <tableColumn id="4" xr3:uid="{00000000-0010-0000-2400-000004000000}" name="12" totalsRowFunction="sum" dataDxfId="712" totalsRowDxfId="20" dataCellStyle="Milliers"/>
    <tableColumn id="5" xr3:uid="{00000000-0010-0000-2400-000005000000}" name="16" totalsRowFunction="sum" dataDxfId="711" totalsRowDxfId="19" dataCellStyle="Milliers"/>
  </tableColumns>
  <tableStyleInfo name="TableStyleLight6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25000000}" name="R_Cookies_NoisettesCL" displayName="R_Cookies_NoisettesCL" ref="C70:G81" totalsRowCount="1" headerRowDxfId="710" dataDxfId="708" totalsRowDxfId="706" headerRowBorderDxfId="709" tableBorderDxfId="707" totalsRowBorderDxfId="705">
  <autoFilter ref="C70:G80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500-000001000000}" name="Ingrédients" totalsRowLabel="Total" dataDxfId="704" totalsRowDxfId="703"/>
    <tableColumn id="2" xr3:uid="{00000000-0010-0000-2500-000002000000}" name="Unité" totalsRowLabel="g" dataDxfId="702" totalsRowDxfId="701">
      <calculatedColumnFormula>VLOOKUP(R_Cookies_NoisettesCL[[#This Row],[Ingrédients]],T_ingrédients[],3,0)</calculatedColumnFormula>
    </tableColumn>
    <tableColumn id="3" xr3:uid="{00000000-0010-0000-2500-000003000000}" name="6" totalsRowFunction="sum" dataDxfId="700" totalsRowDxfId="699" dataCellStyle="Milliers"/>
    <tableColumn id="4" xr3:uid="{00000000-0010-0000-2500-000004000000}" name="12" totalsRowFunction="sum" dataDxfId="698" totalsRowDxfId="697" dataCellStyle="Milliers"/>
    <tableColumn id="5" xr3:uid="{00000000-0010-0000-2500-000005000000}" name="16" totalsRowFunction="sum" dataDxfId="696" totalsRowDxfId="695" dataCellStyle="Milliers"/>
  </tableColumns>
  <tableStyleInfo name="TableStyleLight6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00000000-000C-0000-FFFF-FFFF26000000}" name="R_Cookies_MatchaCB" displayName="R_Cookies_MatchaCB" ref="C54:G65" totalsRowCount="1" headerRowDxfId="694" dataDxfId="692" totalsRowDxfId="690" headerRowBorderDxfId="693" tableBorderDxfId="691" totalsRowBorderDxfId="689">
  <autoFilter ref="C54:G64" xr:uid="{00000000-0009-0000-0100-00003B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600-000001000000}" name="Ingrédients" totalsRowLabel="Total" dataDxfId="688" totalsRowDxfId="687"/>
    <tableColumn id="2" xr3:uid="{00000000-0010-0000-2600-000002000000}" name="Unité" totalsRowLabel="g" dataDxfId="686" totalsRowDxfId="685">
      <calculatedColumnFormula>VLOOKUP(R_Cookies_MatchaCB[[#This Row],[Ingrédients]],T_ingrédients[],3,0)</calculatedColumnFormula>
    </tableColumn>
    <tableColumn id="3" xr3:uid="{00000000-0010-0000-2600-000003000000}" name="6" totalsRowFunction="sum" dataDxfId="684" totalsRowDxfId="683" dataCellStyle="Milliers"/>
    <tableColumn id="4" xr3:uid="{00000000-0010-0000-2600-000004000000}" name="12" totalsRowFunction="sum" dataDxfId="682" totalsRowDxfId="681" dataCellStyle="Milliers"/>
    <tableColumn id="5" xr3:uid="{00000000-0010-0000-2600-000005000000}" name="16" totalsRowFunction="sum" dataDxfId="680" totalsRowDxfId="679" dataCellStyle="Milliers"/>
  </tableColumns>
  <tableStyleInfo name="TableStyleLight6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00000000-000C-0000-FFFF-FFFF27000000}" name="R_Cookies_AmandesCN" displayName="R_Cookies_AmandesCN" ref="C4:G19" totalsRowCount="1" headerRowDxfId="678" dataDxfId="676" totalsRowDxfId="674" headerRowBorderDxfId="677" tableBorderDxfId="675" totalsRowBorderDxfId="673">
  <autoFilter ref="C4:G18" xr:uid="{00000000-0009-0000-0100-00003C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700-000001000000}" name="Ingrédients" totalsRowLabel="Total" dataDxfId="672" totalsRowDxfId="671"/>
    <tableColumn id="2" xr3:uid="{00000000-0010-0000-2700-000002000000}" name="Unité" totalsRowLabel="g" dataDxfId="670" totalsRowDxfId="669">
      <calculatedColumnFormula>VLOOKUP(R_Cookies_AmandesCN[[#This Row],[Ingrédients]],T_ingrédients[],3,0)</calculatedColumnFormula>
    </tableColumn>
    <tableColumn id="3" xr3:uid="{00000000-0010-0000-2700-000003000000}" name="6" totalsRowFunction="sum" dataDxfId="668" totalsRowDxfId="667" dataCellStyle="Milliers"/>
    <tableColumn id="4" xr3:uid="{00000000-0010-0000-2700-000004000000}" name="12" totalsRowFunction="sum" dataDxfId="666" totalsRowDxfId="665" dataCellStyle="Milliers"/>
    <tableColumn id="5" xr3:uid="{00000000-0010-0000-2700-000005000000}" name="16" totalsRowFunction="sum" dataDxfId="664" totalsRowDxfId="663" dataCellStyle="Milliers"/>
  </tableColumns>
  <tableStyleInfo name="TableStyleLight6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00000000-000C-0000-FFFF-FFFF28000000}" name="R_Cookies_OliveCN" displayName="R_Cookies_OliveCN" ref="C39:G49" totalsRowCount="1" headerRowDxfId="662" dataDxfId="660" totalsRowDxfId="658" headerRowBorderDxfId="661" tableBorderDxfId="659" totalsRowBorderDxfId="657">
  <autoFilter ref="C39:G48" xr:uid="{00000000-0009-0000-0100-00003D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800-000001000000}" name="Ingrédients" totalsRowLabel="Total" dataDxfId="656" totalsRowDxfId="655"/>
    <tableColumn id="2" xr3:uid="{00000000-0010-0000-2800-000002000000}" name="Unité" totalsRowLabel="g" dataDxfId="654" totalsRowDxfId="653">
      <calculatedColumnFormula>VLOOKUP(R_Cookies_OliveCN[[#This Row],[Ingrédients]],T_ingrédients[],3,0)</calculatedColumnFormula>
    </tableColumn>
    <tableColumn id="3" xr3:uid="{00000000-0010-0000-2800-000003000000}" name="6" totalsRowFunction="sum" dataDxfId="652" totalsRowDxfId="651" dataCellStyle="Milliers"/>
    <tableColumn id="4" xr3:uid="{00000000-0010-0000-2800-000004000000}" name="12" totalsRowFunction="sum" dataDxfId="650" totalsRowDxfId="649" dataCellStyle="Milliers"/>
    <tableColumn id="5" xr3:uid="{00000000-0010-0000-2800-000005000000}" name="16" totalsRowFunction="sum" dataDxfId="648" totalsRowDxfId="647" dataCellStyle="Milliers"/>
  </tableColumns>
  <tableStyleInfo name="TableStyleLight6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00000000-000C-0000-FFFF-FFFF29000000}" name="R_CookiesSG_OrangesCN" displayName="R_CookiesSG_OrangesCN" ref="C134:G143" totalsRowCount="1" headerRowDxfId="646" dataDxfId="644" totalsRowDxfId="642" headerRowBorderDxfId="645" tableBorderDxfId="643" totalsRowBorderDxfId="641">
  <autoFilter ref="C134:G142" xr:uid="{00000000-0009-0000-0100-00003E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900-000001000000}" name="Ingrédients" totalsRowLabel="Total" dataDxfId="640" totalsRowDxfId="639"/>
    <tableColumn id="2" xr3:uid="{00000000-0010-0000-2900-000002000000}" name="Unité" totalsRowLabel="g" dataDxfId="638" totalsRowDxfId="637">
      <calculatedColumnFormula>VLOOKUP(R_CookiesSG_OrangesCN[[#This Row],[Ingrédients]],T_ingrédients[],3,0)</calculatedColumnFormula>
    </tableColumn>
    <tableColumn id="3" xr3:uid="{00000000-0010-0000-2900-000003000000}" name="6" totalsRowFunction="sum" dataDxfId="636" totalsRowDxfId="635" dataCellStyle="Milliers"/>
    <tableColumn id="4" xr3:uid="{00000000-0010-0000-2900-000004000000}" name="12" totalsRowFunction="sum" dataDxfId="634" totalsRowDxfId="633" dataCellStyle="Milliers"/>
    <tableColumn id="5" xr3:uid="{00000000-0010-0000-2900-000005000000}" name="16" totalsRowFunction="sum" dataDxfId="632" totalsRowDxfId="631" dataCellStyle="Milliers"/>
  </tableColumns>
  <tableStyleInfo name="TableStyleLight6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00000000-000C-0000-FFFF-FFFF2A000000}" name="R_CookiesSG_CranberriesCB" displayName="R_CookiesSG_CranberriesCB" ref="C119:G129" totalsRowCount="1" headerRowDxfId="630" dataDxfId="628" totalsRowDxfId="626" headerRowBorderDxfId="629" tableBorderDxfId="627" totalsRowBorderDxfId="625">
  <autoFilter ref="C119:G128" xr:uid="{00000000-0009-0000-0100-00003F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A00-000001000000}" name="Ingrédients" totalsRowLabel="Total" dataDxfId="624" totalsRowDxfId="623"/>
    <tableColumn id="2" xr3:uid="{00000000-0010-0000-2A00-000002000000}" name="Unité" totalsRowLabel="g" dataDxfId="622" totalsRowDxfId="621">
      <calculatedColumnFormula>VLOOKUP(R_CookiesSG_CranberriesCB[[#This Row],[Ingrédients]],T_ingrédients[],3,0)</calculatedColumnFormula>
    </tableColumn>
    <tableColumn id="3" xr3:uid="{00000000-0010-0000-2A00-000003000000}" name="6" totalsRowFunction="sum" dataDxfId="620" totalsRowDxfId="619" dataCellStyle="Milliers"/>
    <tableColumn id="4" xr3:uid="{00000000-0010-0000-2A00-000004000000}" name="12" totalsRowFunction="sum" dataDxfId="618" totalsRowDxfId="617" dataCellStyle="Milliers"/>
    <tableColumn id="5" xr3:uid="{00000000-0010-0000-2A00-000005000000}" name="16" totalsRowFunction="sum" dataDxfId="616" totalsRowDxfId="615" dataCellStyle="Milliers"/>
  </tableColumns>
  <tableStyleInfo name="TableStyleLight6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00000000-000C-0000-FFFF-FFFF2B000000}" name="R_Cookies_ClassiquesCN" displayName="R_Cookies_ClassiquesCN" ref="C24:G34" totalsRowCount="1" headerRowDxfId="614" dataDxfId="612" totalsRowDxfId="610" headerRowBorderDxfId="613" tableBorderDxfId="611" totalsRowBorderDxfId="609">
  <autoFilter ref="C24:G33" xr:uid="{00000000-0009-0000-0100-000040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B00-000001000000}" name="Ingrédients" totalsRowLabel="Total" dataDxfId="608" totalsRowDxfId="607"/>
    <tableColumn id="2" xr3:uid="{00000000-0010-0000-2B00-000002000000}" name="Unité" totalsRowLabel="g" dataDxfId="606" totalsRowDxfId="605">
      <calculatedColumnFormula>VLOOKUP(R_Cookies_ClassiquesCN[[#This Row],[Ingrédients]],T_ingrédients[],3,0)</calculatedColumnFormula>
    </tableColumn>
    <tableColumn id="3" xr3:uid="{00000000-0010-0000-2B00-000003000000}" name="6" totalsRowFunction="sum" dataDxfId="604" totalsRowDxfId="603" dataCellStyle="Milliers"/>
    <tableColumn id="4" xr3:uid="{00000000-0010-0000-2B00-000004000000}" name="12" totalsRowFunction="sum" dataDxfId="602" totalsRowDxfId="601" dataCellStyle="Milliers"/>
    <tableColumn id="5" xr3:uid="{00000000-0010-0000-2B00-000005000000}" name="16" totalsRowFunction="sum" dataDxfId="600" totalsRowDxfId="599" dataCellStyle="Milliers"/>
  </tableColumns>
  <tableStyleInfo name="TableStyleLight6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00000000-000C-0000-FFFF-FFFF2C000000}" name="R_Cookies_SésameCL" displayName="R_Cookies_SésameCL" ref="C86:G98" totalsRowCount="1" headerRowDxfId="598" dataDxfId="596" totalsRowDxfId="594" headerRowBorderDxfId="597" tableBorderDxfId="595" totalsRowBorderDxfId="593">
  <autoFilter ref="C86:G97" xr:uid="{00000000-0009-0000-0100-00004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C00-000001000000}" name="Ingrédients" totalsRowLabel="Total" dataDxfId="592" totalsRowDxfId="591"/>
    <tableColumn id="2" xr3:uid="{00000000-0010-0000-2C00-000002000000}" name="Unité" totalsRowLabel="g" dataDxfId="590" totalsRowDxfId="589">
      <calculatedColumnFormula>VLOOKUP(R_Cookies_SésameCL[[#This Row],[Ingrédients]],T_ingrédients[],3,0)</calculatedColumnFormula>
    </tableColumn>
    <tableColumn id="3" xr3:uid="{00000000-0010-0000-2C00-000003000000}" name="6" totalsRowFunction="sum" dataDxfId="588" totalsRowDxfId="587" dataCellStyle="Milliers"/>
    <tableColumn id="4" xr3:uid="{00000000-0010-0000-2C00-000004000000}" name="12" totalsRowFunction="sum" dataDxfId="586" totalsRowDxfId="585" dataCellStyle="Milliers"/>
    <tableColumn id="5" xr3:uid="{00000000-0010-0000-2C00-000005000000}" name="16" totalsRowFunction="sum" dataDxfId="584" totalsRowDxfId="583" dataCellStyle="Milliers"/>
  </tableColumns>
  <tableStyleInfo name="TableStyleLight6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2D000000}" name="R_Basque_CheeseCakeV" displayName="R_Basque_CheeseCakeV" ref="C4:G13" totalsRowCount="1" headerRowDxfId="582" dataDxfId="580" totalsRowDxfId="578" headerRowBorderDxfId="581" tableBorderDxfId="579" totalsRowBorderDxfId="577">
  <autoFilter ref="C4:G12" xr:uid="{00000000-0009-0000-0100-000006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D00-000001000000}" name="Ingrédients" totalsRowLabel="Total" dataDxfId="576" totalsRowDxfId="575"/>
    <tableColumn id="2" xr3:uid="{00000000-0010-0000-2D00-000002000000}" name="Unité" totalsRowLabel="g" dataDxfId="574" totalsRowDxfId="573">
      <calculatedColumnFormula>VLOOKUP(R_Basque_CheeseCakeV[[#This Row],[Ingrédients]],T_ingrédients[],3,0)</calculatedColumnFormula>
    </tableColumn>
    <tableColumn id="3" xr3:uid="{00000000-0010-0000-2D00-000003000000}" name="16" totalsRowFunction="sum" dataDxfId="572" totalsRowDxfId="571" dataCellStyle="Milliers"/>
    <tableColumn id="4" xr3:uid="{00000000-0010-0000-2D00-000004000000}" name="18" totalsRowFunction="sum" dataDxfId="570" totalsRowDxfId="569" dataCellStyle="Milliers"/>
    <tableColumn id="5" xr3:uid="{00000000-0010-0000-2D00-000005000000}" name="26" totalsRowFunction="sum" dataDxfId="568" totalsRowDxfId="567" dataCellStyle="Milliers"/>
  </tableColumns>
  <tableStyleInfo name="TableStyleLight6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00000000-000C-0000-FFFF-FFFF2E000000}" name="R_Basque_CheeseCakeN" displayName="R_Basque_CheeseCakeN" ref="J4:N12" totalsRowCount="1" headerRowDxfId="566" dataDxfId="564" totalsRowDxfId="562" headerRowBorderDxfId="565" tableBorderDxfId="563" totalsRowBorderDxfId="561">
  <autoFilter ref="J4:N11" xr:uid="{00000000-0009-0000-0100-00004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E00-000001000000}" name="Ingrédients" totalsRowLabel="Total" dataDxfId="560" totalsRowDxfId="28"/>
    <tableColumn id="2" xr3:uid="{00000000-0010-0000-2E00-000002000000}" name="Unité" totalsRowLabel="g" dataDxfId="559" totalsRowDxfId="27">
      <calculatedColumnFormula>VLOOKUP(R_Basque_CheeseCakeN[[#This Row],[Ingrédients]],T_ingrédients[],3,0)</calculatedColumnFormula>
    </tableColumn>
    <tableColumn id="3" xr3:uid="{00000000-0010-0000-2E00-000003000000}" name="16" totalsRowFunction="sum" dataDxfId="558" totalsRowDxfId="26" dataCellStyle="Milliers"/>
    <tableColumn id="4" xr3:uid="{00000000-0010-0000-2E00-000004000000}" name="18" totalsRowFunction="sum" dataDxfId="557" totalsRowDxfId="25" dataCellStyle="Milliers"/>
    <tableColumn id="5" xr3:uid="{00000000-0010-0000-2E00-000005000000}" name="26" totalsRowFunction="sum" dataDxfId="556" totalsRowDxfId="24" dataCellStyle="Milliers"/>
  </tableColumns>
  <tableStyleInfo name="TableStyleLight6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00000000-000C-0000-FFFF-FFFF2F000000}" name="R_Basque_CheeseCakePT" displayName="R_Basque_CheeseCakePT" ref="C18:G27" totalsRowCount="1" headerRowDxfId="555" dataDxfId="553" totalsRowDxfId="551" headerRowBorderDxfId="554" tableBorderDxfId="552" totalsRowBorderDxfId="550">
  <autoFilter ref="C18:G26" xr:uid="{00000000-0009-0000-0100-000043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2F00-000001000000}" name="Ingrédients" totalsRowLabel="Total" dataDxfId="549" totalsRowDxfId="548"/>
    <tableColumn id="2" xr3:uid="{00000000-0010-0000-2F00-000002000000}" name="Unité" totalsRowLabel="g" dataDxfId="547" totalsRowDxfId="546">
      <calculatedColumnFormula>VLOOKUP(R_Basque_CheeseCakePT[[#This Row],[Ingrédients]],T_ingrédients[],3,0)</calculatedColumnFormula>
    </tableColumn>
    <tableColumn id="3" xr3:uid="{00000000-0010-0000-2F00-000003000000}" name="16" totalsRowFunction="sum" dataDxfId="545" totalsRowDxfId="544" dataCellStyle="Milliers"/>
    <tableColumn id="4" xr3:uid="{00000000-0010-0000-2F00-000004000000}" name="18" totalsRowFunction="sum" dataDxfId="543" totalsRowDxfId="542" dataCellStyle="Milliers"/>
    <tableColumn id="5" xr3:uid="{00000000-0010-0000-2F00-000005000000}" name="26" totalsRowFunction="sum" dataDxfId="541" totalsRowDxfId="540" dataCellStyle="Milliers"/>
  </tableColumns>
  <tableStyleInfo name="TableStyleLight6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00000000-000C-0000-FFFF-FFFF30000000}" name="R_Basque_CheeseCakeFT" displayName="R_Basque_CheeseCakeFT" ref="J18:N27" totalsRowCount="1" headerRowDxfId="539" dataDxfId="537" totalsRowDxfId="535" headerRowBorderDxfId="538" tableBorderDxfId="536" totalsRowBorderDxfId="534">
  <autoFilter ref="J18:N26" xr:uid="{00000000-0009-0000-0100-000044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000-000001000000}" name="Ingrédients" totalsRowLabel="Total" dataDxfId="533" totalsRowDxfId="532"/>
    <tableColumn id="2" xr3:uid="{00000000-0010-0000-3000-000002000000}" name="Unité" totalsRowLabel="g" dataDxfId="531" totalsRowDxfId="530">
      <calculatedColumnFormula>VLOOKUP(R_Basque_CheeseCakeFT[[#This Row],[Ingrédients]],T_ingrédients[],3,0)</calculatedColumnFormula>
    </tableColumn>
    <tableColumn id="3" xr3:uid="{00000000-0010-0000-3000-000003000000}" name="16" totalsRowFunction="sum" dataDxfId="529" totalsRowDxfId="528" dataCellStyle="Milliers"/>
    <tableColumn id="4" xr3:uid="{00000000-0010-0000-3000-000004000000}" name="18" totalsRowFunction="sum" dataDxfId="527" totalsRowDxfId="526" dataCellStyle="Milliers"/>
    <tableColumn id="5" xr3:uid="{00000000-0010-0000-3000-000005000000}" name="26" totalsRowFunction="sum" dataDxfId="525" totalsRowDxfId="524" dataCellStyle="Milliers"/>
  </tableColumns>
  <tableStyleInfo name="TableStyleLight6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00000000-000C-0000-FFFF-FFFF31000000}" name="R_Basque_CheeseCakeCL" displayName="R_Basque_CheeseCakeCL" ref="C32:G43" totalsRowCount="1" headerRowDxfId="523" dataDxfId="521" totalsRowDxfId="519" headerRowBorderDxfId="522" tableBorderDxfId="520" totalsRowBorderDxfId="518">
  <autoFilter ref="C32:G42" xr:uid="{00000000-0009-0000-0100-000045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100-000001000000}" name="Ingrédients" totalsRowLabel="Total" dataDxfId="517" totalsRowDxfId="516"/>
    <tableColumn id="2" xr3:uid="{00000000-0010-0000-3100-000002000000}" name="Unité" totalsRowLabel="g" dataDxfId="515" totalsRowDxfId="514">
      <calculatedColumnFormula>VLOOKUP(R_Basque_CheeseCakeCL[[#This Row],[Ingrédients]],T_ingrédients[],3,0)</calculatedColumnFormula>
    </tableColumn>
    <tableColumn id="3" xr3:uid="{00000000-0010-0000-3100-000003000000}" name="16" totalsRowFunction="sum" dataDxfId="513" totalsRowDxfId="512" dataCellStyle="Milliers"/>
    <tableColumn id="4" xr3:uid="{00000000-0010-0000-3100-000004000000}" name="18" totalsRowFunction="sum" dataDxfId="511" totalsRowDxfId="510" dataCellStyle="Milliers"/>
    <tableColumn id="5" xr3:uid="{00000000-0010-0000-3100-000005000000}" name="26" totalsRowFunction="sum" dataDxfId="509" totalsRowDxfId="508" dataCellStyle="Milliers"/>
  </tableColumns>
  <tableStyleInfo name="TableStyleLight6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00000000-000C-0000-FFFF-FFFF32000000}" name="R_CarrotCake" displayName="R_CarrotCake" ref="C48:G70" totalsRowCount="1" headerRowDxfId="507" dataDxfId="505" totalsRowDxfId="503" headerRowBorderDxfId="506" tableBorderDxfId="504" totalsRowBorderDxfId="502">
  <autoFilter ref="C48:G69" xr:uid="{00000000-0009-0000-0100-000046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200-000001000000}" name="Ingrédients" totalsRowLabel="Total" dataDxfId="501" totalsRowDxfId="500"/>
    <tableColumn id="2" xr3:uid="{00000000-0010-0000-3200-000002000000}" name="Unité" totalsRowLabel="g" dataDxfId="499" totalsRowDxfId="498">
      <calculatedColumnFormula>VLOOKUP(R_CarrotCake[[#This Row],[Ingrédients]],T_ingrédients[],3,0)</calculatedColumnFormula>
    </tableColumn>
    <tableColumn id="3" xr3:uid="{00000000-0010-0000-3200-000003000000}" name="16" totalsRowFunction="sum" dataDxfId="497" totalsRowDxfId="496" dataCellStyle="Milliers"/>
    <tableColumn id="4" xr3:uid="{00000000-0010-0000-3200-000004000000}" name="18" totalsRowFunction="sum" dataDxfId="495" totalsRowDxfId="494" dataCellStyle="Milliers"/>
    <tableColumn id="5" xr3:uid="{00000000-0010-0000-3200-000005000000}" name="26" totalsRowFunction="sum" dataDxfId="493" totalsRowDxfId="492" dataCellStyle="Milliers"/>
  </tableColumns>
  <tableStyleInfo name="TableStyleLight6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0000000-000C-0000-FFFF-FFFF33000000}" name="R_Classique_Choco" displayName="R_Classique_Choco" ref="C88:G98" totalsRowCount="1" headerRowDxfId="491" dataDxfId="489" totalsRowDxfId="487" headerRowBorderDxfId="490" tableBorderDxfId="488" totalsRowBorderDxfId="486">
  <autoFilter ref="C88:G97" xr:uid="{00000000-0009-0000-0100-000047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300-000001000000}" name="Ingrédients" totalsRowLabel="Total" dataDxfId="485" totalsRowDxfId="484"/>
    <tableColumn id="2" xr3:uid="{00000000-0010-0000-3300-000002000000}" name="Unité" totalsRowLabel="g" dataDxfId="483" totalsRowDxfId="482">
      <calculatedColumnFormula>VLOOKUP(R_Classique_Choco[[#This Row],[Ingrédients]],T_ingrédients[],3,0)</calculatedColumnFormula>
    </tableColumn>
    <tableColumn id="3" xr3:uid="{00000000-0010-0000-3300-000003000000}" name="16" totalsRowFunction="sum" dataDxfId="481" totalsRowDxfId="480" dataCellStyle="Milliers"/>
    <tableColumn id="4" xr3:uid="{00000000-0010-0000-3300-000004000000}" name="18" totalsRowFunction="sum" dataDxfId="479" totalsRowDxfId="478" dataCellStyle="Milliers"/>
    <tableColumn id="5" xr3:uid="{00000000-0010-0000-3300-000005000000}" name="26" totalsRowFunction="sum" dataDxfId="477" totalsRowDxfId="476" dataCellStyle="Milliers"/>
  </tableColumns>
  <tableStyleInfo name="TableStyleLight6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00000000-000C-0000-FFFF-FFFF34000000}" name="R_Gâteau_Nantais" displayName="R_Gâteau_Nantais" ref="C103:G118" totalsRowCount="1" headerRowDxfId="475" dataDxfId="473" totalsRowDxfId="471" headerRowBorderDxfId="474" tableBorderDxfId="472" totalsRowBorderDxfId="470">
  <autoFilter ref="C103:G117" xr:uid="{00000000-0009-0000-0100-000048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400-000001000000}" name="Ingrédients" totalsRowLabel="Total" dataDxfId="469" totalsRowDxfId="468"/>
    <tableColumn id="2" xr3:uid="{00000000-0010-0000-3400-000002000000}" name="Unité" totalsRowLabel="g" dataDxfId="467" totalsRowDxfId="466">
      <calculatedColumnFormula>VLOOKUP(R_Gâteau_Nantais[[#This Row],[Ingrédients]],T_ingrédients[],3,0)</calculatedColumnFormula>
    </tableColumn>
    <tableColumn id="3" xr3:uid="{00000000-0010-0000-3400-000003000000}" name="16" totalsRowFunction="sum" dataDxfId="465" totalsRowDxfId="464" dataCellStyle="Milliers"/>
    <tableColumn id="4" xr3:uid="{00000000-0010-0000-3400-000004000000}" name="18" totalsRowFunction="sum" dataDxfId="463" totalsRowDxfId="462" dataCellStyle="Milliers"/>
    <tableColumn id="5" xr3:uid="{00000000-0010-0000-3400-000005000000}" name="26" totalsRowFunction="sum" dataDxfId="461" totalsRowDxfId="460" dataCellStyle="Milliers"/>
  </tableColumns>
  <tableStyleInfo name="TableStyleLight6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00000000-000C-0000-FFFF-FFFF35000000}" name="R_Moelleux_Citron" displayName="R_Moelleux_Citron" ref="C123:G138" totalsRowCount="1" headerRowDxfId="459" dataDxfId="457" totalsRowDxfId="455" headerRowBorderDxfId="458" tableBorderDxfId="456" totalsRowBorderDxfId="454">
  <autoFilter ref="C123:G137" xr:uid="{00000000-0009-0000-0100-000049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500-000001000000}" name="Ingrédients" totalsRowLabel="Total" dataDxfId="453" totalsRowDxfId="452"/>
    <tableColumn id="2" xr3:uid="{00000000-0010-0000-3500-000002000000}" name="Unité" totalsRowLabel="g" dataDxfId="451" totalsRowDxfId="450">
      <calculatedColumnFormula>VLOOKUP(R_Moelleux_Citron[[#This Row],[Ingrédients]],T_ingrédients[],3,0)</calculatedColumnFormula>
    </tableColumn>
    <tableColumn id="3" xr3:uid="{00000000-0010-0000-3500-000003000000}" name="16" totalsRowFunction="sum" dataDxfId="449" totalsRowDxfId="448" dataCellStyle="Milliers"/>
    <tableColumn id="4" xr3:uid="{00000000-0010-0000-3500-000004000000}" name="18" totalsRowFunction="sum" dataDxfId="447" totalsRowDxfId="446" dataCellStyle="Milliers"/>
    <tableColumn id="5" xr3:uid="{00000000-0010-0000-3500-000005000000}" name="26" totalsRowFunction="sum" dataDxfId="445" totalsRowDxfId="444" dataCellStyle="Milliers"/>
  </tableColumns>
  <tableStyleInfo name="TableStyleLight6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00000000-000C-0000-FFFF-FFFF36000000}" name="R_Gramms_Apple_Cake" displayName="R_Gramms_Apple_Cake" ref="C143:G155" totalsRowCount="1" headerRowDxfId="443" dataDxfId="441" totalsRowDxfId="439" headerRowBorderDxfId="442" tableBorderDxfId="440" totalsRowBorderDxfId="438">
  <autoFilter ref="C143:G154" xr:uid="{00000000-0009-0000-0100-00004A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600-000001000000}" name="Ingrédients" totalsRowLabel="Total" dataDxfId="437" totalsRowDxfId="436"/>
    <tableColumn id="2" xr3:uid="{00000000-0010-0000-3600-000002000000}" name="Unité" totalsRowLabel="g" dataDxfId="435" totalsRowDxfId="434">
      <calculatedColumnFormula>VLOOKUP(R_Gramms_Apple_Cake[[#This Row],[Ingrédients]],T_ingrédients[],3,0)</calculatedColumnFormula>
    </tableColumn>
    <tableColumn id="3" xr3:uid="{00000000-0010-0000-3600-000003000000}" name="16" totalsRowFunction="sum" dataDxfId="433" totalsRowDxfId="432" dataCellStyle="Milliers"/>
    <tableColumn id="4" xr3:uid="{00000000-0010-0000-3600-000004000000}" name="18" totalsRowFunction="sum" dataDxfId="431" totalsRowDxfId="430" dataCellStyle="Milliers"/>
    <tableColumn id="5" xr3:uid="{00000000-0010-0000-3600-000005000000}" name="26" totalsRowFunction="sum" dataDxfId="429" totalsRowDxfId="428" dataCellStyle="Milliers"/>
  </tableColumns>
  <tableStyleInfo name="TableStyleLight6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00000000-000C-0000-FFFF-FFFF37000000}" name="R_Gâteau_SavoieFT" displayName="R_Gâteau_SavoieFT" ref="C159:G168" totalsRowCount="1" headerRowDxfId="427" dataDxfId="425" totalsRowDxfId="423" headerRowBorderDxfId="426" tableBorderDxfId="424" totalsRowBorderDxfId="422">
  <autoFilter ref="C159:G167" xr:uid="{00000000-0009-0000-0100-00004B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700-000001000000}" name="Ingrédients" totalsRowLabel="Total" dataDxfId="421" totalsRowDxfId="420"/>
    <tableColumn id="2" xr3:uid="{00000000-0010-0000-3700-000002000000}" name="Unité" totalsRowLabel="g" dataDxfId="419" totalsRowDxfId="418">
      <calculatedColumnFormula>VLOOKUP(R_Gâteau_SavoieFT[[#This Row],[Ingrédients]],T_ingrédients[],3,0)</calculatedColumnFormula>
    </tableColumn>
    <tableColumn id="3" xr3:uid="{00000000-0010-0000-3700-000003000000}" name="16" totalsRowFunction="sum" dataDxfId="417" totalsRowDxfId="416" dataCellStyle="Milliers"/>
    <tableColumn id="4" xr3:uid="{00000000-0010-0000-3700-000004000000}" name="18" totalsRowFunction="sum" dataDxfId="415" totalsRowDxfId="414" dataCellStyle="Milliers"/>
    <tableColumn id="5" xr3:uid="{00000000-0010-0000-3700-000005000000}" name="26" totalsRowFunction="sum" dataDxfId="413" totalsRowDxfId="412" dataCellStyle="Milliers"/>
  </tableColumns>
  <tableStyleInfo name="TableStyleLight6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0000000-000C-0000-FFFF-FFFF38000000}" name="R_Gâteau_SavoieV" displayName="R_Gâteau_SavoieV" ref="J157:N166" totalsRowCount="1" headerRowDxfId="411" dataDxfId="409" totalsRowDxfId="407" headerRowBorderDxfId="410" tableBorderDxfId="408" totalsRowBorderDxfId="406">
  <autoFilter ref="J157:N165" xr:uid="{00000000-0009-0000-0100-00004C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800-000001000000}" name="Ingrédients" totalsRowLabel="Total" dataDxfId="405" totalsRowDxfId="404"/>
    <tableColumn id="2" xr3:uid="{00000000-0010-0000-3800-000002000000}" name="Unité" totalsRowLabel="g" dataDxfId="403" totalsRowDxfId="402">
      <calculatedColumnFormula>VLOOKUP(R_Gâteau_SavoieV[[#This Row],[Ingrédients]],T_ingrédients[],3,0)</calculatedColumnFormula>
    </tableColumn>
    <tableColumn id="3" xr3:uid="{00000000-0010-0000-3800-000003000000}" name="16" totalsRowFunction="sum" dataDxfId="401" totalsRowDxfId="400" dataCellStyle="Milliers"/>
    <tableColumn id="4" xr3:uid="{00000000-0010-0000-3800-000004000000}" name="18" totalsRowFunction="sum" dataDxfId="399" totalsRowDxfId="398" dataCellStyle="Milliers"/>
    <tableColumn id="5" xr3:uid="{00000000-0010-0000-3800-000005000000}" name="26" totalsRowFunction="sum" dataDxfId="397" totalsRowDxfId="396" dataCellStyle="Milliers"/>
  </tableColumns>
  <tableStyleInfo name="TableStyleLight6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00000000-000C-0000-FFFF-FFFF39000000}" name="R_Clafoutis" displayName="R_Clafoutis" ref="C75:G83" totalsRowCount="1" headerRowDxfId="395" dataDxfId="393" totalsRowDxfId="391" headerRowBorderDxfId="394" tableBorderDxfId="392" totalsRowBorderDxfId="390">
  <autoFilter ref="C75:G82" xr:uid="{00000000-0009-0000-0100-00004D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900-000001000000}" name="Ingrédients" totalsRowLabel="Total" dataDxfId="389" totalsRowDxfId="388"/>
    <tableColumn id="2" xr3:uid="{00000000-0010-0000-3900-000002000000}" name="Unité" totalsRowLabel="g" dataDxfId="387" totalsRowDxfId="386">
      <calculatedColumnFormula>VLOOKUP(R_Clafoutis[[#This Row],[Ingrédients]],T_ingrédients[],3,0)</calculatedColumnFormula>
    </tableColumn>
    <tableColumn id="3" xr3:uid="{00000000-0010-0000-3900-000003000000}" name="16" totalsRowFunction="sum" dataDxfId="385" totalsRowDxfId="384" dataCellStyle="Milliers"/>
    <tableColumn id="4" xr3:uid="{00000000-0010-0000-3900-000004000000}" name="18" totalsRowFunction="sum" dataDxfId="383" totalsRowDxfId="382" dataCellStyle="Milliers"/>
    <tableColumn id="5" xr3:uid="{00000000-0010-0000-3900-000005000000}" name="26" totalsRowFunction="sum" dataDxfId="381" totalsRowDxfId="380" dataCellStyle="Milliers"/>
  </tableColumns>
  <tableStyleInfo name="TableStyleLight6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3A000000}" name="R_Brownies_Fruits_Coque" displayName="R_Brownies_Fruits_Coque" ref="C4:G16" totalsRowCount="1" headerRowDxfId="379" dataDxfId="377" totalsRowDxfId="375" headerRowBorderDxfId="378" tableBorderDxfId="376" totalsRowBorderDxfId="374">
  <autoFilter ref="C4:G15" xr:uid="{00000000-0009-0000-0100-000023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A00-000001000000}" name="Ingrédients" totalsRowLabel="Total" dataDxfId="373" totalsRowDxfId="372"/>
    <tableColumn id="2" xr3:uid="{00000000-0010-0000-3A00-000002000000}" name="Unité" totalsRowLabel="g" dataDxfId="371" totalsRowDxfId="370">
      <calculatedColumnFormula>VLOOKUP(R_Brownies_Fruits_Coque[[#This Row],[Ingrédients]],T_ingrédients[],3,0)</calculatedColumnFormula>
    </tableColumn>
    <tableColumn id="3" xr3:uid="{00000000-0010-0000-3A00-000003000000}" name="6" totalsRowFunction="sum" dataDxfId="369" totalsRowDxfId="368" dataCellStyle="Milliers"/>
    <tableColumn id="4" xr3:uid="{00000000-0010-0000-3A00-000004000000}" name="12" totalsRowFunction="sum" dataDxfId="367" totalsRowDxfId="366" dataCellStyle="Milliers"/>
    <tableColumn id="5" xr3:uid="{00000000-0010-0000-3A00-000005000000}" name="24" totalsRowFunction="sum" dataDxfId="365" totalsRowDxfId="364" dataCellStyle="Milliers"/>
  </tableColumns>
  <tableStyleInfo name="TableStyleLight6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3B000000}" name="R_Fondants_SarrasinCN" displayName="R_Fondants_SarrasinCN" ref="C37:G49" totalsRowCount="1" headerRowDxfId="363" dataDxfId="361" totalsRowDxfId="359" headerRowBorderDxfId="362" tableBorderDxfId="360" totalsRowBorderDxfId="358">
  <autoFilter ref="C37:G48" xr:uid="{00000000-0009-0000-0100-000024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B00-000001000000}" name="Ingrédients" totalsRowLabel="Total" dataDxfId="357" totalsRowDxfId="34"/>
    <tableColumn id="2" xr3:uid="{00000000-0010-0000-3B00-000002000000}" name="Unité" totalsRowLabel="g" dataDxfId="29" totalsRowDxfId="33">
      <calculatedColumnFormula>IFERROR(VLOOKUP(R_Fondants_SarrasinCN[[#This Row],[Ingrédients]],T_ingrédients[],3,0),"")</calculatedColumnFormula>
    </tableColumn>
    <tableColumn id="3" xr3:uid="{00000000-0010-0000-3B00-000003000000}" name="6" totalsRowFunction="sum" dataDxfId="356" totalsRowDxfId="32" dataCellStyle="Milliers"/>
    <tableColumn id="4" xr3:uid="{00000000-0010-0000-3B00-000004000000}" name="12" totalsRowFunction="sum" dataDxfId="355" totalsRowDxfId="31" dataCellStyle="Milliers"/>
    <tableColumn id="5" xr3:uid="{00000000-0010-0000-3B00-000005000000}" name="24" totalsRowFunction="sum" dataDxfId="354" totalsRowDxfId="30" dataCellStyle="Milliers"/>
  </tableColumns>
  <tableStyleInfo name="TableStyleLight6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3C000000}" name="R_Moelleux_Marrons" displayName="R_Moelleux_Marrons" ref="C54:G62" totalsRowCount="1" headerRowDxfId="353" dataDxfId="351" totalsRowDxfId="349" headerRowBorderDxfId="352" tableBorderDxfId="350" totalsRowBorderDxfId="348">
  <autoFilter ref="C54:G61" xr:uid="{00000000-0009-0000-0100-000025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3C00-000001000000}" name="Ingrédients" totalsRowLabel="Total" dataDxfId="347" totalsRowDxfId="346"/>
    <tableColumn id="2" xr3:uid="{00000000-0010-0000-3C00-000002000000}" name="Unité" totalsRowLabel="g" dataDxfId="345" totalsRowDxfId="344">
      <calculatedColumnFormula>VLOOKUP(R_Moelleux_Marrons[[#This Row],[Ingrédients]],T_ingrédients[],3,0)</calculatedColumnFormula>
    </tableColumn>
    <tableColumn id="3" xr3:uid="{00000000-0010-0000-3C00-000003000000}" name="6" totalsRowFunction="sum" dataDxfId="343" totalsRowDxfId="342" dataCellStyle="Milliers"/>
    <tableColumn id="4" xr3:uid="{00000000-0010-0000-3C00-000004000000}" name="12" totalsRowFunction="sum" dataDxfId="341" totalsRowDxfId="340" dataCellStyle="Milliers"/>
    <tableColumn id="5" xr3:uid="{00000000-0010-0000-3C00-000005000000}" name="24" totalsRowFunction="sum" dataDxfId="339" totalsRowDxfId="338" dataCellStyle="Milliers"/>
  </tableColumns>
  <tableStyleInfo name="TableStyleLight6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3D000000}" name="TR_Modèle91639" displayName="TR_Modèle91639" ref="C67:G96" totalsRowCount="1" headerRowDxfId="337" dataDxfId="335" totalsRowDxfId="333" headerRowBorderDxfId="336" tableBorderDxfId="334" totalsRowBorderDxfId="332">
  <autoFilter ref="C67:G95" xr:uid="{00000000-0009-0000-0100-000026000000}"/>
  <tableColumns count="5">
    <tableColumn id="1" xr3:uid="{00000000-0010-0000-3D00-000001000000}" name="Ingrédients" totalsRowLabel="Total" dataDxfId="331" totalsRowDxfId="330"/>
    <tableColumn id="2" xr3:uid="{00000000-0010-0000-3D00-000002000000}" name="Unité" totalsRowLabel="g" dataDxfId="329" totalsRowDxfId="328">
      <calculatedColumnFormula>VLOOKUP(TR_Modèle91639[[#This Row],[Ingrédients]],T_ingrédients[],3,0)</calculatedColumnFormula>
    </tableColumn>
    <tableColumn id="3" xr3:uid="{00000000-0010-0000-3D00-000003000000}" name="6" totalsRowFunction="sum" dataDxfId="327" totalsRowDxfId="326" dataCellStyle="Milliers"/>
    <tableColumn id="4" xr3:uid="{00000000-0010-0000-3D00-000004000000}" name="12" totalsRowFunction="sum" dataDxfId="325" totalsRowDxfId="324" dataCellStyle="Milliers"/>
    <tableColumn id="5" xr3:uid="{00000000-0010-0000-3D00-000005000000}" name="24" totalsRowFunction="sum" dataDxfId="323" totalsRowDxfId="322" dataCellStyle="Milliers"/>
  </tableColumns>
  <tableStyleInfo name="TableStyleLight6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3E000000}" name="TR_Modèle91740" displayName="TR_Modèle91740" ref="C101:G130" totalsRowCount="1" headerRowDxfId="321" dataDxfId="319" totalsRowDxfId="317" headerRowBorderDxfId="320" tableBorderDxfId="318" totalsRowBorderDxfId="316">
  <autoFilter ref="C101:G129" xr:uid="{00000000-0009-0000-0100-000027000000}"/>
  <tableColumns count="5">
    <tableColumn id="1" xr3:uid="{00000000-0010-0000-3E00-000001000000}" name="Ingrédients" totalsRowLabel="Total" dataDxfId="315" totalsRowDxfId="314"/>
    <tableColumn id="2" xr3:uid="{00000000-0010-0000-3E00-000002000000}" name="Unité" totalsRowLabel="g" dataDxfId="313" totalsRowDxfId="312">
      <calculatedColumnFormula>VLOOKUP(TR_Modèle91740[[#This Row],[Ingrédients]],T_ingrédients[],3,0)</calculatedColumnFormula>
    </tableColumn>
    <tableColumn id="3" xr3:uid="{00000000-0010-0000-3E00-000003000000}" name="6" totalsRowFunction="sum" dataDxfId="311" totalsRowDxfId="310" dataCellStyle="Milliers"/>
    <tableColumn id="4" xr3:uid="{00000000-0010-0000-3E00-000004000000}" name="12" totalsRowFunction="sum" dataDxfId="309" totalsRowDxfId="308" dataCellStyle="Milliers"/>
    <tableColumn id="5" xr3:uid="{00000000-0010-0000-3E00-000005000000}" name="24" totalsRowFunction="sum" dataDxfId="307" totalsRowDxfId="306" dataCellStyle="Milliers"/>
  </tableColumns>
  <tableStyleInfo name="TableStyleLight6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3F000000}" name="TR_Modèle91841" displayName="TR_Modèle91841" ref="C135:G164" totalsRowCount="1" headerRowDxfId="305" dataDxfId="303" totalsRowDxfId="301" headerRowBorderDxfId="304" tableBorderDxfId="302" totalsRowBorderDxfId="300">
  <autoFilter ref="C135:G163" xr:uid="{00000000-0009-0000-0100-000028000000}"/>
  <tableColumns count="5">
    <tableColumn id="1" xr3:uid="{00000000-0010-0000-3F00-000001000000}" name="Ingrédients" totalsRowLabel="Total" dataDxfId="299" totalsRowDxfId="298"/>
    <tableColumn id="2" xr3:uid="{00000000-0010-0000-3F00-000002000000}" name="Unité" totalsRowLabel="g" dataDxfId="297" totalsRowDxfId="296">
      <calculatedColumnFormula>VLOOKUP(TR_Modèle91841[[#This Row],[Ingrédients]],T_ingrédients[],3,0)</calculatedColumnFormula>
    </tableColumn>
    <tableColumn id="3" xr3:uid="{00000000-0010-0000-3F00-000003000000}" name="6" totalsRowFunction="sum" dataDxfId="295" totalsRowDxfId="294" dataCellStyle="Milliers"/>
    <tableColumn id="4" xr3:uid="{00000000-0010-0000-3F00-000004000000}" name="12" totalsRowFunction="sum" dataDxfId="293" totalsRowDxfId="292" dataCellStyle="Milliers"/>
    <tableColumn id="5" xr3:uid="{00000000-0010-0000-3F00-000005000000}" name="24" totalsRowFunction="sum" dataDxfId="291" totalsRowDxfId="290" dataCellStyle="Milliers"/>
  </tableColumns>
  <tableStyleInfo name="TableStyleLight6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40000000}" name="TR_Modèle91942" displayName="TR_Modèle91942" ref="C169:G198" totalsRowCount="1" headerRowDxfId="289" dataDxfId="287" totalsRowDxfId="285" headerRowBorderDxfId="288" tableBorderDxfId="286" totalsRowBorderDxfId="284">
  <autoFilter ref="C169:G197" xr:uid="{00000000-0009-0000-0100-000029000000}"/>
  <tableColumns count="5">
    <tableColumn id="1" xr3:uid="{00000000-0010-0000-4000-000001000000}" name="Ingrédients" totalsRowLabel="Total" dataDxfId="283" totalsRowDxfId="282"/>
    <tableColumn id="2" xr3:uid="{00000000-0010-0000-4000-000002000000}" name="Unité" totalsRowLabel="g" dataDxfId="281" totalsRowDxfId="280">
      <calculatedColumnFormula>VLOOKUP(TR_Modèle91942[[#This Row],[Ingrédients]],T_ingrédients[],3,0)</calculatedColumnFormula>
    </tableColumn>
    <tableColumn id="3" xr3:uid="{00000000-0010-0000-4000-000003000000}" name="6" totalsRowFunction="sum" dataDxfId="279" totalsRowDxfId="278" dataCellStyle="Milliers"/>
    <tableColumn id="4" xr3:uid="{00000000-0010-0000-4000-000004000000}" name="12" totalsRowFunction="sum" dataDxfId="277" totalsRowDxfId="276" dataCellStyle="Milliers"/>
    <tableColumn id="5" xr3:uid="{00000000-0010-0000-4000-000005000000}" name="24" totalsRowFunction="sum" dataDxfId="275" totalsRowDxfId="274" dataCellStyle="Milliers"/>
  </tableColumns>
  <tableStyleInfo name="TableStyleLight6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41000000}" name="TR_Modèle92043" displayName="TR_Modèle92043" ref="C203:G232" totalsRowCount="1" headerRowDxfId="273" dataDxfId="271" totalsRowDxfId="269" headerRowBorderDxfId="272" tableBorderDxfId="270" totalsRowBorderDxfId="268">
  <autoFilter ref="C203:G231" xr:uid="{00000000-0009-0000-0100-00002A000000}"/>
  <tableColumns count="5">
    <tableColumn id="1" xr3:uid="{00000000-0010-0000-4100-000001000000}" name="Ingrédients" totalsRowLabel="Total" dataDxfId="267" totalsRowDxfId="266"/>
    <tableColumn id="2" xr3:uid="{00000000-0010-0000-4100-000002000000}" name="Unité" totalsRowLabel="g" dataDxfId="265" totalsRowDxfId="264">
      <calculatedColumnFormula>VLOOKUP(TR_Modèle92043[[#This Row],[Ingrédients]],T_ingrédients[],3,0)</calculatedColumnFormula>
    </tableColumn>
    <tableColumn id="3" xr3:uid="{00000000-0010-0000-4100-000003000000}" name="6" totalsRowFunction="sum" dataDxfId="263" totalsRowDxfId="262" dataCellStyle="Milliers"/>
    <tableColumn id="4" xr3:uid="{00000000-0010-0000-4100-000004000000}" name="12" totalsRowFunction="sum" dataDxfId="261" totalsRowDxfId="260" dataCellStyle="Milliers"/>
    <tableColumn id="5" xr3:uid="{00000000-0010-0000-4100-000005000000}" name="24" totalsRowFunction="sum" dataDxfId="259" totalsRowDxfId="258" dataCellStyle="Milliers"/>
  </tableColumns>
  <tableStyleInfo name="TableStyleLight6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42000000}" name="TR_Modèle92144" displayName="TR_Modèle92144" ref="C237:G266" totalsRowCount="1" headerRowDxfId="257" dataDxfId="255" totalsRowDxfId="253" headerRowBorderDxfId="256" tableBorderDxfId="254" totalsRowBorderDxfId="252">
  <autoFilter ref="C237:G265" xr:uid="{00000000-0009-0000-0100-00002B000000}"/>
  <tableColumns count="5">
    <tableColumn id="1" xr3:uid="{00000000-0010-0000-4200-000001000000}" name="Ingrédients" totalsRowLabel="Total" dataDxfId="251" totalsRowDxfId="250"/>
    <tableColumn id="2" xr3:uid="{00000000-0010-0000-4200-000002000000}" name="Unité" totalsRowLabel="g" dataDxfId="249" totalsRowDxfId="248">
      <calculatedColumnFormula>VLOOKUP(TR_Modèle92144[[#This Row],[Ingrédients]],T_ingrédients[],3,0)</calculatedColumnFormula>
    </tableColumn>
    <tableColumn id="3" xr3:uid="{00000000-0010-0000-4200-000003000000}" name="6" totalsRowFunction="sum" dataDxfId="247" totalsRowDxfId="246" dataCellStyle="Milliers"/>
    <tableColumn id="4" xr3:uid="{00000000-0010-0000-4200-000004000000}" name="12" totalsRowFunction="sum" dataDxfId="245" totalsRowDxfId="244" dataCellStyle="Milliers"/>
    <tableColumn id="5" xr3:uid="{00000000-0010-0000-4200-000005000000}" name="24" totalsRowFunction="sum" dataDxfId="243" totalsRowDxfId="242" dataCellStyle="Milliers"/>
  </tableColumns>
  <tableStyleInfo name="TableStyleLight6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43000000}" name="TR_Modèle92245" displayName="TR_Modèle92245" ref="C271:G300" totalsRowCount="1" headerRowDxfId="241" dataDxfId="239" totalsRowDxfId="237" headerRowBorderDxfId="240" tableBorderDxfId="238" totalsRowBorderDxfId="236">
  <autoFilter ref="C271:G299" xr:uid="{00000000-0009-0000-0100-00002C000000}"/>
  <tableColumns count="5">
    <tableColumn id="1" xr3:uid="{00000000-0010-0000-4300-000001000000}" name="Ingrédients" totalsRowLabel="Total" dataDxfId="235" totalsRowDxfId="234"/>
    <tableColumn id="2" xr3:uid="{00000000-0010-0000-4300-000002000000}" name="Unité" totalsRowLabel="g" dataDxfId="233" totalsRowDxfId="232">
      <calculatedColumnFormula>VLOOKUP(TR_Modèle92245[[#This Row],[Ingrédients]],T_ingrédients[],3,0)</calculatedColumnFormula>
    </tableColumn>
    <tableColumn id="3" xr3:uid="{00000000-0010-0000-4300-000003000000}" name="6" totalsRowFunction="sum" dataDxfId="231" totalsRowDxfId="230" dataCellStyle="Milliers"/>
    <tableColumn id="4" xr3:uid="{00000000-0010-0000-4300-000004000000}" name="12" totalsRowFunction="sum" dataDxfId="229" totalsRowDxfId="228" dataCellStyle="Milliers"/>
    <tableColumn id="5" xr3:uid="{00000000-0010-0000-4300-000005000000}" name="24" totalsRowFunction="sum" dataDxfId="227" totalsRowDxfId="226" dataCellStyle="Milliers"/>
  </tableColumns>
  <tableStyleInfo name="TableStyleLight6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44000000}" name="TR_Modèle92346" displayName="TR_Modèle92346" ref="C305:G334" totalsRowCount="1" headerRowDxfId="225" dataDxfId="223" totalsRowDxfId="221" headerRowBorderDxfId="224" tableBorderDxfId="222" totalsRowBorderDxfId="220">
  <autoFilter ref="C305:G333" xr:uid="{00000000-0009-0000-0100-00002D000000}"/>
  <tableColumns count="5">
    <tableColumn id="1" xr3:uid="{00000000-0010-0000-4400-000001000000}" name="Ingrédients" totalsRowLabel="Total" dataDxfId="219" totalsRowDxfId="218"/>
    <tableColumn id="2" xr3:uid="{00000000-0010-0000-4400-000002000000}" name="Unité" totalsRowLabel="g" dataDxfId="217" totalsRowDxfId="216">
      <calculatedColumnFormula>VLOOKUP(TR_Modèle92346[[#This Row],[Ingrédients]],T_ingrédients[],3,0)</calculatedColumnFormula>
    </tableColumn>
    <tableColumn id="3" xr3:uid="{00000000-0010-0000-4400-000003000000}" name="6" totalsRowFunction="sum" dataDxfId="215" totalsRowDxfId="214" dataCellStyle="Milliers"/>
    <tableColumn id="4" xr3:uid="{00000000-0010-0000-4400-000004000000}" name="12" totalsRowFunction="sum" dataDxfId="213" totalsRowDxfId="212" dataCellStyle="Milliers"/>
    <tableColumn id="5" xr3:uid="{00000000-0010-0000-4400-000005000000}" name="24" totalsRowFunction="sum" dataDxfId="211" totalsRowDxfId="210" dataCellStyle="Milliers"/>
  </tableColumns>
  <tableStyleInfo name="TableStyleLight6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00000000-000C-0000-FFFF-FFFF45000000}" name="R_FinanciersNC" displayName="R_FinanciersNC" ref="C21:G32" totalsRowCount="1" headerRowDxfId="209" dataDxfId="207" totalsRowDxfId="205" headerRowBorderDxfId="208" tableBorderDxfId="206" totalsRowBorderDxfId="204">
  <autoFilter ref="C21:G31" xr:uid="{00000000-0009-0000-0100-00005A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4500-000001000000}" name="Ingrédients" totalsRowLabel="Total" dataDxfId="203" totalsRowDxfId="202"/>
    <tableColumn id="2" xr3:uid="{00000000-0010-0000-4500-000002000000}" name="Unité" totalsRowLabel="g" dataDxfId="201" totalsRowDxfId="200">
      <calculatedColumnFormula>VLOOKUP(R_FinanciersNC[[#This Row],[Ingrédients]],T_ingrédients[],3,0)</calculatedColumnFormula>
    </tableColumn>
    <tableColumn id="3" xr3:uid="{00000000-0010-0000-4500-000003000000}" name="6" totalsRowFunction="sum" dataDxfId="199" totalsRowDxfId="198" dataCellStyle="Milliers"/>
    <tableColumn id="4" xr3:uid="{00000000-0010-0000-4500-000004000000}" name="12" totalsRowFunction="sum" dataDxfId="197" totalsRowDxfId="196" dataCellStyle="Milliers"/>
    <tableColumn id="5" xr3:uid="{00000000-0010-0000-4500-000005000000}" name="24" totalsRowFunction="sum" dataDxfId="195" totalsRowDxfId="194" dataCellStyle="Milliers"/>
  </tableColumns>
  <tableStyleInfo name="TableStyleLight6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0000000-000C-0000-FFFF-FFFF46000000}" name="R_Babkas_CannelleP79" displayName="R_Babkas_CannelleP79" ref="C4:G13" totalsRowCount="1" headerRowDxfId="193" dataDxfId="191" totalsRowDxfId="189" headerRowBorderDxfId="192" tableBorderDxfId="190" totalsRowBorderDxfId="188">
  <autoFilter ref="C4:G12" xr:uid="{00000000-0009-0000-0100-00004E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4600-000001000000}" name="Ingrédients" totalsRowLabel="Total" dataDxfId="187" totalsRowDxfId="186"/>
    <tableColumn id="2" xr3:uid="{00000000-0010-0000-4600-000002000000}" name="Unité" totalsRowLabel="g" dataDxfId="185" totalsRowDxfId="184">
      <calculatedColumnFormula>VLOOKUP(R_Babkas_CannelleP79[[#This Row],[Ingrédients]],T_ingrédients[],3,0)</calculatedColumnFormula>
    </tableColumn>
    <tableColumn id="3" xr3:uid="{00000000-0010-0000-4600-000003000000}" name="1000" totalsRowFunction="sum" dataDxfId="183" totalsRowDxfId="182" dataCellStyle="Milliers"/>
    <tableColumn id="4" xr3:uid="{00000000-0010-0000-4600-000004000000}" name="2856" totalsRowFunction="sum" dataDxfId="181" totalsRowDxfId="180" dataCellStyle="Milliers"/>
    <tableColumn id="5" xr3:uid="{00000000-0010-0000-4600-000005000000}" name="3500" totalsRowFunction="sum" dataDxfId="179" totalsRowDxfId="178" dataCellStyle="Milliers"/>
  </tableColumns>
  <tableStyleInfo name="TableStyleLight6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0000000-000C-0000-FFFF-FFFF47000000}" name="TR_Modèle9162881" displayName="TR_Modèle9162881" ref="C18:G47" totalsRowCount="1" headerRowDxfId="177" dataDxfId="175" totalsRowDxfId="173" headerRowBorderDxfId="176" tableBorderDxfId="174" totalsRowBorderDxfId="172">
  <autoFilter ref="C18:G46" xr:uid="{00000000-0009-0000-0100-000050000000}"/>
  <tableColumns count="5">
    <tableColumn id="1" xr3:uid="{00000000-0010-0000-4700-000001000000}" name="Ingrédients" totalsRowLabel="Total" dataDxfId="171" totalsRowDxfId="170"/>
    <tableColumn id="2" xr3:uid="{00000000-0010-0000-4700-000002000000}" name="Unité" totalsRowLabel="g" dataDxfId="169" totalsRowDxfId="168">
      <calculatedColumnFormula>VLOOKUP(TR_Modèle9162881[[#This Row],[Ingrédients]],T_ingrédients[],3,0)</calculatedColumnFormula>
    </tableColumn>
    <tableColumn id="3" xr3:uid="{00000000-0010-0000-4700-000003000000}" name="Colonne1" totalsRowFunction="sum" dataDxfId="167" totalsRowDxfId="166" dataCellStyle="Milliers"/>
    <tableColumn id="4" xr3:uid="{00000000-0010-0000-4700-000004000000}" name="Colonne2" totalsRowFunction="sum" dataDxfId="165" totalsRowDxfId="164" dataCellStyle="Milliers"/>
    <tableColumn id="5" xr3:uid="{00000000-0010-0000-4700-000005000000}" name="Colonne3" totalsRowFunction="sum" dataDxfId="163" totalsRowDxfId="162" dataCellStyle="Milliers"/>
  </tableColumns>
  <tableStyleInfo name="TableStyleLight6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00000000-000C-0000-FFFF-FFFF48000000}" name="TR_Modèle9172982" displayName="TR_Modèle9172982" ref="C52:G81" totalsRowCount="1" headerRowDxfId="161" dataDxfId="159" totalsRowDxfId="157" headerRowBorderDxfId="160" tableBorderDxfId="158" totalsRowBorderDxfId="156">
  <autoFilter ref="C52:G80" xr:uid="{00000000-0009-0000-0100-000051000000}"/>
  <tableColumns count="5">
    <tableColumn id="1" xr3:uid="{00000000-0010-0000-4800-000001000000}" name="Ingrédients" totalsRowLabel="Total" dataDxfId="155" totalsRowDxfId="154"/>
    <tableColumn id="2" xr3:uid="{00000000-0010-0000-4800-000002000000}" name="Unité" totalsRowLabel="g" dataDxfId="153" totalsRowDxfId="152">
      <calculatedColumnFormula>VLOOKUP(TR_Modèle9172982[[#This Row],[Ingrédients]],T_ingrédients[],3,0)</calculatedColumnFormula>
    </tableColumn>
    <tableColumn id="3" xr3:uid="{00000000-0010-0000-4800-000003000000}" name="Colonne1" totalsRowFunction="sum" dataDxfId="151" totalsRowDxfId="150" dataCellStyle="Milliers"/>
    <tableColumn id="4" xr3:uid="{00000000-0010-0000-4800-000004000000}" name="Colonne2" totalsRowFunction="sum" dataDxfId="149" totalsRowDxfId="148" dataCellStyle="Milliers"/>
    <tableColumn id="5" xr3:uid="{00000000-0010-0000-4800-000005000000}" name="Colonne3" totalsRowFunction="sum" dataDxfId="147" totalsRowDxfId="146" dataCellStyle="Milliers"/>
  </tableColumns>
  <tableStyleInfo name="TableStyleLight6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00000000-000C-0000-FFFF-FFFF49000000}" name="TR_Modèle9183083" displayName="TR_Modèle9183083" ref="C86:G115" totalsRowCount="1" headerRowDxfId="145" dataDxfId="143" totalsRowDxfId="141" headerRowBorderDxfId="144" tableBorderDxfId="142" totalsRowBorderDxfId="140">
  <autoFilter ref="C86:G114" xr:uid="{00000000-0009-0000-0100-000052000000}"/>
  <tableColumns count="5">
    <tableColumn id="1" xr3:uid="{00000000-0010-0000-4900-000001000000}" name="Ingrédients" totalsRowLabel="Total" dataDxfId="139" totalsRowDxfId="138"/>
    <tableColumn id="2" xr3:uid="{00000000-0010-0000-4900-000002000000}" name="Unité" totalsRowLabel="g" dataDxfId="137" totalsRowDxfId="136">
      <calculatedColumnFormula>VLOOKUP(TR_Modèle9183083[[#This Row],[Ingrédients]],T_ingrédients[],3,0)</calculatedColumnFormula>
    </tableColumn>
    <tableColumn id="3" xr3:uid="{00000000-0010-0000-4900-000003000000}" name="Colonne1" totalsRowFunction="sum" dataDxfId="135" totalsRowDxfId="134" dataCellStyle="Milliers"/>
    <tableColumn id="4" xr3:uid="{00000000-0010-0000-4900-000004000000}" name="Colonne2" totalsRowFunction="sum" dataDxfId="133" totalsRowDxfId="132" dataCellStyle="Milliers"/>
    <tableColumn id="5" xr3:uid="{00000000-0010-0000-4900-000005000000}" name="Colonne3" totalsRowFunction="sum" dataDxfId="131" totalsRowDxfId="130" dataCellStyle="Milliers"/>
  </tableColumns>
  <tableStyleInfo name="TableStyleLight6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00000000-000C-0000-FFFF-FFFF4A000000}" name="TR_Modèle9193184" displayName="TR_Modèle9193184" ref="C120:G149" totalsRowCount="1" headerRowDxfId="129" dataDxfId="127" totalsRowDxfId="125" headerRowBorderDxfId="128" tableBorderDxfId="126" totalsRowBorderDxfId="124">
  <autoFilter ref="C120:G148" xr:uid="{00000000-0009-0000-0100-000053000000}"/>
  <tableColumns count="5">
    <tableColumn id="1" xr3:uid="{00000000-0010-0000-4A00-000001000000}" name="Ingrédients" totalsRowLabel="Total" dataDxfId="123" totalsRowDxfId="122"/>
    <tableColumn id="2" xr3:uid="{00000000-0010-0000-4A00-000002000000}" name="Unité" totalsRowLabel="g" dataDxfId="121" totalsRowDxfId="120">
      <calculatedColumnFormula>VLOOKUP(TR_Modèle9193184[[#This Row],[Ingrédients]],T_ingrédients[],3,0)</calculatedColumnFormula>
    </tableColumn>
    <tableColumn id="3" xr3:uid="{00000000-0010-0000-4A00-000003000000}" name="Colonne1" totalsRowFunction="sum" dataDxfId="119" totalsRowDxfId="118" dataCellStyle="Milliers"/>
    <tableColumn id="4" xr3:uid="{00000000-0010-0000-4A00-000004000000}" name="Colonne2" totalsRowFunction="sum" dataDxfId="117" totalsRowDxfId="116" dataCellStyle="Milliers"/>
    <tableColumn id="5" xr3:uid="{00000000-0010-0000-4A00-000005000000}" name="Colonne3" totalsRowFunction="sum" dataDxfId="115" totalsRowDxfId="114" dataCellStyle="Milliers"/>
  </tableColumns>
  <tableStyleInfo name="TableStyleLight6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00000000-000C-0000-FFFF-FFFF4B000000}" name="TR_Modèle9203285" displayName="TR_Modèle9203285" ref="C154:G183" totalsRowCount="1" headerRowDxfId="113" dataDxfId="111" totalsRowDxfId="109" headerRowBorderDxfId="112" tableBorderDxfId="110" totalsRowBorderDxfId="108">
  <autoFilter ref="C154:G182" xr:uid="{00000000-0009-0000-0100-000054000000}"/>
  <tableColumns count="5">
    <tableColumn id="1" xr3:uid="{00000000-0010-0000-4B00-000001000000}" name="Ingrédients" totalsRowLabel="Total" dataDxfId="107" totalsRowDxfId="106"/>
    <tableColumn id="2" xr3:uid="{00000000-0010-0000-4B00-000002000000}" name="Unité" totalsRowLabel="g" dataDxfId="105" totalsRowDxfId="104">
      <calculatedColumnFormula>VLOOKUP(TR_Modèle9203285[[#This Row],[Ingrédients]],T_ingrédients[],3,0)</calculatedColumnFormula>
    </tableColumn>
    <tableColumn id="3" xr3:uid="{00000000-0010-0000-4B00-000003000000}" name="Colonne1" totalsRowFunction="sum" dataDxfId="103" totalsRowDxfId="102" dataCellStyle="Milliers"/>
    <tableColumn id="4" xr3:uid="{00000000-0010-0000-4B00-000004000000}" name="Colonne2" totalsRowFunction="sum" dataDxfId="101" totalsRowDxfId="100" dataCellStyle="Milliers"/>
    <tableColumn id="5" xr3:uid="{00000000-0010-0000-4B00-000005000000}" name="Colonne3" totalsRowFunction="sum" dataDxfId="99" totalsRowDxfId="98" dataCellStyle="Milliers"/>
  </tableColumns>
  <tableStyleInfo name="TableStyleLight6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00000000-000C-0000-FFFF-FFFF4C000000}" name="TR_Modèle9213386" displayName="TR_Modèle9213386" ref="C188:G217" totalsRowCount="1" headerRowDxfId="97" dataDxfId="95" totalsRowDxfId="93" headerRowBorderDxfId="96" tableBorderDxfId="94" totalsRowBorderDxfId="92">
  <autoFilter ref="C188:G216" xr:uid="{00000000-0009-0000-0100-000055000000}"/>
  <tableColumns count="5">
    <tableColumn id="1" xr3:uid="{00000000-0010-0000-4C00-000001000000}" name="Ingrédients" totalsRowLabel="Total" dataDxfId="91" totalsRowDxfId="90"/>
    <tableColumn id="2" xr3:uid="{00000000-0010-0000-4C00-000002000000}" name="Unité" totalsRowLabel="g" dataDxfId="89" totalsRowDxfId="88">
      <calculatedColumnFormula>VLOOKUP(TR_Modèle9213386[[#This Row],[Ingrédients]],T_ingrédients[],3,0)</calculatedColumnFormula>
    </tableColumn>
    <tableColumn id="3" xr3:uid="{00000000-0010-0000-4C00-000003000000}" name="Colonne1" totalsRowFunction="sum" dataDxfId="87" totalsRowDxfId="86" dataCellStyle="Milliers"/>
    <tableColumn id="4" xr3:uid="{00000000-0010-0000-4C00-000004000000}" name="Colonne2" totalsRowFunction="sum" dataDxfId="85" totalsRowDxfId="84" dataCellStyle="Milliers"/>
    <tableColumn id="5" xr3:uid="{00000000-0010-0000-4C00-000005000000}" name="Colonne3" totalsRowFunction="sum" dataDxfId="83" totalsRowDxfId="82" dataCellStyle="Milliers"/>
  </tableColumns>
  <tableStyleInfo name="TableStyleLight6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00000000-000C-0000-FFFF-FFFF4D000000}" name="TR_Modèle9223487" displayName="TR_Modèle9223487" ref="C222:G251" totalsRowCount="1" headerRowDxfId="81" dataDxfId="79" totalsRowDxfId="77" headerRowBorderDxfId="80" tableBorderDxfId="78" totalsRowBorderDxfId="76">
  <autoFilter ref="C222:G250" xr:uid="{00000000-0009-0000-0100-000056000000}"/>
  <tableColumns count="5">
    <tableColumn id="1" xr3:uid="{00000000-0010-0000-4D00-000001000000}" name="Ingrédients" totalsRowLabel="Total" dataDxfId="75" totalsRowDxfId="74"/>
    <tableColumn id="2" xr3:uid="{00000000-0010-0000-4D00-000002000000}" name="Unité" totalsRowLabel="g" dataDxfId="73" totalsRowDxfId="72">
      <calculatedColumnFormula>VLOOKUP(TR_Modèle9223487[[#This Row],[Ingrédients]],T_ingrédients[],3,0)</calculatedColumnFormula>
    </tableColumn>
    <tableColumn id="3" xr3:uid="{00000000-0010-0000-4D00-000003000000}" name="Colonne1" totalsRowFunction="sum" dataDxfId="71" totalsRowDxfId="70" dataCellStyle="Milliers"/>
    <tableColumn id="4" xr3:uid="{00000000-0010-0000-4D00-000004000000}" name="Colonne2" totalsRowFunction="sum" dataDxfId="69" totalsRowDxfId="68" dataCellStyle="Milliers"/>
    <tableColumn id="5" xr3:uid="{00000000-0010-0000-4D00-000005000000}" name="Colonne3" totalsRowFunction="sum" dataDxfId="67" totalsRowDxfId="66" dataCellStyle="Milliers"/>
  </tableColumns>
  <tableStyleInfo name="TableStyleLight6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00000000-000C-0000-FFFF-FFFF4E000000}" name="TR_Modèle9233588" displayName="TR_Modèle9233588" ref="C256:G285" totalsRowCount="1" headerRowDxfId="65" dataDxfId="63" totalsRowDxfId="61" headerRowBorderDxfId="64" tableBorderDxfId="62" totalsRowBorderDxfId="60">
  <autoFilter ref="C256:G284" xr:uid="{00000000-0009-0000-0100-000057000000}"/>
  <tableColumns count="5">
    <tableColumn id="1" xr3:uid="{00000000-0010-0000-4E00-000001000000}" name="Ingrédients" totalsRowLabel="Total" dataDxfId="59" totalsRowDxfId="58"/>
    <tableColumn id="2" xr3:uid="{00000000-0010-0000-4E00-000002000000}" name="Unité" totalsRowLabel="g" dataDxfId="57" totalsRowDxfId="56">
      <calculatedColumnFormula>VLOOKUP(TR_Modèle9233588[[#This Row],[Ingrédients]],T_ingrédients[],3,0)</calculatedColumnFormula>
    </tableColumn>
    <tableColumn id="3" xr3:uid="{00000000-0010-0000-4E00-000003000000}" name="Colonne1" totalsRowFunction="sum" dataDxfId="55" totalsRowDxfId="54" dataCellStyle="Milliers"/>
    <tableColumn id="4" xr3:uid="{00000000-0010-0000-4E00-000004000000}" name="Colonne2" totalsRowFunction="sum" dataDxfId="53" totalsRowDxfId="52" dataCellStyle="Milliers"/>
    <tableColumn id="5" xr3:uid="{00000000-0010-0000-4E00-000005000000}" name="Colonne3" totalsRowFunction="sum" dataDxfId="51" totalsRowDxfId="50" dataCellStyle="Milliers"/>
  </tableColumns>
  <tableStyleInfo name="TableStyleLight6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4F000000}" name="T_Planning" displayName="T_Planning" ref="B3:F4" totalsRowShown="0" headerRowDxfId="49" dataDxfId="48" tableBorderDxfId="47">
  <autoFilter ref="B3:F4" xr:uid="{00000000-0009-0000-0100-000007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4F00-000001000000}" name="Semaine" dataDxfId="46"/>
    <tableColumn id="2" xr3:uid="{00000000-0010-0000-4F00-000002000000}" name="Catégorie" dataDxfId="45"/>
    <tableColumn id="3" xr3:uid="{00000000-0010-0000-4F00-000003000000}" name="Recette" dataDxfId="44"/>
    <tableColumn id="4" xr3:uid="{00000000-0010-0000-4F00-000004000000}" name="Format" dataDxfId="43"/>
    <tableColumn id="5" xr3:uid="{00000000-0010-0000-4F00-000005000000}" name="Quantité d'unités / lot" dataDxfId="42"/>
  </tableColumns>
  <tableStyleInfo name="TableStyleLight6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50000000}" name="ChoixS" displayName="ChoixS" ref="C5:C6" totalsRowShown="0" headerRowDxfId="41" headerRowBorderDxfId="40">
  <autoFilter ref="C5:C6" xr:uid="{00000000-0009-0000-0100-00000C000000}"/>
  <tableColumns count="1">
    <tableColumn id="1" xr3:uid="{00000000-0010-0000-5000-000001000000}" name="Semaine" dataDxfId="39"/>
  </tableColumns>
  <tableStyleInfo name="TableStyleLight13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51000000}" name="LIste_Courses" displayName="LIste_Courses" ref="B8:G15" tableType="queryTable" totalsRowShown="0" headerRowDxfId="38" headerRowBorderDxfId="37">
  <autoFilter ref="B8:G15" xr:uid="{00000000-0009-0000-0100-00000D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5100-000001000000}" uniqueName="1" name="Semaine" queryTableFieldId="1"/>
    <tableColumn id="2" xr3:uid="{00000000-0010-0000-5100-000002000000}" uniqueName="2" name="Ingrédients" queryTableFieldId="2"/>
    <tableColumn id="3" xr3:uid="{00000000-0010-0000-5100-000003000000}" uniqueName="3" name="Unité" queryTableFieldId="3"/>
    <tableColumn id="4" xr3:uid="{00000000-0010-0000-5100-000004000000}" uniqueName="4" name="Rayon" queryTableFieldId="4"/>
    <tableColumn id="5" xr3:uid="{00000000-0010-0000-5100-000005000000}" uniqueName="5" name="Fournisseur" queryTableFieldId="5"/>
    <tableColumn id="6" xr3:uid="{00000000-0010-0000-5100-000006000000}" uniqueName="6" name="Quantité" queryTableFieldId="6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13" Type="http://schemas.openxmlformats.org/officeDocument/2006/relationships/table" Target="../tables/table17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12" Type="http://schemas.openxmlformats.org/officeDocument/2006/relationships/table" Target="../tables/table16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5.xml"/><Relationship Id="rId3" Type="http://schemas.openxmlformats.org/officeDocument/2006/relationships/table" Target="../tables/table20.xml"/><Relationship Id="rId7" Type="http://schemas.openxmlformats.org/officeDocument/2006/relationships/table" Target="../tables/table24.xml"/><Relationship Id="rId12" Type="http://schemas.openxmlformats.org/officeDocument/2006/relationships/table" Target="../tables/table29.xml"/><Relationship Id="rId2" Type="http://schemas.openxmlformats.org/officeDocument/2006/relationships/table" Target="../tables/table19.xml"/><Relationship Id="rId1" Type="http://schemas.openxmlformats.org/officeDocument/2006/relationships/table" Target="../tables/table18.xml"/><Relationship Id="rId6" Type="http://schemas.openxmlformats.org/officeDocument/2006/relationships/table" Target="../tables/table23.xml"/><Relationship Id="rId11" Type="http://schemas.openxmlformats.org/officeDocument/2006/relationships/table" Target="../tables/table28.xml"/><Relationship Id="rId5" Type="http://schemas.openxmlformats.org/officeDocument/2006/relationships/table" Target="../tables/table22.xml"/><Relationship Id="rId10" Type="http://schemas.openxmlformats.org/officeDocument/2006/relationships/table" Target="../tables/table27.xml"/><Relationship Id="rId4" Type="http://schemas.openxmlformats.org/officeDocument/2006/relationships/table" Target="../tables/table21.xml"/><Relationship Id="rId9" Type="http://schemas.openxmlformats.org/officeDocument/2006/relationships/table" Target="../tables/table2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7" Type="http://schemas.openxmlformats.org/officeDocument/2006/relationships/table" Target="../tables/table36.xml"/><Relationship Id="rId2" Type="http://schemas.openxmlformats.org/officeDocument/2006/relationships/table" Target="../tables/table31.xml"/><Relationship Id="rId1" Type="http://schemas.openxmlformats.org/officeDocument/2006/relationships/table" Target="../tables/table30.xml"/><Relationship Id="rId6" Type="http://schemas.openxmlformats.org/officeDocument/2006/relationships/table" Target="../tables/table35.xml"/><Relationship Id="rId5" Type="http://schemas.openxmlformats.org/officeDocument/2006/relationships/table" Target="../tables/table34.xml"/><Relationship Id="rId4" Type="http://schemas.openxmlformats.org/officeDocument/2006/relationships/table" Target="../tables/table3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3.xml"/><Relationship Id="rId3" Type="http://schemas.openxmlformats.org/officeDocument/2006/relationships/table" Target="../tables/table38.xml"/><Relationship Id="rId7" Type="http://schemas.openxmlformats.org/officeDocument/2006/relationships/table" Target="../tables/table42.xml"/><Relationship Id="rId2" Type="http://schemas.openxmlformats.org/officeDocument/2006/relationships/table" Target="../tables/table37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1.xml"/><Relationship Id="rId5" Type="http://schemas.openxmlformats.org/officeDocument/2006/relationships/table" Target="../tables/table40.xml"/><Relationship Id="rId10" Type="http://schemas.openxmlformats.org/officeDocument/2006/relationships/table" Target="../tables/table45.xml"/><Relationship Id="rId4" Type="http://schemas.openxmlformats.org/officeDocument/2006/relationships/table" Target="../tables/table39.xml"/><Relationship Id="rId9" Type="http://schemas.openxmlformats.org/officeDocument/2006/relationships/table" Target="../tables/table4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3.xml"/><Relationship Id="rId13" Type="http://schemas.openxmlformats.org/officeDocument/2006/relationships/table" Target="../tables/table58.xml"/><Relationship Id="rId3" Type="http://schemas.openxmlformats.org/officeDocument/2006/relationships/table" Target="../tables/table48.xml"/><Relationship Id="rId7" Type="http://schemas.openxmlformats.org/officeDocument/2006/relationships/table" Target="../tables/table52.xml"/><Relationship Id="rId12" Type="http://schemas.openxmlformats.org/officeDocument/2006/relationships/table" Target="../tables/table57.xml"/><Relationship Id="rId2" Type="http://schemas.openxmlformats.org/officeDocument/2006/relationships/table" Target="../tables/table47.xml"/><Relationship Id="rId1" Type="http://schemas.openxmlformats.org/officeDocument/2006/relationships/table" Target="../tables/table46.xml"/><Relationship Id="rId6" Type="http://schemas.openxmlformats.org/officeDocument/2006/relationships/table" Target="../tables/table51.xml"/><Relationship Id="rId11" Type="http://schemas.openxmlformats.org/officeDocument/2006/relationships/table" Target="../tables/table56.xml"/><Relationship Id="rId5" Type="http://schemas.openxmlformats.org/officeDocument/2006/relationships/table" Target="../tables/table50.xml"/><Relationship Id="rId10" Type="http://schemas.openxmlformats.org/officeDocument/2006/relationships/table" Target="../tables/table55.xml"/><Relationship Id="rId4" Type="http://schemas.openxmlformats.org/officeDocument/2006/relationships/table" Target="../tables/table49.xml"/><Relationship Id="rId9" Type="http://schemas.openxmlformats.org/officeDocument/2006/relationships/table" Target="../tables/table5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6.xml"/><Relationship Id="rId3" Type="http://schemas.openxmlformats.org/officeDocument/2006/relationships/table" Target="../tables/table61.xml"/><Relationship Id="rId7" Type="http://schemas.openxmlformats.org/officeDocument/2006/relationships/table" Target="../tables/table65.xml"/><Relationship Id="rId12" Type="http://schemas.openxmlformats.org/officeDocument/2006/relationships/table" Target="../tables/table70.xml"/><Relationship Id="rId2" Type="http://schemas.openxmlformats.org/officeDocument/2006/relationships/table" Target="../tables/table60.xml"/><Relationship Id="rId1" Type="http://schemas.openxmlformats.org/officeDocument/2006/relationships/table" Target="../tables/table59.xml"/><Relationship Id="rId6" Type="http://schemas.openxmlformats.org/officeDocument/2006/relationships/table" Target="../tables/table64.xml"/><Relationship Id="rId11" Type="http://schemas.openxmlformats.org/officeDocument/2006/relationships/table" Target="../tables/table69.xml"/><Relationship Id="rId5" Type="http://schemas.openxmlformats.org/officeDocument/2006/relationships/table" Target="../tables/table63.xml"/><Relationship Id="rId10" Type="http://schemas.openxmlformats.org/officeDocument/2006/relationships/table" Target="../tables/table68.xml"/><Relationship Id="rId4" Type="http://schemas.openxmlformats.org/officeDocument/2006/relationships/table" Target="../tables/table62.xml"/><Relationship Id="rId9" Type="http://schemas.openxmlformats.org/officeDocument/2006/relationships/table" Target="../tables/table6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8.xml"/><Relationship Id="rId3" Type="http://schemas.openxmlformats.org/officeDocument/2006/relationships/table" Target="../tables/table73.xml"/><Relationship Id="rId7" Type="http://schemas.openxmlformats.org/officeDocument/2006/relationships/table" Target="../tables/table77.xml"/><Relationship Id="rId2" Type="http://schemas.openxmlformats.org/officeDocument/2006/relationships/table" Target="../tables/table72.xml"/><Relationship Id="rId1" Type="http://schemas.openxmlformats.org/officeDocument/2006/relationships/table" Target="../tables/table71.xml"/><Relationship Id="rId6" Type="http://schemas.openxmlformats.org/officeDocument/2006/relationships/table" Target="../tables/table76.xml"/><Relationship Id="rId5" Type="http://schemas.openxmlformats.org/officeDocument/2006/relationships/table" Target="../tables/table75.xml"/><Relationship Id="rId4" Type="http://schemas.openxmlformats.org/officeDocument/2006/relationships/table" Target="../tables/table74.xml"/><Relationship Id="rId9" Type="http://schemas.openxmlformats.org/officeDocument/2006/relationships/table" Target="../tables/table7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0.xml"/><Relationship Id="rId1" Type="http://schemas.openxmlformats.org/officeDocument/2006/relationships/pivotTable" Target="../pivotTables/pivotTable1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2.xml"/><Relationship Id="rId1" Type="http://schemas.openxmlformats.org/officeDocument/2006/relationships/table" Target="../tables/table8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165"/>
  <sheetViews>
    <sheetView zoomScale="80" zoomScaleNormal="80" workbookViewId="0"/>
  </sheetViews>
  <sheetFormatPr baseColWidth="10" defaultColWidth="11.5703125" defaultRowHeight="15" x14ac:dyDescent="0.25"/>
  <cols>
    <col min="1" max="1" width="3.7109375" style="6" customWidth="1"/>
    <col min="2" max="2" width="46.28515625" style="6" customWidth="1"/>
    <col min="3" max="3" width="28.140625" style="6" customWidth="1"/>
    <col min="4" max="5" width="11.5703125" style="6"/>
    <col min="6" max="6" width="20.28515625" style="6" customWidth="1"/>
    <col min="7" max="7" width="11.5703125" style="6"/>
    <col min="8" max="8" width="20.7109375" style="6" customWidth="1"/>
    <col min="9" max="9" width="55.140625" style="75" customWidth="1"/>
    <col min="10" max="10" width="20.85546875" style="6" customWidth="1"/>
    <col min="11" max="11" width="28.5703125" style="6" customWidth="1"/>
    <col min="12" max="12" width="11.5703125" style="6"/>
    <col min="13" max="13" width="9.5703125" style="6" bestFit="1" customWidth="1"/>
    <col min="14" max="14" width="11.5703125" style="6"/>
    <col min="15" max="15" width="9.5703125" style="6" bestFit="1" customWidth="1"/>
    <col min="16" max="16" width="61" style="6" bestFit="1" customWidth="1"/>
    <col min="17" max="16384" width="11.5703125" style="6"/>
  </cols>
  <sheetData>
    <row r="1" spans="2:16" ht="16.149999999999999" customHeight="1" thickBot="1" x14ac:dyDescent="0.3"/>
    <row r="2" spans="2:16" ht="16.149999999999999" customHeight="1" thickBot="1" x14ac:dyDescent="0.3">
      <c r="B2" s="173" t="s">
        <v>54</v>
      </c>
      <c r="C2" s="174"/>
      <c r="D2" s="174"/>
      <c r="E2" s="174"/>
      <c r="F2" s="175"/>
      <c r="H2" s="173" t="s">
        <v>294</v>
      </c>
      <c r="I2" s="174"/>
      <c r="J2" s="174"/>
      <c r="K2" s="175"/>
      <c r="M2" s="173" t="s">
        <v>109</v>
      </c>
      <c r="N2" s="174"/>
      <c r="O2" s="174"/>
      <c r="P2" s="175"/>
    </row>
    <row r="3" spans="2:16" ht="16.5" thickBot="1" x14ac:dyDescent="0.3">
      <c r="B3" s="95" t="s">
        <v>38</v>
      </c>
      <c r="C3" s="71" t="s">
        <v>2</v>
      </c>
      <c r="D3" s="96" t="s">
        <v>1</v>
      </c>
      <c r="E3" s="71" t="s">
        <v>3</v>
      </c>
      <c r="F3" s="97" t="s">
        <v>33</v>
      </c>
      <c r="H3" s="50" t="s">
        <v>27</v>
      </c>
      <c r="I3" s="50" t="s">
        <v>28</v>
      </c>
      <c r="J3" s="50" t="s">
        <v>295</v>
      </c>
      <c r="K3" s="50" t="s">
        <v>293</v>
      </c>
      <c r="M3" s="69" t="s">
        <v>27</v>
      </c>
      <c r="O3" s="62" t="s">
        <v>27</v>
      </c>
      <c r="P3" s="67" t="s">
        <v>28</v>
      </c>
    </row>
    <row r="4" spans="2:16" ht="15.75" thickBot="1" x14ac:dyDescent="0.3">
      <c r="B4" s="73" t="s">
        <v>188</v>
      </c>
      <c r="C4" s="94" t="s">
        <v>24</v>
      </c>
      <c r="D4" s="42" t="s">
        <v>12</v>
      </c>
      <c r="E4" s="79"/>
      <c r="F4" s="42"/>
      <c r="H4" s="36" t="s">
        <v>69</v>
      </c>
      <c r="I4" s="80" t="s">
        <v>107</v>
      </c>
      <c r="J4" s="42">
        <v>20</v>
      </c>
      <c r="K4" s="98" t="s">
        <v>117</v>
      </c>
      <c r="M4" s="159" t="s">
        <v>69</v>
      </c>
      <c r="O4" s="73" t="s">
        <v>69</v>
      </c>
      <c r="P4" s="87" t="s">
        <v>107</v>
      </c>
    </row>
    <row r="5" spans="2:16" ht="15.75" thickBot="1" x14ac:dyDescent="0.3">
      <c r="B5" s="74" t="s">
        <v>147</v>
      </c>
      <c r="C5" s="93" t="s">
        <v>24</v>
      </c>
      <c r="D5" s="43" t="s">
        <v>12</v>
      </c>
      <c r="E5" s="34"/>
      <c r="F5" s="43"/>
      <c r="H5" s="51" t="s">
        <v>69</v>
      </c>
      <c r="I5" s="81" t="s">
        <v>107</v>
      </c>
      <c r="J5" s="43">
        <v>40</v>
      </c>
      <c r="K5" s="70" t="s">
        <v>117</v>
      </c>
      <c r="M5" s="171" t="s">
        <v>146</v>
      </c>
      <c r="O5" s="74" t="s">
        <v>69</v>
      </c>
      <c r="P5" s="88" t="s">
        <v>108</v>
      </c>
    </row>
    <row r="6" spans="2:16" ht="15.75" thickBot="1" x14ac:dyDescent="0.3">
      <c r="B6" s="74" t="s">
        <v>190</v>
      </c>
      <c r="C6" s="93" t="s">
        <v>24</v>
      </c>
      <c r="D6" s="43" t="s">
        <v>12</v>
      </c>
      <c r="E6" s="34"/>
      <c r="F6" s="43"/>
      <c r="H6" s="51" t="s">
        <v>69</v>
      </c>
      <c r="I6" s="81" t="s">
        <v>108</v>
      </c>
      <c r="J6" s="43">
        <v>20</v>
      </c>
      <c r="K6" s="70" t="s">
        <v>118</v>
      </c>
      <c r="M6" s="159" t="s">
        <v>30</v>
      </c>
      <c r="O6" s="74" t="s">
        <v>69</v>
      </c>
      <c r="P6" s="88" t="s">
        <v>234</v>
      </c>
    </row>
    <row r="7" spans="2:16" ht="15.75" thickBot="1" x14ac:dyDescent="0.3">
      <c r="B7" s="74" t="s">
        <v>206</v>
      </c>
      <c r="C7" s="93" t="s">
        <v>24</v>
      </c>
      <c r="D7" s="43" t="s">
        <v>232</v>
      </c>
      <c r="E7" s="34"/>
      <c r="F7" s="43"/>
      <c r="H7" s="51" t="s">
        <v>69</v>
      </c>
      <c r="I7" s="81" t="s">
        <v>108</v>
      </c>
      <c r="J7" s="43">
        <v>40</v>
      </c>
      <c r="K7" s="70" t="s">
        <v>118</v>
      </c>
      <c r="M7" s="171" t="s">
        <v>29</v>
      </c>
      <c r="O7" s="74" t="s">
        <v>69</v>
      </c>
      <c r="P7" s="88" t="s">
        <v>106</v>
      </c>
    </row>
    <row r="8" spans="2:16" ht="15.75" thickBot="1" x14ac:dyDescent="0.3">
      <c r="B8" s="74" t="s">
        <v>203</v>
      </c>
      <c r="C8" s="93" t="s">
        <v>24</v>
      </c>
      <c r="D8" s="43" t="s">
        <v>232</v>
      </c>
      <c r="E8" s="34"/>
      <c r="F8" s="43"/>
      <c r="H8" s="51" t="s">
        <v>69</v>
      </c>
      <c r="I8" s="81" t="s">
        <v>234</v>
      </c>
      <c r="J8" s="43">
        <v>6</v>
      </c>
      <c r="K8" s="70" t="s">
        <v>115</v>
      </c>
      <c r="M8" s="159" t="s">
        <v>285</v>
      </c>
      <c r="O8" s="74" t="s">
        <v>69</v>
      </c>
      <c r="P8" s="88" t="s">
        <v>99</v>
      </c>
    </row>
    <row r="9" spans="2:16" ht="15.75" thickBot="1" x14ac:dyDescent="0.3">
      <c r="B9" s="74" t="s">
        <v>204</v>
      </c>
      <c r="C9" s="93" t="s">
        <v>24</v>
      </c>
      <c r="D9" s="43" t="s">
        <v>232</v>
      </c>
      <c r="E9" s="34"/>
      <c r="F9" s="43"/>
      <c r="H9" s="51" t="s">
        <v>69</v>
      </c>
      <c r="I9" s="81" t="s">
        <v>234</v>
      </c>
      <c r="J9" s="43">
        <v>12</v>
      </c>
      <c r="K9" s="70" t="s">
        <v>115</v>
      </c>
      <c r="M9" s="171" t="s">
        <v>31</v>
      </c>
      <c r="O9" s="74" t="s">
        <v>69</v>
      </c>
      <c r="P9" s="88" t="s">
        <v>98</v>
      </c>
    </row>
    <row r="10" spans="2:16" ht="15.75" thickBot="1" x14ac:dyDescent="0.3">
      <c r="B10" s="74" t="s">
        <v>148</v>
      </c>
      <c r="C10" s="93" t="s">
        <v>25</v>
      </c>
      <c r="D10" s="43" t="s">
        <v>12</v>
      </c>
      <c r="E10" s="34"/>
      <c r="F10" s="43"/>
      <c r="H10" s="51" t="s">
        <v>69</v>
      </c>
      <c r="I10" s="81" t="s">
        <v>234</v>
      </c>
      <c r="J10" s="43">
        <v>24</v>
      </c>
      <c r="K10" s="70" t="s">
        <v>115</v>
      </c>
      <c r="M10" s="159" t="s">
        <v>70</v>
      </c>
      <c r="O10" s="85" t="s">
        <v>69</v>
      </c>
      <c r="P10" s="70" t="s">
        <v>102</v>
      </c>
    </row>
    <row r="11" spans="2:16" x14ac:dyDescent="0.25">
      <c r="B11" s="74" t="s">
        <v>149</v>
      </c>
      <c r="C11" s="34" t="s">
        <v>231</v>
      </c>
      <c r="D11" s="43" t="s">
        <v>12</v>
      </c>
      <c r="E11" s="34"/>
      <c r="F11" s="43"/>
      <c r="H11" s="51" t="s">
        <v>69</v>
      </c>
      <c r="I11" s="82" t="s">
        <v>106</v>
      </c>
      <c r="J11" s="43">
        <v>6</v>
      </c>
      <c r="K11" s="70" t="s">
        <v>116</v>
      </c>
      <c r="O11" s="73" t="s">
        <v>146</v>
      </c>
      <c r="P11" s="73" t="s">
        <v>247</v>
      </c>
    </row>
    <row r="12" spans="2:16" x14ac:dyDescent="0.25">
      <c r="B12" s="74" t="s">
        <v>150</v>
      </c>
      <c r="C12" s="93" t="s">
        <v>24</v>
      </c>
      <c r="D12" s="43" t="s">
        <v>12</v>
      </c>
      <c r="E12" s="34"/>
      <c r="F12" s="43"/>
      <c r="H12" s="51" t="s">
        <v>69</v>
      </c>
      <c r="I12" s="82" t="s">
        <v>106</v>
      </c>
      <c r="J12" s="43">
        <v>12</v>
      </c>
      <c r="K12" s="70" t="s">
        <v>116</v>
      </c>
      <c r="O12" s="74" t="s">
        <v>146</v>
      </c>
      <c r="P12" s="74" t="s">
        <v>103</v>
      </c>
    </row>
    <row r="13" spans="2:16" x14ac:dyDescent="0.25">
      <c r="B13" s="32" t="s">
        <v>5</v>
      </c>
      <c r="C13" s="34" t="s">
        <v>23</v>
      </c>
      <c r="D13" s="43" t="s">
        <v>12</v>
      </c>
      <c r="E13" s="34">
        <v>2.15</v>
      </c>
      <c r="F13" s="43" t="s">
        <v>34</v>
      </c>
      <c r="G13"/>
      <c r="H13" s="51" t="s">
        <v>69</v>
      </c>
      <c r="I13" s="82" t="s">
        <v>106</v>
      </c>
      <c r="J13" s="43">
        <v>24</v>
      </c>
      <c r="K13" s="70" t="s">
        <v>116</v>
      </c>
      <c r="L13"/>
      <c r="O13" s="74" t="s">
        <v>146</v>
      </c>
      <c r="P13" s="74" t="s">
        <v>104</v>
      </c>
    </row>
    <row r="14" spans="2:16" ht="15.75" thickBot="1" x14ac:dyDescent="0.3">
      <c r="B14" s="32" t="s">
        <v>4</v>
      </c>
      <c r="C14" s="34" t="s">
        <v>23</v>
      </c>
      <c r="D14" s="43" t="s">
        <v>12</v>
      </c>
      <c r="E14" s="34">
        <v>2.09</v>
      </c>
      <c r="F14" s="43" t="s">
        <v>34</v>
      </c>
      <c r="G14"/>
      <c r="H14" s="51" t="s">
        <v>69</v>
      </c>
      <c r="I14" s="82" t="s">
        <v>98</v>
      </c>
      <c r="J14" s="43">
        <v>6</v>
      </c>
      <c r="K14" s="70" t="s">
        <v>119</v>
      </c>
      <c r="L14"/>
      <c r="O14" s="85" t="s">
        <v>146</v>
      </c>
      <c r="P14" s="85" t="s">
        <v>105</v>
      </c>
    </row>
    <row r="15" spans="2:16" x14ac:dyDescent="0.25">
      <c r="B15" s="74" t="s">
        <v>151</v>
      </c>
      <c r="C15" s="93" t="s">
        <v>25</v>
      </c>
      <c r="D15" s="43" t="s">
        <v>12</v>
      </c>
      <c r="E15" s="34"/>
      <c r="F15" s="43"/>
      <c r="G15"/>
      <c r="H15" s="51" t="s">
        <v>69</v>
      </c>
      <c r="I15" s="82" t="s">
        <v>98</v>
      </c>
      <c r="J15" s="43">
        <v>12</v>
      </c>
      <c r="K15" s="70" t="s">
        <v>119</v>
      </c>
      <c r="L15"/>
      <c r="O15" s="73" t="s">
        <v>30</v>
      </c>
      <c r="P15" s="73" t="s">
        <v>84</v>
      </c>
    </row>
    <row r="16" spans="2:16" x14ac:dyDescent="0.25">
      <c r="B16" s="32" t="s">
        <v>228</v>
      </c>
      <c r="C16" s="34" t="s">
        <v>23</v>
      </c>
      <c r="D16" s="43" t="s">
        <v>12</v>
      </c>
      <c r="E16" s="34"/>
      <c r="F16" s="43"/>
      <c r="G16"/>
      <c r="H16" s="51" t="s">
        <v>69</v>
      </c>
      <c r="I16" s="82" t="s">
        <v>98</v>
      </c>
      <c r="J16" s="43">
        <v>24</v>
      </c>
      <c r="K16" s="70" t="s">
        <v>119</v>
      </c>
      <c r="L16"/>
      <c r="O16" s="74" t="s">
        <v>30</v>
      </c>
      <c r="P16" s="74" t="s">
        <v>20</v>
      </c>
    </row>
    <row r="17" spans="2:16" x14ac:dyDescent="0.25">
      <c r="B17" s="35" t="s">
        <v>11</v>
      </c>
      <c r="C17" s="93" t="s">
        <v>25</v>
      </c>
      <c r="D17" s="43" t="s">
        <v>12</v>
      </c>
      <c r="E17" s="34">
        <v>15.8</v>
      </c>
      <c r="F17" s="43" t="s">
        <v>35</v>
      </c>
      <c r="G17"/>
      <c r="H17" s="51" t="s">
        <v>69</v>
      </c>
      <c r="I17" s="82" t="s">
        <v>99</v>
      </c>
      <c r="J17" s="43">
        <v>6</v>
      </c>
      <c r="K17" s="70" t="s">
        <v>120</v>
      </c>
      <c r="L17"/>
      <c r="O17" s="74" t="s">
        <v>30</v>
      </c>
      <c r="P17" s="74" t="s">
        <v>100</v>
      </c>
    </row>
    <row r="18" spans="2:16" x14ac:dyDescent="0.25">
      <c r="B18" s="35" t="s">
        <v>298</v>
      </c>
      <c r="C18" s="93" t="s">
        <v>45</v>
      </c>
      <c r="D18" s="43" t="s">
        <v>12</v>
      </c>
      <c r="E18" s="34"/>
      <c r="F18" s="43"/>
      <c r="G18"/>
      <c r="H18" s="51" t="s">
        <v>69</v>
      </c>
      <c r="I18" s="82" t="s">
        <v>99</v>
      </c>
      <c r="J18" s="43">
        <v>12</v>
      </c>
      <c r="K18" s="70" t="s">
        <v>120</v>
      </c>
      <c r="L18"/>
      <c r="O18" s="74" t="s">
        <v>30</v>
      </c>
      <c r="P18" s="74" t="s">
        <v>85</v>
      </c>
    </row>
    <row r="19" spans="2:16" ht="15.75" thickBot="1" x14ac:dyDescent="0.3">
      <c r="B19" s="74" t="s">
        <v>191</v>
      </c>
      <c r="C19" s="93" t="s">
        <v>25</v>
      </c>
      <c r="D19" s="43" t="s">
        <v>12</v>
      </c>
      <c r="E19" s="34"/>
      <c r="F19" s="43" t="s">
        <v>230</v>
      </c>
      <c r="G19"/>
      <c r="H19" s="51" t="s">
        <v>69</v>
      </c>
      <c r="I19" s="82" t="s">
        <v>99</v>
      </c>
      <c r="J19" s="43">
        <v>24</v>
      </c>
      <c r="K19" s="70" t="s">
        <v>120</v>
      </c>
      <c r="L19"/>
      <c r="O19" s="85" t="s">
        <v>30</v>
      </c>
      <c r="P19" s="85" t="s">
        <v>86</v>
      </c>
    </row>
    <row r="20" spans="2:16" x14ac:dyDescent="0.25">
      <c r="B20" s="74" t="s">
        <v>152</v>
      </c>
      <c r="C20" s="93" t="s">
        <v>25</v>
      </c>
      <c r="D20" s="43" t="s">
        <v>12</v>
      </c>
      <c r="E20" s="34"/>
      <c r="F20" s="43" t="s">
        <v>230</v>
      </c>
      <c r="G20"/>
      <c r="H20" s="51" t="s">
        <v>69</v>
      </c>
      <c r="I20" s="81" t="s">
        <v>102</v>
      </c>
      <c r="J20" s="43">
        <v>6</v>
      </c>
      <c r="K20" s="70" t="s">
        <v>121</v>
      </c>
      <c r="L20"/>
      <c r="O20" s="73" t="s">
        <v>29</v>
      </c>
      <c r="P20" s="73" t="s">
        <v>95</v>
      </c>
    </row>
    <row r="21" spans="2:16" x14ac:dyDescent="0.25">
      <c r="B21" s="74" t="s">
        <v>192</v>
      </c>
      <c r="C21" s="93" t="s">
        <v>25</v>
      </c>
      <c r="D21" s="43" t="s">
        <v>12</v>
      </c>
      <c r="E21" s="34"/>
      <c r="F21" s="43"/>
      <c r="G21"/>
      <c r="H21" s="51" t="s">
        <v>69</v>
      </c>
      <c r="I21" s="81" t="s">
        <v>102</v>
      </c>
      <c r="J21" s="43">
        <v>12</v>
      </c>
      <c r="K21" s="70" t="s">
        <v>121</v>
      </c>
      <c r="L21"/>
      <c r="O21" s="74" t="s">
        <v>29</v>
      </c>
      <c r="P21" s="74" t="s">
        <v>97</v>
      </c>
    </row>
    <row r="22" spans="2:16" ht="15.75" thickBot="1" x14ac:dyDescent="0.3">
      <c r="B22" s="32" t="s">
        <v>288</v>
      </c>
      <c r="C22" s="93" t="s">
        <v>24</v>
      </c>
      <c r="D22" s="43" t="s">
        <v>12</v>
      </c>
      <c r="E22" s="34"/>
      <c r="F22" s="43"/>
      <c r="G22"/>
      <c r="H22" s="77" t="s">
        <v>69</v>
      </c>
      <c r="I22" s="83" t="s">
        <v>102</v>
      </c>
      <c r="J22" s="52">
        <v>24</v>
      </c>
      <c r="K22" s="91" t="s">
        <v>121</v>
      </c>
      <c r="L22"/>
      <c r="O22" s="74" t="s">
        <v>29</v>
      </c>
      <c r="P22" s="74" t="s">
        <v>96</v>
      </c>
    </row>
    <row r="23" spans="2:16" x14ac:dyDescent="0.25">
      <c r="B23" s="32" t="s">
        <v>194</v>
      </c>
      <c r="C23" s="93" t="s">
        <v>25</v>
      </c>
      <c r="D23" s="43" t="s">
        <v>12</v>
      </c>
      <c r="E23" s="34"/>
      <c r="F23" s="43"/>
      <c r="G23"/>
      <c r="H23" s="43" t="s">
        <v>146</v>
      </c>
      <c r="I23" s="86" t="s">
        <v>103</v>
      </c>
      <c r="J23" s="34">
        <v>6</v>
      </c>
      <c r="K23" s="32" t="s">
        <v>122</v>
      </c>
      <c r="L23"/>
      <c r="O23" s="74" t="s">
        <v>29</v>
      </c>
      <c r="P23" s="74" t="s">
        <v>93</v>
      </c>
    </row>
    <row r="24" spans="2:16" x14ac:dyDescent="0.25">
      <c r="B24" s="74" t="s">
        <v>193</v>
      </c>
      <c r="C24" s="93" t="s">
        <v>25</v>
      </c>
      <c r="D24" s="43" t="s">
        <v>12</v>
      </c>
      <c r="E24" s="34"/>
      <c r="F24" s="43"/>
      <c r="H24" s="43" t="s">
        <v>146</v>
      </c>
      <c r="I24" s="86" t="s">
        <v>103</v>
      </c>
      <c r="J24" s="34">
        <v>12</v>
      </c>
      <c r="K24" s="32" t="s">
        <v>122</v>
      </c>
      <c r="O24" s="74" t="s">
        <v>29</v>
      </c>
      <c r="P24" s="74" t="s">
        <v>94</v>
      </c>
    </row>
    <row r="25" spans="2:16" x14ac:dyDescent="0.25">
      <c r="B25" s="74" t="s">
        <v>153</v>
      </c>
      <c r="C25" s="34" t="s">
        <v>231</v>
      </c>
      <c r="D25" s="43" t="s">
        <v>12</v>
      </c>
      <c r="E25" s="34"/>
      <c r="F25" s="43"/>
      <c r="H25" s="43" t="s">
        <v>146</v>
      </c>
      <c r="I25" s="86" t="s">
        <v>103</v>
      </c>
      <c r="J25" s="34">
        <v>18</v>
      </c>
      <c r="K25" s="32" t="s">
        <v>122</v>
      </c>
      <c r="O25" s="74" t="s">
        <v>29</v>
      </c>
      <c r="P25" s="74" t="s">
        <v>92</v>
      </c>
    </row>
    <row r="26" spans="2:16" x14ac:dyDescent="0.25">
      <c r="B26" s="32" t="s">
        <v>280</v>
      </c>
      <c r="C26" s="93" t="s">
        <v>24</v>
      </c>
      <c r="D26" s="43" t="s">
        <v>12</v>
      </c>
      <c r="E26" s="34"/>
      <c r="F26" s="43"/>
      <c r="H26" s="43" t="s">
        <v>146</v>
      </c>
      <c r="I26" s="86" t="s">
        <v>104</v>
      </c>
      <c r="J26" s="34">
        <v>6</v>
      </c>
      <c r="K26" s="32" t="s">
        <v>123</v>
      </c>
      <c r="O26" s="74" t="s">
        <v>29</v>
      </c>
      <c r="P26" s="74" t="s">
        <v>90</v>
      </c>
    </row>
    <row r="27" spans="2:16" x14ac:dyDescent="0.25">
      <c r="B27" s="74" t="s">
        <v>195</v>
      </c>
      <c r="C27" s="93" t="s">
        <v>24</v>
      </c>
      <c r="D27" s="43" t="s">
        <v>12</v>
      </c>
      <c r="E27" s="34"/>
      <c r="F27" s="43"/>
      <c r="H27" s="43" t="s">
        <v>146</v>
      </c>
      <c r="I27" s="86" t="s">
        <v>104</v>
      </c>
      <c r="J27" s="34">
        <v>12</v>
      </c>
      <c r="K27" s="32" t="s">
        <v>123</v>
      </c>
      <c r="O27" s="74" t="s">
        <v>29</v>
      </c>
      <c r="P27" s="74" t="s">
        <v>91</v>
      </c>
    </row>
    <row r="28" spans="2:16" ht="15.75" thickBot="1" x14ac:dyDescent="0.3">
      <c r="B28" s="74" t="s">
        <v>196</v>
      </c>
      <c r="C28" s="93" t="s">
        <v>24</v>
      </c>
      <c r="D28" s="43" t="s">
        <v>12</v>
      </c>
      <c r="E28" s="34"/>
      <c r="F28" s="43"/>
      <c r="H28" s="43" t="s">
        <v>146</v>
      </c>
      <c r="I28" s="86" t="s">
        <v>104</v>
      </c>
      <c r="J28" s="34">
        <v>18</v>
      </c>
      <c r="K28" s="32" t="s">
        <v>123</v>
      </c>
      <c r="O28" s="85" t="s">
        <v>29</v>
      </c>
      <c r="P28" s="85" t="s">
        <v>89</v>
      </c>
    </row>
    <row r="29" spans="2:16" ht="15.75" thickBot="1" x14ac:dyDescent="0.3">
      <c r="B29" s="74" t="s">
        <v>197</v>
      </c>
      <c r="C29" s="93" t="s">
        <v>24</v>
      </c>
      <c r="D29" s="43" t="s">
        <v>12</v>
      </c>
      <c r="E29" s="34"/>
      <c r="F29" s="43"/>
      <c r="H29" s="43" t="s">
        <v>146</v>
      </c>
      <c r="I29" s="86" t="s">
        <v>247</v>
      </c>
      <c r="J29" s="34">
        <v>6</v>
      </c>
      <c r="K29" s="32" t="s">
        <v>248</v>
      </c>
      <c r="O29" s="172" t="s">
        <v>285</v>
      </c>
      <c r="P29" s="88" t="s">
        <v>286</v>
      </c>
    </row>
    <row r="30" spans="2:16" x14ac:dyDescent="0.25">
      <c r="B30" s="74" t="s">
        <v>198</v>
      </c>
      <c r="C30" s="93" t="s">
        <v>24</v>
      </c>
      <c r="D30" s="43" t="s">
        <v>12</v>
      </c>
      <c r="E30" s="34">
        <v>35</v>
      </c>
      <c r="F30" s="43" t="s">
        <v>35</v>
      </c>
      <c r="H30" s="43" t="s">
        <v>146</v>
      </c>
      <c r="I30" s="86" t="s">
        <v>247</v>
      </c>
      <c r="J30" s="34">
        <v>12</v>
      </c>
      <c r="K30" s="32" t="s">
        <v>248</v>
      </c>
      <c r="O30" s="73" t="s">
        <v>31</v>
      </c>
      <c r="P30" s="73" t="s">
        <v>101</v>
      </c>
    </row>
    <row r="31" spans="2:16" x14ac:dyDescent="0.25">
      <c r="B31" s="74" t="s">
        <v>154</v>
      </c>
      <c r="C31" s="93" t="s">
        <v>24</v>
      </c>
      <c r="D31" s="43" t="s">
        <v>12</v>
      </c>
      <c r="E31" s="34"/>
      <c r="F31" s="43"/>
      <c r="H31" s="43" t="s">
        <v>146</v>
      </c>
      <c r="I31" s="86" t="s">
        <v>247</v>
      </c>
      <c r="J31" s="34">
        <v>18</v>
      </c>
      <c r="K31" s="32" t="s">
        <v>248</v>
      </c>
      <c r="O31" s="74" t="s">
        <v>31</v>
      </c>
      <c r="P31" s="74" t="s">
        <v>80</v>
      </c>
    </row>
    <row r="32" spans="2:16" x14ac:dyDescent="0.25">
      <c r="B32" s="74" t="s">
        <v>199</v>
      </c>
      <c r="C32" s="34" t="s">
        <v>231</v>
      </c>
      <c r="D32" s="43" t="s">
        <v>12</v>
      </c>
      <c r="E32" s="34"/>
      <c r="F32" s="43"/>
      <c r="H32" s="43" t="s">
        <v>146</v>
      </c>
      <c r="I32" s="86" t="s">
        <v>105</v>
      </c>
      <c r="J32" s="34">
        <v>6</v>
      </c>
      <c r="K32" s="32" t="s">
        <v>114</v>
      </c>
      <c r="O32" s="74" t="s">
        <v>31</v>
      </c>
      <c r="P32" s="74" t="s">
        <v>78</v>
      </c>
    </row>
    <row r="33" spans="2:16" x14ac:dyDescent="0.25">
      <c r="B33" s="74" t="s">
        <v>200</v>
      </c>
      <c r="C33" s="34" t="s">
        <v>231</v>
      </c>
      <c r="D33" s="43" t="s">
        <v>12</v>
      </c>
      <c r="E33" s="34"/>
      <c r="F33" s="43"/>
      <c r="H33" s="43" t="s">
        <v>146</v>
      </c>
      <c r="I33" s="86" t="s">
        <v>105</v>
      </c>
      <c r="J33" s="34">
        <v>12</v>
      </c>
      <c r="K33" s="32" t="s">
        <v>114</v>
      </c>
      <c r="O33" s="74" t="s">
        <v>31</v>
      </c>
      <c r="P33" s="74" t="s">
        <v>79</v>
      </c>
    </row>
    <row r="34" spans="2:16" ht="15.75" thickBot="1" x14ac:dyDescent="0.3">
      <c r="B34" s="32" t="s">
        <v>227</v>
      </c>
      <c r="C34" s="93" t="s">
        <v>24</v>
      </c>
      <c r="D34" s="43" t="s">
        <v>12</v>
      </c>
      <c r="E34" s="34"/>
      <c r="F34" s="43"/>
      <c r="H34" s="43" t="s">
        <v>146</v>
      </c>
      <c r="I34" s="92" t="s">
        <v>105</v>
      </c>
      <c r="J34" s="84">
        <v>18</v>
      </c>
      <c r="K34" s="78" t="s">
        <v>114</v>
      </c>
      <c r="O34" s="74" t="s">
        <v>31</v>
      </c>
      <c r="P34" s="74" t="s">
        <v>81</v>
      </c>
    </row>
    <row r="35" spans="2:16" x14ac:dyDescent="0.25">
      <c r="B35" s="74" t="s">
        <v>201</v>
      </c>
      <c r="C35" s="93" t="s">
        <v>25</v>
      </c>
      <c r="D35" s="43" t="s">
        <v>12</v>
      </c>
      <c r="E35" s="34"/>
      <c r="F35" s="43"/>
      <c r="H35" s="42" t="s">
        <v>30</v>
      </c>
      <c r="I35" s="87" t="s">
        <v>84</v>
      </c>
      <c r="J35" s="79">
        <v>1000</v>
      </c>
      <c r="K35" s="53" t="s">
        <v>113</v>
      </c>
      <c r="O35" s="74" t="s">
        <v>31</v>
      </c>
      <c r="P35" s="74" t="s">
        <v>74</v>
      </c>
    </row>
    <row r="36" spans="2:16" x14ac:dyDescent="0.25">
      <c r="B36" s="74" t="s">
        <v>202</v>
      </c>
      <c r="C36" s="93" t="s">
        <v>24</v>
      </c>
      <c r="D36" s="43" t="s">
        <v>12</v>
      </c>
      <c r="E36" s="34">
        <v>12.36</v>
      </c>
      <c r="F36" s="43" t="s">
        <v>35</v>
      </c>
      <c r="H36" s="43" t="s">
        <v>30</v>
      </c>
      <c r="I36" s="88" t="s">
        <v>84</v>
      </c>
      <c r="J36" s="34">
        <v>1800</v>
      </c>
      <c r="K36" s="32" t="s">
        <v>113</v>
      </c>
      <c r="O36" s="74" t="s">
        <v>31</v>
      </c>
      <c r="P36" s="74" t="s">
        <v>283</v>
      </c>
    </row>
    <row r="37" spans="2:16" x14ac:dyDescent="0.25">
      <c r="B37" s="32" t="s">
        <v>278</v>
      </c>
      <c r="C37" s="34" t="s">
        <v>23</v>
      </c>
      <c r="D37" s="43" t="s">
        <v>12</v>
      </c>
      <c r="E37" s="34"/>
      <c r="F37" s="43"/>
      <c r="H37" s="43" t="s">
        <v>30</v>
      </c>
      <c r="I37" s="88" t="s">
        <v>84</v>
      </c>
      <c r="J37" s="34">
        <v>2400</v>
      </c>
      <c r="K37" s="32" t="s">
        <v>113</v>
      </c>
      <c r="O37" s="74" t="s">
        <v>31</v>
      </c>
      <c r="P37" s="74" t="s">
        <v>77</v>
      </c>
    </row>
    <row r="38" spans="2:16" x14ac:dyDescent="0.25">
      <c r="B38" s="74" t="s">
        <v>277</v>
      </c>
      <c r="C38" s="34" t="s">
        <v>23</v>
      </c>
      <c r="D38" s="43" t="s">
        <v>12</v>
      </c>
      <c r="E38" s="34"/>
      <c r="F38" s="43"/>
      <c r="H38" s="43" t="s">
        <v>30</v>
      </c>
      <c r="I38" s="88" t="s">
        <v>85</v>
      </c>
      <c r="J38" s="34">
        <v>1000</v>
      </c>
      <c r="K38" s="32" t="s">
        <v>112</v>
      </c>
      <c r="O38" s="74" t="s">
        <v>31</v>
      </c>
      <c r="P38" s="74" t="s">
        <v>75</v>
      </c>
    </row>
    <row r="39" spans="2:16" x14ac:dyDescent="0.25">
      <c r="B39" s="74" t="s">
        <v>281</v>
      </c>
      <c r="C39" s="34" t="s">
        <v>23</v>
      </c>
      <c r="D39" s="43" t="s">
        <v>12</v>
      </c>
      <c r="E39" s="34"/>
      <c r="F39" s="43"/>
      <c r="H39" s="43" t="s">
        <v>30</v>
      </c>
      <c r="I39" s="88" t="s">
        <v>85</v>
      </c>
      <c r="J39" s="34">
        <v>1800</v>
      </c>
      <c r="K39" s="32" t="s">
        <v>112</v>
      </c>
      <c r="O39" s="74" t="s">
        <v>31</v>
      </c>
      <c r="P39" s="74" t="s">
        <v>76</v>
      </c>
    </row>
    <row r="40" spans="2:16" x14ac:dyDescent="0.25">
      <c r="B40" s="35" t="s">
        <v>18</v>
      </c>
      <c r="C40" s="34" t="s">
        <v>23</v>
      </c>
      <c r="D40" s="43" t="s">
        <v>12</v>
      </c>
      <c r="E40" s="34">
        <v>8.1999999999999993</v>
      </c>
      <c r="F40" s="43" t="s">
        <v>36</v>
      </c>
      <c r="H40" s="43" t="s">
        <v>30</v>
      </c>
      <c r="I40" s="88" t="s">
        <v>85</v>
      </c>
      <c r="J40" s="34">
        <v>2400</v>
      </c>
      <c r="K40" s="32" t="s">
        <v>112</v>
      </c>
      <c r="O40" s="74" t="s">
        <v>31</v>
      </c>
      <c r="P40" s="74" t="s">
        <v>82</v>
      </c>
    </row>
    <row r="41" spans="2:16" x14ac:dyDescent="0.25">
      <c r="B41" s="74" t="s">
        <v>155</v>
      </c>
      <c r="C41" s="34" t="s">
        <v>23</v>
      </c>
      <c r="D41" s="43" t="s">
        <v>12</v>
      </c>
      <c r="E41" s="34"/>
      <c r="F41" s="43"/>
      <c r="H41" s="43" t="s">
        <v>30</v>
      </c>
      <c r="I41" s="88" t="s">
        <v>20</v>
      </c>
      <c r="J41" s="34">
        <v>1000</v>
      </c>
      <c r="K41" s="32" t="s">
        <v>64</v>
      </c>
      <c r="O41" s="74" t="s">
        <v>31</v>
      </c>
      <c r="P41" s="74" t="s">
        <v>83</v>
      </c>
    </row>
    <row r="42" spans="2:16" ht="15.75" thickBot="1" x14ac:dyDescent="0.3">
      <c r="B42" s="35" t="s">
        <v>229</v>
      </c>
      <c r="C42" s="34" t="s">
        <v>45</v>
      </c>
      <c r="D42" s="43" t="s">
        <v>12</v>
      </c>
      <c r="E42" s="34">
        <v>0</v>
      </c>
      <c r="F42" s="43" t="s">
        <v>230</v>
      </c>
      <c r="H42" s="43" t="s">
        <v>30</v>
      </c>
      <c r="I42" s="88" t="s">
        <v>20</v>
      </c>
      <c r="J42" s="34">
        <v>1800</v>
      </c>
      <c r="K42" s="32" t="s">
        <v>64</v>
      </c>
      <c r="O42" s="85" t="s">
        <v>31</v>
      </c>
      <c r="P42" s="85" t="s">
        <v>273</v>
      </c>
    </row>
    <row r="43" spans="2:16" x14ac:dyDescent="0.25">
      <c r="B43" s="74" t="s">
        <v>207</v>
      </c>
      <c r="C43" s="93" t="s">
        <v>24</v>
      </c>
      <c r="D43" s="43" t="s">
        <v>12</v>
      </c>
      <c r="E43" s="34"/>
      <c r="F43" s="43"/>
      <c r="H43" s="43" t="s">
        <v>30</v>
      </c>
      <c r="I43" s="88" t="s">
        <v>20</v>
      </c>
      <c r="J43" s="34">
        <v>2400</v>
      </c>
      <c r="K43" s="32" t="s">
        <v>64</v>
      </c>
      <c r="O43" s="32" t="s">
        <v>70</v>
      </c>
      <c r="P43" s="88" t="s">
        <v>141</v>
      </c>
    </row>
    <row r="44" spans="2:16" x14ac:dyDescent="0.25">
      <c r="B44" s="74" t="s">
        <v>156</v>
      </c>
      <c r="C44" s="93" t="s">
        <v>25</v>
      </c>
      <c r="D44" s="43" t="s">
        <v>12</v>
      </c>
      <c r="E44" s="34"/>
      <c r="F44" s="43"/>
      <c r="H44" s="43" t="s">
        <v>30</v>
      </c>
      <c r="I44" s="88" t="s">
        <v>100</v>
      </c>
      <c r="J44" s="34">
        <v>1000</v>
      </c>
      <c r="K44" s="32" t="s">
        <v>110</v>
      </c>
      <c r="O44" s="32" t="s">
        <v>70</v>
      </c>
      <c r="P44" s="88" t="s">
        <v>296</v>
      </c>
    </row>
    <row r="45" spans="2:16" x14ac:dyDescent="0.25">
      <c r="B45" s="74" t="s">
        <v>157</v>
      </c>
      <c r="C45" s="93" t="s">
        <v>25</v>
      </c>
      <c r="D45" s="43" t="s">
        <v>12</v>
      </c>
      <c r="E45" s="34"/>
      <c r="F45" s="43"/>
      <c r="H45" s="43" t="s">
        <v>30</v>
      </c>
      <c r="I45" s="88" t="s">
        <v>100</v>
      </c>
      <c r="J45" s="34">
        <v>1800</v>
      </c>
      <c r="K45" s="32" t="s">
        <v>110</v>
      </c>
      <c r="O45" s="32" t="s">
        <v>70</v>
      </c>
      <c r="P45" s="70" t="s">
        <v>87</v>
      </c>
    </row>
    <row r="46" spans="2:16" ht="15.75" thickBot="1" x14ac:dyDescent="0.3">
      <c r="B46" s="74" t="s">
        <v>158</v>
      </c>
      <c r="C46" s="93" t="s">
        <v>25</v>
      </c>
      <c r="D46" s="43" t="s">
        <v>12</v>
      </c>
      <c r="E46" s="34"/>
      <c r="F46" s="43"/>
      <c r="H46" s="43" t="s">
        <v>30</v>
      </c>
      <c r="I46" s="88" t="s">
        <v>100</v>
      </c>
      <c r="J46" s="34">
        <v>2400</v>
      </c>
      <c r="K46" s="32" t="s">
        <v>110</v>
      </c>
      <c r="O46" s="78" t="s">
        <v>70</v>
      </c>
      <c r="P46" s="91" t="s">
        <v>88</v>
      </c>
    </row>
    <row r="47" spans="2:16" x14ac:dyDescent="0.25">
      <c r="B47" s="32" t="s">
        <v>21</v>
      </c>
      <c r="C47" s="93" t="s">
        <v>25</v>
      </c>
      <c r="D47" s="43" t="s">
        <v>12</v>
      </c>
      <c r="E47" s="34">
        <v>1.5</v>
      </c>
      <c r="F47" s="43" t="s">
        <v>35</v>
      </c>
      <c r="H47" s="43" t="s">
        <v>30</v>
      </c>
      <c r="I47" s="88" t="s">
        <v>86</v>
      </c>
      <c r="J47" s="34">
        <v>1000</v>
      </c>
      <c r="K47" s="32" t="s">
        <v>111</v>
      </c>
    </row>
    <row r="48" spans="2:16" x14ac:dyDescent="0.25">
      <c r="B48" s="74" t="s">
        <v>159</v>
      </c>
      <c r="C48" s="93" t="s">
        <v>25</v>
      </c>
      <c r="D48" s="43" t="s">
        <v>12</v>
      </c>
      <c r="E48" s="34"/>
      <c r="F48" s="43"/>
      <c r="H48" s="43" t="s">
        <v>30</v>
      </c>
      <c r="I48" s="88" t="s">
        <v>86</v>
      </c>
      <c r="J48" s="34">
        <v>1800</v>
      </c>
      <c r="K48" s="32" t="s">
        <v>111</v>
      </c>
    </row>
    <row r="49" spans="2:11" ht="15.75" thickBot="1" x14ac:dyDescent="0.3">
      <c r="B49" s="74" t="s">
        <v>160</v>
      </c>
      <c r="C49" s="93" t="s">
        <v>25</v>
      </c>
      <c r="D49" s="43" t="s">
        <v>12</v>
      </c>
      <c r="E49" s="34"/>
      <c r="F49" s="43"/>
      <c r="H49" s="52" t="s">
        <v>30</v>
      </c>
      <c r="I49" s="89" t="s">
        <v>86</v>
      </c>
      <c r="J49" s="84">
        <v>2400</v>
      </c>
      <c r="K49" s="78" t="s">
        <v>111</v>
      </c>
    </row>
    <row r="50" spans="2:11" x14ac:dyDescent="0.25">
      <c r="B50" s="74" t="s">
        <v>208</v>
      </c>
      <c r="C50" s="93" t="s">
        <v>25</v>
      </c>
      <c r="D50" s="43" t="s">
        <v>12</v>
      </c>
      <c r="E50" s="34"/>
      <c r="F50" s="43"/>
      <c r="H50" s="42" t="s">
        <v>29</v>
      </c>
      <c r="I50" s="73" t="s">
        <v>93</v>
      </c>
      <c r="J50" s="79">
        <v>6</v>
      </c>
      <c r="K50" s="53" t="s">
        <v>124</v>
      </c>
    </row>
    <row r="51" spans="2:11" x14ac:dyDescent="0.25">
      <c r="B51" s="74" t="s">
        <v>161</v>
      </c>
      <c r="C51" s="93" t="s">
        <v>25</v>
      </c>
      <c r="D51" s="43" t="s">
        <v>12</v>
      </c>
      <c r="E51" s="34"/>
      <c r="F51" s="43"/>
      <c r="H51" s="43" t="s">
        <v>29</v>
      </c>
      <c r="I51" s="74" t="s">
        <v>93</v>
      </c>
      <c r="J51" s="34">
        <v>12</v>
      </c>
      <c r="K51" s="32" t="s">
        <v>124</v>
      </c>
    </row>
    <row r="52" spans="2:11" x14ac:dyDescent="0.25">
      <c r="B52" s="32" t="s">
        <v>9</v>
      </c>
      <c r="C52" s="93" t="s">
        <v>25</v>
      </c>
      <c r="D52" s="43" t="s">
        <v>12</v>
      </c>
      <c r="E52" s="34">
        <v>3.8</v>
      </c>
      <c r="F52" s="43" t="s">
        <v>35</v>
      </c>
      <c r="H52" s="43" t="s">
        <v>29</v>
      </c>
      <c r="I52" s="74" t="s">
        <v>93</v>
      </c>
      <c r="J52" s="34">
        <v>16</v>
      </c>
      <c r="K52" s="32" t="s">
        <v>124</v>
      </c>
    </row>
    <row r="53" spans="2:11" x14ac:dyDescent="0.25">
      <c r="B53" s="74" t="s">
        <v>162</v>
      </c>
      <c r="C53" s="93" t="s">
        <v>25</v>
      </c>
      <c r="D53" s="43" t="s">
        <v>12</v>
      </c>
      <c r="E53" s="34"/>
      <c r="F53" s="43"/>
      <c r="H53" s="43" t="s">
        <v>29</v>
      </c>
      <c r="I53" s="74" t="s">
        <v>94</v>
      </c>
      <c r="J53" s="34">
        <v>6</v>
      </c>
      <c r="K53" s="32" t="s">
        <v>125</v>
      </c>
    </row>
    <row r="54" spans="2:11" x14ac:dyDescent="0.25">
      <c r="B54" s="32" t="s">
        <v>19</v>
      </c>
      <c r="C54" s="93" t="s">
        <v>25</v>
      </c>
      <c r="D54" s="43" t="s">
        <v>12</v>
      </c>
      <c r="E54" s="34">
        <v>2.4</v>
      </c>
      <c r="F54" s="43" t="s">
        <v>35</v>
      </c>
      <c r="H54" s="43" t="s">
        <v>29</v>
      </c>
      <c r="I54" s="74" t="s">
        <v>94</v>
      </c>
      <c r="J54" s="34">
        <v>12</v>
      </c>
      <c r="K54" s="32" t="s">
        <v>125</v>
      </c>
    </row>
    <row r="55" spans="2:11" x14ac:dyDescent="0.25">
      <c r="B55" s="74" t="s">
        <v>163</v>
      </c>
      <c r="C55" s="93" t="s">
        <v>25</v>
      </c>
      <c r="D55" s="43" t="s">
        <v>12</v>
      </c>
      <c r="E55" s="34"/>
      <c r="F55" s="43"/>
      <c r="H55" s="43" t="s">
        <v>29</v>
      </c>
      <c r="I55" s="74" t="s">
        <v>94</v>
      </c>
      <c r="J55" s="34">
        <v>16</v>
      </c>
      <c r="K55" s="32" t="s">
        <v>125</v>
      </c>
    </row>
    <row r="56" spans="2:11" x14ac:dyDescent="0.25">
      <c r="B56" s="32" t="s">
        <v>16</v>
      </c>
      <c r="C56" s="93" t="s">
        <v>25</v>
      </c>
      <c r="D56" s="43" t="s">
        <v>12</v>
      </c>
      <c r="E56" s="34">
        <v>12.8</v>
      </c>
      <c r="F56" s="43" t="s">
        <v>35</v>
      </c>
      <c r="H56" s="43" t="s">
        <v>29</v>
      </c>
      <c r="I56" s="74" t="s">
        <v>92</v>
      </c>
      <c r="J56" s="34">
        <v>6</v>
      </c>
      <c r="K56" s="32" t="s">
        <v>126</v>
      </c>
    </row>
    <row r="57" spans="2:11" x14ac:dyDescent="0.25">
      <c r="B57" s="74" t="s">
        <v>209</v>
      </c>
      <c r="C57" s="93" t="s">
        <v>24</v>
      </c>
      <c r="D57" s="43" t="s">
        <v>12</v>
      </c>
      <c r="E57" s="34"/>
      <c r="F57" s="43"/>
      <c r="H57" s="43" t="s">
        <v>29</v>
      </c>
      <c r="I57" s="74" t="s">
        <v>92</v>
      </c>
      <c r="J57" s="34">
        <v>12</v>
      </c>
      <c r="K57" s="32" t="s">
        <v>126</v>
      </c>
    </row>
    <row r="58" spans="2:11" x14ac:dyDescent="0.25">
      <c r="B58" s="74" t="s">
        <v>210</v>
      </c>
      <c r="C58" s="93" t="s">
        <v>24</v>
      </c>
      <c r="D58" s="43" t="s">
        <v>12</v>
      </c>
      <c r="E58" s="34"/>
      <c r="F58" s="43"/>
      <c r="H58" s="43" t="s">
        <v>29</v>
      </c>
      <c r="I58" s="74" t="s">
        <v>92</v>
      </c>
      <c r="J58" s="34">
        <v>16</v>
      </c>
      <c r="K58" s="32" t="s">
        <v>126</v>
      </c>
    </row>
    <row r="59" spans="2:11" x14ac:dyDescent="0.25">
      <c r="B59" s="74" t="s">
        <v>211</v>
      </c>
      <c r="C59" s="93" t="s">
        <v>25</v>
      </c>
      <c r="D59" s="43" t="s">
        <v>12</v>
      </c>
      <c r="E59" s="34"/>
      <c r="F59" s="43"/>
      <c r="H59" s="43" t="s">
        <v>29</v>
      </c>
      <c r="I59" s="74" t="s">
        <v>90</v>
      </c>
      <c r="J59" s="34">
        <v>6</v>
      </c>
      <c r="K59" s="32" t="s">
        <v>127</v>
      </c>
    </row>
    <row r="60" spans="2:11" x14ac:dyDescent="0.25">
      <c r="B60" s="32" t="s">
        <v>233</v>
      </c>
      <c r="C60" s="93" t="s">
        <v>24</v>
      </c>
      <c r="D60" s="43" t="s">
        <v>22</v>
      </c>
      <c r="E60" s="34">
        <v>125</v>
      </c>
      <c r="F60" s="43" t="s">
        <v>37</v>
      </c>
      <c r="H60" s="43" t="s">
        <v>29</v>
      </c>
      <c r="I60" s="74" t="s">
        <v>90</v>
      </c>
      <c r="J60" s="34">
        <v>12</v>
      </c>
      <c r="K60" s="32" t="s">
        <v>127</v>
      </c>
    </row>
    <row r="61" spans="2:11" x14ac:dyDescent="0.25">
      <c r="B61" s="32" t="s">
        <v>226</v>
      </c>
      <c r="C61" s="93" t="s">
        <v>25</v>
      </c>
      <c r="D61" s="43" t="s">
        <v>12</v>
      </c>
      <c r="E61" s="34"/>
      <c r="F61" s="43"/>
      <c r="H61" s="43" t="s">
        <v>29</v>
      </c>
      <c r="I61" s="74" t="s">
        <v>90</v>
      </c>
      <c r="J61" s="34">
        <v>16</v>
      </c>
      <c r="K61" s="32" t="s">
        <v>127</v>
      </c>
    </row>
    <row r="62" spans="2:11" x14ac:dyDescent="0.25">
      <c r="B62" s="74" t="s">
        <v>212</v>
      </c>
      <c r="C62" s="93" t="s">
        <v>25</v>
      </c>
      <c r="D62" s="43" t="s">
        <v>12</v>
      </c>
      <c r="E62" s="34"/>
      <c r="F62" s="43"/>
      <c r="H62" s="43" t="s">
        <v>29</v>
      </c>
      <c r="I62" s="74" t="s">
        <v>91</v>
      </c>
      <c r="J62" s="34">
        <v>6</v>
      </c>
      <c r="K62" s="32" t="s">
        <v>128</v>
      </c>
    </row>
    <row r="63" spans="2:11" x14ac:dyDescent="0.25">
      <c r="B63" s="74" t="s">
        <v>213</v>
      </c>
      <c r="C63" s="93" t="s">
        <v>25</v>
      </c>
      <c r="D63" s="43" t="s">
        <v>12</v>
      </c>
      <c r="E63" s="34"/>
      <c r="F63" s="43"/>
      <c r="H63" s="43" t="s">
        <v>29</v>
      </c>
      <c r="I63" s="74" t="s">
        <v>91</v>
      </c>
      <c r="J63" s="34">
        <v>12</v>
      </c>
      <c r="K63" s="32" t="s">
        <v>128</v>
      </c>
    </row>
    <row r="64" spans="2:11" x14ac:dyDescent="0.25">
      <c r="B64" s="74" t="s">
        <v>214</v>
      </c>
      <c r="C64" s="93" t="s">
        <v>25</v>
      </c>
      <c r="D64" s="43" t="s">
        <v>12</v>
      </c>
      <c r="E64" s="34"/>
      <c r="F64" s="43"/>
      <c r="H64" s="43" t="s">
        <v>29</v>
      </c>
      <c r="I64" s="74" t="s">
        <v>91</v>
      </c>
      <c r="J64" s="34">
        <v>16</v>
      </c>
      <c r="K64" s="32" t="s">
        <v>128</v>
      </c>
    </row>
    <row r="65" spans="2:11" x14ac:dyDescent="0.25">
      <c r="B65" s="74" t="s">
        <v>164</v>
      </c>
      <c r="C65" s="93" t="s">
        <v>25</v>
      </c>
      <c r="D65" s="43" t="s">
        <v>12</v>
      </c>
      <c r="E65" s="34"/>
      <c r="F65" s="43"/>
      <c r="H65" s="43" t="s">
        <v>29</v>
      </c>
      <c r="I65" s="74" t="s">
        <v>89</v>
      </c>
      <c r="J65" s="34">
        <v>6</v>
      </c>
      <c r="K65" s="32" t="s">
        <v>129</v>
      </c>
    </row>
    <row r="66" spans="2:11" x14ac:dyDescent="0.25">
      <c r="B66" s="32" t="s">
        <v>272</v>
      </c>
      <c r="C66" s="93" t="s">
        <v>25</v>
      </c>
      <c r="D66" s="43" t="s">
        <v>12</v>
      </c>
      <c r="E66" s="34"/>
      <c r="F66" s="43"/>
      <c r="H66" s="43" t="s">
        <v>29</v>
      </c>
      <c r="I66" s="74" t="s">
        <v>89</v>
      </c>
      <c r="J66" s="34">
        <v>12</v>
      </c>
      <c r="K66" s="32" t="s">
        <v>129</v>
      </c>
    </row>
    <row r="67" spans="2:11" x14ac:dyDescent="0.25">
      <c r="B67" s="74" t="s">
        <v>165</v>
      </c>
      <c r="C67" s="93" t="s">
        <v>25</v>
      </c>
      <c r="D67" s="43" t="s">
        <v>12</v>
      </c>
      <c r="E67" s="34"/>
      <c r="F67" s="43"/>
      <c r="H67" s="43" t="s">
        <v>29</v>
      </c>
      <c r="I67" s="74" t="s">
        <v>89</v>
      </c>
      <c r="J67" s="34">
        <v>16</v>
      </c>
      <c r="K67" s="32" t="s">
        <v>129</v>
      </c>
    </row>
    <row r="68" spans="2:11" x14ac:dyDescent="0.25">
      <c r="B68" s="74" t="s">
        <v>264</v>
      </c>
      <c r="C68" s="93" t="s">
        <v>25</v>
      </c>
      <c r="D68" s="43" t="s">
        <v>12</v>
      </c>
      <c r="E68" s="34"/>
      <c r="F68" s="43"/>
      <c r="H68" s="43" t="s">
        <v>29</v>
      </c>
      <c r="I68" s="74" t="s">
        <v>95</v>
      </c>
      <c r="J68" s="34">
        <v>6</v>
      </c>
      <c r="K68" s="32" t="s">
        <v>63</v>
      </c>
    </row>
    <row r="69" spans="2:11" x14ac:dyDescent="0.25">
      <c r="B69" s="32" t="s">
        <v>267</v>
      </c>
      <c r="C69" s="93" t="s">
        <v>269</v>
      </c>
      <c r="D69" s="43" t="s">
        <v>232</v>
      </c>
      <c r="E69" s="34"/>
      <c r="F69" s="43"/>
      <c r="H69" s="43" t="s">
        <v>29</v>
      </c>
      <c r="I69" s="74" t="s">
        <v>95</v>
      </c>
      <c r="J69" s="34">
        <v>12</v>
      </c>
      <c r="K69" s="32" t="s">
        <v>63</v>
      </c>
    </row>
    <row r="70" spans="2:11" x14ac:dyDescent="0.25">
      <c r="B70" s="32" t="s">
        <v>268</v>
      </c>
      <c r="C70" s="93" t="s">
        <v>269</v>
      </c>
      <c r="D70" s="43" t="s">
        <v>232</v>
      </c>
      <c r="E70" s="34"/>
      <c r="F70" s="43"/>
      <c r="H70" s="43" t="s">
        <v>29</v>
      </c>
      <c r="I70" s="74" t="s">
        <v>95</v>
      </c>
      <c r="J70" s="34">
        <v>16</v>
      </c>
      <c r="K70" s="32" t="s">
        <v>63</v>
      </c>
    </row>
    <row r="71" spans="2:11" x14ac:dyDescent="0.25">
      <c r="B71" s="32" t="s">
        <v>17</v>
      </c>
      <c r="C71" s="34" t="s">
        <v>23</v>
      </c>
      <c r="D71" s="43" t="s">
        <v>12</v>
      </c>
      <c r="E71" s="34">
        <v>4</v>
      </c>
      <c r="F71" s="43" t="s">
        <v>34</v>
      </c>
      <c r="H71" s="43" t="s">
        <v>29</v>
      </c>
      <c r="I71" s="74" t="s">
        <v>97</v>
      </c>
      <c r="J71" s="34">
        <v>6</v>
      </c>
      <c r="K71" s="32" t="s">
        <v>130</v>
      </c>
    </row>
    <row r="72" spans="2:11" x14ac:dyDescent="0.25">
      <c r="B72" s="32" t="s">
        <v>238</v>
      </c>
      <c r="C72" s="34" t="s">
        <v>231</v>
      </c>
      <c r="D72" s="43" t="s">
        <v>12</v>
      </c>
      <c r="E72" s="34"/>
      <c r="F72" s="43"/>
      <c r="H72" s="43" t="s">
        <v>29</v>
      </c>
      <c r="I72" s="74" t="s">
        <v>97</v>
      </c>
      <c r="J72" s="34">
        <v>12</v>
      </c>
      <c r="K72" s="32" t="s">
        <v>130</v>
      </c>
    </row>
    <row r="73" spans="2:11" x14ac:dyDescent="0.25">
      <c r="B73" s="32" t="s">
        <v>239</v>
      </c>
      <c r="C73" s="34" t="s">
        <v>231</v>
      </c>
      <c r="D73" s="43" t="s">
        <v>12</v>
      </c>
      <c r="E73" s="34"/>
      <c r="F73" s="43"/>
      <c r="H73" s="43" t="s">
        <v>29</v>
      </c>
      <c r="I73" s="74" t="s">
        <v>97</v>
      </c>
      <c r="J73" s="34">
        <v>16</v>
      </c>
      <c r="K73" s="32" t="s">
        <v>130</v>
      </c>
    </row>
    <row r="74" spans="2:11" x14ac:dyDescent="0.25">
      <c r="B74" s="32" t="s">
        <v>254</v>
      </c>
      <c r="C74" s="34" t="s">
        <v>231</v>
      </c>
      <c r="D74" s="43" t="s">
        <v>12</v>
      </c>
      <c r="E74" s="34"/>
      <c r="F74" s="43"/>
      <c r="H74" s="43" t="s">
        <v>29</v>
      </c>
      <c r="I74" s="74" t="s">
        <v>96</v>
      </c>
      <c r="J74" s="34">
        <v>6</v>
      </c>
      <c r="K74" s="32" t="s">
        <v>131</v>
      </c>
    </row>
    <row r="75" spans="2:11" x14ac:dyDescent="0.25">
      <c r="B75" s="74" t="s">
        <v>166</v>
      </c>
      <c r="C75" s="34" t="s">
        <v>23</v>
      </c>
      <c r="D75" s="43" t="s">
        <v>12</v>
      </c>
      <c r="E75" s="34"/>
      <c r="F75" s="43"/>
      <c r="H75" s="43" t="s">
        <v>29</v>
      </c>
      <c r="I75" s="74" t="s">
        <v>96</v>
      </c>
      <c r="J75" s="34">
        <v>12</v>
      </c>
      <c r="K75" s="32" t="s">
        <v>131</v>
      </c>
    </row>
    <row r="76" spans="2:11" ht="15.75" thickBot="1" x14ac:dyDescent="0.3">
      <c r="B76" s="74" t="s">
        <v>215</v>
      </c>
      <c r="C76" s="34" t="s">
        <v>23</v>
      </c>
      <c r="D76" s="43" t="s">
        <v>12</v>
      </c>
      <c r="E76" s="34"/>
      <c r="F76" s="43"/>
      <c r="H76" s="43" t="s">
        <v>29</v>
      </c>
      <c r="I76" s="74" t="s">
        <v>96</v>
      </c>
      <c r="J76" s="34">
        <v>16</v>
      </c>
      <c r="K76" s="32" t="s">
        <v>131</v>
      </c>
    </row>
    <row r="77" spans="2:11" x14ac:dyDescent="0.25">
      <c r="B77" s="74" t="s">
        <v>167</v>
      </c>
      <c r="C77" s="34" t="s">
        <v>23</v>
      </c>
      <c r="D77" s="43" t="s">
        <v>12</v>
      </c>
      <c r="E77" s="34"/>
      <c r="F77" s="43"/>
      <c r="H77" s="36" t="s">
        <v>285</v>
      </c>
      <c r="I77" s="80" t="s">
        <v>286</v>
      </c>
      <c r="J77" s="79">
        <v>1000</v>
      </c>
      <c r="K77" s="53" t="s">
        <v>287</v>
      </c>
    </row>
    <row r="78" spans="2:11" x14ac:dyDescent="0.25">
      <c r="B78" s="74" t="s">
        <v>168</v>
      </c>
      <c r="C78" s="93" t="s">
        <v>25</v>
      </c>
      <c r="D78" s="43" t="s">
        <v>12</v>
      </c>
      <c r="E78" s="34"/>
      <c r="F78" s="43"/>
      <c r="H78" s="51" t="s">
        <v>285</v>
      </c>
      <c r="I78" s="81" t="s">
        <v>286</v>
      </c>
      <c r="J78" s="34">
        <v>2856</v>
      </c>
      <c r="K78" s="32" t="s">
        <v>287</v>
      </c>
    </row>
    <row r="79" spans="2:11" ht="15.75" thickBot="1" x14ac:dyDescent="0.3">
      <c r="B79" s="35" t="s">
        <v>10</v>
      </c>
      <c r="C79" s="93" t="s">
        <v>24</v>
      </c>
      <c r="D79" s="43" t="s">
        <v>12</v>
      </c>
      <c r="E79" s="34">
        <v>6.2</v>
      </c>
      <c r="F79" s="43" t="s">
        <v>35</v>
      </c>
      <c r="H79" s="77" t="s">
        <v>285</v>
      </c>
      <c r="I79" s="83" t="s">
        <v>286</v>
      </c>
      <c r="J79" s="84">
        <v>3500</v>
      </c>
      <c r="K79" s="78" t="s">
        <v>287</v>
      </c>
    </row>
    <row r="80" spans="2:11" x14ac:dyDescent="0.25">
      <c r="B80" s="74" t="s">
        <v>169</v>
      </c>
      <c r="C80" s="93" t="s">
        <v>25</v>
      </c>
      <c r="D80" s="43" t="s">
        <v>12</v>
      </c>
      <c r="E80" s="34"/>
      <c r="F80" s="43"/>
      <c r="H80" s="51" t="s">
        <v>31</v>
      </c>
      <c r="I80" s="74" t="s">
        <v>78</v>
      </c>
      <c r="J80" s="34">
        <v>16</v>
      </c>
      <c r="K80" s="32" t="s">
        <v>65</v>
      </c>
    </row>
    <row r="81" spans="2:11" x14ac:dyDescent="0.25">
      <c r="B81" s="74" t="s">
        <v>170</v>
      </c>
      <c r="C81" s="34" t="s">
        <v>46</v>
      </c>
      <c r="D81" s="43" t="s">
        <v>12</v>
      </c>
      <c r="E81" s="34"/>
      <c r="F81" s="43"/>
      <c r="H81" s="51" t="s">
        <v>31</v>
      </c>
      <c r="I81" s="74" t="s">
        <v>78</v>
      </c>
      <c r="J81" s="34">
        <v>18</v>
      </c>
      <c r="K81" s="32" t="s">
        <v>65</v>
      </c>
    </row>
    <row r="82" spans="2:11" x14ac:dyDescent="0.25">
      <c r="B82" s="32" t="s">
        <v>270</v>
      </c>
      <c r="C82" s="34" t="s">
        <v>23</v>
      </c>
      <c r="D82" s="43" t="s">
        <v>12</v>
      </c>
      <c r="E82" s="34"/>
      <c r="F82" s="43"/>
      <c r="H82" s="51" t="s">
        <v>31</v>
      </c>
      <c r="I82" s="74" t="s">
        <v>78</v>
      </c>
      <c r="J82" s="34">
        <v>26</v>
      </c>
      <c r="K82" s="32" t="s">
        <v>65</v>
      </c>
    </row>
    <row r="83" spans="2:11" x14ac:dyDescent="0.25">
      <c r="B83" s="74" t="s">
        <v>171</v>
      </c>
      <c r="C83" s="93" t="s">
        <v>24</v>
      </c>
      <c r="D83" s="43" t="s">
        <v>12</v>
      </c>
      <c r="E83" s="34"/>
      <c r="F83" s="43"/>
      <c r="H83" s="51" t="s">
        <v>31</v>
      </c>
      <c r="I83" s="74" t="s">
        <v>101</v>
      </c>
      <c r="J83" s="34">
        <v>16</v>
      </c>
      <c r="K83" s="32" t="s">
        <v>132</v>
      </c>
    </row>
    <row r="84" spans="2:11" x14ac:dyDescent="0.25">
      <c r="B84" s="74" t="s">
        <v>172</v>
      </c>
      <c r="C84" s="93" t="s">
        <v>24</v>
      </c>
      <c r="D84" s="43" t="s">
        <v>12</v>
      </c>
      <c r="E84" s="34"/>
      <c r="F84" s="43"/>
      <c r="H84" s="51" t="s">
        <v>31</v>
      </c>
      <c r="I84" s="74" t="s">
        <v>101</v>
      </c>
      <c r="J84" s="34">
        <v>18</v>
      </c>
      <c r="K84" s="32" t="s">
        <v>132</v>
      </c>
    </row>
    <row r="85" spans="2:11" x14ac:dyDescent="0.25">
      <c r="B85" s="32" t="s">
        <v>249</v>
      </c>
      <c r="C85" s="93" t="s">
        <v>24</v>
      </c>
      <c r="D85" s="43" t="s">
        <v>12</v>
      </c>
      <c r="E85" s="34"/>
      <c r="F85" s="43"/>
      <c r="H85" s="51" t="s">
        <v>31</v>
      </c>
      <c r="I85" s="74" t="s">
        <v>101</v>
      </c>
      <c r="J85" s="34">
        <v>26</v>
      </c>
      <c r="K85" s="32" t="s">
        <v>132</v>
      </c>
    </row>
    <row r="86" spans="2:11" x14ac:dyDescent="0.25">
      <c r="B86" s="32" t="s">
        <v>242</v>
      </c>
      <c r="C86" s="93" t="s">
        <v>24</v>
      </c>
      <c r="D86" s="43" t="s">
        <v>12</v>
      </c>
      <c r="E86" s="34"/>
      <c r="F86" s="43"/>
      <c r="H86" s="51" t="s">
        <v>31</v>
      </c>
      <c r="I86" s="74" t="s">
        <v>79</v>
      </c>
      <c r="J86" s="34">
        <v>16</v>
      </c>
      <c r="K86" s="32" t="s">
        <v>133</v>
      </c>
    </row>
    <row r="87" spans="2:11" x14ac:dyDescent="0.25">
      <c r="B87" s="74" t="s">
        <v>219</v>
      </c>
      <c r="C87" s="93" t="s">
        <v>24</v>
      </c>
      <c r="D87" s="43" t="s">
        <v>12</v>
      </c>
      <c r="E87" s="34"/>
      <c r="F87" s="43"/>
      <c r="H87" s="51" t="s">
        <v>31</v>
      </c>
      <c r="I87" s="74" t="s">
        <v>79</v>
      </c>
      <c r="J87" s="34">
        <v>18</v>
      </c>
      <c r="K87" s="32" t="s">
        <v>133</v>
      </c>
    </row>
    <row r="88" spans="2:11" x14ac:dyDescent="0.25">
      <c r="B88" s="74" t="s">
        <v>173</v>
      </c>
      <c r="C88" s="93" t="s">
        <v>24</v>
      </c>
      <c r="D88" s="43" t="s">
        <v>12</v>
      </c>
      <c r="E88" s="34"/>
      <c r="F88" s="43"/>
      <c r="H88" s="51" t="s">
        <v>31</v>
      </c>
      <c r="I88" s="74" t="s">
        <v>79</v>
      </c>
      <c r="J88" s="34">
        <v>26</v>
      </c>
      <c r="K88" s="32" t="s">
        <v>133</v>
      </c>
    </row>
    <row r="89" spans="2:11" x14ac:dyDescent="0.25">
      <c r="B89" s="74" t="s">
        <v>174</v>
      </c>
      <c r="C89" s="93" t="s">
        <v>24</v>
      </c>
      <c r="D89" s="43" t="s">
        <v>12</v>
      </c>
      <c r="E89" s="34"/>
      <c r="F89" s="43"/>
      <c r="H89" s="51" t="s">
        <v>31</v>
      </c>
      <c r="I89" s="74" t="s">
        <v>80</v>
      </c>
      <c r="J89" s="34">
        <v>16</v>
      </c>
      <c r="K89" s="32" t="s">
        <v>134</v>
      </c>
    </row>
    <row r="90" spans="2:11" x14ac:dyDescent="0.25">
      <c r="B90" s="74" t="s">
        <v>217</v>
      </c>
      <c r="C90" s="93" t="s">
        <v>24</v>
      </c>
      <c r="D90" s="43" t="s">
        <v>12</v>
      </c>
      <c r="E90" s="34"/>
      <c r="F90" s="43"/>
      <c r="H90" s="51" t="s">
        <v>31</v>
      </c>
      <c r="I90" s="74" t="s">
        <v>80</v>
      </c>
      <c r="J90" s="34">
        <v>18</v>
      </c>
      <c r="K90" s="32" t="s">
        <v>134</v>
      </c>
    </row>
    <row r="91" spans="2:11" x14ac:dyDescent="0.25">
      <c r="B91" s="74" t="s">
        <v>220</v>
      </c>
      <c r="C91" s="93" t="s">
        <v>24</v>
      </c>
      <c r="D91" s="43" t="s">
        <v>12</v>
      </c>
      <c r="E91" s="34"/>
      <c r="F91" s="43"/>
      <c r="H91" s="51" t="s">
        <v>31</v>
      </c>
      <c r="I91" s="74" t="s">
        <v>80</v>
      </c>
      <c r="J91" s="34">
        <v>26</v>
      </c>
      <c r="K91" s="32" t="s">
        <v>134</v>
      </c>
    </row>
    <row r="92" spans="2:11" x14ac:dyDescent="0.25">
      <c r="B92" s="32" t="s">
        <v>8</v>
      </c>
      <c r="C92" s="34" t="s">
        <v>23</v>
      </c>
      <c r="D92" s="43" t="s">
        <v>12</v>
      </c>
      <c r="E92" s="34">
        <v>4.5</v>
      </c>
      <c r="F92" s="43" t="s">
        <v>34</v>
      </c>
      <c r="H92" s="51" t="s">
        <v>31</v>
      </c>
      <c r="I92" s="74" t="s">
        <v>81</v>
      </c>
      <c r="J92" s="34">
        <v>16</v>
      </c>
      <c r="K92" s="32" t="s">
        <v>135</v>
      </c>
    </row>
    <row r="93" spans="2:11" x14ac:dyDescent="0.25">
      <c r="B93" s="74" t="s">
        <v>218</v>
      </c>
      <c r="C93" s="34" t="s">
        <v>231</v>
      </c>
      <c r="D93" s="43" t="s">
        <v>12</v>
      </c>
      <c r="E93" s="34"/>
      <c r="F93" s="43"/>
      <c r="H93" s="51" t="s">
        <v>31</v>
      </c>
      <c r="I93" s="74" t="s">
        <v>81</v>
      </c>
      <c r="J93" s="34">
        <v>18</v>
      </c>
      <c r="K93" s="32" t="s">
        <v>135</v>
      </c>
    </row>
    <row r="94" spans="2:11" x14ac:dyDescent="0.25">
      <c r="B94" s="74" t="s">
        <v>265</v>
      </c>
      <c r="C94" s="93" t="s">
        <v>24</v>
      </c>
      <c r="D94" s="43" t="s">
        <v>12</v>
      </c>
      <c r="E94" s="34"/>
      <c r="F94" s="43"/>
      <c r="H94" s="51" t="s">
        <v>31</v>
      </c>
      <c r="I94" s="74" t="s">
        <v>81</v>
      </c>
      <c r="J94" s="34">
        <v>26</v>
      </c>
      <c r="K94" s="32" t="s">
        <v>135</v>
      </c>
    </row>
    <row r="95" spans="2:11" x14ac:dyDescent="0.25">
      <c r="B95" s="74" t="s">
        <v>175</v>
      </c>
      <c r="C95" s="93" t="s">
        <v>24</v>
      </c>
      <c r="D95" s="43" t="s">
        <v>12</v>
      </c>
      <c r="E95" s="34"/>
      <c r="F95" s="43"/>
      <c r="H95" s="51" t="s">
        <v>31</v>
      </c>
      <c r="I95" s="74" t="s">
        <v>74</v>
      </c>
      <c r="J95" s="34">
        <v>16</v>
      </c>
      <c r="K95" s="32" t="s">
        <v>136</v>
      </c>
    </row>
    <row r="96" spans="2:11" x14ac:dyDescent="0.25">
      <c r="B96" s="74" t="s">
        <v>176</v>
      </c>
      <c r="C96" s="93" t="s">
        <v>24</v>
      </c>
      <c r="D96" s="43" t="s">
        <v>12</v>
      </c>
      <c r="E96" s="34"/>
      <c r="F96" s="43"/>
      <c r="H96" s="51" t="s">
        <v>31</v>
      </c>
      <c r="I96" s="74" t="s">
        <v>74</v>
      </c>
      <c r="J96" s="34">
        <v>18</v>
      </c>
      <c r="K96" s="32" t="s">
        <v>136</v>
      </c>
    </row>
    <row r="97" spans="2:11" x14ac:dyDescent="0.25">
      <c r="B97" s="32" t="s">
        <v>14</v>
      </c>
      <c r="C97" s="34" t="s">
        <v>23</v>
      </c>
      <c r="D97" s="43" t="s">
        <v>12</v>
      </c>
      <c r="E97" s="34">
        <v>32.1</v>
      </c>
      <c r="F97" s="43" t="s">
        <v>35</v>
      </c>
      <c r="H97" s="51" t="s">
        <v>31</v>
      </c>
      <c r="I97" s="74" t="s">
        <v>74</v>
      </c>
      <c r="J97" s="34">
        <v>26</v>
      </c>
      <c r="K97" s="32" t="s">
        <v>136</v>
      </c>
    </row>
    <row r="98" spans="2:11" x14ac:dyDescent="0.25">
      <c r="B98" s="74" t="s">
        <v>221</v>
      </c>
      <c r="C98" s="93" t="s">
        <v>24</v>
      </c>
      <c r="D98" s="43" t="s">
        <v>12</v>
      </c>
      <c r="E98" s="34"/>
      <c r="F98" s="43"/>
      <c r="H98" s="51" t="s">
        <v>31</v>
      </c>
      <c r="I98" s="81" t="s">
        <v>283</v>
      </c>
      <c r="J98" s="34">
        <v>16</v>
      </c>
      <c r="K98" s="32" t="s">
        <v>284</v>
      </c>
    </row>
    <row r="99" spans="2:11" x14ac:dyDescent="0.25">
      <c r="B99" s="74" t="s">
        <v>177</v>
      </c>
      <c r="C99" s="34" t="s">
        <v>231</v>
      </c>
      <c r="D99" s="43" t="s">
        <v>12</v>
      </c>
      <c r="E99" s="34"/>
      <c r="F99" s="43"/>
      <c r="H99" s="51" t="s">
        <v>31</v>
      </c>
      <c r="I99" s="81" t="s">
        <v>283</v>
      </c>
      <c r="J99" s="34">
        <v>18</v>
      </c>
      <c r="K99" s="32" t="s">
        <v>284</v>
      </c>
    </row>
    <row r="100" spans="2:11" x14ac:dyDescent="0.25">
      <c r="B100" s="74" t="s">
        <v>222</v>
      </c>
      <c r="C100" s="93" t="s">
        <v>25</v>
      </c>
      <c r="D100" s="43" t="s">
        <v>12</v>
      </c>
      <c r="E100" s="34"/>
      <c r="F100" s="43"/>
      <c r="H100" s="51" t="s">
        <v>31</v>
      </c>
      <c r="I100" s="81" t="s">
        <v>283</v>
      </c>
      <c r="J100" s="34">
        <v>26</v>
      </c>
      <c r="K100" s="32" t="s">
        <v>284</v>
      </c>
    </row>
    <row r="101" spans="2:11" x14ac:dyDescent="0.25">
      <c r="B101" s="74" t="s">
        <v>178</v>
      </c>
      <c r="C101" s="34" t="s">
        <v>231</v>
      </c>
      <c r="D101" s="43" t="s">
        <v>12</v>
      </c>
      <c r="E101" s="34"/>
      <c r="F101" s="43"/>
      <c r="H101" s="51" t="s">
        <v>31</v>
      </c>
      <c r="I101" s="74" t="s">
        <v>77</v>
      </c>
      <c r="J101" s="34">
        <v>16</v>
      </c>
      <c r="K101" s="32" t="s">
        <v>137</v>
      </c>
    </row>
    <row r="102" spans="2:11" x14ac:dyDescent="0.25">
      <c r="B102" s="74" t="s">
        <v>189</v>
      </c>
      <c r="C102" s="93" t="s">
        <v>24</v>
      </c>
      <c r="D102" s="43" t="s">
        <v>12</v>
      </c>
      <c r="E102" s="34"/>
      <c r="F102" s="43"/>
      <c r="H102" s="51" t="s">
        <v>31</v>
      </c>
      <c r="I102" s="74" t="s">
        <v>77</v>
      </c>
      <c r="J102" s="34">
        <v>18</v>
      </c>
      <c r="K102" s="32" t="s">
        <v>137</v>
      </c>
    </row>
    <row r="103" spans="2:11" x14ac:dyDescent="0.25">
      <c r="B103" s="74" t="s">
        <v>223</v>
      </c>
      <c r="C103" s="93" t="s">
        <v>24</v>
      </c>
      <c r="D103" s="43" t="s">
        <v>12</v>
      </c>
      <c r="E103" s="34"/>
      <c r="F103" s="43"/>
      <c r="H103" s="51" t="s">
        <v>31</v>
      </c>
      <c r="I103" s="74" t="s">
        <v>77</v>
      </c>
      <c r="J103" s="34">
        <v>26</v>
      </c>
      <c r="K103" s="32" t="s">
        <v>137</v>
      </c>
    </row>
    <row r="104" spans="2:11" x14ac:dyDescent="0.25">
      <c r="B104" s="74" t="s">
        <v>216</v>
      </c>
      <c r="C104" s="93" t="s">
        <v>24</v>
      </c>
      <c r="D104" s="43" t="s">
        <v>12</v>
      </c>
      <c r="E104" s="34"/>
      <c r="F104" s="43"/>
      <c r="H104" s="51" t="s">
        <v>31</v>
      </c>
      <c r="I104" s="74" t="s">
        <v>273</v>
      </c>
      <c r="J104" s="34">
        <v>16</v>
      </c>
      <c r="K104" s="32" t="s">
        <v>145</v>
      </c>
    </row>
    <row r="105" spans="2:11" x14ac:dyDescent="0.25">
      <c r="B105" s="74" t="s">
        <v>224</v>
      </c>
      <c r="C105" s="93" t="s">
        <v>24</v>
      </c>
      <c r="D105" s="43" t="s">
        <v>12</v>
      </c>
      <c r="E105" s="34"/>
      <c r="F105" s="43"/>
      <c r="H105" s="51" t="s">
        <v>31</v>
      </c>
      <c r="I105" s="74" t="s">
        <v>273</v>
      </c>
      <c r="J105" s="34">
        <v>18</v>
      </c>
      <c r="K105" s="32" t="s">
        <v>145</v>
      </c>
    </row>
    <row r="106" spans="2:11" x14ac:dyDescent="0.25">
      <c r="B106" s="74" t="s">
        <v>263</v>
      </c>
      <c r="C106" s="93" t="s">
        <v>24</v>
      </c>
      <c r="D106" s="43" t="s">
        <v>12</v>
      </c>
      <c r="E106" s="34"/>
      <c r="F106" s="43"/>
      <c r="H106" s="51" t="s">
        <v>31</v>
      </c>
      <c r="I106" s="74" t="s">
        <v>273</v>
      </c>
      <c r="J106" s="34">
        <v>26</v>
      </c>
      <c r="K106" s="32" t="s">
        <v>145</v>
      </c>
    </row>
    <row r="107" spans="2:11" x14ac:dyDescent="0.25">
      <c r="B107" s="74" t="s">
        <v>225</v>
      </c>
      <c r="C107" s="93" t="s">
        <v>24</v>
      </c>
      <c r="D107" s="43" t="s">
        <v>12</v>
      </c>
      <c r="E107" s="34"/>
      <c r="F107" s="43"/>
      <c r="H107" s="51" t="s">
        <v>31</v>
      </c>
      <c r="I107" s="74" t="s">
        <v>76</v>
      </c>
      <c r="J107" s="34">
        <v>16</v>
      </c>
      <c r="K107" s="32" t="s">
        <v>138</v>
      </c>
    </row>
    <row r="108" spans="2:11" x14ac:dyDescent="0.25">
      <c r="B108" s="74" t="s">
        <v>205</v>
      </c>
      <c r="C108" s="93" t="s">
        <v>25</v>
      </c>
      <c r="D108" s="43" t="s">
        <v>12</v>
      </c>
      <c r="E108" s="34"/>
      <c r="F108" s="43"/>
      <c r="H108" s="51" t="s">
        <v>31</v>
      </c>
      <c r="I108" s="74" t="s">
        <v>76</v>
      </c>
      <c r="J108" s="34">
        <v>18</v>
      </c>
      <c r="K108" s="32" t="s">
        <v>138</v>
      </c>
    </row>
    <row r="109" spans="2:11" x14ac:dyDescent="0.25">
      <c r="B109" s="32" t="s">
        <v>32</v>
      </c>
      <c r="C109" s="34" t="s">
        <v>46</v>
      </c>
      <c r="D109" s="43" t="s">
        <v>12</v>
      </c>
      <c r="E109" s="34">
        <v>14</v>
      </c>
      <c r="F109" s="43" t="s">
        <v>35</v>
      </c>
      <c r="H109" s="51" t="s">
        <v>31</v>
      </c>
      <c r="I109" s="74" t="s">
        <v>76</v>
      </c>
      <c r="J109" s="34">
        <v>26</v>
      </c>
      <c r="K109" s="32" t="s">
        <v>138</v>
      </c>
    </row>
    <row r="110" spans="2:11" x14ac:dyDescent="0.25">
      <c r="B110" s="74" t="s">
        <v>179</v>
      </c>
      <c r="C110" s="34" t="s">
        <v>23</v>
      </c>
      <c r="D110" s="43" t="s">
        <v>12</v>
      </c>
      <c r="E110" s="34"/>
      <c r="F110" s="43"/>
      <c r="H110" s="51" t="s">
        <v>31</v>
      </c>
      <c r="I110" s="74" t="s">
        <v>75</v>
      </c>
      <c r="J110" s="34">
        <v>16</v>
      </c>
      <c r="K110" s="32" t="s">
        <v>275</v>
      </c>
    </row>
    <row r="111" spans="2:11" x14ac:dyDescent="0.25">
      <c r="B111" s="32" t="s">
        <v>274</v>
      </c>
      <c r="C111" s="93" t="s">
        <v>24</v>
      </c>
      <c r="D111" s="43" t="s">
        <v>12</v>
      </c>
      <c r="E111" s="34"/>
      <c r="F111" s="43"/>
      <c r="H111" s="51" t="s">
        <v>31</v>
      </c>
      <c r="I111" s="74" t="s">
        <v>75</v>
      </c>
      <c r="J111" s="34">
        <v>18</v>
      </c>
      <c r="K111" s="32" t="s">
        <v>275</v>
      </c>
    </row>
    <row r="112" spans="2:11" x14ac:dyDescent="0.25">
      <c r="B112" s="74" t="s">
        <v>180</v>
      </c>
      <c r="C112" s="93" t="s">
        <v>25</v>
      </c>
      <c r="D112" s="43" t="s">
        <v>12</v>
      </c>
      <c r="E112" s="34"/>
      <c r="F112" s="43"/>
      <c r="H112" s="51" t="s">
        <v>31</v>
      </c>
      <c r="I112" s="74" t="s">
        <v>75</v>
      </c>
      <c r="J112" s="34">
        <v>26</v>
      </c>
      <c r="K112" s="32" t="s">
        <v>275</v>
      </c>
    </row>
    <row r="113" spans="2:11" x14ac:dyDescent="0.25">
      <c r="B113" s="74" t="s">
        <v>181</v>
      </c>
      <c r="C113" s="93" t="s">
        <v>25</v>
      </c>
      <c r="D113" s="43" t="s">
        <v>12</v>
      </c>
      <c r="E113" s="34"/>
      <c r="F113" s="43"/>
      <c r="H113" s="51" t="s">
        <v>31</v>
      </c>
      <c r="I113" s="74" t="s">
        <v>82</v>
      </c>
      <c r="J113" s="34">
        <v>16</v>
      </c>
      <c r="K113" s="32" t="s">
        <v>139</v>
      </c>
    </row>
    <row r="114" spans="2:11" x14ac:dyDescent="0.25">
      <c r="B114" s="74" t="s">
        <v>182</v>
      </c>
      <c r="C114" s="93" t="s">
        <v>24</v>
      </c>
      <c r="D114" s="43" t="s">
        <v>12</v>
      </c>
      <c r="E114" s="34"/>
      <c r="F114" s="43"/>
      <c r="H114" s="51" t="s">
        <v>31</v>
      </c>
      <c r="I114" s="74" t="s">
        <v>82</v>
      </c>
      <c r="J114" s="34">
        <v>18</v>
      </c>
      <c r="K114" s="32" t="s">
        <v>139</v>
      </c>
    </row>
    <row r="115" spans="2:11" x14ac:dyDescent="0.25">
      <c r="B115" s="32" t="s">
        <v>6</v>
      </c>
      <c r="C115" s="93" t="s">
        <v>24</v>
      </c>
      <c r="D115" s="43" t="s">
        <v>12</v>
      </c>
      <c r="E115" s="34">
        <v>3.65</v>
      </c>
      <c r="F115" s="43" t="s">
        <v>35</v>
      </c>
      <c r="H115" s="51" t="s">
        <v>31</v>
      </c>
      <c r="I115" s="74" t="s">
        <v>82</v>
      </c>
      <c r="J115" s="34">
        <v>26</v>
      </c>
      <c r="K115" s="32" t="s">
        <v>139</v>
      </c>
    </row>
    <row r="116" spans="2:11" x14ac:dyDescent="0.25">
      <c r="B116" s="74" t="s">
        <v>183</v>
      </c>
      <c r="C116" s="93" t="s">
        <v>24</v>
      </c>
      <c r="D116" s="43" t="s">
        <v>12</v>
      </c>
      <c r="E116" s="34"/>
      <c r="F116" s="43"/>
      <c r="H116" s="51" t="s">
        <v>31</v>
      </c>
      <c r="I116" s="74" t="s">
        <v>83</v>
      </c>
      <c r="J116" s="34">
        <v>16</v>
      </c>
      <c r="K116" s="32" t="s">
        <v>140</v>
      </c>
    </row>
    <row r="117" spans="2:11" x14ac:dyDescent="0.25">
      <c r="B117" s="74" t="s">
        <v>184</v>
      </c>
      <c r="C117" s="93" t="s">
        <v>24</v>
      </c>
      <c r="D117" s="43" t="s">
        <v>12</v>
      </c>
      <c r="E117" s="34"/>
      <c r="F117" s="43"/>
      <c r="H117" s="51" t="s">
        <v>31</v>
      </c>
      <c r="I117" s="74" t="s">
        <v>83</v>
      </c>
      <c r="J117" s="34">
        <v>18</v>
      </c>
      <c r="K117" s="32" t="s">
        <v>140</v>
      </c>
    </row>
    <row r="118" spans="2:11" ht="15.75" thickBot="1" x14ac:dyDescent="0.3">
      <c r="B118" s="32" t="s">
        <v>253</v>
      </c>
      <c r="C118" s="93" t="s">
        <v>24</v>
      </c>
      <c r="D118" s="43" t="s">
        <v>12</v>
      </c>
      <c r="E118" s="34"/>
      <c r="F118" s="43"/>
      <c r="H118" s="77" t="s">
        <v>31</v>
      </c>
      <c r="I118" s="85" t="s">
        <v>83</v>
      </c>
      <c r="J118" s="84">
        <v>26</v>
      </c>
      <c r="K118" s="78" t="s">
        <v>140</v>
      </c>
    </row>
    <row r="119" spans="2:11" x14ac:dyDescent="0.25">
      <c r="B119" s="74" t="s">
        <v>185</v>
      </c>
      <c r="C119" s="93" t="s">
        <v>24</v>
      </c>
      <c r="D119" s="43" t="s">
        <v>12</v>
      </c>
      <c r="E119" s="34"/>
      <c r="F119" s="43"/>
      <c r="H119" s="43" t="s">
        <v>70</v>
      </c>
      <c r="I119" s="88" t="s">
        <v>141</v>
      </c>
      <c r="J119" s="79">
        <v>6</v>
      </c>
      <c r="K119" s="53" t="s">
        <v>142</v>
      </c>
    </row>
    <row r="120" spans="2:11" x14ac:dyDescent="0.25">
      <c r="B120" s="32" t="s">
        <v>15</v>
      </c>
      <c r="C120" s="93" t="s">
        <v>24</v>
      </c>
      <c r="D120" s="43" t="s">
        <v>12</v>
      </c>
      <c r="E120" s="34">
        <v>2.4</v>
      </c>
      <c r="F120" s="43" t="s">
        <v>35</v>
      </c>
      <c r="H120" s="43" t="s">
        <v>70</v>
      </c>
      <c r="I120" s="88" t="s">
        <v>141</v>
      </c>
      <c r="J120" s="34">
        <v>12</v>
      </c>
      <c r="K120" s="32" t="s">
        <v>142</v>
      </c>
    </row>
    <row r="121" spans="2:11" x14ac:dyDescent="0.25">
      <c r="B121" s="74" t="s">
        <v>186</v>
      </c>
      <c r="C121" s="93" t="s">
        <v>25</v>
      </c>
      <c r="D121" s="43" t="s">
        <v>12</v>
      </c>
      <c r="E121" s="34"/>
      <c r="F121" s="43"/>
      <c r="H121" s="43" t="s">
        <v>70</v>
      </c>
      <c r="I121" s="88" t="s">
        <v>141</v>
      </c>
      <c r="J121" s="34">
        <v>24</v>
      </c>
      <c r="K121" s="32" t="s">
        <v>142</v>
      </c>
    </row>
    <row r="122" spans="2:11" x14ac:dyDescent="0.25">
      <c r="B122" s="74" t="s">
        <v>187</v>
      </c>
      <c r="C122" s="93" t="s">
        <v>24</v>
      </c>
      <c r="D122" s="43" t="s">
        <v>12</v>
      </c>
      <c r="E122" s="34"/>
      <c r="F122" s="43"/>
      <c r="H122" s="43" t="s">
        <v>70</v>
      </c>
      <c r="I122" s="81" t="s">
        <v>296</v>
      </c>
      <c r="J122" s="34">
        <v>6</v>
      </c>
      <c r="K122" s="32" t="s">
        <v>297</v>
      </c>
    </row>
    <row r="123" spans="2:11" x14ac:dyDescent="0.25">
      <c r="B123" s="32" t="s">
        <v>7</v>
      </c>
      <c r="C123" s="93" t="s">
        <v>24</v>
      </c>
      <c r="D123" s="43" t="s">
        <v>12</v>
      </c>
      <c r="E123" s="34">
        <v>2.8</v>
      </c>
      <c r="F123" s="43" t="s">
        <v>35</v>
      </c>
      <c r="H123" s="43" t="s">
        <v>70</v>
      </c>
      <c r="I123" s="81" t="s">
        <v>296</v>
      </c>
      <c r="J123" s="34">
        <v>12</v>
      </c>
      <c r="K123" s="32" t="s">
        <v>297</v>
      </c>
    </row>
    <row r="124" spans="2:11" x14ac:dyDescent="0.25">
      <c r="B124" s="32" t="s">
        <v>235</v>
      </c>
      <c r="C124" s="93" t="s">
        <v>231</v>
      </c>
      <c r="D124" s="43" t="s">
        <v>12</v>
      </c>
      <c r="E124" s="34"/>
      <c r="F124" s="43"/>
      <c r="H124" s="43" t="s">
        <v>70</v>
      </c>
      <c r="I124" s="81" t="s">
        <v>296</v>
      </c>
      <c r="J124" s="34">
        <v>24</v>
      </c>
      <c r="K124" s="32" t="s">
        <v>297</v>
      </c>
    </row>
    <row r="125" spans="2:11" x14ac:dyDescent="0.25">
      <c r="B125" s="32" t="s">
        <v>236</v>
      </c>
      <c r="C125" s="93" t="s">
        <v>231</v>
      </c>
      <c r="D125" s="43" t="s">
        <v>12</v>
      </c>
      <c r="E125" s="34"/>
      <c r="F125" s="43"/>
      <c r="H125" s="43" t="s">
        <v>70</v>
      </c>
      <c r="I125" s="70" t="s">
        <v>87</v>
      </c>
      <c r="J125" s="34">
        <v>6</v>
      </c>
      <c r="K125" s="32" t="s">
        <v>143</v>
      </c>
    </row>
    <row r="126" spans="2:11" ht="15.75" thickBot="1" x14ac:dyDescent="0.3">
      <c r="B126" s="78" t="s">
        <v>237</v>
      </c>
      <c r="C126" s="93" t="s">
        <v>231</v>
      </c>
      <c r="D126" s="52" t="s">
        <v>12</v>
      </c>
      <c r="E126" s="34"/>
      <c r="F126" s="52"/>
      <c r="H126" s="43" t="s">
        <v>70</v>
      </c>
      <c r="I126" s="70" t="s">
        <v>87</v>
      </c>
      <c r="J126" s="34">
        <v>12</v>
      </c>
      <c r="K126" s="32" t="s">
        <v>143</v>
      </c>
    </row>
    <row r="127" spans="2:11" x14ac:dyDescent="0.25">
      <c r="H127" s="43" t="s">
        <v>70</v>
      </c>
      <c r="I127" s="70" t="s">
        <v>87</v>
      </c>
      <c r="J127" s="34">
        <v>24</v>
      </c>
      <c r="K127" s="32" t="s">
        <v>143</v>
      </c>
    </row>
    <row r="128" spans="2:11" x14ac:dyDescent="0.25">
      <c r="H128" s="43" t="s">
        <v>70</v>
      </c>
      <c r="I128" s="70" t="s">
        <v>88</v>
      </c>
      <c r="J128" s="34">
        <v>6</v>
      </c>
      <c r="K128" s="32" t="s">
        <v>144</v>
      </c>
    </row>
    <row r="129" spans="8:11" x14ac:dyDescent="0.25">
      <c r="H129" s="43" t="s">
        <v>70</v>
      </c>
      <c r="I129" s="70" t="s">
        <v>88</v>
      </c>
      <c r="J129" s="34">
        <v>12</v>
      </c>
      <c r="K129" s="32" t="s">
        <v>144</v>
      </c>
    </row>
    <row r="130" spans="8:11" ht="15.75" thickBot="1" x14ac:dyDescent="0.3">
      <c r="H130" s="52" t="s">
        <v>70</v>
      </c>
      <c r="I130" s="90" t="s">
        <v>88</v>
      </c>
      <c r="J130" s="84">
        <v>24</v>
      </c>
      <c r="K130" s="78" t="s">
        <v>144</v>
      </c>
    </row>
    <row r="131" spans="8:11" x14ac:dyDescent="0.25">
      <c r="H131"/>
      <c r="I131" s="49"/>
      <c r="J131"/>
      <c r="K131"/>
    </row>
    <row r="132" spans="8:11" x14ac:dyDescent="0.25">
      <c r="H132"/>
      <c r="I132" s="49"/>
      <c r="J132"/>
      <c r="K132"/>
    </row>
    <row r="133" spans="8:11" x14ac:dyDescent="0.25">
      <c r="H133"/>
      <c r="I133" s="49"/>
      <c r="J133"/>
      <c r="K133"/>
    </row>
    <row r="134" spans="8:11" x14ac:dyDescent="0.25">
      <c r="H134"/>
      <c r="I134" s="49"/>
      <c r="J134"/>
      <c r="K134"/>
    </row>
    <row r="135" spans="8:11" x14ac:dyDescent="0.25">
      <c r="H135"/>
      <c r="I135" s="49"/>
      <c r="J135"/>
      <c r="K135"/>
    </row>
    <row r="136" spans="8:11" x14ac:dyDescent="0.25">
      <c r="H136"/>
      <c r="I136" s="49"/>
      <c r="J136"/>
      <c r="K136"/>
    </row>
    <row r="137" spans="8:11" x14ac:dyDescent="0.25">
      <c r="H137"/>
      <c r="I137" s="49"/>
      <c r="J137"/>
      <c r="K137"/>
    </row>
    <row r="138" spans="8:11" x14ac:dyDescent="0.25">
      <c r="H138"/>
      <c r="I138" s="49"/>
      <c r="J138"/>
      <c r="K138"/>
    </row>
    <row r="139" spans="8:11" x14ac:dyDescent="0.25">
      <c r="H139"/>
      <c r="I139" s="49"/>
      <c r="J139"/>
      <c r="K139"/>
    </row>
    <row r="140" spans="8:11" x14ac:dyDescent="0.25">
      <c r="H140"/>
      <c r="I140" s="49"/>
      <c r="J140"/>
      <c r="K140"/>
    </row>
    <row r="141" spans="8:11" x14ac:dyDescent="0.25">
      <c r="H141"/>
      <c r="I141" s="49"/>
      <c r="J141"/>
      <c r="K141"/>
    </row>
    <row r="145" spans="8:11" x14ac:dyDescent="0.25">
      <c r="H145" s="66"/>
      <c r="I145" s="76"/>
      <c r="J145" s="66"/>
      <c r="K145" s="54"/>
    </row>
    <row r="146" spans="8:11" x14ac:dyDescent="0.25">
      <c r="H146" s="66"/>
      <c r="I146" s="76"/>
      <c r="J146" s="66"/>
      <c r="K146" s="54"/>
    </row>
    <row r="147" spans="8:11" x14ac:dyDescent="0.25">
      <c r="H147" s="66"/>
      <c r="I147" s="76"/>
      <c r="J147" s="66"/>
      <c r="K147" s="54"/>
    </row>
    <row r="148" spans="8:11" x14ac:dyDescent="0.25">
      <c r="H148" s="66"/>
      <c r="I148" s="76"/>
      <c r="J148" s="66"/>
      <c r="K148" s="54"/>
    </row>
    <row r="149" spans="8:11" x14ac:dyDescent="0.25">
      <c r="H149" s="66"/>
      <c r="I149" s="76"/>
      <c r="J149" s="66"/>
      <c r="K149" s="54"/>
    </row>
    <row r="150" spans="8:11" x14ac:dyDescent="0.25">
      <c r="H150" s="66"/>
      <c r="I150" s="76"/>
      <c r="J150" s="66"/>
      <c r="K150" s="54"/>
    </row>
    <row r="151" spans="8:11" x14ac:dyDescent="0.25">
      <c r="H151" s="66"/>
      <c r="I151" s="76"/>
      <c r="J151" s="66"/>
      <c r="K151" s="54"/>
    </row>
    <row r="152" spans="8:11" x14ac:dyDescent="0.25">
      <c r="H152" s="66"/>
      <c r="I152" s="76"/>
      <c r="J152" s="66"/>
      <c r="K152" s="54"/>
    </row>
    <row r="153" spans="8:11" x14ac:dyDescent="0.25">
      <c r="H153" s="66"/>
      <c r="I153" s="76"/>
      <c r="J153" s="66"/>
      <c r="K153" s="54"/>
    </row>
    <row r="154" spans="8:11" x14ac:dyDescent="0.25">
      <c r="H154" s="66"/>
      <c r="I154" s="76"/>
      <c r="J154" s="66"/>
      <c r="K154" s="54"/>
    </row>
    <row r="155" spans="8:11" x14ac:dyDescent="0.25">
      <c r="H155" s="66"/>
      <c r="I155" s="76"/>
      <c r="J155" s="66"/>
      <c r="K155" s="54"/>
    </row>
    <row r="156" spans="8:11" x14ac:dyDescent="0.25">
      <c r="H156" s="66"/>
      <c r="I156" s="76"/>
      <c r="J156" s="66"/>
      <c r="K156" s="54"/>
    </row>
    <row r="157" spans="8:11" x14ac:dyDescent="0.25">
      <c r="H157" s="66"/>
      <c r="I157" s="76"/>
      <c r="J157" s="66"/>
      <c r="K157" s="54"/>
    </row>
    <row r="158" spans="8:11" x14ac:dyDescent="0.25">
      <c r="H158" s="66"/>
      <c r="I158" s="76"/>
      <c r="J158" s="66"/>
      <c r="K158" s="54"/>
    </row>
    <row r="159" spans="8:11" x14ac:dyDescent="0.25">
      <c r="H159" s="66"/>
      <c r="I159" s="76"/>
      <c r="J159" s="66"/>
      <c r="K159" s="54"/>
    </row>
    <row r="160" spans="8:11" x14ac:dyDescent="0.25">
      <c r="H160" s="66"/>
      <c r="I160" s="76"/>
      <c r="J160" s="66"/>
      <c r="K160" s="54"/>
    </row>
    <row r="161" spans="8:11" x14ac:dyDescent="0.25">
      <c r="H161" s="66"/>
      <c r="I161" s="76"/>
      <c r="J161" s="66"/>
      <c r="K161" s="54"/>
    </row>
    <row r="162" spans="8:11" x14ac:dyDescent="0.25">
      <c r="H162" s="66"/>
      <c r="I162" s="76"/>
      <c r="J162" s="66"/>
      <c r="K162" s="54"/>
    </row>
    <row r="163" spans="8:11" x14ac:dyDescent="0.25">
      <c r="H163" s="66"/>
      <c r="I163" s="76"/>
      <c r="J163" s="66"/>
      <c r="K163" s="54"/>
    </row>
    <row r="164" spans="8:11" x14ac:dyDescent="0.25">
      <c r="H164" s="66"/>
      <c r="I164" s="76"/>
      <c r="J164" s="66"/>
      <c r="K164" s="54"/>
    </row>
    <row r="165" spans="8:11" x14ac:dyDescent="0.25">
      <c r="H165" s="66"/>
      <c r="I165" s="76"/>
      <c r="J165" s="66"/>
      <c r="K165" s="54"/>
    </row>
  </sheetData>
  <mergeCells count="3">
    <mergeCell ref="B2:F2"/>
    <mergeCell ref="H2:K2"/>
    <mergeCell ref="M2:P2"/>
  </mergeCells>
  <dataValidations count="1">
    <dataValidation type="list" allowBlank="1" showInputMessage="1" showErrorMessage="1" sqref="H4:H130" xr:uid="{00000000-0002-0000-0000-000000000000}">
      <formula1>L_Catégories</formula1>
    </dataValidation>
  </dataValidations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N280"/>
  <sheetViews>
    <sheetView topLeftCell="A198"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2" max="2" width="11.7109375" customWidth="1"/>
    <col min="3" max="3" width="40.7109375" customWidth="1"/>
    <col min="4" max="7" width="11.7109375" customWidth="1"/>
    <col min="10" max="10" width="40.7109375" customWidth="1"/>
    <col min="11" max="14" width="11.7109375" customWidth="1"/>
  </cols>
  <sheetData>
    <row r="1" spans="2:14" ht="16.149999999999999" customHeight="1" thickBot="1" x14ac:dyDescent="0.3"/>
    <row r="2" spans="2:14" ht="14.45" customHeight="1" thickBot="1" x14ac:dyDescent="0.3">
      <c r="C2" s="176" t="s">
        <v>107</v>
      </c>
      <c r="D2" s="177"/>
      <c r="E2" s="177"/>
      <c r="F2" s="177"/>
      <c r="G2" s="178"/>
      <c r="J2" s="176" t="s">
        <v>108</v>
      </c>
      <c r="K2" s="177"/>
      <c r="L2" s="177"/>
      <c r="M2" s="177"/>
      <c r="N2" s="178"/>
    </row>
    <row r="3" spans="2:14" ht="14.45" customHeight="1" thickBot="1" x14ac:dyDescent="0.3">
      <c r="C3" s="181"/>
      <c r="D3" s="182"/>
      <c r="E3" s="183" t="s">
        <v>13</v>
      </c>
      <c r="F3" s="184"/>
      <c r="G3" s="185"/>
      <c r="J3" s="181"/>
      <c r="K3" s="182"/>
      <c r="L3" s="183" t="s">
        <v>13</v>
      </c>
      <c r="M3" s="184"/>
      <c r="N3" s="185"/>
    </row>
    <row r="4" spans="2:14" ht="14.45" customHeight="1" thickBot="1" x14ac:dyDescent="0.3">
      <c r="C4" s="19" t="s">
        <v>0</v>
      </c>
      <c r="D4" s="33" t="s">
        <v>1</v>
      </c>
      <c r="E4" s="21" t="s">
        <v>243</v>
      </c>
      <c r="F4" s="21" t="s">
        <v>244</v>
      </c>
      <c r="G4" s="21" t="s">
        <v>245</v>
      </c>
      <c r="J4" s="19" t="s">
        <v>0</v>
      </c>
      <c r="K4" s="33" t="s">
        <v>1</v>
      </c>
      <c r="L4" s="21" t="s">
        <v>243</v>
      </c>
      <c r="M4" s="21" t="s">
        <v>244</v>
      </c>
      <c r="N4" s="21" t="s">
        <v>245</v>
      </c>
    </row>
    <row r="5" spans="2:14" ht="14.45" customHeight="1" x14ac:dyDescent="0.25">
      <c r="C5" s="32" t="s">
        <v>4</v>
      </c>
      <c r="D5" s="34" t="str">
        <f>IFERROR(VLOOKUP(R_Biscuits_FourretoutB[[#This Row],[Ingrédients]],T_ingrédients[],3,0),"")</f>
        <v>g</v>
      </c>
      <c r="E5" s="40"/>
      <c r="F5" s="41"/>
      <c r="G5" s="40"/>
      <c r="J5" s="32" t="s">
        <v>4</v>
      </c>
      <c r="K5" s="34" t="str">
        <f>IFERROR(VLOOKUP(R_Biscuits_FourretoutG[[#This Row],[Ingrédients]],T_ingrédients[],3,0),"")</f>
        <v>g</v>
      </c>
      <c r="L5" s="40"/>
      <c r="M5" s="41"/>
      <c r="N5" s="40"/>
    </row>
    <row r="6" spans="2:14" ht="14.45" customHeight="1" x14ac:dyDescent="0.25">
      <c r="C6" s="2" t="s">
        <v>15</v>
      </c>
      <c r="D6" s="34" t="str">
        <f>IFERROR(VLOOKUP(R_Biscuits_FourretoutB[[#This Row],[Ingrédients]],T_ingrédients[],3,0),"")</f>
        <v>g</v>
      </c>
      <c r="E6" s="40"/>
      <c r="F6" s="41"/>
      <c r="G6" s="40"/>
      <c r="J6" s="2" t="s">
        <v>15</v>
      </c>
      <c r="K6" s="34" t="str">
        <f>IFERROR(VLOOKUP(R_Biscuits_FourretoutG[[#This Row],[Ingrédients]],T_ingrédients[],3,0),"")</f>
        <v>g</v>
      </c>
      <c r="L6" s="40"/>
      <c r="M6" s="41"/>
      <c r="N6" s="40"/>
    </row>
    <row r="7" spans="2:14" ht="14.45" customHeight="1" x14ac:dyDescent="0.25">
      <c r="C7" s="2" t="s">
        <v>17</v>
      </c>
      <c r="D7" s="34" t="str">
        <f>IFERROR(VLOOKUP(R_Biscuits_FourretoutB[[#This Row],[Ingrédients]],T_ingrédients[],3,0),"")</f>
        <v>g</v>
      </c>
      <c r="E7" s="40"/>
      <c r="F7" s="41"/>
      <c r="G7" s="40"/>
      <c r="J7" s="2" t="s">
        <v>17</v>
      </c>
      <c r="K7" s="34" t="str">
        <f>IFERROR(VLOOKUP(R_Biscuits_FourretoutG[[#This Row],[Ingrédients]],T_ingrédients[],3,0),"")</f>
        <v>g</v>
      </c>
      <c r="L7" s="40"/>
      <c r="M7" s="41"/>
      <c r="N7" s="40"/>
    </row>
    <row r="8" spans="2:14" ht="14.45" customHeight="1" x14ac:dyDescent="0.25">
      <c r="C8" s="2" t="s">
        <v>207</v>
      </c>
      <c r="D8" s="34" t="str">
        <f>IFERROR(VLOOKUP(R_Biscuits_FourretoutB[[#This Row],[Ingrédients]],T_ingrédients[],3,0),"")</f>
        <v>g</v>
      </c>
      <c r="E8" s="40"/>
      <c r="F8" s="41"/>
      <c r="G8" s="40"/>
      <c r="J8" s="2" t="s">
        <v>207</v>
      </c>
      <c r="K8" s="34" t="str">
        <f>IFERROR(VLOOKUP(R_Biscuits_FourretoutG[[#This Row],[Ingrédients]],T_ingrédients[],3,0),"")</f>
        <v>g</v>
      </c>
      <c r="L8" s="40"/>
      <c r="M8" s="41"/>
      <c r="N8" s="40"/>
    </row>
    <row r="9" spans="2:14" ht="14.45" customHeight="1" x14ac:dyDescent="0.25">
      <c r="C9" s="2" t="s">
        <v>159</v>
      </c>
      <c r="D9" s="34" t="str">
        <f>IFERROR(VLOOKUP(R_Biscuits_FourretoutB[[#This Row],[Ingrédients]],T_ingrédients[],3,0),"")</f>
        <v>g</v>
      </c>
      <c r="E9" s="40"/>
      <c r="F9" s="41"/>
      <c r="G9" s="40"/>
      <c r="J9" s="2" t="s">
        <v>208</v>
      </c>
      <c r="K9" s="34" t="str">
        <f>IFERROR(VLOOKUP(R_Biscuits_FourretoutG[[#This Row],[Ingrédients]],T_ingrédients[],3,0),"")</f>
        <v>g</v>
      </c>
      <c r="L9" s="40"/>
      <c r="M9" s="41"/>
      <c r="N9" s="40"/>
    </row>
    <row r="10" spans="2:14" ht="14.45" customHeight="1" x14ac:dyDescent="0.25">
      <c r="C10" s="2" t="s">
        <v>10</v>
      </c>
      <c r="D10" s="34" t="str">
        <f>IFERROR(VLOOKUP(R_Biscuits_FourretoutB[[#This Row],[Ingrédients]],T_ingrédients[],3,0),"")</f>
        <v>g</v>
      </c>
      <c r="E10" s="40"/>
      <c r="F10" s="41"/>
      <c r="G10" s="40"/>
      <c r="J10" s="2" t="s">
        <v>10</v>
      </c>
      <c r="K10" s="34" t="str">
        <f>IFERROR(VLOOKUP(R_Biscuits_FourretoutG[[#This Row],[Ingrédients]],T_ingrédients[],3,0),"")</f>
        <v>g</v>
      </c>
      <c r="L10" s="40"/>
      <c r="M10" s="41"/>
      <c r="N10" s="40"/>
    </row>
    <row r="11" spans="2:14" ht="14.45" customHeight="1" thickBot="1" x14ac:dyDescent="0.3">
      <c r="C11" s="2" t="s">
        <v>16</v>
      </c>
      <c r="D11" s="34" t="str">
        <f>IFERROR(VLOOKUP(R_Biscuits_FourretoutB[[#This Row],[Ingrédients]],T_ingrédients[],3,0),"")</f>
        <v>g</v>
      </c>
      <c r="E11" s="40"/>
      <c r="F11" s="41"/>
      <c r="G11" s="40"/>
      <c r="J11" s="2" t="s">
        <v>16</v>
      </c>
      <c r="K11" s="34" t="str">
        <f>IFERROR(VLOOKUP(R_Biscuits_FourretoutG[[#This Row],[Ingrédients]],T_ingrédients[],3,0),"")</f>
        <v>g</v>
      </c>
      <c r="L11" s="40"/>
      <c r="M11" s="41"/>
      <c r="N11" s="40"/>
    </row>
    <row r="12" spans="2:14" ht="14.45" customHeight="1" thickBot="1" x14ac:dyDescent="0.3">
      <c r="B12" s="179" t="s">
        <v>259</v>
      </c>
      <c r="C12" s="2" t="s">
        <v>241</v>
      </c>
      <c r="D12" s="34" t="str">
        <f>IFERROR(VLOOKUP(R_Biscuits_FourretoutB[[#This Row],[Ingrédients]],T_ingrédients[],3,0),"")</f>
        <v/>
      </c>
      <c r="E12" s="40"/>
      <c r="F12" s="41"/>
      <c r="G12" s="40"/>
      <c r="I12" s="123" t="s">
        <v>259</v>
      </c>
      <c r="J12" s="2" t="s">
        <v>241</v>
      </c>
      <c r="K12" s="34" t="str">
        <f>IFERROR(VLOOKUP(R_Biscuits_FourretoutG[[#This Row],[Ingrédients]],T_ingrédients[],3,0),"")</f>
        <v/>
      </c>
      <c r="L12" s="40"/>
      <c r="M12" s="41"/>
      <c r="N12" s="40"/>
    </row>
    <row r="13" spans="2:14" ht="14.45" customHeight="1" thickBot="1" x14ac:dyDescent="0.3">
      <c r="B13" s="180"/>
      <c r="C13" s="2" t="s">
        <v>242</v>
      </c>
      <c r="D13" s="34" t="str">
        <f>IFERROR(VLOOKUP(R_Biscuits_FourretoutB[[#This Row],[Ingrédients]],T_ingrédients[],3,0),"")</f>
        <v>g</v>
      </c>
      <c r="E13" s="40"/>
      <c r="F13" s="41"/>
      <c r="G13" s="40"/>
      <c r="J13" s="26" t="s">
        <v>39</v>
      </c>
      <c r="K13" s="27" t="s">
        <v>12</v>
      </c>
      <c r="L13" s="28">
        <f>SUBTOTAL(109,R_Biscuits_FourretoutG[10])</f>
        <v>0</v>
      </c>
      <c r="M13" s="28">
        <f>SUBTOTAL(109,R_Biscuits_FourretoutG[20])</f>
        <v>0</v>
      </c>
      <c r="N13" s="29">
        <f>SUBTOTAL(109,R_Biscuits_FourretoutG[40])</f>
        <v>0</v>
      </c>
    </row>
    <row r="14" spans="2:14" ht="14.45" customHeight="1" thickBot="1" x14ac:dyDescent="0.3">
      <c r="C14" s="26" t="s">
        <v>39</v>
      </c>
      <c r="D14" s="27" t="s">
        <v>12</v>
      </c>
      <c r="E14" s="28">
        <f>SUBTOTAL(109,R_Biscuits_FourretoutB[10])</f>
        <v>0</v>
      </c>
      <c r="F14" s="28">
        <f>SUBTOTAL(109,R_Biscuits_FourretoutB[20])</f>
        <v>0</v>
      </c>
      <c r="G14" s="29">
        <f>SUBTOTAL(109,R_Biscuits_FourretoutB[40])</f>
        <v>0</v>
      </c>
    </row>
    <row r="16" spans="2:14" ht="15.75" thickBot="1" x14ac:dyDescent="0.3"/>
    <row r="17" spans="2:7" ht="18" thickBot="1" x14ac:dyDescent="0.3">
      <c r="C17" s="176" t="s">
        <v>234</v>
      </c>
      <c r="D17" s="177"/>
      <c r="E17" s="177"/>
      <c r="F17" s="177"/>
      <c r="G17" s="178"/>
    </row>
    <row r="18" spans="2:7" ht="15.75" thickBot="1" x14ac:dyDescent="0.3">
      <c r="C18" s="186"/>
      <c r="D18" s="187"/>
      <c r="E18" s="183" t="s">
        <v>13</v>
      </c>
      <c r="F18" s="184"/>
      <c r="G18" s="185"/>
    </row>
    <row r="19" spans="2:7" ht="16.5" thickBot="1" x14ac:dyDescent="0.3">
      <c r="C19" s="19" t="s">
        <v>0</v>
      </c>
      <c r="D19" s="33" t="s">
        <v>1</v>
      </c>
      <c r="E19" s="21" t="s">
        <v>40</v>
      </c>
      <c r="F19" s="21" t="s">
        <v>41</v>
      </c>
      <c r="G19" s="21" t="s">
        <v>240</v>
      </c>
    </row>
    <row r="20" spans="2:7" x14ac:dyDescent="0.25">
      <c r="C20" s="32" t="s">
        <v>4</v>
      </c>
      <c r="D20" s="34" t="str">
        <f>VLOOKUP(R_Biscuits_Citron_Pavot[[#This Row],[Ingrédients]],T_ingrédients[],3,0)</f>
        <v>g</v>
      </c>
      <c r="E20" s="40"/>
      <c r="F20" s="41"/>
      <c r="G20" s="40"/>
    </row>
    <row r="21" spans="2:7" x14ac:dyDescent="0.25">
      <c r="C21" s="2" t="s">
        <v>8</v>
      </c>
      <c r="D21" s="34" t="str">
        <f>VLOOKUP(R_Biscuits_Citron_Pavot[[#This Row],[Ingrédients]],T_ingrédients[],3,0)</f>
        <v>g</v>
      </c>
      <c r="E21" s="40"/>
      <c r="F21" s="41"/>
      <c r="G21" s="40"/>
    </row>
    <row r="22" spans="2:7" x14ac:dyDescent="0.25">
      <c r="C22" s="2" t="s">
        <v>15</v>
      </c>
      <c r="D22" s="34" t="str">
        <f>VLOOKUP(R_Biscuits_Citron_Pavot[[#This Row],[Ingrédients]],T_ingrédients[],3,0)</f>
        <v>g</v>
      </c>
      <c r="E22" s="40"/>
      <c r="F22" s="41"/>
      <c r="G22" s="40"/>
    </row>
    <row r="23" spans="2:7" x14ac:dyDescent="0.25">
      <c r="C23" s="2" t="s">
        <v>235</v>
      </c>
      <c r="D23" s="34" t="str">
        <f>VLOOKUP(R_Biscuits_Citron_Pavot[[#This Row],[Ingrédients]],T_ingrédients[],3,0)</f>
        <v>g</v>
      </c>
      <c r="E23" s="40"/>
      <c r="F23" s="41"/>
      <c r="G23" s="40"/>
    </row>
    <row r="24" spans="2:7" x14ac:dyDescent="0.25">
      <c r="C24" s="2" t="s">
        <v>238</v>
      </c>
      <c r="D24" s="34" t="str">
        <f>VLOOKUP(R_Biscuits_Citron_Pavot[[#This Row],[Ingrédients]],T_ingrédients[],3,0)</f>
        <v>g</v>
      </c>
      <c r="E24" s="40"/>
      <c r="F24" s="41"/>
      <c r="G24" s="40"/>
    </row>
    <row r="25" spans="2:7" x14ac:dyDescent="0.25">
      <c r="C25" s="2" t="s">
        <v>21</v>
      </c>
      <c r="D25" s="34" t="str">
        <f>VLOOKUP(R_Biscuits_Citron_Pavot[[#This Row],[Ingrédients]],T_ingrédients[],3,0)</f>
        <v>g</v>
      </c>
      <c r="E25" s="40"/>
      <c r="F25" s="41"/>
      <c r="G25" s="40"/>
    </row>
    <row r="26" spans="2:7" x14ac:dyDescent="0.25">
      <c r="C26" s="2" t="s">
        <v>19</v>
      </c>
      <c r="D26" s="34" t="str">
        <f>VLOOKUP(R_Biscuits_Citron_Pavot[[#This Row],[Ingrédients]],T_ingrédients[],3,0)</f>
        <v>g</v>
      </c>
      <c r="E26" s="40"/>
      <c r="F26" s="41"/>
      <c r="G26" s="40"/>
    </row>
    <row r="27" spans="2:7" x14ac:dyDescent="0.25">
      <c r="C27" s="2" t="s">
        <v>10</v>
      </c>
      <c r="D27" s="34" t="str">
        <f>VLOOKUP(R_Biscuits_Citron_Pavot[[#This Row],[Ingrédients]],T_ingrédients[],3,0)</f>
        <v>g</v>
      </c>
      <c r="E27" s="40"/>
      <c r="F27" s="41"/>
      <c r="G27" s="40"/>
    </row>
    <row r="28" spans="2:7" x14ac:dyDescent="0.25">
      <c r="C28" s="2" t="s">
        <v>16</v>
      </c>
      <c r="D28" s="34" t="str">
        <f>VLOOKUP(R_Biscuits_Citron_Pavot[[#This Row],[Ingrédients]],T_ingrédients[],3,0)</f>
        <v>g</v>
      </c>
      <c r="E28" s="40"/>
      <c r="F28" s="41"/>
      <c r="G28" s="40"/>
    </row>
    <row r="29" spans="2:7" x14ac:dyDescent="0.25">
      <c r="C29" s="2" t="s">
        <v>154</v>
      </c>
      <c r="D29" s="34" t="str">
        <f>VLOOKUP(R_Biscuits_Citron_Pavot[[#This Row],[Ingrédients]],T_ingrédients[],3,0)</f>
        <v>g</v>
      </c>
      <c r="E29" s="40"/>
      <c r="F29" s="41"/>
      <c r="G29" s="40"/>
    </row>
    <row r="30" spans="2:7" ht="15.75" thickBot="1" x14ac:dyDescent="0.3">
      <c r="C30" s="2" t="s">
        <v>212</v>
      </c>
      <c r="D30" s="34" t="str">
        <f>VLOOKUP(R_Biscuits_Citron_Pavot[[#This Row],[Ingrédients]],T_ingrédients[],3,0)</f>
        <v>g</v>
      </c>
      <c r="E30" s="40"/>
      <c r="F30" s="41"/>
      <c r="G30" s="40"/>
    </row>
    <row r="31" spans="2:7" x14ac:dyDescent="0.25">
      <c r="B31" s="179" t="s">
        <v>260</v>
      </c>
      <c r="C31" s="2" t="s">
        <v>184</v>
      </c>
      <c r="D31" s="34" t="str">
        <f>VLOOKUP(R_Biscuits_Citron_Pavot[[#This Row],[Ingrédients]],T_ingrédients[],3,0)</f>
        <v>g</v>
      </c>
      <c r="E31" s="40"/>
      <c r="F31" s="41"/>
      <c r="G31" s="40"/>
    </row>
    <row r="32" spans="2:7" ht="15.75" thickBot="1" x14ac:dyDescent="0.3">
      <c r="B32" s="180"/>
      <c r="C32" s="2" t="s">
        <v>238</v>
      </c>
      <c r="D32" s="34" t="str">
        <f>VLOOKUP(R_Biscuits_Citron_Pavot[[#This Row],[Ingrédients]],T_ingrédients[],3,0)</f>
        <v>g</v>
      </c>
      <c r="E32" s="40"/>
      <c r="F32" s="41"/>
      <c r="G32" s="40"/>
    </row>
    <row r="33" spans="3:7" ht="16.5" thickBot="1" x14ac:dyDescent="0.3">
      <c r="C33" s="26" t="s">
        <v>39</v>
      </c>
      <c r="D33" s="27" t="s">
        <v>12</v>
      </c>
      <c r="E33" s="28">
        <f>SUBTOTAL(109,R_Biscuits_Citron_Pavot[6])</f>
        <v>0</v>
      </c>
      <c r="F33" s="28">
        <f>SUBTOTAL(109,R_Biscuits_Citron_Pavot[12])</f>
        <v>0</v>
      </c>
      <c r="G33" s="29">
        <f>SUBTOTAL(109,R_Biscuits_Citron_Pavot[24])</f>
        <v>0</v>
      </c>
    </row>
    <row r="35" spans="3:7" ht="15.75" thickBot="1" x14ac:dyDescent="0.3"/>
    <row r="36" spans="3:7" ht="18" thickBot="1" x14ac:dyDescent="0.3">
      <c r="C36" s="176" t="s">
        <v>106</v>
      </c>
      <c r="D36" s="177"/>
      <c r="E36" s="177"/>
      <c r="F36" s="177"/>
      <c r="G36" s="178"/>
    </row>
    <row r="37" spans="3:7" ht="15.75" thickBot="1" x14ac:dyDescent="0.3">
      <c r="C37" s="181"/>
      <c r="D37" s="182"/>
      <c r="E37" s="183" t="s">
        <v>13</v>
      </c>
      <c r="F37" s="184"/>
      <c r="G37" s="185"/>
    </row>
    <row r="38" spans="3:7" ht="16.5" thickBot="1" x14ac:dyDescent="0.3">
      <c r="C38" s="19" t="s">
        <v>0</v>
      </c>
      <c r="D38" s="33" t="s">
        <v>1</v>
      </c>
      <c r="E38" s="21" t="s">
        <v>40</v>
      </c>
      <c r="F38" s="21" t="s">
        <v>41</v>
      </c>
      <c r="G38" s="21" t="s">
        <v>240</v>
      </c>
    </row>
    <row r="39" spans="3:7" x14ac:dyDescent="0.25">
      <c r="C39" s="32" t="s">
        <v>5</v>
      </c>
      <c r="D39" s="34" t="str">
        <f>VLOOKUP(R_Biscuits_Rustiques[[#This Row],[Ingrédients]],T_ingrédients[],3,0)</f>
        <v>g</v>
      </c>
      <c r="E39" s="40"/>
      <c r="F39" s="41"/>
      <c r="G39" s="40"/>
    </row>
    <row r="40" spans="3:7" x14ac:dyDescent="0.25">
      <c r="C40" s="2" t="s">
        <v>15</v>
      </c>
      <c r="D40" s="34" t="str">
        <f>VLOOKUP(R_Biscuits_Rustiques[[#This Row],[Ingrédients]],T_ingrédients[],3,0)</f>
        <v>g</v>
      </c>
      <c r="E40" s="40"/>
      <c r="F40" s="41"/>
      <c r="G40" s="40"/>
    </row>
    <row r="41" spans="3:7" x14ac:dyDescent="0.25">
      <c r="C41" s="2" t="s">
        <v>21</v>
      </c>
      <c r="D41" s="34" t="str">
        <f>VLOOKUP(R_Biscuits_Rustiques[[#This Row],[Ingrédients]],T_ingrédients[],3,0)</f>
        <v>g</v>
      </c>
      <c r="E41" s="40"/>
      <c r="F41" s="41"/>
      <c r="G41" s="40"/>
    </row>
    <row r="42" spans="3:7" x14ac:dyDescent="0.25">
      <c r="C42" s="2" t="s">
        <v>162</v>
      </c>
      <c r="D42" s="34" t="str">
        <f>VLOOKUP(R_Biscuits_Rustiques[[#This Row],[Ingrédients]],T_ingrédients[],3,0)</f>
        <v>g</v>
      </c>
      <c r="E42" s="40"/>
      <c r="F42" s="41"/>
      <c r="G42" s="40"/>
    </row>
    <row r="43" spans="3:7" x14ac:dyDescent="0.25">
      <c r="C43" s="2" t="s">
        <v>167</v>
      </c>
      <c r="D43" s="34" t="str">
        <f>VLOOKUP(R_Biscuits_Rustiques[[#This Row],[Ingrédients]],T_ingrédients[],3,0)</f>
        <v>g</v>
      </c>
      <c r="E43" s="40"/>
      <c r="F43" s="41"/>
      <c r="G43" s="40"/>
    </row>
    <row r="44" spans="3:7" x14ac:dyDescent="0.25">
      <c r="C44" s="2" t="s">
        <v>176</v>
      </c>
      <c r="D44" s="34" t="str">
        <f>VLOOKUP(R_Biscuits_Rustiques[[#This Row],[Ingrédients]],T_ingrédients[],3,0)</f>
        <v>g</v>
      </c>
      <c r="E44" s="40"/>
      <c r="F44" s="41"/>
      <c r="G44" s="40"/>
    </row>
    <row r="45" spans="3:7" x14ac:dyDescent="0.25">
      <c r="C45" s="2" t="s">
        <v>180</v>
      </c>
      <c r="D45" s="34" t="str">
        <f>VLOOKUP(R_Biscuits_Rustiques[[#This Row],[Ingrédients]],T_ingrédients[],3,0)</f>
        <v>g</v>
      </c>
      <c r="E45" s="40"/>
      <c r="F45" s="41"/>
      <c r="G45" s="40"/>
    </row>
    <row r="46" spans="3:7" x14ac:dyDescent="0.25">
      <c r="C46" s="2" t="s">
        <v>6</v>
      </c>
      <c r="D46" s="34" t="str">
        <f>VLOOKUP(R_Biscuits_Rustiques[[#This Row],[Ingrédients]],T_ingrédients[],3,0)</f>
        <v>g</v>
      </c>
      <c r="E46" s="40"/>
      <c r="F46" s="41"/>
      <c r="G46" s="40"/>
    </row>
    <row r="48" spans="3:7" ht="15.75" thickBot="1" x14ac:dyDescent="0.3"/>
    <row r="49" spans="3:14" ht="18" thickBot="1" x14ac:dyDescent="0.3">
      <c r="C49" s="176" t="s">
        <v>246</v>
      </c>
      <c r="D49" s="177"/>
      <c r="E49" s="177"/>
      <c r="F49" s="177"/>
      <c r="G49" s="178"/>
      <c r="J49" s="176" t="s">
        <v>98</v>
      </c>
      <c r="K49" s="177"/>
      <c r="L49" s="177"/>
      <c r="M49" s="177"/>
      <c r="N49" s="178"/>
    </row>
    <row r="50" spans="3:14" ht="15.75" thickBot="1" x14ac:dyDescent="0.3">
      <c r="C50" s="56"/>
      <c r="D50" s="57"/>
      <c r="E50" s="58" t="s">
        <v>13</v>
      </c>
      <c r="F50" s="59"/>
      <c r="G50" s="60"/>
      <c r="J50" s="56"/>
      <c r="K50" s="57"/>
      <c r="L50" s="58" t="s">
        <v>13</v>
      </c>
      <c r="M50" s="59"/>
      <c r="N50" s="60"/>
    </row>
    <row r="51" spans="3:14" ht="16.5" thickBot="1" x14ac:dyDescent="0.3">
      <c r="C51" s="19" t="s">
        <v>0</v>
      </c>
      <c r="D51" s="33" t="s">
        <v>1</v>
      </c>
      <c r="E51" s="21" t="s">
        <v>40</v>
      </c>
      <c r="F51" s="21" t="s">
        <v>41</v>
      </c>
      <c r="G51" s="21" t="s">
        <v>240</v>
      </c>
      <c r="J51" s="19" t="s">
        <v>0</v>
      </c>
      <c r="K51" s="33" t="s">
        <v>1</v>
      </c>
      <c r="L51" s="21" t="s">
        <v>40</v>
      </c>
      <c r="M51" s="21" t="s">
        <v>41</v>
      </c>
      <c r="N51" s="21" t="s">
        <v>240</v>
      </c>
    </row>
    <row r="52" spans="3:14" x14ac:dyDescent="0.25">
      <c r="C52" s="32" t="s">
        <v>17</v>
      </c>
      <c r="D52" s="34" t="str">
        <f>VLOOKUP(R_Palets_BretonsCVC[[#This Row],[Ingrédients]],T_ingrédients[],3,0)</f>
        <v>g</v>
      </c>
      <c r="E52" s="40"/>
      <c r="F52" s="41"/>
      <c r="G52" s="40"/>
      <c r="J52" s="32" t="s">
        <v>17</v>
      </c>
      <c r="K52" s="34" t="str">
        <f>VLOOKUP(R_Palets_BretonsFT[[#This Row],[Ingrédients]],T_ingrédients[],3,0)</f>
        <v>g</v>
      </c>
      <c r="L52" s="40"/>
      <c r="M52" s="41"/>
      <c r="N52" s="40"/>
    </row>
    <row r="53" spans="3:14" x14ac:dyDescent="0.25">
      <c r="C53" s="2" t="s">
        <v>15</v>
      </c>
      <c r="D53" s="34" t="str">
        <f>VLOOKUP(R_Palets_BretonsCVC[[#This Row],[Ingrédients]],T_ingrédients[],3,0)</f>
        <v>g</v>
      </c>
      <c r="E53" s="40"/>
      <c r="F53" s="41"/>
      <c r="G53" s="40"/>
      <c r="J53" s="2" t="s">
        <v>15</v>
      </c>
      <c r="K53" s="34" t="str">
        <f>VLOOKUP(R_Palets_BretonsFT[[#This Row],[Ingrédients]],T_ingrédients[],3,0)</f>
        <v>g</v>
      </c>
      <c r="L53" s="40"/>
      <c r="M53" s="41"/>
      <c r="N53" s="40"/>
    </row>
    <row r="54" spans="3:14" x14ac:dyDescent="0.25">
      <c r="C54" s="2" t="s">
        <v>236</v>
      </c>
      <c r="D54" s="34" t="str">
        <f>VLOOKUP(R_Palets_BretonsCVC[[#This Row],[Ingrédients]],T_ingrédients[],3,0)</f>
        <v>g</v>
      </c>
      <c r="E54" s="40"/>
      <c r="F54" s="41"/>
      <c r="G54" s="40"/>
      <c r="J54" s="2" t="s">
        <v>5</v>
      </c>
      <c r="K54" s="34" t="str">
        <f>VLOOKUP(R_Palets_BretonsFT[[#This Row],[Ingrédients]],T_ingrédients[],3,0)</f>
        <v>g</v>
      </c>
      <c r="L54" s="40"/>
      <c r="M54" s="41"/>
      <c r="N54" s="40"/>
    </row>
    <row r="55" spans="3:14" x14ac:dyDescent="0.25">
      <c r="C55" s="2" t="s">
        <v>5</v>
      </c>
      <c r="D55" s="34" t="str">
        <f>VLOOKUP(R_Palets_BretonsCVC[[#This Row],[Ingrédients]],T_ingrédients[],3,0)</f>
        <v>g</v>
      </c>
      <c r="E55" s="40"/>
      <c r="F55" s="41"/>
      <c r="G55" s="40"/>
      <c r="J55" s="2" t="s">
        <v>207</v>
      </c>
      <c r="K55" s="34" t="str">
        <f>VLOOKUP(R_Palets_BretonsFT[[#This Row],[Ingrédients]],T_ingrédients[],3,0)</f>
        <v>g</v>
      </c>
      <c r="L55" s="40"/>
      <c r="M55" s="41"/>
      <c r="N55" s="40"/>
    </row>
    <row r="56" spans="3:14" x14ac:dyDescent="0.25">
      <c r="C56" s="2" t="s">
        <v>207</v>
      </c>
      <c r="D56" s="34" t="str">
        <f>VLOOKUP(R_Palets_BretonsCVC[[#This Row],[Ingrédients]],T_ingrédients[],3,0)</f>
        <v>g</v>
      </c>
      <c r="E56" s="40"/>
      <c r="F56" s="41"/>
      <c r="G56" s="40"/>
      <c r="J56" s="2" t="s">
        <v>21</v>
      </c>
      <c r="K56" s="34" t="str">
        <f>VLOOKUP(R_Palets_BretonsFT[[#This Row],[Ingrédients]],T_ingrédients[],3,0)</f>
        <v>g</v>
      </c>
      <c r="L56" s="40"/>
      <c r="M56" s="41"/>
      <c r="N56" s="40"/>
    </row>
    <row r="57" spans="3:14" x14ac:dyDescent="0.25">
      <c r="C57" s="2" t="s">
        <v>239</v>
      </c>
      <c r="D57" s="34" t="str">
        <f>VLOOKUP(R_Palets_BretonsCVC[[#This Row],[Ingrédients]],T_ingrédients[],3,0)</f>
        <v>g</v>
      </c>
      <c r="E57" s="40"/>
      <c r="F57" s="41"/>
      <c r="G57" s="40"/>
      <c r="J57" s="2" t="s">
        <v>10</v>
      </c>
      <c r="K57" s="34" t="str">
        <f>VLOOKUP(R_Palets_BretonsFT[[#This Row],[Ingrédients]],T_ingrédients[],3,0)</f>
        <v>g</v>
      </c>
      <c r="L57" s="40"/>
      <c r="M57" s="41"/>
      <c r="N57" s="40"/>
    </row>
    <row r="58" spans="3:14" x14ac:dyDescent="0.25">
      <c r="C58" s="2" t="s">
        <v>21</v>
      </c>
      <c r="D58" s="34" t="str">
        <f>VLOOKUP(R_Palets_BretonsCVC[[#This Row],[Ingrédients]],T_ingrédients[],3,0)</f>
        <v>g</v>
      </c>
      <c r="E58" s="40"/>
      <c r="F58" s="41"/>
      <c r="G58" s="40"/>
      <c r="J58" s="2" t="s">
        <v>16</v>
      </c>
      <c r="K58" s="34" t="str">
        <f>VLOOKUP(R_Palets_BretonsFT[[#This Row],[Ingrédients]],T_ingrédients[],3,0)</f>
        <v>g</v>
      </c>
      <c r="L58" s="40"/>
      <c r="M58" s="41"/>
      <c r="N58" s="40"/>
    </row>
    <row r="59" spans="3:14" ht="15.75" thickBot="1" x14ac:dyDescent="0.3">
      <c r="C59" s="2" t="s">
        <v>10</v>
      </c>
      <c r="D59" s="34" t="str">
        <f>VLOOKUP(R_Palets_BretonsCVC[[#This Row],[Ingrédients]],T_ingrédients[],3,0)</f>
        <v>g</v>
      </c>
      <c r="E59" s="40"/>
      <c r="F59" s="41"/>
      <c r="G59" s="40"/>
      <c r="J59" s="2" t="s">
        <v>17</v>
      </c>
      <c r="K59" s="34" t="str">
        <f>VLOOKUP(R_Palets_BretonsFT[[#This Row],[Ingrédients]],T_ingrédients[],3,0)</f>
        <v>g</v>
      </c>
      <c r="L59" s="40"/>
      <c r="M59" s="41"/>
      <c r="N59" s="40"/>
    </row>
    <row r="60" spans="3:14" ht="16.5" thickBot="1" x14ac:dyDescent="0.3">
      <c r="C60" s="2" t="s">
        <v>16</v>
      </c>
      <c r="D60" s="34" t="str">
        <f>VLOOKUP(R_Palets_BretonsCVC[[#This Row],[Ingrédients]],T_ingrédients[],3,0)</f>
        <v>g</v>
      </c>
      <c r="E60" s="40"/>
      <c r="F60" s="41"/>
      <c r="G60" s="40"/>
      <c r="J60" s="26" t="s">
        <v>39</v>
      </c>
      <c r="K60" s="27" t="s">
        <v>12</v>
      </c>
      <c r="L60" s="28">
        <f>SUBTOTAL(109,R_Palets_BretonsFT[6])</f>
        <v>0</v>
      </c>
      <c r="M60" s="28">
        <f>SUBTOTAL(109,R_Palets_BretonsFT[12])</f>
        <v>0</v>
      </c>
      <c r="N60" s="29">
        <f>SUBTOTAL(109,R_Palets_BretonsFT[24])</f>
        <v>0</v>
      </c>
    </row>
    <row r="61" spans="3:14" ht="15.75" thickBot="1" x14ac:dyDescent="0.3">
      <c r="C61" s="2" t="s">
        <v>173</v>
      </c>
      <c r="D61" s="34" t="str">
        <f>VLOOKUP(R_Palets_BretonsCVC[[#This Row],[Ingrédients]],T_ingrédients[],3,0)</f>
        <v>g</v>
      </c>
      <c r="E61" s="40"/>
      <c r="F61" s="41"/>
      <c r="G61" s="40"/>
    </row>
    <row r="62" spans="3:14" ht="16.5" thickBot="1" x14ac:dyDescent="0.3">
      <c r="C62" s="26" t="s">
        <v>39</v>
      </c>
      <c r="D62" s="27" t="s">
        <v>12</v>
      </c>
      <c r="E62" s="28">
        <f>SUBTOTAL(109,R_Palets_BretonsCVC[6])</f>
        <v>0</v>
      </c>
      <c r="F62" s="28">
        <f>SUBTOTAL(109,R_Palets_BretonsCVC[12])</f>
        <v>0</v>
      </c>
      <c r="G62" s="29">
        <f>SUBTOTAL(109,R_Palets_BretonsCVC[24])</f>
        <v>0</v>
      </c>
    </row>
    <row r="64" spans="3:14" ht="15.75" thickBot="1" x14ac:dyDescent="0.3"/>
    <row r="65" spans="2:7" ht="18" thickBot="1" x14ac:dyDescent="0.3">
      <c r="C65" s="176" t="s">
        <v>102</v>
      </c>
      <c r="D65" s="177"/>
      <c r="E65" s="177"/>
      <c r="F65" s="177"/>
      <c r="G65" s="178"/>
    </row>
    <row r="66" spans="2:7" ht="15.75" thickBot="1" x14ac:dyDescent="0.3">
      <c r="C66" s="56"/>
      <c r="D66" s="57"/>
      <c r="E66" s="58" t="s">
        <v>13</v>
      </c>
      <c r="F66" s="59"/>
      <c r="G66" s="60"/>
    </row>
    <row r="67" spans="2:7" ht="16.5" thickBot="1" x14ac:dyDescent="0.3">
      <c r="C67" s="19" t="s">
        <v>0</v>
      </c>
      <c r="D67" s="33" t="s">
        <v>1</v>
      </c>
      <c r="E67" s="21" t="s">
        <v>40</v>
      </c>
      <c r="F67" s="21" t="s">
        <v>41</v>
      </c>
      <c r="G67" s="21" t="s">
        <v>240</v>
      </c>
    </row>
    <row r="68" spans="2:7" x14ac:dyDescent="0.25">
      <c r="C68" s="32" t="s">
        <v>4</v>
      </c>
      <c r="D68" s="34" t="str">
        <f>VLOOKUP(R_Spritz[[#This Row],[Ingrédients]],T_ingrédients[],3,0)</f>
        <v>g</v>
      </c>
      <c r="E68" s="40"/>
      <c r="F68" s="41"/>
      <c r="G68" s="40"/>
    </row>
    <row r="69" spans="2:7" x14ac:dyDescent="0.25">
      <c r="C69" s="2" t="s">
        <v>163</v>
      </c>
      <c r="D69" s="34" t="str">
        <f>VLOOKUP(R_Spritz[[#This Row],[Ingrédients]],T_ingrédients[],3,0)</f>
        <v>g</v>
      </c>
      <c r="E69" s="40"/>
      <c r="F69" s="41"/>
      <c r="G69" s="40"/>
    </row>
    <row r="70" spans="2:7" x14ac:dyDescent="0.25">
      <c r="C70" s="2" t="s">
        <v>16</v>
      </c>
      <c r="D70" s="34" t="str">
        <f>VLOOKUP(R_Spritz[[#This Row],[Ingrédients]],T_ingrédients[],3,0)</f>
        <v>g</v>
      </c>
      <c r="E70" s="40"/>
      <c r="F70" s="41"/>
      <c r="G70" s="40"/>
    </row>
    <row r="71" spans="2:7" x14ac:dyDescent="0.25">
      <c r="C71" s="2" t="s">
        <v>184</v>
      </c>
      <c r="D71" s="34" t="str">
        <f>VLOOKUP(R_Spritz[[#This Row],[Ingrédients]],T_ingrédients[],3,0)</f>
        <v>g</v>
      </c>
      <c r="E71" s="40"/>
      <c r="F71" s="41"/>
      <c r="G71" s="40"/>
    </row>
    <row r="72" spans="2:7" x14ac:dyDescent="0.25">
      <c r="C72" s="2" t="s">
        <v>228</v>
      </c>
      <c r="D72" s="34" t="str">
        <f>VLOOKUP(R_Spritz[[#This Row],[Ingrédients]],T_ingrédients[],3,0)</f>
        <v>g</v>
      </c>
      <c r="E72" s="40"/>
      <c r="F72" s="41"/>
      <c r="G72" s="40"/>
    </row>
    <row r="73" spans="2:7" ht="15.75" thickBot="1" x14ac:dyDescent="0.3">
      <c r="C73" s="2" t="s">
        <v>21</v>
      </c>
      <c r="D73" s="34" t="str">
        <f>VLOOKUP(R_Spritz[[#This Row],[Ingrédients]],T_ingrédients[],3,0)</f>
        <v>g</v>
      </c>
      <c r="E73" s="40"/>
      <c r="F73" s="41"/>
      <c r="G73" s="40"/>
    </row>
    <row r="74" spans="2:7" ht="30" x14ac:dyDescent="0.25">
      <c r="B74" s="179" t="s">
        <v>260</v>
      </c>
      <c r="C74" s="2" t="s">
        <v>198</v>
      </c>
      <c r="D74" s="34" t="str">
        <f>VLOOKUP(R_Spritz[[#This Row],[Ingrédients]],T_ingrédients[],3,0)</f>
        <v>g</v>
      </c>
      <c r="E74" s="40"/>
      <c r="F74" s="41"/>
      <c r="G74" s="40"/>
    </row>
    <row r="75" spans="2:7" ht="15.75" thickBot="1" x14ac:dyDescent="0.3">
      <c r="B75" s="180"/>
      <c r="C75" s="2" t="s">
        <v>173</v>
      </c>
      <c r="D75" s="34" t="str">
        <f>VLOOKUP(R_Spritz[[#This Row],[Ingrédients]],T_ingrédients[],3,0)</f>
        <v>g</v>
      </c>
      <c r="E75" s="40"/>
      <c r="F75" s="41"/>
      <c r="G75" s="40"/>
    </row>
    <row r="76" spans="2:7" ht="16.5" thickBot="1" x14ac:dyDescent="0.3">
      <c r="C76" s="26" t="s">
        <v>39</v>
      </c>
      <c r="D76" s="27" t="s">
        <v>12</v>
      </c>
      <c r="E76" s="28">
        <f>SUBTOTAL(109,R_Spritz[6])</f>
        <v>0</v>
      </c>
      <c r="F76" s="28">
        <f>SUBTOTAL(109,R_Spritz[12])</f>
        <v>0</v>
      </c>
      <c r="G76" s="29">
        <f>SUBTOTAL(109,R_Spritz[24])</f>
        <v>0</v>
      </c>
    </row>
    <row r="78" spans="2:7" ht="15.75" thickBot="1" x14ac:dyDescent="0.3"/>
    <row r="79" spans="2:7" ht="18" thickBot="1" x14ac:dyDescent="0.3">
      <c r="C79" s="176" t="s">
        <v>60</v>
      </c>
      <c r="D79" s="177"/>
      <c r="E79" s="177"/>
      <c r="F79" s="177"/>
      <c r="G79" s="178"/>
    </row>
    <row r="80" spans="2:7" ht="15.75" thickBot="1" x14ac:dyDescent="0.3">
      <c r="C80" s="56"/>
      <c r="D80" s="57"/>
      <c r="E80" s="58" t="s">
        <v>13</v>
      </c>
      <c r="F80" s="59"/>
      <c r="G80" s="60"/>
    </row>
    <row r="81" spans="3:7" ht="16.5" thickBot="1" x14ac:dyDescent="0.3">
      <c r="C81" s="19" t="s">
        <v>0</v>
      </c>
      <c r="D81" s="33" t="s">
        <v>1</v>
      </c>
      <c r="E81" s="21" t="s">
        <v>57</v>
      </c>
      <c r="F81" s="21" t="s">
        <v>58</v>
      </c>
      <c r="G81" s="21" t="s">
        <v>59</v>
      </c>
    </row>
    <row r="82" spans="3:7" x14ac:dyDescent="0.25">
      <c r="C82" s="32"/>
      <c r="D82" s="34" t="e">
        <f>VLOOKUP(TR_Modèle918[[#This Row],[Ingrédients]],T_ingrédients[],3,0)</f>
        <v>#N/A</v>
      </c>
      <c r="E82" s="40"/>
      <c r="F82" s="41"/>
      <c r="G82" s="40"/>
    </row>
    <row r="83" spans="3:7" x14ac:dyDescent="0.25">
      <c r="C83" s="2"/>
      <c r="D83" s="34" t="e">
        <f>VLOOKUP(TR_Modèle918[[#This Row],[Ingrédients]],T_ingrédients[],3,0)</f>
        <v>#N/A</v>
      </c>
      <c r="E83" s="40"/>
      <c r="F83" s="41"/>
      <c r="G83" s="40"/>
    </row>
    <row r="84" spans="3:7" x14ac:dyDescent="0.25">
      <c r="C84" s="2"/>
      <c r="D84" s="34" t="e">
        <f>VLOOKUP(TR_Modèle918[[#This Row],[Ingrédients]],T_ingrédients[],3,0)</f>
        <v>#N/A</v>
      </c>
      <c r="E84" s="40"/>
      <c r="F84" s="41"/>
      <c r="G84" s="40"/>
    </row>
    <row r="85" spans="3:7" x14ac:dyDescent="0.25">
      <c r="C85" s="2"/>
      <c r="D85" s="34" t="e">
        <f>VLOOKUP(TR_Modèle918[[#This Row],[Ingrédients]],T_ingrédients[],3,0)</f>
        <v>#N/A</v>
      </c>
      <c r="E85" s="40"/>
      <c r="F85" s="41"/>
      <c r="G85" s="40"/>
    </row>
    <row r="86" spans="3:7" x14ac:dyDescent="0.25">
      <c r="C86" s="2"/>
      <c r="D86" s="34" t="e">
        <f>VLOOKUP(TR_Modèle918[[#This Row],[Ingrédients]],T_ingrédients[],3,0)</f>
        <v>#N/A</v>
      </c>
      <c r="E86" s="40"/>
      <c r="F86" s="41"/>
      <c r="G86" s="40"/>
    </row>
    <row r="87" spans="3:7" x14ac:dyDescent="0.25">
      <c r="C87" s="2"/>
      <c r="D87" s="34" t="e">
        <f>VLOOKUP(TR_Modèle918[[#This Row],[Ingrédients]],T_ingrédients[],3,0)</f>
        <v>#N/A</v>
      </c>
      <c r="E87" s="40"/>
      <c r="F87" s="41"/>
      <c r="G87" s="40"/>
    </row>
    <row r="88" spans="3:7" x14ac:dyDescent="0.25">
      <c r="C88" s="2"/>
      <c r="D88" s="34" t="e">
        <f>VLOOKUP(TR_Modèle918[[#This Row],[Ingrédients]],T_ingrédients[],3,0)</f>
        <v>#N/A</v>
      </c>
      <c r="E88" s="40"/>
      <c r="F88" s="41"/>
      <c r="G88" s="40"/>
    </row>
    <row r="89" spans="3:7" x14ac:dyDescent="0.25">
      <c r="C89" s="2"/>
      <c r="D89" s="34" t="e">
        <f>VLOOKUP(TR_Modèle918[[#This Row],[Ingrédients]],T_ingrédients[],3,0)</f>
        <v>#N/A</v>
      </c>
      <c r="E89" s="40"/>
      <c r="F89" s="41"/>
      <c r="G89" s="40"/>
    </row>
    <row r="90" spans="3:7" x14ac:dyDescent="0.25">
      <c r="C90" s="2"/>
      <c r="D90" s="34" t="e">
        <f>VLOOKUP(TR_Modèle918[[#This Row],[Ingrédients]],T_ingrédients[],3,0)</f>
        <v>#N/A</v>
      </c>
      <c r="E90" s="40"/>
      <c r="F90" s="41"/>
      <c r="G90" s="40"/>
    </row>
    <row r="91" spans="3:7" x14ac:dyDescent="0.25">
      <c r="C91" s="2"/>
      <c r="D91" s="34" t="e">
        <f>VLOOKUP(TR_Modèle918[[#This Row],[Ingrédients]],T_ingrédients[],3,0)</f>
        <v>#N/A</v>
      </c>
      <c r="E91" s="40"/>
      <c r="F91" s="41"/>
      <c r="G91" s="40"/>
    </row>
    <row r="92" spans="3:7" x14ac:dyDescent="0.25">
      <c r="C92" s="2"/>
      <c r="D92" s="34" t="e">
        <f>VLOOKUP(TR_Modèle918[[#This Row],[Ingrédients]],T_ingrédients[],3,0)</f>
        <v>#N/A</v>
      </c>
      <c r="E92" s="40"/>
      <c r="F92" s="41"/>
      <c r="G92" s="40"/>
    </row>
    <row r="93" spans="3:7" x14ac:dyDescent="0.25">
      <c r="C93" s="2"/>
      <c r="D93" s="34" t="e">
        <f>VLOOKUP(TR_Modèle918[[#This Row],[Ingrédients]],T_ingrédients[],3,0)</f>
        <v>#N/A</v>
      </c>
      <c r="E93" s="40"/>
      <c r="F93" s="41"/>
      <c r="G93" s="40"/>
    </row>
    <row r="94" spans="3:7" x14ac:dyDescent="0.25">
      <c r="C94" s="2"/>
      <c r="D94" s="34" t="e">
        <f>VLOOKUP(TR_Modèle918[[#This Row],[Ingrédients]],T_ingrédients[],3,0)</f>
        <v>#N/A</v>
      </c>
      <c r="E94" s="40"/>
      <c r="F94" s="41"/>
      <c r="G94" s="40"/>
    </row>
    <row r="95" spans="3:7" x14ac:dyDescent="0.25">
      <c r="C95" s="2"/>
      <c r="D95" s="34" t="e">
        <f>VLOOKUP(TR_Modèle918[[#This Row],[Ingrédients]],T_ingrédients[],3,0)</f>
        <v>#N/A</v>
      </c>
      <c r="E95" s="40"/>
      <c r="F95" s="41"/>
      <c r="G95" s="40"/>
    </row>
    <row r="96" spans="3:7" x14ac:dyDescent="0.25">
      <c r="C96" s="2"/>
      <c r="D96" s="34" t="e">
        <f>VLOOKUP(TR_Modèle918[[#This Row],[Ingrédients]],T_ingrédients[],3,0)</f>
        <v>#N/A</v>
      </c>
      <c r="E96" s="40"/>
      <c r="F96" s="41"/>
      <c r="G96" s="40"/>
    </row>
    <row r="97" spans="3:7" x14ac:dyDescent="0.25">
      <c r="C97" s="2"/>
      <c r="D97" s="34" t="e">
        <f>VLOOKUP(TR_Modèle918[[#This Row],[Ingrédients]],T_ingrédients[],3,0)</f>
        <v>#N/A</v>
      </c>
      <c r="E97" s="40"/>
      <c r="F97" s="41"/>
      <c r="G97" s="40"/>
    </row>
    <row r="98" spans="3:7" x14ac:dyDescent="0.25">
      <c r="C98" s="2"/>
      <c r="D98" s="34" t="e">
        <f>VLOOKUP(TR_Modèle918[[#This Row],[Ingrédients]],T_ingrédients[],3,0)</f>
        <v>#N/A</v>
      </c>
      <c r="E98" s="40"/>
      <c r="F98" s="41"/>
      <c r="G98" s="40"/>
    </row>
    <row r="99" spans="3:7" x14ac:dyDescent="0.25">
      <c r="C99" s="2"/>
      <c r="D99" s="34" t="e">
        <f>VLOOKUP(TR_Modèle918[[#This Row],[Ingrédients]],T_ingrédients[],3,0)</f>
        <v>#N/A</v>
      </c>
      <c r="E99" s="40"/>
      <c r="F99" s="41"/>
      <c r="G99" s="40"/>
    </row>
    <row r="100" spans="3:7" x14ac:dyDescent="0.25">
      <c r="C100" s="2"/>
      <c r="D100" s="34" t="e">
        <f>VLOOKUP(TR_Modèle918[[#This Row],[Ingrédients]],T_ingrédients[],3,0)</f>
        <v>#N/A</v>
      </c>
      <c r="E100" s="40"/>
      <c r="F100" s="41"/>
      <c r="G100" s="40"/>
    </row>
    <row r="101" spans="3:7" x14ac:dyDescent="0.25">
      <c r="C101" s="2"/>
      <c r="D101" s="34" t="e">
        <f>VLOOKUP(TR_Modèle918[[#This Row],[Ingrédients]],T_ingrédients[],3,0)</f>
        <v>#N/A</v>
      </c>
      <c r="E101" s="40"/>
      <c r="F101" s="41"/>
      <c r="G101" s="40"/>
    </row>
    <row r="102" spans="3:7" x14ac:dyDescent="0.25">
      <c r="C102" s="2"/>
      <c r="D102" s="34" t="e">
        <f>VLOOKUP(TR_Modèle918[[#This Row],[Ingrédients]],T_ingrédients[],3,0)</f>
        <v>#N/A</v>
      </c>
      <c r="E102" s="40"/>
      <c r="F102" s="41"/>
      <c r="G102" s="40"/>
    </row>
    <row r="103" spans="3:7" x14ac:dyDescent="0.25">
      <c r="C103" s="2"/>
      <c r="D103" s="34" t="e">
        <f>VLOOKUP(TR_Modèle918[[#This Row],[Ingrédients]],T_ingrédients[],3,0)</f>
        <v>#N/A</v>
      </c>
      <c r="E103" s="40"/>
      <c r="F103" s="41"/>
      <c r="G103" s="40"/>
    </row>
    <row r="104" spans="3:7" x14ac:dyDescent="0.25">
      <c r="C104" s="2"/>
      <c r="D104" s="34" t="e">
        <f>VLOOKUP(TR_Modèle918[[#This Row],[Ingrédients]],T_ingrédients[],3,0)</f>
        <v>#N/A</v>
      </c>
      <c r="E104" s="40"/>
      <c r="F104" s="41"/>
      <c r="G104" s="40"/>
    </row>
    <row r="105" spans="3:7" x14ac:dyDescent="0.25">
      <c r="C105" s="2"/>
      <c r="D105" s="34" t="e">
        <f>VLOOKUP(TR_Modèle918[[#This Row],[Ingrédients]],T_ingrédients[],3,0)</f>
        <v>#N/A</v>
      </c>
      <c r="E105" s="40"/>
      <c r="F105" s="41"/>
      <c r="G105" s="40"/>
    </row>
    <row r="106" spans="3:7" x14ac:dyDescent="0.25">
      <c r="C106" s="2"/>
      <c r="D106" s="34" t="e">
        <f>VLOOKUP(TR_Modèle918[[#This Row],[Ingrédients]],T_ingrédients[],3,0)</f>
        <v>#N/A</v>
      </c>
      <c r="E106" s="40"/>
      <c r="F106" s="41"/>
      <c r="G106" s="40"/>
    </row>
    <row r="107" spans="3:7" x14ac:dyDescent="0.25">
      <c r="C107" s="2"/>
      <c r="D107" s="34" t="e">
        <f>VLOOKUP(TR_Modèle918[[#This Row],[Ingrédients]],T_ingrédients[],3,0)</f>
        <v>#N/A</v>
      </c>
      <c r="E107" s="40"/>
      <c r="F107" s="41"/>
      <c r="G107" s="40"/>
    </row>
    <row r="108" spans="3:7" x14ac:dyDescent="0.25">
      <c r="C108" s="2"/>
      <c r="D108" s="34" t="e">
        <f>VLOOKUP(TR_Modèle918[[#This Row],[Ingrédients]],T_ingrédients[],3,0)</f>
        <v>#N/A</v>
      </c>
      <c r="E108" s="40"/>
      <c r="F108" s="41"/>
      <c r="G108" s="40"/>
    </row>
    <row r="109" spans="3:7" ht="15.75" thickBot="1" x14ac:dyDescent="0.3">
      <c r="C109" s="2"/>
      <c r="D109" s="34" t="e">
        <f>VLOOKUP(TR_Modèle918[[#This Row],[Ingrédients]],T_ingrédients[],3,0)</f>
        <v>#N/A</v>
      </c>
      <c r="E109" s="40"/>
      <c r="F109" s="41"/>
      <c r="G109" s="40"/>
    </row>
    <row r="110" spans="3:7" ht="16.5" thickBot="1" x14ac:dyDescent="0.3">
      <c r="C110" s="26" t="s">
        <v>39</v>
      </c>
      <c r="D110" s="27" t="s">
        <v>12</v>
      </c>
      <c r="E110" s="28">
        <f>SUBTOTAL(109,TR_Modèle918[Colonne1])</f>
        <v>0</v>
      </c>
      <c r="F110" s="28">
        <f>SUBTOTAL(109,TR_Modèle918[Colonne2])</f>
        <v>0</v>
      </c>
      <c r="G110" s="29">
        <f>SUBTOTAL(109,TR_Modèle918[Colonne3])</f>
        <v>0</v>
      </c>
    </row>
    <row r="112" spans="3:7" ht="15.75" thickBot="1" x14ac:dyDescent="0.3"/>
    <row r="113" spans="3:7" ht="18" thickBot="1" x14ac:dyDescent="0.3">
      <c r="C113" s="176" t="s">
        <v>60</v>
      </c>
      <c r="D113" s="177"/>
      <c r="E113" s="177"/>
      <c r="F113" s="177"/>
      <c r="G113" s="178"/>
    </row>
    <row r="114" spans="3:7" ht="15.75" thickBot="1" x14ac:dyDescent="0.3">
      <c r="C114" s="56"/>
      <c r="D114" s="57"/>
      <c r="E114" s="58" t="s">
        <v>13</v>
      </c>
      <c r="F114" s="59"/>
      <c r="G114" s="60"/>
    </row>
    <row r="115" spans="3:7" ht="16.5" thickBot="1" x14ac:dyDescent="0.3">
      <c r="C115" s="19" t="s">
        <v>0</v>
      </c>
      <c r="D115" s="33" t="s">
        <v>1</v>
      </c>
      <c r="E115" s="21" t="s">
        <v>57</v>
      </c>
      <c r="F115" s="21" t="s">
        <v>58</v>
      </c>
      <c r="G115" s="21" t="s">
        <v>59</v>
      </c>
    </row>
    <row r="116" spans="3:7" x14ac:dyDescent="0.25">
      <c r="C116" s="32"/>
      <c r="D116" s="34" t="e">
        <f>VLOOKUP(TR_Modèle919[[#This Row],[Ingrédients]],T_ingrédients[],3,0)</f>
        <v>#N/A</v>
      </c>
      <c r="E116" s="40"/>
      <c r="F116" s="41"/>
      <c r="G116" s="40"/>
    </row>
    <row r="117" spans="3:7" x14ac:dyDescent="0.25">
      <c r="C117" s="2"/>
      <c r="D117" s="34" t="e">
        <f>VLOOKUP(TR_Modèle919[[#This Row],[Ingrédients]],T_ingrédients[],3,0)</f>
        <v>#N/A</v>
      </c>
      <c r="E117" s="40"/>
      <c r="F117" s="41"/>
      <c r="G117" s="40"/>
    </row>
    <row r="118" spans="3:7" x14ac:dyDescent="0.25">
      <c r="C118" s="2"/>
      <c r="D118" s="34" t="e">
        <f>VLOOKUP(TR_Modèle919[[#This Row],[Ingrédients]],T_ingrédients[],3,0)</f>
        <v>#N/A</v>
      </c>
      <c r="E118" s="40"/>
      <c r="F118" s="41"/>
      <c r="G118" s="40"/>
    </row>
    <row r="119" spans="3:7" x14ac:dyDescent="0.25">
      <c r="C119" s="2"/>
      <c r="D119" s="34" t="e">
        <f>VLOOKUP(TR_Modèle919[[#This Row],[Ingrédients]],T_ingrédients[],3,0)</f>
        <v>#N/A</v>
      </c>
      <c r="E119" s="40"/>
      <c r="F119" s="41"/>
      <c r="G119" s="40"/>
    </row>
    <row r="120" spans="3:7" x14ac:dyDescent="0.25">
      <c r="C120" s="2"/>
      <c r="D120" s="34" t="e">
        <f>VLOOKUP(TR_Modèle919[[#This Row],[Ingrédients]],T_ingrédients[],3,0)</f>
        <v>#N/A</v>
      </c>
      <c r="E120" s="40"/>
      <c r="F120" s="41"/>
      <c r="G120" s="40"/>
    </row>
    <row r="121" spans="3:7" x14ac:dyDescent="0.25">
      <c r="C121" s="2"/>
      <c r="D121" s="34" t="e">
        <f>VLOOKUP(TR_Modèle919[[#This Row],[Ingrédients]],T_ingrédients[],3,0)</f>
        <v>#N/A</v>
      </c>
      <c r="E121" s="40"/>
      <c r="F121" s="41"/>
      <c r="G121" s="40"/>
    </row>
    <row r="122" spans="3:7" x14ac:dyDescent="0.25">
      <c r="C122" s="2"/>
      <c r="D122" s="34" t="e">
        <f>VLOOKUP(TR_Modèle919[[#This Row],[Ingrédients]],T_ingrédients[],3,0)</f>
        <v>#N/A</v>
      </c>
      <c r="E122" s="40"/>
      <c r="F122" s="41"/>
      <c r="G122" s="40"/>
    </row>
    <row r="123" spans="3:7" x14ac:dyDescent="0.25">
      <c r="C123" s="2"/>
      <c r="D123" s="34" t="e">
        <f>VLOOKUP(TR_Modèle919[[#This Row],[Ingrédients]],T_ingrédients[],3,0)</f>
        <v>#N/A</v>
      </c>
      <c r="E123" s="40"/>
      <c r="F123" s="41"/>
      <c r="G123" s="40"/>
    </row>
    <row r="124" spans="3:7" x14ac:dyDescent="0.25">
      <c r="C124" s="2"/>
      <c r="D124" s="34" t="e">
        <f>VLOOKUP(TR_Modèle919[[#This Row],[Ingrédients]],T_ingrédients[],3,0)</f>
        <v>#N/A</v>
      </c>
      <c r="E124" s="40"/>
      <c r="F124" s="41"/>
      <c r="G124" s="40"/>
    </row>
    <row r="125" spans="3:7" x14ac:dyDescent="0.25">
      <c r="C125" s="2"/>
      <c r="D125" s="34" t="e">
        <f>VLOOKUP(TR_Modèle919[[#This Row],[Ingrédients]],T_ingrédients[],3,0)</f>
        <v>#N/A</v>
      </c>
      <c r="E125" s="40"/>
      <c r="F125" s="41"/>
      <c r="G125" s="40"/>
    </row>
    <row r="126" spans="3:7" x14ac:dyDescent="0.25">
      <c r="C126" s="2"/>
      <c r="D126" s="34" t="e">
        <f>VLOOKUP(TR_Modèle919[[#This Row],[Ingrédients]],T_ingrédients[],3,0)</f>
        <v>#N/A</v>
      </c>
      <c r="E126" s="40"/>
      <c r="F126" s="41"/>
      <c r="G126" s="40"/>
    </row>
    <row r="127" spans="3:7" x14ac:dyDescent="0.25">
      <c r="C127" s="2"/>
      <c r="D127" s="34" t="e">
        <f>VLOOKUP(TR_Modèle919[[#This Row],[Ingrédients]],T_ingrédients[],3,0)</f>
        <v>#N/A</v>
      </c>
      <c r="E127" s="40"/>
      <c r="F127" s="41"/>
      <c r="G127" s="40"/>
    </row>
    <row r="128" spans="3:7" x14ac:dyDescent="0.25">
      <c r="C128" s="2"/>
      <c r="D128" s="34" t="e">
        <f>VLOOKUP(TR_Modèle919[[#This Row],[Ingrédients]],T_ingrédients[],3,0)</f>
        <v>#N/A</v>
      </c>
      <c r="E128" s="40"/>
      <c r="F128" s="41"/>
      <c r="G128" s="40"/>
    </row>
    <row r="129" spans="3:7" x14ac:dyDescent="0.25">
      <c r="C129" s="2"/>
      <c r="D129" s="34" t="e">
        <f>VLOOKUP(TR_Modèle919[[#This Row],[Ingrédients]],T_ingrédients[],3,0)</f>
        <v>#N/A</v>
      </c>
      <c r="E129" s="40"/>
      <c r="F129" s="41"/>
      <c r="G129" s="40"/>
    </row>
    <row r="130" spans="3:7" x14ac:dyDescent="0.25">
      <c r="C130" s="2"/>
      <c r="D130" s="34" t="e">
        <f>VLOOKUP(TR_Modèle919[[#This Row],[Ingrédients]],T_ingrédients[],3,0)</f>
        <v>#N/A</v>
      </c>
      <c r="E130" s="40"/>
      <c r="F130" s="41"/>
      <c r="G130" s="40"/>
    </row>
    <row r="131" spans="3:7" x14ac:dyDescent="0.25">
      <c r="C131" s="2"/>
      <c r="D131" s="34" t="e">
        <f>VLOOKUP(TR_Modèle919[[#This Row],[Ingrédients]],T_ingrédients[],3,0)</f>
        <v>#N/A</v>
      </c>
      <c r="E131" s="40"/>
      <c r="F131" s="41"/>
      <c r="G131" s="40"/>
    </row>
    <row r="132" spans="3:7" x14ac:dyDescent="0.25">
      <c r="C132" s="2"/>
      <c r="D132" s="34" t="e">
        <f>VLOOKUP(TR_Modèle919[[#This Row],[Ingrédients]],T_ingrédients[],3,0)</f>
        <v>#N/A</v>
      </c>
      <c r="E132" s="40"/>
      <c r="F132" s="41"/>
      <c r="G132" s="40"/>
    </row>
    <row r="133" spans="3:7" x14ac:dyDescent="0.25">
      <c r="C133" s="2"/>
      <c r="D133" s="34" t="e">
        <f>VLOOKUP(TR_Modèle919[[#This Row],[Ingrédients]],T_ingrédients[],3,0)</f>
        <v>#N/A</v>
      </c>
      <c r="E133" s="40"/>
      <c r="F133" s="41"/>
      <c r="G133" s="40"/>
    </row>
    <row r="134" spans="3:7" x14ac:dyDescent="0.25">
      <c r="C134" s="2"/>
      <c r="D134" s="34" t="e">
        <f>VLOOKUP(TR_Modèle919[[#This Row],[Ingrédients]],T_ingrédients[],3,0)</f>
        <v>#N/A</v>
      </c>
      <c r="E134" s="40"/>
      <c r="F134" s="41"/>
      <c r="G134" s="40"/>
    </row>
    <row r="135" spans="3:7" x14ac:dyDescent="0.25">
      <c r="C135" s="2"/>
      <c r="D135" s="34" t="e">
        <f>VLOOKUP(TR_Modèle919[[#This Row],[Ingrédients]],T_ingrédients[],3,0)</f>
        <v>#N/A</v>
      </c>
      <c r="E135" s="40"/>
      <c r="F135" s="41"/>
      <c r="G135" s="40"/>
    </row>
    <row r="136" spans="3:7" x14ac:dyDescent="0.25">
      <c r="C136" s="2"/>
      <c r="D136" s="34" t="e">
        <f>VLOOKUP(TR_Modèle919[[#This Row],[Ingrédients]],T_ingrédients[],3,0)</f>
        <v>#N/A</v>
      </c>
      <c r="E136" s="40"/>
      <c r="F136" s="41"/>
      <c r="G136" s="40"/>
    </row>
    <row r="137" spans="3:7" x14ac:dyDescent="0.25">
      <c r="C137" s="2"/>
      <c r="D137" s="34" t="e">
        <f>VLOOKUP(TR_Modèle919[[#This Row],[Ingrédients]],T_ingrédients[],3,0)</f>
        <v>#N/A</v>
      </c>
      <c r="E137" s="40"/>
      <c r="F137" s="41"/>
      <c r="G137" s="40"/>
    </row>
    <row r="138" spans="3:7" x14ac:dyDescent="0.25">
      <c r="C138" s="2"/>
      <c r="D138" s="34" t="e">
        <f>VLOOKUP(TR_Modèle919[[#This Row],[Ingrédients]],T_ingrédients[],3,0)</f>
        <v>#N/A</v>
      </c>
      <c r="E138" s="40"/>
      <c r="F138" s="41"/>
      <c r="G138" s="40"/>
    </row>
    <row r="139" spans="3:7" x14ac:dyDescent="0.25">
      <c r="C139" s="2"/>
      <c r="D139" s="34" t="e">
        <f>VLOOKUP(TR_Modèle919[[#This Row],[Ingrédients]],T_ingrédients[],3,0)</f>
        <v>#N/A</v>
      </c>
      <c r="E139" s="40"/>
      <c r="F139" s="41"/>
      <c r="G139" s="40"/>
    </row>
    <row r="140" spans="3:7" x14ac:dyDescent="0.25">
      <c r="C140" s="2"/>
      <c r="D140" s="34" t="e">
        <f>VLOOKUP(TR_Modèle919[[#This Row],[Ingrédients]],T_ingrédients[],3,0)</f>
        <v>#N/A</v>
      </c>
      <c r="E140" s="40"/>
      <c r="F140" s="41"/>
      <c r="G140" s="40"/>
    </row>
    <row r="141" spans="3:7" x14ac:dyDescent="0.25">
      <c r="C141" s="2"/>
      <c r="D141" s="34" t="e">
        <f>VLOOKUP(TR_Modèle919[[#This Row],[Ingrédients]],T_ingrédients[],3,0)</f>
        <v>#N/A</v>
      </c>
      <c r="E141" s="40"/>
      <c r="F141" s="41"/>
      <c r="G141" s="40"/>
    </row>
    <row r="142" spans="3:7" x14ac:dyDescent="0.25">
      <c r="C142" s="2"/>
      <c r="D142" s="34" t="e">
        <f>VLOOKUP(TR_Modèle919[[#This Row],[Ingrédients]],T_ingrédients[],3,0)</f>
        <v>#N/A</v>
      </c>
      <c r="E142" s="40"/>
      <c r="F142" s="41"/>
      <c r="G142" s="40"/>
    </row>
    <row r="143" spans="3:7" ht="15.75" thickBot="1" x14ac:dyDescent="0.3">
      <c r="C143" s="2"/>
      <c r="D143" s="34" t="e">
        <f>VLOOKUP(TR_Modèle919[[#This Row],[Ingrédients]],T_ingrédients[],3,0)</f>
        <v>#N/A</v>
      </c>
      <c r="E143" s="40"/>
      <c r="F143" s="41"/>
      <c r="G143" s="40"/>
    </row>
    <row r="144" spans="3:7" ht="16.5" thickBot="1" x14ac:dyDescent="0.3">
      <c r="C144" s="26" t="s">
        <v>39</v>
      </c>
      <c r="D144" s="27" t="s">
        <v>12</v>
      </c>
      <c r="E144" s="28">
        <f>SUBTOTAL(109,TR_Modèle919[Colonne1])</f>
        <v>0</v>
      </c>
      <c r="F144" s="28">
        <f>SUBTOTAL(109,TR_Modèle919[Colonne2])</f>
        <v>0</v>
      </c>
      <c r="G144" s="29">
        <f>SUBTOTAL(109,TR_Modèle919[Colonne3])</f>
        <v>0</v>
      </c>
    </row>
    <row r="146" spans="3:7" ht="15.75" thickBot="1" x14ac:dyDescent="0.3"/>
    <row r="147" spans="3:7" ht="18" thickBot="1" x14ac:dyDescent="0.3">
      <c r="C147" s="176" t="s">
        <v>60</v>
      </c>
      <c r="D147" s="177"/>
      <c r="E147" s="177"/>
      <c r="F147" s="177"/>
      <c r="G147" s="178"/>
    </row>
    <row r="148" spans="3:7" ht="15.75" thickBot="1" x14ac:dyDescent="0.3">
      <c r="C148" s="56"/>
      <c r="D148" s="57"/>
      <c r="E148" s="58" t="s">
        <v>13</v>
      </c>
      <c r="F148" s="59"/>
      <c r="G148" s="60"/>
    </row>
    <row r="149" spans="3:7" ht="16.5" thickBot="1" x14ac:dyDescent="0.3">
      <c r="C149" s="19" t="s">
        <v>0</v>
      </c>
      <c r="D149" s="33" t="s">
        <v>1</v>
      </c>
      <c r="E149" s="21" t="s">
        <v>57</v>
      </c>
      <c r="F149" s="21" t="s">
        <v>58</v>
      </c>
      <c r="G149" s="21" t="s">
        <v>59</v>
      </c>
    </row>
    <row r="150" spans="3:7" x14ac:dyDescent="0.25">
      <c r="C150" s="32"/>
      <c r="D150" s="34" t="e">
        <f>VLOOKUP(TR_Modèle920[[#This Row],[Ingrédients]],T_ingrédients[],3,0)</f>
        <v>#N/A</v>
      </c>
      <c r="E150" s="40"/>
      <c r="F150" s="41"/>
      <c r="G150" s="40"/>
    </row>
    <row r="151" spans="3:7" x14ac:dyDescent="0.25">
      <c r="C151" s="2"/>
      <c r="D151" s="34" t="e">
        <f>VLOOKUP(TR_Modèle920[[#This Row],[Ingrédients]],T_ingrédients[],3,0)</f>
        <v>#N/A</v>
      </c>
      <c r="E151" s="40"/>
      <c r="F151" s="41"/>
      <c r="G151" s="40"/>
    </row>
    <row r="152" spans="3:7" x14ac:dyDescent="0.25">
      <c r="C152" s="2"/>
      <c r="D152" s="34" t="e">
        <f>VLOOKUP(TR_Modèle920[[#This Row],[Ingrédients]],T_ingrédients[],3,0)</f>
        <v>#N/A</v>
      </c>
      <c r="E152" s="40"/>
      <c r="F152" s="41"/>
      <c r="G152" s="40"/>
    </row>
    <row r="153" spans="3:7" x14ac:dyDescent="0.25">
      <c r="C153" s="2"/>
      <c r="D153" s="34" t="e">
        <f>VLOOKUP(TR_Modèle920[[#This Row],[Ingrédients]],T_ingrédients[],3,0)</f>
        <v>#N/A</v>
      </c>
      <c r="E153" s="40"/>
      <c r="F153" s="41"/>
      <c r="G153" s="40"/>
    </row>
    <row r="154" spans="3:7" x14ac:dyDescent="0.25">
      <c r="C154" s="2"/>
      <c r="D154" s="34" t="e">
        <f>VLOOKUP(TR_Modèle920[[#This Row],[Ingrédients]],T_ingrédients[],3,0)</f>
        <v>#N/A</v>
      </c>
      <c r="E154" s="40"/>
      <c r="F154" s="41"/>
      <c r="G154" s="40"/>
    </row>
    <row r="155" spans="3:7" x14ac:dyDescent="0.25">
      <c r="C155" s="2"/>
      <c r="D155" s="34" t="e">
        <f>VLOOKUP(TR_Modèle920[[#This Row],[Ingrédients]],T_ingrédients[],3,0)</f>
        <v>#N/A</v>
      </c>
      <c r="E155" s="40"/>
      <c r="F155" s="41"/>
      <c r="G155" s="40"/>
    </row>
    <row r="156" spans="3:7" x14ac:dyDescent="0.25">
      <c r="C156" s="2"/>
      <c r="D156" s="34" t="e">
        <f>VLOOKUP(TR_Modèle920[[#This Row],[Ingrédients]],T_ingrédients[],3,0)</f>
        <v>#N/A</v>
      </c>
      <c r="E156" s="40"/>
      <c r="F156" s="41"/>
      <c r="G156" s="40"/>
    </row>
    <row r="157" spans="3:7" x14ac:dyDescent="0.25">
      <c r="C157" s="2"/>
      <c r="D157" s="34" t="e">
        <f>VLOOKUP(TR_Modèle920[[#This Row],[Ingrédients]],T_ingrédients[],3,0)</f>
        <v>#N/A</v>
      </c>
      <c r="E157" s="40"/>
      <c r="F157" s="41"/>
      <c r="G157" s="40"/>
    </row>
    <row r="158" spans="3:7" x14ac:dyDescent="0.25">
      <c r="C158" s="2"/>
      <c r="D158" s="34" t="e">
        <f>VLOOKUP(TR_Modèle920[[#This Row],[Ingrédients]],T_ingrédients[],3,0)</f>
        <v>#N/A</v>
      </c>
      <c r="E158" s="40"/>
      <c r="F158" s="41"/>
      <c r="G158" s="40"/>
    </row>
    <row r="159" spans="3:7" x14ac:dyDescent="0.25">
      <c r="C159" s="2"/>
      <c r="D159" s="34" t="e">
        <f>VLOOKUP(TR_Modèle920[[#This Row],[Ingrédients]],T_ingrédients[],3,0)</f>
        <v>#N/A</v>
      </c>
      <c r="E159" s="40"/>
      <c r="F159" s="41"/>
      <c r="G159" s="40"/>
    </row>
    <row r="160" spans="3:7" x14ac:dyDescent="0.25">
      <c r="C160" s="2"/>
      <c r="D160" s="34" t="e">
        <f>VLOOKUP(TR_Modèle920[[#This Row],[Ingrédients]],T_ingrédients[],3,0)</f>
        <v>#N/A</v>
      </c>
      <c r="E160" s="40"/>
      <c r="F160" s="41"/>
      <c r="G160" s="40"/>
    </row>
    <row r="161" spans="3:7" x14ac:dyDescent="0.25">
      <c r="C161" s="2"/>
      <c r="D161" s="34" t="e">
        <f>VLOOKUP(TR_Modèle920[[#This Row],[Ingrédients]],T_ingrédients[],3,0)</f>
        <v>#N/A</v>
      </c>
      <c r="E161" s="40"/>
      <c r="F161" s="41"/>
      <c r="G161" s="40"/>
    </row>
    <row r="162" spans="3:7" x14ac:dyDescent="0.25">
      <c r="C162" s="2"/>
      <c r="D162" s="34" t="e">
        <f>VLOOKUP(TR_Modèle920[[#This Row],[Ingrédients]],T_ingrédients[],3,0)</f>
        <v>#N/A</v>
      </c>
      <c r="E162" s="40"/>
      <c r="F162" s="41"/>
      <c r="G162" s="40"/>
    </row>
    <row r="163" spans="3:7" x14ac:dyDescent="0.25">
      <c r="C163" s="2"/>
      <c r="D163" s="34" t="e">
        <f>VLOOKUP(TR_Modèle920[[#This Row],[Ingrédients]],T_ingrédients[],3,0)</f>
        <v>#N/A</v>
      </c>
      <c r="E163" s="40"/>
      <c r="F163" s="41"/>
      <c r="G163" s="40"/>
    </row>
    <row r="164" spans="3:7" x14ac:dyDescent="0.25">
      <c r="C164" s="2"/>
      <c r="D164" s="34" t="e">
        <f>VLOOKUP(TR_Modèle920[[#This Row],[Ingrédients]],T_ingrédients[],3,0)</f>
        <v>#N/A</v>
      </c>
      <c r="E164" s="40"/>
      <c r="F164" s="41"/>
      <c r="G164" s="40"/>
    </row>
    <row r="165" spans="3:7" x14ac:dyDescent="0.25">
      <c r="C165" s="2"/>
      <c r="D165" s="34" t="e">
        <f>VLOOKUP(TR_Modèle920[[#This Row],[Ingrédients]],T_ingrédients[],3,0)</f>
        <v>#N/A</v>
      </c>
      <c r="E165" s="40"/>
      <c r="F165" s="41"/>
      <c r="G165" s="40"/>
    </row>
    <row r="166" spans="3:7" x14ac:dyDescent="0.25">
      <c r="C166" s="2"/>
      <c r="D166" s="34" t="e">
        <f>VLOOKUP(TR_Modèle920[[#This Row],[Ingrédients]],T_ingrédients[],3,0)</f>
        <v>#N/A</v>
      </c>
      <c r="E166" s="40"/>
      <c r="F166" s="41"/>
      <c r="G166" s="40"/>
    </row>
    <row r="167" spans="3:7" x14ac:dyDescent="0.25">
      <c r="C167" s="2"/>
      <c r="D167" s="34" t="e">
        <f>VLOOKUP(TR_Modèle920[[#This Row],[Ingrédients]],T_ingrédients[],3,0)</f>
        <v>#N/A</v>
      </c>
      <c r="E167" s="40"/>
      <c r="F167" s="41"/>
      <c r="G167" s="40"/>
    </row>
    <row r="168" spans="3:7" x14ac:dyDescent="0.25">
      <c r="C168" s="2"/>
      <c r="D168" s="34" t="e">
        <f>VLOOKUP(TR_Modèle920[[#This Row],[Ingrédients]],T_ingrédients[],3,0)</f>
        <v>#N/A</v>
      </c>
      <c r="E168" s="40"/>
      <c r="F168" s="41"/>
      <c r="G168" s="40"/>
    </row>
    <row r="169" spans="3:7" x14ac:dyDescent="0.25">
      <c r="C169" s="2"/>
      <c r="D169" s="34" t="e">
        <f>VLOOKUP(TR_Modèle920[[#This Row],[Ingrédients]],T_ingrédients[],3,0)</f>
        <v>#N/A</v>
      </c>
      <c r="E169" s="40"/>
      <c r="F169" s="41"/>
      <c r="G169" s="40"/>
    </row>
    <row r="170" spans="3:7" x14ac:dyDescent="0.25">
      <c r="C170" s="2"/>
      <c r="D170" s="34" t="e">
        <f>VLOOKUP(TR_Modèle920[[#This Row],[Ingrédients]],T_ingrédients[],3,0)</f>
        <v>#N/A</v>
      </c>
      <c r="E170" s="40"/>
      <c r="F170" s="41"/>
      <c r="G170" s="40"/>
    </row>
    <row r="171" spans="3:7" x14ac:dyDescent="0.25">
      <c r="C171" s="2"/>
      <c r="D171" s="34" t="e">
        <f>VLOOKUP(TR_Modèle920[[#This Row],[Ingrédients]],T_ingrédients[],3,0)</f>
        <v>#N/A</v>
      </c>
      <c r="E171" s="40"/>
      <c r="F171" s="41"/>
      <c r="G171" s="40"/>
    </row>
    <row r="172" spans="3:7" x14ac:dyDescent="0.25">
      <c r="C172" s="2"/>
      <c r="D172" s="34" t="e">
        <f>VLOOKUP(TR_Modèle920[[#This Row],[Ingrédients]],T_ingrédients[],3,0)</f>
        <v>#N/A</v>
      </c>
      <c r="E172" s="40"/>
      <c r="F172" s="41"/>
      <c r="G172" s="40"/>
    </row>
    <row r="173" spans="3:7" x14ac:dyDescent="0.25">
      <c r="C173" s="2"/>
      <c r="D173" s="34" t="e">
        <f>VLOOKUP(TR_Modèle920[[#This Row],[Ingrédients]],T_ingrédients[],3,0)</f>
        <v>#N/A</v>
      </c>
      <c r="E173" s="40"/>
      <c r="F173" s="41"/>
      <c r="G173" s="40"/>
    </row>
    <row r="174" spans="3:7" x14ac:dyDescent="0.25">
      <c r="C174" s="2"/>
      <c r="D174" s="34" t="e">
        <f>VLOOKUP(TR_Modèle920[[#This Row],[Ingrédients]],T_ingrédients[],3,0)</f>
        <v>#N/A</v>
      </c>
      <c r="E174" s="40"/>
      <c r="F174" s="41"/>
      <c r="G174" s="40"/>
    </row>
    <row r="175" spans="3:7" x14ac:dyDescent="0.25">
      <c r="C175" s="2"/>
      <c r="D175" s="34" t="e">
        <f>VLOOKUP(TR_Modèle920[[#This Row],[Ingrédients]],T_ingrédients[],3,0)</f>
        <v>#N/A</v>
      </c>
      <c r="E175" s="40"/>
      <c r="F175" s="41"/>
      <c r="G175" s="40"/>
    </row>
    <row r="176" spans="3:7" x14ac:dyDescent="0.25">
      <c r="C176" s="2"/>
      <c r="D176" s="34" t="e">
        <f>VLOOKUP(TR_Modèle920[[#This Row],[Ingrédients]],T_ingrédients[],3,0)</f>
        <v>#N/A</v>
      </c>
      <c r="E176" s="40"/>
      <c r="F176" s="41"/>
      <c r="G176" s="40"/>
    </row>
    <row r="177" spans="3:7" ht="15.75" thickBot="1" x14ac:dyDescent="0.3">
      <c r="C177" s="2"/>
      <c r="D177" s="34" t="e">
        <f>VLOOKUP(TR_Modèle920[[#This Row],[Ingrédients]],T_ingrédients[],3,0)</f>
        <v>#N/A</v>
      </c>
      <c r="E177" s="40"/>
      <c r="F177" s="41"/>
      <c r="G177" s="40"/>
    </row>
    <row r="178" spans="3:7" ht="16.5" thickBot="1" x14ac:dyDescent="0.3">
      <c r="C178" s="26" t="s">
        <v>39</v>
      </c>
      <c r="D178" s="27" t="s">
        <v>12</v>
      </c>
      <c r="E178" s="28">
        <f>SUBTOTAL(109,TR_Modèle920[Colonne1])</f>
        <v>0</v>
      </c>
      <c r="F178" s="28">
        <f>SUBTOTAL(109,TR_Modèle920[Colonne2])</f>
        <v>0</v>
      </c>
      <c r="G178" s="29">
        <f>SUBTOTAL(109,TR_Modèle920[Colonne3])</f>
        <v>0</v>
      </c>
    </row>
    <row r="180" spans="3:7" ht="15.75" thickBot="1" x14ac:dyDescent="0.3"/>
    <row r="181" spans="3:7" ht="18" thickBot="1" x14ac:dyDescent="0.3">
      <c r="C181" s="176" t="s">
        <v>60</v>
      </c>
      <c r="D181" s="177"/>
      <c r="E181" s="177"/>
      <c r="F181" s="177"/>
      <c r="G181" s="178"/>
    </row>
    <row r="182" spans="3:7" ht="15.75" thickBot="1" x14ac:dyDescent="0.3">
      <c r="C182" s="56"/>
      <c r="D182" s="57"/>
      <c r="E182" s="58" t="s">
        <v>13</v>
      </c>
      <c r="F182" s="59"/>
      <c r="G182" s="60"/>
    </row>
    <row r="183" spans="3:7" ht="16.5" thickBot="1" x14ac:dyDescent="0.3">
      <c r="C183" s="19" t="s">
        <v>0</v>
      </c>
      <c r="D183" s="33" t="s">
        <v>1</v>
      </c>
      <c r="E183" s="21" t="s">
        <v>57</v>
      </c>
      <c r="F183" s="21" t="s">
        <v>58</v>
      </c>
      <c r="G183" s="21" t="s">
        <v>59</v>
      </c>
    </row>
    <row r="184" spans="3:7" x14ac:dyDescent="0.25">
      <c r="C184" s="32"/>
      <c r="D184" s="34" t="e">
        <f>VLOOKUP(TR_Modèle921[[#This Row],[Ingrédients]],T_ingrédients[],3,0)</f>
        <v>#N/A</v>
      </c>
      <c r="E184" s="40"/>
      <c r="F184" s="41"/>
      <c r="G184" s="40"/>
    </row>
    <row r="185" spans="3:7" x14ac:dyDescent="0.25">
      <c r="C185" s="2"/>
      <c r="D185" s="34" t="e">
        <f>VLOOKUP(TR_Modèle921[[#This Row],[Ingrédients]],T_ingrédients[],3,0)</f>
        <v>#N/A</v>
      </c>
      <c r="E185" s="40"/>
      <c r="F185" s="41"/>
      <c r="G185" s="40"/>
    </row>
    <row r="186" spans="3:7" x14ac:dyDescent="0.25">
      <c r="C186" s="2"/>
      <c r="D186" s="34" t="e">
        <f>VLOOKUP(TR_Modèle921[[#This Row],[Ingrédients]],T_ingrédients[],3,0)</f>
        <v>#N/A</v>
      </c>
      <c r="E186" s="40"/>
      <c r="F186" s="41"/>
      <c r="G186" s="40"/>
    </row>
    <row r="187" spans="3:7" x14ac:dyDescent="0.25">
      <c r="C187" s="2"/>
      <c r="D187" s="34" t="e">
        <f>VLOOKUP(TR_Modèle921[[#This Row],[Ingrédients]],T_ingrédients[],3,0)</f>
        <v>#N/A</v>
      </c>
      <c r="E187" s="40"/>
      <c r="F187" s="41"/>
      <c r="G187" s="40"/>
    </row>
    <row r="188" spans="3:7" x14ac:dyDescent="0.25">
      <c r="C188" s="2"/>
      <c r="D188" s="34" t="e">
        <f>VLOOKUP(TR_Modèle921[[#This Row],[Ingrédients]],T_ingrédients[],3,0)</f>
        <v>#N/A</v>
      </c>
      <c r="E188" s="40"/>
      <c r="F188" s="41"/>
      <c r="G188" s="40"/>
    </row>
    <row r="189" spans="3:7" x14ac:dyDescent="0.25">
      <c r="C189" s="2"/>
      <c r="D189" s="34" t="e">
        <f>VLOOKUP(TR_Modèle921[[#This Row],[Ingrédients]],T_ingrédients[],3,0)</f>
        <v>#N/A</v>
      </c>
      <c r="E189" s="40"/>
      <c r="F189" s="41"/>
      <c r="G189" s="40"/>
    </row>
    <row r="190" spans="3:7" x14ac:dyDescent="0.25">
      <c r="C190" s="2"/>
      <c r="D190" s="34" t="e">
        <f>VLOOKUP(TR_Modèle921[[#This Row],[Ingrédients]],T_ingrédients[],3,0)</f>
        <v>#N/A</v>
      </c>
      <c r="E190" s="40"/>
      <c r="F190" s="41"/>
      <c r="G190" s="40"/>
    </row>
    <row r="191" spans="3:7" x14ac:dyDescent="0.25">
      <c r="C191" s="2"/>
      <c r="D191" s="34" t="e">
        <f>VLOOKUP(TR_Modèle921[[#This Row],[Ingrédients]],T_ingrédients[],3,0)</f>
        <v>#N/A</v>
      </c>
      <c r="E191" s="40"/>
      <c r="F191" s="41"/>
      <c r="G191" s="40"/>
    </row>
    <row r="192" spans="3:7" x14ac:dyDescent="0.25">
      <c r="C192" s="2"/>
      <c r="D192" s="34" t="e">
        <f>VLOOKUP(TR_Modèle921[[#This Row],[Ingrédients]],T_ingrédients[],3,0)</f>
        <v>#N/A</v>
      </c>
      <c r="E192" s="40"/>
      <c r="F192" s="41"/>
      <c r="G192" s="40"/>
    </row>
    <row r="193" spans="3:7" x14ac:dyDescent="0.25">
      <c r="C193" s="2"/>
      <c r="D193" s="34" t="e">
        <f>VLOOKUP(TR_Modèle921[[#This Row],[Ingrédients]],T_ingrédients[],3,0)</f>
        <v>#N/A</v>
      </c>
      <c r="E193" s="40"/>
      <c r="F193" s="41"/>
      <c r="G193" s="40"/>
    </row>
    <row r="194" spans="3:7" x14ac:dyDescent="0.25">
      <c r="C194" s="2"/>
      <c r="D194" s="34" t="e">
        <f>VLOOKUP(TR_Modèle921[[#This Row],[Ingrédients]],T_ingrédients[],3,0)</f>
        <v>#N/A</v>
      </c>
      <c r="E194" s="40"/>
      <c r="F194" s="41"/>
      <c r="G194" s="40"/>
    </row>
    <row r="195" spans="3:7" x14ac:dyDescent="0.25">
      <c r="C195" s="2"/>
      <c r="D195" s="34" t="e">
        <f>VLOOKUP(TR_Modèle921[[#This Row],[Ingrédients]],T_ingrédients[],3,0)</f>
        <v>#N/A</v>
      </c>
      <c r="E195" s="40"/>
      <c r="F195" s="41"/>
      <c r="G195" s="40"/>
    </row>
    <row r="196" spans="3:7" x14ac:dyDescent="0.25">
      <c r="C196" s="2"/>
      <c r="D196" s="34" t="e">
        <f>VLOOKUP(TR_Modèle921[[#This Row],[Ingrédients]],T_ingrédients[],3,0)</f>
        <v>#N/A</v>
      </c>
      <c r="E196" s="40"/>
      <c r="F196" s="41"/>
      <c r="G196" s="40"/>
    </row>
    <row r="197" spans="3:7" x14ac:dyDescent="0.25">
      <c r="C197" s="2"/>
      <c r="D197" s="34" t="e">
        <f>VLOOKUP(TR_Modèle921[[#This Row],[Ingrédients]],T_ingrédients[],3,0)</f>
        <v>#N/A</v>
      </c>
      <c r="E197" s="40"/>
      <c r="F197" s="41"/>
      <c r="G197" s="40"/>
    </row>
    <row r="198" spans="3:7" x14ac:dyDescent="0.25">
      <c r="C198" s="2"/>
      <c r="D198" s="34" t="e">
        <f>VLOOKUP(TR_Modèle921[[#This Row],[Ingrédients]],T_ingrédients[],3,0)</f>
        <v>#N/A</v>
      </c>
      <c r="E198" s="40"/>
      <c r="F198" s="41"/>
      <c r="G198" s="40"/>
    </row>
    <row r="199" spans="3:7" x14ac:dyDescent="0.25">
      <c r="C199" s="2"/>
      <c r="D199" s="34" t="e">
        <f>VLOOKUP(TR_Modèle921[[#This Row],[Ingrédients]],T_ingrédients[],3,0)</f>
        <v>#N/A</v>
      </c>
      <c r="E199" s="40"/>
      <c r="F199" s="41"/>
      <c r="G199" s="40"/>
    </row>
    <row r="200" spans="3:7" x14ac:dyDescent="0.25">
      <c r="C200" s="2"/>
      <c r="D200" s="34" t="e">
        <f>VLOOKUP(TR_Modèle921[[#This Row],[Ingrédients]],T_ingrédients[],3,0)</f>
        <v>#N/A</v>
      </c>
      <c r="E200" s="40"/>
      <c r="F200" s="41"/>
      <c r="G200" s="40"/>
    </row>
    <row r="201" spans="3:7" x14ac:dyDescent="0.25">
      <c r="C201" s="2"/>
      <c r="D201" s="34" t="e">
        <f>VLOOKUP(TR_Modèle921[[#This Row],[Ingrédients]],T_ingrédients[],3,0)</f>
        <v>#N/A</v>
      </c>
      <c r="E201" s="40"/>
      <c r="F201" s="41"/>
      <c r="G201" s="40"/>
    </row>
    <row r="202" spans="3:7" x14ac:dyDescent="0.25">
      <c r="C202" s="2"/>
      <c r="D202" s="34" t="e">
        <f>VLOOKUP(TR_Modèle921[[#This Row],[Ingrédients]],T_ingrédients[],3,0)</f>
        <v>#N/A</v>
      </c>
      <c r="E202" s="40"/>
      <c r="F202" s="41"/>
      <c r="G202" s="40"/>
    </row>
    <row r="203" spans="3:7" x14ac:dyDescent="0.25">
      <c r="C203" s="2"/>
      <c r="D203" s="34" t="e">
        <f>VLOOKUP(TR_Modèle921[[#This Row],[Ingrédients]],T_ingrédients[],3,0)</f>
        <v>#N/A</v>
      </c>
      <c r="E203" s="40"/>
      <c r="F203" s="41"/>
      <c r="G203" s="40"/>
    </row>
    <row r="204" spans="3:7" x14ac:dyDescent="0.25">
      <c r="C204" s="2"/>
      <c r="D204" s="34" t="e">
        <f>VLOOKUP(TR_Modèle921[[#This Row],[Ingrédients]],T_ingrédients[],3,0)</f>
        <v>#N/A</v>
      </c>
      <c r="E204" s="40"/>
      <c r="F204" s="41"/>
      <c r="G204" s="40"/>
    </row>
    <row r="205" spans="3:7" x14ac:dyDescent="0.25">
      <c r="C205" s="2"/>
      <c r="D205" s="34" t="e">
        <f>VLOOKUP(TR_Modèle921[[#This Row],[Ingrédients]],T_ingrédients[],3,0)</f>
        <v>#N/A</v>
      </c>
      <c r="E205" s="40"/>
      <c r="F205" s="41"/>
      <c r="G205" s="40"/>
    </row>
    <row r="206" spans="3:7" x14ac:dyDescent="0.25">
      <c r="C206" s="2"/>
      <c r="D206" s="34" t="e">
        <f>VLOOKUP(TR_Modèle921[[#This Row],[Ingrédients]],T_ingrédients[],3,0)</f>
        <v>#N/A</v>
      </c>
      <c r="E206" s="40"/>
      <c r="F206" s="41"/>
      <c r="G206" s="40"/>
    </row>
    <row r="207" spans="3:7" x14ac:dyDescent="0.25">
      <c r="C207" s="2"/>
      <c r="D207" s="34" t="e">
        <f>VLOOKUP(TR_Modèle921[[#This Row],[Ingrédients]],T_ingrédients[],3,0)</f>
        <v>#N/A</v>
      </c>
      <c r="E207" s="40"/>
      <c r="F207" s="41"/>
      <c r="G207" s="40"/>
    </row>
    <row r="208" spans="3:7" x14ac:dyDescent="0.25">
      <c r="C208" s="2"/>
      <c r="D208" s="34" t="e">
        <f>VLOOKUP(TR_Modèle921[[#This Row],[Ingrédients]],T_ingrédients[],3,0)</f>
        <v>#N/A</v>
      </c>
      <c r="E208" s="40"/>
      <c r="F208" s="41"/>
      <c r="G208" s="40"/>
    </row>
    <row r="209" spans="3:7" x14ac:dyDescent="0.25">
      <c r="C209" s="2"/>
      <c r="D209" s="34" t="e">
        <f>VLOOKUP(TR_Modèle921[[#This Row],[Ingrédients]],T_ingrédients[],3,0)</f>
        <v>#N/A</v>
      </c>
      <c r="E209" s="40"/>
      <c r="F209" s="41"/>
      <c r="G209" s="40"/>
    </row>
    <row r="210" spans="3:7" x14ac:dyDescent="0.25">
      <c r="C210" s="2"/>
      <c r="D210" s="34" t="e">
        <f>VLOOKUP(TR_Modèle921[[#This Row],[Ingrédients]],T_ingrédients[],3,0)</f>
        <v>#N/A</v>
      </c>
      <c r="E210" s="40"/>
      <c r="F210" s="41"/>
      <c r="G210" s="40"/>
    </row>
    <row r="211" spans="3:7" ht="15.75" thickBot="1" x14ac:dyDescent="0.3">
      <c r="C211" s="2"/>
      <c r="D211" s="34" t="e">
        <f>VLOOKUP(TR_Modèle921[[#This Row],[Ingrédients]],T_ingrédients[],3,0)</f>
        <v>#N/A</v>
      </c>
      <c r="E211" s="40"/>
      <c r="F211" s="41"/>
      <c r="G211" s="40"/>
    </row>
    <row r="212" spans="3:7" ht="16.5" thickBot="1" x14ac:dyDescent="0.3">
      <c r="C212" s="26" t="s">
        <v>39</v>
      </c>
      <c r="D212" s="27" t="s">
        <v>12</v>
      </c>
      <c r="E212" s="28">
        <f>SUBTOTAL(109,TR_Modèle921[Colonne1])</f>
        <v>0</v>
      </c>
      <c r="F212" s="28">
        <f>SUBTOTAL(109,TR_Modèle921[Colonne2])</f>
        <v>0</v>
      </c>
      <c r="G212" s="29">
        <f>SUBTOTAL(109,TR_Modèle921[Colonne3])</f>
        <v>0</v>
      </c>
    </row>
    <row r="214" spans="3:7" ht="15.75" thickBot="1" x14ac:dyDescent="0.3"/>
    <row r="215" spans="3:7" ht="18" thickBot="1" x14ac:dyDescent="0.3">
      <c r="C215" s="176" t="s">
        <v>60</v>
      </c>
      <c r="D215" s="177"/>
      <c r="E215" s="177"/>
      <c r="F215" s="177"/>
      <c r="G215" s="178"/>
    </row>
    <row r="216" spans="3:7" ht="15.75" thickBot="1" x14ac:dyDescent="0.3">
      <c r="C216" s="56"/>
      <c r="D216" s="57"/>
      <c r="E216" s="58" t="s">
        <v>13</v>
      </c>
      <c r="F216" s="59"/>
      <c r="G216" s="60"/>
    </row>
    <row r="217" spans="3:7" ht="16.5" thickBot="1" x14ac:dyDescent="0.3">
      <c r="C217" s="19" t="s">
        <v>0</v>
      </c>
      <c r="D217" s="33" t="s">
        <v>1</v>
      </c>
      <c r="E217" s="21" t="s">
        <v>57</v>
      </c>
      <c r="F217" s="21" t="s">
        <v>58</v>
      </c>
      <c r="G217" s="21" t="s">
        <v>59</v>
      </c>
    </row>
    <row r="218" spans="3:7" x14ac:dyDescent="0.25">
      <c r="C218" s="32"/>
      <c r="D218" s="34" t="e">
        <f>VLOOKUP(TR_Modèle922[[#This Row],[Ingrédients]],T_ingrédients[],3,0)</f>
        <v>#N/A</v>
      </c>
      <c r="E218" s="40"/>
      <c r="F218" s="41"/>
      <c r="G218" s="40"/>
    </row>
    <row r="219" spans="3:7" x14ac:dyDescent="0.25">
      <c r="C219" s="2"/>
      <c r="D219" s="34" t="e">
        <f>VLOOKUP(TR_Modèle922[[#This Row],[Ingrédients]],T_ingrédients[],3,0)</f>
        <v>#N/A</v>
      </c>
      <c r="E219" s="40"/>
      <c r="F219" s="41"/>
      <c r="G219" s="40"/>
    </row>
    <row r="220" spans="3:7" x14ac:dyDescent="0.25">
      <c r="C220" s="2"/>
      <c r="D220" s="34" t="e">
        <f>VLOOKUP(TR_Modèle922[[#This Row],[Ingrédients]],T_ingrédients[],3,0)</f>
        <v>#N/A</v>
      </c>
      <c r="E220" s="40"/>
      <c r="F220" s="41"/>
      <c r="G220" s="40"/>
    </row>
    <row r="221" spans="3:7" x14ac:dyDescent="0.25">
      <c r="C221" s="2"/>
      <c r="D221" s="34" t="e">
        <f>VLOOKUP(TR_Modèle922[[#This Row],[Ingrédients]],T_ingrédients[],3,0)</f>
        <v>#N/A</v>
      </c>
      <c r="E221" s="40"/>
      <c r="F221" s="41"/>
      <c r="G221" s="40"/>
    </row>
    <row r="222" spans="3:7" x14ac:dyDescent="0.25">
      <c r="C222" s="2"/>
      <c r="D222" s="34" t="e">
        <f>VLOOKUP(TR_Modèle922[[#This Row],[Ingrédients]],T_ingrédients[],3,0)</f>
        <v>#N/A</v>
      </c>
      <c r="E222" s="40"/>
      <c r="F222" s="41"/>
      <c r="G222" s="40"/>
    </row>
    <row r="223" spans="3:7" x14ac:dyDescent="0.25">
      <c r="C223" s="2"/>
      <c r="D223" s="34" t="e">
        <f>VLOOKUP(TR_Modèle922[[#This Row],[Ingrédients]],T_ingrédients[],3,0)</f>
        <v>#N/A</v>
      </c>
      <c r="E223" s="40"/>
      <c r="F223" s="41"/>
      <c r="G223" s="40"/>
    </row>
    <row r="224" spans="3:7" x14ac:dyDescent="0.25">
      <c r="C224" s="2"/>
      <c r="D224" s="34" t="e">
        <f>VLOOKUP(TR_Modèle922[[#This Row],[Ingrédients]],T_ingrédients[],3,0)</f>
        <v>#N/A</v>
      </c>
      <c r="E224" s="40"/>
      <c r="F224" s="41"/>
      <c r="G224" s="40"/>
    </row>
    <row r="225" spans="3:7" x14ac:dyDescent="0.25">
      <c r="C225" s="2"/>
      <c r="D225" s="34" t="e">
        <f>VLOOKUP(TR_Modèle922[[#This Row],[Ingrédients]],T_ingrédients[],3,0)</f>
        <v>#N/A</v>
      </c>
      <c r="E225" s="40"/>
      <c r="F225" s="41"/>
      <c r="G225" s="40"/>
    </row>
    <row r="226" spans="3:7" x14ac:dyDescent="0.25">
      <c r="C226" s="2"/>
      <c r="D226" s="34" t="e">
        <f>VLOOKUP(TR_Modèle922[[#This Row],[Ingrédients]],T_ingrédients[],3,0)</f>
        <v>#N/A</v>
      </c>
      <c r="E226" s="40"/>
      <c r="F226" s="41"/>
      <c r="G226" s="40"/>
    </row>
    <row r="227" spans="3:7" x14ac:dyDescent="0.25">
      <c r="C227" s="2"/>
      <c r="D227" s="34" t="e">
        <f>VLOOKUP(TR_Modèle922[[#This Row],[Ingrédients]],T_ingrédients[],3,0)</f>
        <v>#N/A</v>
      </c>
      <c r="E227" s="40"/>
      <c r="F227" s="41"/>
      <c r="G227" s="40"/>
    </row>
    <row r="228" spans="3:7" x14ac:dyDescent="0.25">
      <c r="C228" s="2"/>
      <c r="D228" s="34" t="e">
        <f>VLOOKUP(TR_Modèle922[[#This Row],[Ingrédients]],T_ingrédients[],3,0)</f>
        <v>#N/A</v>
      </c>
      <c r="E228" s="40"/>
      <c r="F228" s="41"/>
      <c r="G228" s="40"/>
    </row>
    <row r="229" spans="3:7" x14ac:dyDescent="0.25">
      <c r="C229" s="2"/>
      <c r="D229" s="34" t="e">
        <f>VLOOKUP(TR_Modèle922[[#This Row],[Ingrédients]],T_ingrédients[],3,0)</f>
        <v>#N/A</v>
      </c>
      <c r="E229" s="40"/>
      <c r="F229" s="41"/>
      <c r="G229" s="40"/>
    </row>
    <row r="230" spans="3:7" x14ac:dyDescent="0.25">
      <c r="C230" s="2"/>
      <c r="D230" s="34" t="e">
        <f>VLOOKUP(TR_Modèle922[[#This Row],[Ingrédients]],T_ingrédients[],3,0)</f>
        <v>#N/A</v>
      </c>
      <c r="E230" s="40"/>
      <c r="F230" s="41"/>
      <c r="G230" s="40"/>
    </row>
    <row r="231" spans="3:7" x14ac:dyDescent="0.25">
      <c r="C231" s="2"/>
      <c r="D231" s="34" t="e">
        <f>VLOOKUP(TR_Modèle922[[#This Row],[Ingrédients]],T_ingrédients[],3,0)</f>
        <v>#N/A</v>
      </c>
      <c r="E231" s="40"/>
      <c r="F231" s="41"/>
      <c r="G231" s="40"/>
    </row>
    <row r="232" spans="3:7" x14ac:dyDescent="0.25">
      <c r="C232" s="2"/>
      <c r="D232" s="34" t="e">
        <f>VLOOKUP(TR_Modèle922[[#This Row],[Ingrédients]],T_ingrédients[],3,0)</f>
        <v>#N/A</v>
      </c>
      <c r="E232" s="40"/>
      <c r="F232" s="41"/>
      <c r="G232" s="40"/>
    </row>
    <row r="233" spans="3:7" x14ac:dyDescent="0.25">
      <c r="C233" s="2"/>
      <c r="D233" s="34" t="e">
        <f>VLOOKUP(TR_Modèle922[[#This Row],[Ingrédients]],T_ingrédients[],3,0)</f>
        <v>#N/A</v>
      </c>
      <c r="E233" s="40"/>
      <c r="F233" s="41"/>
      <c r="G233" s="40"/>
    </row>
    <row r="234" spans="3:7" x14ac:dyDescent="0.25">
      <c r="C234" s="2"/>
      <c r="D234" s="34" t="e">
        <f>VLOOKUP(TR_Modèle922[[#This Row],[Ingrédients]],T_ingrédients[],3,0)</f>
        <v>#N/A</v>
      </c>
      <c r="E234" s="40"/>
      <c r="F234" s="41"/>
      <c r="G234" s="40"/>
    </row>
    <row r="235" spans="3:7" x14ac:dyDescent="0.25">
      <c r="C235" s="2"/>
      <c r="D235" s="34" t="e">
        <f>VLOOKUP(TR_Modèle922[[#This Row],[Ingrédients]],T_ingrédients[],3,0)</f>
        <v>#N/A</v>
      </c>
      <c r="E235" s="40"/>
      <c r="F235" s="41"/>
      <c r="G235" s="40"/>
    </row>
    <row r="236" spans="3:7" x14ac:dyDescent="0.25">
      <c r="C236" s="2"/>
      <c r="D236" s="34" t="e">
        <f>VLOOKUP(TR_Modèle922[[#This Row],[Ingrédients]],T_ingrédients[],3,0)</f>
        <v>#N/A</v>
      </c>
      <c r="E236" s="40"/>
      <c r="F236" s="41"/>
      <c r="G236" s="40"/>
    </row>
    <row r="237" spans="3:7" x14ac:dyDescent="0.25">
      <c r="C237" s="2"/>
      <c r="D237" s="34" t="e">
        <f>VLOOKUP(TR_Modèle922[[#This Row],[Ingrédients]],T_ingrédients[],3,0)</f>
        <v>#N/A</v>
      </c>
      <c r="E237" s="40"/>
      <c r="F237" s="41"/>
      <c r="G237" s="40"/>
    </row>
    <row r="238" spans="3:7" x14ac:dyDescent="0.25">
      <c r="C238" s="2"/>
      <c r="D238" s="34" t="e">
        <f>VLOOKUP(TR_Modèle922[[#This Row],[Ingrédients]],T_ingrédients[],3,0)</f>
        <v>#N/A</v>
      </c>
      <c r="E238" s="40"/>
      <c r="F238" s="41"/>
      <c r="G238" s="40"/>
    </row>
    <row r="239" spans="3:7" x14ac:dyDescent="0.25">
      <c r="C239" s="2"/>
      <c r="D239" s="34" t="e">
        <f>VLOOKUP(TR_Modèle922[[#This Row],[Ingrédients]],T_ingrédients[],3,0)</f>
        <v>#N/A</v>
      </c>
      <c r="E239" s="40"/>
      <c r="F239" s="41"/>
      <c r="G239" s="40"/>
    </row>
    <row r="240" spans="3:7" x14ac:dyDescent="0.25">
      <c r="C240" s="2"/>
      <c r="D240" s="34" t="e">
        <f>VLOOKUP(TR_Modèle922[[#This Row],[Ingrédients]],T_ingrédients[],3,0)</f>
        <v>#N/A</v>
      </c>
      <c r="E240" s="40"/>
      <c r="F240" s="41"/>
      <c r="G240" s="40"/>
    </row>
    <row r="241" spans="3:7" x14ac:dyDescent="0.25">
      <c r="C241" s="2"/>
      <c r="D241" s="34" t="e">
        <f>VLOOKUP(TR_Modèle922[[#This Row],[Ingrédients]],T_ingrédients[],3,0)</f>
        <v>#N/A</v>
      </c>
      <c r="E241" s="40"/>
      <c r="F241" s="41"/>
      <c r="G241" s="40"/>
    </row>
    <row r="242" spans="3:7" x14ac:dyDescent="0.25">
      <c r="C242" s="2"/>
      <c r="D242" s="34" t="e">
        <f>VLOOKUP(TR_Modèle922[[#This Row],[Ingrédients]],T_ingrédients[],3,0)</f>
        <v>#N/A</v>
      </c>
      <c r="E242" s="40"/>
      <c r="F242" s="41"/>
      <c r="G242" s="40"/>
    </row>
    <row r="243" spans="3:7" x14ac:dyDescent="0.25">
      <c r="C243" s="2"/>
      <c r="D243" s="34" t="e">
        <f>VLOOKUP(TR_Modèle922[[#This Row],[Ingrédients]],T_ingrédients[],3,0)</f>
        <v>#N/A</v>
      </c>
      <c r="E243" s="40"/>
      <c r="F243" s="41"/>
      <c r="G243" s="40"/>
    </row>
    <row r="244" spans="3:7" x14ac:dyDescent="0.25">
      <c r="C244" s="2"/>
      <c r="D244" s="34" t="e">
        <f>VLOOKUP(TR_Modèle922[[#This Row],[Ingrédients]],T_ingrédients[],3,0)</f>
        <v>#N/A</v>
      </c>
      <c r="E244" s="40"/>
      <c r="F244" s="41"/>
      <c r="G244" s="40"/>
    </row>
    <row r="245" spans="3:7" ht="15.75" thickBot="1" x14ac:dyDescent="0.3">
      <c r="C245" s="2"/>
      <c r="D245" s="34" t="e">
        <f>VLOOKUP(TR_Modèle922[[#This Row],[Ingrédients]],T_ingrédients[],3,0)</f>
        <v>#N/A</v>
      </c>
      <c r="E245" s="40"/>
      <c r="F245" s="41"/>
      <c r="G245" s="40"/>
    </row>
    <row r="246" spans="3:7" ht="16.5" thickBot="1" x14ac:dyDescent="0.3">
      <c r="C246" s="26" t="s">
        <v>39</v>
      </c>
      <c r="D246" s="27" t="s">
        <v>12</v>
      </c>
      <c r="E246" s="28">
        <f>SUBTOTAL(109,TR_Modèle922[Colonne1])</f>
        <v>0</v>
      </c>
      <c r="F246" s="28">
        <f>SUBTOTAL(109,TR_Modèle922[Colonne2])</f>
        <v>0</v>
      </c>
      <c r="G246" s="29">
        <f>SUBTOTAL(109,TR_Modèle922[Colonne3])</f>
        <v>0</v>
      </c>
    </row>
    <row r="248" spans="3:7" ht="15.75" thickBot="1" x14ac:dyDescent="0.3"/>
    <row r="249" spans="3:7" ht="18" thickBot="1" x14ac:dyDescent="0.3">
      <c r="C249" s="176" t="s">
        <v>60</v>
      </c>
      <c r="D249" s="177"/>
      <c r="E249" s="177"/>
      <c r="F249" s="177"/>
      <c r="G249" s="178"/>
    </row>
    <row r="250" spans="3:7" ht="15.75" thickBot="1" x14ac:dyDescent="0.3">
      <c r="C250" s="56"/>
      <c r="D250" s="57"/>
      <c r="E250" s="58" t="s">
        <v>13</v>
      </c>
      <c r="F250" s="59"/>
      <c r="G250" s="60"/>
    </row>
    <row r="251" spans="3:7" ht="16.5" thickBot="1" x14ac:dyDescent="0.3">
      <c r="C251" s="19" t="s">
        <v>0</v>
      </c>
      <c r="D251" s="33" t="s">
        <v>1</v>
      </c>
      <c r="E251" s="21" t="s">
        <v>57</v>
      </c>
      <c r="F251" s="21" t="s">
        <v>58</v>
      </c>
      <c r="G251" s="21" t="s">
        <v>59</v>
      </c>
    </row>
    <row r="252" spans="3:7" x14ac:dyDescent="0.25">
      <c r="C252" s="32"/>
      <c r="D252" s="34" t="e">
        <f>VLOOKUP(TR_Modèle923[[#This Row],[Ingrédients]],T_ingrédients[],3,0)</f>
        <v>#N/A</v>
      </c>
      <c r="E252" s="40"/>
      <c r="F252" s="41"/>
      <c r="G252" s="40"/>
    </row>
    <row r="253" spans="3:7" x14ac:dyDescent="0.25">
      <c r="C253" s="2"/>
      <c r="D253" s="34" t="e">
        <f>VLOOKUP(TR_Modèle923[[#This Row],[Ingrédients]],T_ingrédients[],3,0)</f>
        <v>#N/A</v>
      </c>
      <c r="E253" s="40"/>
      <c r="F253" s="41"/>
      <c r="G253" s="40"/>
    </row>
    <row r="254" spans="3:7" x14ac:dyDescent="0.25">
      <c r="C254" s="2"/>
      <c r="D254" s="34" t="e">
        <f>VLOOKUP(TR_Modèle923[[#This Row],[Ingrédients]],T_ingrédients[],3,0)</f>
        <v>#N/A</v>
      </c>
      <c r="E254" s="40"/>
      <c r="F254" s="41"/>
      <c r="G254" s="40"/>
    </row>
    <row r="255" spans="3:7" x14ac:dyDescent="0.25">
      <c r="C255" s="2"/>
      <c r="D255" s="34" t="e">
        <f>VLOOKUP(TR_Modèle923[[#This Row],[Ingrédients]],T_ingrédients[],3,0)</f>
        <v>#N/A</v>
      </c>
      <c r="E255" s="40"/>
      <c r="F255" s="41"/>
      <c r="G255" s="40"/>
    </row>
    <row r="256" spans="3:7" x14ac:dyDescent="0.25">
      <c r="C256" s="2"/>
      <c r="D256" s="34" t="e">
        <f>VLOOKUP(TR_Modèle923[[#This Row],[Ingrédients]],T_ingrédients[],3,0)</f>
        <v>#N/A</v>
      </c>
      <c r="E256" s="40"/>
      <c r="F256" s="41"/>
      <c r="G256" s="40"/>
    </row>
    <row r="257" spans="3:7" x14ac:dyDescent="0.25">
      <c r="C257" s="2"/>
      <c r="D257" s="34" t="e">
        <f>VLOOKUP(TR_Modèle923[[#This Row],[Ingrédients]],T_ingrédients[],3,0)</f>
        <v>#N/A</v>
      </c>
      <c r="E257" s="40"/>
      <c r="F257" s="41"/>
      <c r="G257" s="40"/>
    </row>
    <row r="258" spans="3:7" x14ac:dyDescent="0.25">
      <c r="C258" s="2"/>
      <c r="D258" s="34" t="e">
        <f>VLOOKUP(TR_Modèle923[[#This Row],[Ingrédients]],T_ingrédients[],3,0)</f>
        <v>#N/A</v>
      </c>
      <c r="E258" s="40"/>
      <c r="F258" s="41"/>
      <c r="G258" s="40"/>
    </row>
    <row r="259" spans="3:7" x14ac:dyDescent="0.25">
      <c r="C259" s="2"/>
      <c r="D259" s="34" t="e">
        <f>VLOOKUP(TR_Modèle923[[#This Row],[Ingrédients]],T_ingrédients[],3,0)</f>
        <v>#N/A</v>
      </c>
      <c r="E259" s="40"/>
      <c r="F259" s="41"/>
      <c r="G259" s="40"/>
    </row>
    <row r="260" spans="3:7" x14ac:dyDescent="0.25">
      <c r="C260" s="2"/>
      <c r="D260" s="34" t="e">
        <f>VLOOKUP(TR_Modèle923[[#This Row],[Ingrédients]],T_ingrédients[],3,0)</f>
        <v>#N/A</v>
      </c>
      <c r="E260" s="40"/>
      <c r="F260" s="41"/>
      <c r="G260" s="40"/>
    </row>
    <row r="261" spans="3:7" x14ac:dyDescent="0.25">
      <c r="C261" s="2"/>
      <c r="D261" s="34" t="e">
        <f>VLOOKUP(TR_Modèle923[[#This Row],[Ingrédients]],T_ingrédients[],3,0)</f>
        <v>#N/A</v>
      </c>
      <c r="E261" s="40"/>
      <c r="F261" s="41"/>
      <c r="G261" s="40"/>
    </row>
    <row r="262" spans="3:7" x14ac:dyDescent="0.25">
      <c r="C262" s="2"/>
      <c r="D262" s="34" t="e">
        <f>VLOOKUP(TR_Modèle923[[#This Row],[Ingrédients]],T_ingrédients[],3,0)</f>
        <v>#N/A</v>
      </c>
      <c r="E262" s="40"/>
      <c r="F262" s="41"/>
      <c r="G262" s="40"/>
    </row>
    <row r="263" spans="3:7" x14ac:dyDescent="0.25">
      <c r="C263" s="2"/>
      <c r="D263" s="34" t="e">
        <f>VLOOKUP(TR_Modèle923[[#This Row],[Ingrédients]],T_ingrédients[],3,0)</f>
        <v>#N/A</v>
      </c>
      <c r="E263" s="40"/>
      <c r="F263" s="41"/>
      <c r="G263" s="40"/>
    </row>
    <row r="264" spans="3:7" x14ac:dyDescent="0.25">
      <c r="C264" s="2"/>
      <c r="D264" s="34" t="e">
        <f>VLOOKUP(TR_Modèle923[[#This Row],[Ingrédients]],T_ingrédients[],3,0)</f>
        <v>#N/A</v>
      </c>
      <c r="E264" s="40"/>
      <c r="F264" s="41"/>
      <c r="G264" s="40"/>
    </row>
    <row r="265" spans="3:7" x14ac:dyDescent="0.25">
      <c r="C265" s="2"/>
      <c r="D265" s="34" t="e">
        <f>VLOOKUP(TR_Modèle923[[#This Row],[Ingrédients]],T_ingrédients[],3,0)</f>
        <v>#N/A</v>
      </c>
      <c r="E265" s="40"/>
      <c r="F265" s="41"/>
      <c r="G265" s="40"/>
    </row>
    <row r="266" spans="3:7" x14ac:dyDescent="0.25">
      <c r="C266" s="2"/>
      <c r="D266" s="34" t="e">
        <f>VLOOKUP(TR_Modèle923[[#This Row],[Ingrédients]],T_ingrédients[],3,0)</f>
        <v>#N/A</v>
      </c>
      <c r="E266" s="40"/>
      <c r="F266" s="41"/>
      <c r="G266" s="40"/>
    </row>
    <row r="267" spans="3:7" x14ac:dyDescent="0.25">
      <c r="C267" s="2"/>
      <c r="D267" s="34" t="e">
        <f>VLOOKUP(TR_Modèle923[[#This Row],[Ingrédients]],T_ingrédients[],3,0)</f>
        <v>#N/A</v>
      </c>
      <c r="E267" s="40"/>
      <c r="F267" s="41"/>
      <c r="G267" s="40"/>
    </row>
    <row r="268" spans="3:7" x14ac:dyDescent="0.25">
      <c r="C268" s="2"/>
      <c r="D268" s="34" t="e">
        <f>VLOOKUP(TR_Modèle923[[#This Row],[Ingrédients]],T_ingrédients[],3,0)</f>
        <v>#N/A</v>
      </c>
      <c r="E268" s="40"/>
      <c r="F268" s="41"/>
      <c r="G268" s="40"/>
    </row>
    <row r="269" spans="3:7" x14ac:dyDescent="0.25">
      <c r="C269" s="2"/>
      <c r="D269" s="34" t="e">
        <f>VLOOKUP(TR_Modèle923[[#This Row],[Ingrédients]],T_ingrédients[],3,0)</f>
        <v>#N/A</v>
      </c>
      <c r="E269" s="40"/>
      <c r="F269" s="41"/>
      <c r="G269" s="40"/>
    </row>
    <row r="270" spans="3:7" x14ac:dyDescent="0.25">
      <c r="C270" s="2"/>
      <c r="D270" s="34" t="e">
        <f>VLOOKUP(TR_Modèle923[[#This Row],[Ingrédients]],T_ingrédients[],3,0)</f>
        <v>#N/A</v>
      </c>
      <c r="E270" s="40"/>
      <c r="F270" s="41"/>
      <c r="G270" s="40"/>
    </row>
    <row r="271" spans="3:7" x14ac:dyDescent="0.25">
      <c r="C271" s="2"/>
      <c r="D271" s="34" t="e">
        <f>VLOOKUP(TR_Modèle923[[#This Row],[Ingrédients]],T_ingrédients[],3,0)</f>
        <v>#N/A</v>
      </c>
      <c r="E271" s="40"/>
      <c r="F271" s="41"/>
      <c r="G271" s="40"/>
    </row>
    <row r="272" spans="3:7" x14ac:dyDescent="0.25">
      <c r="C272" s="2"/>
      <c r="D272" s="34" t="e">
        <f>VLOOKUP(TR_Modèle923[[#This Row],[Ingrédients]],T_ingrédients[],3,0)</f>
        <v>#N/A</v>
      </c>
      <c r="E272" s="40"/>
      <c r="F272" s="41"/>
      <c r="G272" s="40"/>
    </row>
    <row r="273" spans="3:7" x14ac:dyDescent="0.25">
      <c r="C273" s="2"/>
      <c r="D273" s="34" t="e">
        <f>VLOOKUP(TR_Modèle923[[#This Row],[Ingrédients]],T_ingrédients[],3,0)</f>
        <v>#N/A</v>
      </c>
      <c r="E273" s="40"/>
      <c r="F273" s="41"/>
      <c r="G273" s="40"/>
    </row>
    <row r="274" spans="3:7" x14ac:dyDescent="0.25">
      <c r="C274" s="2"/>
      <c r="D274" s="34" t="e">
        <f>VLOOKUP(TR_Modèle923[[#This Row],[Ingrédients]],T_ingrédients[],3,0)</f>
        <v>#N/A</v>
      </c>
      <c r="E274" s="40"/>
      <c r="F274" s="41"/>
      <c r="G274" s="40"/>
    </row>
    <row r="275" spans="3:7" x14ac:dyDescent="0.25">
      <c r="C275" s="2"/>
      <c r="D275" s="34" t="e">
        <f>VLOOKUP(TR_Modèle923[[#This Row],[Ingrédients]],T_ingrédients[],3,0)</f>
        <v>#N/A</v>
      </c>
      <c r="E275" s="40"/>
      <c r="F275" s="41"/>
      <c r="G275" s="40"/>
    </row>
    <row r="276" spans="3:7" x14ac:dyDescent="0.25">
      <c r="C276" s="2"/>
      <c r="D276" s="34" t="e">
        <f>VLOOKUP(TR_Modèle923[[#This Row],[Ingrédients]],T_ingrédients[],3,0)</f>
        <v>#N/A</v>
      </c>
      <c r="E276" s="40"/>
      <c r="F276" s="41"/>
      <c r="G276" s="40"/>
    </row>
    <row r="277" spans="3:7" x14ac:dyDescent="0.25">
      <c r="C277" s="2"/>
      <c r="D277" s="34" t="e">
        <f>VLOOKUP(TR_Modèle923[[#This Row],[Ingrédients]],T_ingrédients[],3,0)</f>
        <v>#N/A</v>
      </c>
      <c r="E277" s="40"/>
      <c r="F277" s="41"/>
      <c r="G277" s="40"/>
    </row>
    <row r="278" spans="3:7" x14ac:dyDescent="0.25">
      <c r="C278" s="2"/>
      <c r="D278" s="34" t="e">
        <f>VLOOKUP(TR_Modèle923[[#This Row],[Ingrédients]],T_ingrédients[],3,0)</f>
        <v>#N/A</v>
      </c>
      <c r="E278" s="40"/>
      <c r="F278" s="41"/>
      <c r="G278" s="40"/>
    </row>
    <row r="279" spans="3:7" ht="15.75" thickBot="1" x14ac:dyDescent="0.3">
      <c r="C279" s="2"/>
      <c r="D279" s="34" t="e">
        <f>VLOOKUP(TR_Modèle923[[#This Row],[Ingrédients]],T_ingrédients[],3,0)</f>
        <v>#N/A</v>
      </c>
      <c r="E279" s="40"/>
      <c r="F279" s="41"/>
      <c r="G279" s="40"/>
    </row>
    <row r="280" spans="3:7" ht="16.5" thickBot="1" x14ac:dyDescent="0.3">
      <c r="C280" s="26" t="s">
        <v>39</v>
      </c>
      <c r="D280" s="27" t="s">
        <v>12</v>
      </c>
      <c r="E280" s="28">
        <f>SUBTOTAL(109,TR_Modèle923[Colonne1])</f>
        <v>0</v>
      </c>
      <c r="F280" s="28">
        <f>SUBTOTAL(109,TR_Modèle923[Colonne2])</f>
        <v>0</v>
      </c>
      <c r="G280" s="29">
        <f>SUBTOTAL(109,TR_Modèle923[Colonne3])</f>
        <v>0</v>
      </c>
    </row>
  </sheetData>
  <mergeCells count="24">
    <mergeCell ref="J2:N2"/>
    <mergeCell ref="J3:K3"/>
    <mergeCell ref="L3:N3"/>
    <mergeCell ref="C79:G79"/>
    <mergeCell ref="C113:G113"/>
    <mergeCell ref="C36:G36"/>
    <mergeCell ref="C37:D37"/>
    <mergeCell ref="E37:G37"/>
    <mergeCell ref="C17:G17"/>
    <mergeCell ref="C18:D18"/>
    <mergeCell ref="E18:G18"/>
    <mergeCell ref="C2:G2"/>
    <mergeCell ref="C3:D3"/>
    <mergeCell ref="E3:G3"/>
    <mergeCell ref="C49:G49"/>
    <mergeCell ref="C65:G65"/>
    <mergeCell ref="C215:G215"/>
    <mergeCell ref="C249:G249"/>
    <mergeCell ref="J49:N49"/>
    <mergeCell ref="B12:B13"/>
    <mergeCell ref="B31:B32"/>
    <mergeCell ref="B74:B75"/>
    <mergeCell ref="C147:G147"/>
    <mergeCell ref="C181:G181"/>
  </mergeCells>
  <dataValidations count="1">
    <dataValidation type="list" allowBlank="1" showInputMessage="1" sqref="C20:C32 C39:C46 J52:J59 C68:C75 C82:C109 C116:C143 C150:C177 C184:C211 C218:C245 C252:C279 C5:C13 J5:J12 C52:C61" xr:uid="{00000000-0002-0000-0100-000000000000}">
      <formula1>L_ingrédients</formula1>
    </dataValidation>
  </dataValidations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G356"/>
  <sheetViews>
    <sheetView topLeftCell="A332" zoomScale="80" zoomScaleNormal="80" workbookViewId="0">
      <selection activeCell="D36" sqref="D36"/>
    </sheetView>
  </sheetViews>
  <sheetFormatPr baseColWidth="10" defaultRowHeight="15" x14ac:dyDescent="0.25"/>
  <cols>
    <col min="1" max="1" width="3.7109375" customWidth="1"/>
    <col min="2" max="2" width="11.7109375" customWidth="1"/>
    <col min="3" max="3" width="40.7109375" customWidth="1"/>
    <col min="4" max="7" width="11.7109375" customWidth="1"/>
    <col min="10" max="10" width="40.7109375" customWidth="1"/>
    <col min="11" max="14" width="11.7109375" customWidth="1"/>
  </cols>
  <sheetData>
    <row r="1" spans="2:7" ht="16.149999999999999" customHeight="1" thickBot="1" x14ac:dyDescent="0.3"/>
    <row r="2" spans="2:7" ht="18" thickBot="1" x14ac:dyDescent="0.3">
      <c r="C2" s="176" t="s">
        <v>103</v>
      </c>
      <c r="D2" s="177"/>
      <c r="E2" s="177"/>
      <c r="F2" s="177"/>
      <c r="G2" s="178"/>
    </row>
    <row r="3" spans="2:7" ht="15.75" thickBot="1" x14ac:dyDescent="0.3">
      <c r="C3" s="181"/>
      <c r="D3" s="182"/>
      <c r="E3" s="183" t="s">
        <v>13</v>
      </c>
      <c r="F3" s="184"/>
      <c r="G3" s="185"/>
    </row>
    <row r="4" spans="2:7" ht="16.5" thickBot="1" x14ac:dyDescent="0.3">
      <c r="C4" s="19" t="s">
        <v>0</v>
      </c>
      <c r="D4" s="33" t="s">
        <v>1</v>
      </c>
      <c r="E4" s="21" t="s">
        <v>40</v>
      </c>
      <c r="F4" s="21" t="s">
        <v>41</v>
      </c>
      <c r="G4" s="21" t="s">
        <v>43</v>
      </c>
    </row>
    <row r="5" spans="2:7" x14ac:dyDescent="0.25">
      <c r="C5" s="32" t="s">
        <v>8</v>
      </c>
      <c r="D5" s="34" t="str">
        <f>VLOOKUP(R_Babkas_CannelleP[[#This Row],[Ingrédients]],T_ingrédients[],3,0)</f>
        <v>g</v>
      </c>
      <c r="E5" s="40"/>
      <c r="F5" s="41"/>
      <c r="G5" s="40"/>
    </row>
    <row r="6" spans="2:7" x14ac:dyDescent="0.25">
      <c r="C6" s="2" t="s">
        <v>167</v>
      </c>
      <c r="D6" s="34" t="str">
        <f>VLOOKUP(R_Babkas_CannelleP[[#This Row],[Ingrédients]],T_ingrédients[],3,0)</f>
        <v>g</v>
      </c>
      <c r="E6" s="40"/>
      <c r="F6" s="41"/>
      <c r="G6" s="40"/>
    </row>
    <row r="7" spans="2:7" x14ac:dyDescent="0.25">
      <c r="C7" s="2" t="s">
        <v>169</v>
      </c>
      <c r="D7" s="34" t="str">
        <f>VLOOKUP(R_Babkas_CannelleP[[#This Row],[Ingrédients]],T_ingrédients[],3,0)</f>
        <v>g</v>
      </c>
      <c r="E7" s="40"/>
      <c r="F7" s="41"/>
      <c r="G7" s="40"/>
    </row>
    <row r="8" spans="2:7" x14ac:dyDescent="0.25">
      <c r="C8" s="2" t="s">
        <v>161</v>
      </c>
      <c r="D8" s="34" t="str">
        <f>VLOOKUP(R_Babkas_CannelleP[[#This Row],[Ingrédients]],T_ingrédients[],3,0)</f>
        <v>g</v>
      </c>
      <c r="E8" s="40"/>
      <c r="F8" s="41"/>
      <c r="G8" s="40"/>
    </row>
    <row r="9" spans="2:7" x14ac:dyDescent="0.25">
      <c r="C9" s="2" t="s">
        <v>21</v>
      </c>
      <c r="D9" s="34" t="str">
        <f>VLOOKUP(R_Babkas_CannelleP[[#This Row],[Ingrédients]],T_ingrédients[],3,0)</f>
        <v>g</v>
      </c>
      <c r="E9" s="40"/>
      <c r="F9" s="41"/>
      <c r="G9" s="40"/>
    </row>
    <row r="10" spans="2:7" x14ac:dyDescent="0.25">
      <c r="C10" s="2" t="s">
        <v>15</v>
      </c>
      <c r="D10" s="34" t="str">
        <f>VLOOKUP(R_Babkas_CannelleP[[#This Row],[Ingrédients]],T_ingrédients[],3,0)</f>
        <v>g</v>
      </c>
      <c r="E10" s="40"/>
      <c r="F10" s="41"/>
      <c r="G10" s="40"/>
    </row>
    <row r="11" spans="2:7" x14ac:dyDescent="0.25">
      <c r="C11" s="2" t="s">
        <v>181</v>
      </c>
      <c r="D11" s="34" t="str">
        <f>VLOOKUP(R_Babkas_CannelleP[[#This Row],[Ingrédients]],T_ingrédients[],3,0)</f>
        <v>g</v>
      </c>
      <c r="E11" s="40"/>
      <c r="F11" s="41"/>
      <c r="G11" s="40"/>
    </row>
    <row r="12" spans="2:7" ht="15.75" thickBot="1" x14ac:dyDescent="0.3">
      <c r="C12" s="2" t="s">
        <v>4</v>
      </c>
      <c r="D12" s="34" t="str">
        <f>VLOOKUP(R_Babkas_CannelleP[[#This Row],[Ingrédients]],T_ingrédients[],3,0)</f>
        <v>g</v>
      </c>
      <c r="E12" s="40"/>
      <c r="F12" s="41"/>
      <c r="G12" s="40"/>
    </row>
    <row r="13" spans="2:7" x14ac:dyDescent="0.25">
      <c r="B13" s="179" t="s">
        <v>258</v>
      </c>
      <c r="C13" s="2" t="s">
        <v>4</v>
      </c>
      <c r="D13" s="34" t="str">
        <f>VLOOKUP(R_Babkas_CannelleP[[#This Row],[Ingrédients]],T_ingrédients[],3,0)</f>
        <v>g</v>
      </c>
      <c r="E13" s="40"/>
      <c r="F13" s="41"/>
      <c r="G13" s="40"/>
    </row>
    <row r="14" spans="2:7" x14ac:dyDescent="0.25">
      <c r="B14" s="188"/>
      <c r="C14" s="2" t="s">
        <v>7</v>
      </c>
      <c r="D14" s="34" t="str">
        <f>VLOOKUP(R_Babkas_CannelleP[[#This Row],[Ingrédients]],T_ingrédients[],3,0)</f>
        <v>g</v>
      </c>
      <c r="E14" s="40"/>
      <c r="F14" s="41"/>
      <c r="G14" s="40"/>
    </row>
    <row r="15" spans="2:7" x14ac:dyDescent="0.25">
      <c r="B15" s="188"/>
      <c r="C15" s="2" t="s">
        <v>192</v>
      </c>
      <c r="D15" s="34" t="str">
        <f>VLOOKUP(R_Babkas_CannelleP[[#This Row],[Ingrédients]],T_ingrédients[],3,0)</f>
        <v>g</v>
      </c>
      <c r="E15" s="40"/>
      <c r="F15" s="41"/>
      <c r="G15" s="40"/>
    </row>
    <row r="16" spans="2:7" ht="15.75" thickBot="1" x14ac:dyDescent="0.3">
      <c r="B16" s="180"/>
      <c r="C16" s="2" t="s">
        <v>220</v>
      </c>
      <c r="D16" s="34" t="str">
        <f>VLOOKUP(R_Babkas_CannelleP[[#This Row],[Ingrédients]],T_ingrédients[],3,0)</f>
        <v>g</v>
      </c>
      <c r="E16" s="40"/>
      <c r="F16" s="41"/>
      <c r="G16" s="40"/>
    </row>
    <row r="17" spans="2:7" x14ac:dyDescent="0.25">
      <c r="B17" s="179" t="s">
        <v>257</v>
      </c>
      <c r="C17" s="2" t="s">
        <v>229</v>
      </c>
      <c r="D17" s="34" t="str">
        <f>VLOOKUP(R_Babkas_CannelleP[[#This Row],[Ingrédients]],T_ingrédients[],3,0)</f>
        <v>g</v>
      </c>
      <c r="E17" s="40"/>
      <c r="F17" s="41"/>
      <c r="G17" s="40"/>
    </row>
    <row r="18" spans="2:7" ht="15.75" thickBot="1" x14ac:dyDescent="0.3">
      <c r="B18" s="180"/>
      <c r="C18" s="2" t="s">
        <v>15</v>
      </c>
      <c r="D18" s="34" t="str">
        <f>VLOOKUP(R_Babkas_CannelleP[[#This Row],[Ingrédients]],T_ingrédients[],3,0)</f>
        <v>g</v>
      </c>
      <c r="E18" s="40"/>
      <c r="F18" s="41"/>
      <c r="G18" s="40"/>
    </row>
    <row r="19" spans="2:7" x14ac:dyDescent="0.25">
      <c r="B19" s="179" t="s">
        <v>259</v>
      </c>
      <c r="C19" s="2" t="s">
        <v>16</v>
      </c>
      <c r="D19" s="34" t="str">
        <f>VLOOKUP(R_Babkas_CannelleP[[#This Row],[Ingrédients]],T_ingrédients[],3,0)</f>
        <v>g</v>
      </c>
      <c r="E19" s="40"/>
      <c r="F19" s="41"/>
      <c r="G19" s="40"/>
    </row>
    <row r="20" spans="2:7" ht="15.75" thickBot="1" x14ac:dyDescent="0.3">
      <c r="B20" s="180"/>
      <c r="C20" s="2" t="s">
        <v>220</v>
      </c>
      <c r="D20" s="34" t="str">
        <f>VLOOKUP(R_Babkas_CannelleP[[#This Row],[Ingrédients]],T_ingrédients[],3,0)</f>
        <v>g</v>
      </c>
      <c r="E20" s="40"/>
      <c r="F20" s="41"/>
      <c r="G20" s="40"/>
    </row>
    <row r="21" spans="2:7" ht="16.5" thickBot="1" x14ac:dyDescent="0.3">
      <c r="C21" s="26" t="s">
        <v>39</v>
      </c>
      <c r="D21" s="27" t="s">
        <v>12</v>
      </c>
      <c r="E21" s="28">
        <f>SUBTOTAL(109,R_Babkas_CannelleP[6])</f>
        <v>0</v>
      </c>
      <c r="F21" s="28">
        <f>SUBTOTAL(109,R_Babkas_CannelleP[12])</f>
        <v>0</v>
      </c>
      <c r="G21" s="29">
        <f>SUBTOTAL(109,R_Babkas_CannelleP[18])</f>
        <v>0</v>
      </c>
    </row>
    <row r="23" spans="2:7" ht="15.75" thickBot="1" x14ac:dyDescent="0.3"/>
    <row r="24" spans="2:7" ht="18" thickBot="1" x14ac:dyDescent="0.3">
      <c r="C24" s="176" t="s">
        <v>104</v>
      </c>
      <c r="D24" s="177"/>
      <c r="E24" s="177"/>
      <c r="F24" s="177"/>
      <c r="G24" s="178"/>
    </row>
    <row r="25" spans="2:7" ht="15.75" thickBot="1" x14ac:dyDescent="0.3">
      <c r="C25" s="181"/>
      <c r="D25" s="182"/>
      <c r="E25" s="183" t="s">
        <v>13</v>
      </c>
      <c r="F25" s="184"/>
      <c r="G25" s="185"/>
    </row>
    <row r="26" spans="2:7" ht="16.5" thickBot="1" x14ac:dyDescent="0.3">
      <c r="C26" s="19" t="s">
        <v>0</v>
      </c>
      <c r="D26" s="33" t="s">
        <v>1</v>
      </c>
      <c r="E26" s="21" t="s">
        <v>40</v>
      </c>
      <c r="F26" s="21" t="s">
        <v>41</v>
      </c>
      <c r="G26" s="21" t="s">
        <v>43</v>
      </c>
    </row>
    <row r="27" spans="2:7" x14ac:dyDescent="0.25">
      <c r="C27" s="32" t="s">
        <v>8</v>
      </c>
      <c r="D27" s="34" t="str">
        <f>IFERROR(VLOOKUP(R_Babkas_CaramelP[[#This Row],[Ingrédients]],T_ingrédients[],3,0),"")</f>
        <v>g</v>
      </c>
      <c r="E27" s="40"/>
      <c r="F27" s="41"/>
      <c r="G27" s="40"/>
    </row>
    <row r="28" spans="2:7" x14ac:dyDescent="0.25">
      <c r="C28" s="2" t="s">
        <v>167</v>
      </c>
      <c r="D28" s="34" t="str">
        <f>IFERROR(VLOOKUP(R_Babkas_CaramelP[[#This Row],[Ingrédients]],T_ingrédients[],3,0),"")</f>
        <v>g</v>
      </c>
      <c r="E28" s="40"/>
      <c r="F28" s="41"/>
      <c r="G28" s="40"/>
    </row>
    <row r="29" spans="2:7" x14ac:dyDescent="0.25">
      <c r="C29" s="2" t="s">
        <v>169</v>
      </c>
      <c r="D29" s="34" t="str">
        <f>IFERROR(VLOOKUP(R_Babkas_CaramelP[[#This Row],[Ingrédients]],T_ingrédients[],3,0),"")</f>
        <v>g</v>
      </c>
      <c r="E29" s="40"/>
      <c r="F29" s="41"/>
      <c r="G29" s="40"/>
    </row>
    <row r="30" spans="2:7" x14ac:dyDescent="0.25">
      <c r="C30" s="2" t="s">
        <v>161</v>
      </c>
      <c r="D30" s="34" t="str">
        <f>IFERROR(VLOOKUP(R_Babkas_CaramelP[[#This Row],[Ingrédients]],T_ingrédients[],3,0),"")</f>
        <v>g</v>
      </c>
      <c r="E30" s="40"/>
      <c r="F30" s="41"/>
      <c r="G30" s="40"/>
    </row>
    <row r="31" spans="2:7" x14ac:dyDescent="0.25">
      <c r="C31" s="2" t="s">
        <v>21</v>
      </c>
      <c r="D31" s="34" t="str">
        <f>IFERROR(VLOOKUP(R_Babkas_CaramelP[[#This Row],[Ingrédients]],T_ingrédients[],3,0),"")</f>
        <v>g</v>
      </c>
      <c r="E31" s="40"/>
      <c r="F31" s="41"/>
      <c r="G31" s="40"/>
    </row>
    <row r="32" spans="2:7" x14ac:dyDescent="0.25">
      <c r="C32" s="2" t="s">
        <v>15</v>
      </c>
      <c r="D32" s="34" t="str">
        <f>IFERROR(VLOOKUP(R_Babkas_CaramelP[[#This Row],[Ingrédients]],T_ingrédients[],3,0),"")</f>
        <v>g</v>
      </c>
      <c r="E32" s="40"/>
      <c r="F32" s="41"/>
      <c r="G32" s="40"/>
    </row>
    <row r="33" spans="2:7" x14ac:dyDescent="0.25">
      <c r="C33" s="2" t="s">
        <v>181</v>
      </c>
      <c r="D33" s="34" t="str">
        <f>IFERROR(VLOOKUP(R_Babkas_CaramelP[[#This Row],[Ingrédients]],T_ingrédients[],3,0),"")</f>
        <v>g</v>
      </c>
      <c r="E33" s="40"/>
      <c r="F33" s="41"/>
      <c r="G33" s="40"/>
    </row>
    <row r="34" spans="2:7" ht="15.75" thickBot="1" x14ac:dyDescent="0.3">
      <c r="C34" s="2" t="s">
        <v>4</v>
      </c>
      <c r="D34" s="34" t="str">
        <f>IFERROR(VLOOKUP(R_Babkas_CaramelP[[#This Row],[Ingrédients]],T_ingrédients[],3,0),"")</f>
        <v>g</v>
      </c>
      <c r="E34" s="40"/>
      <c r="F34" s="41"/>
      <c r="G34" s="40"/>
    </row>
    <row r="35" spans="2:7" x14ac:dyDescent="0.25">
      <c r="B35" s="179" t="s">
        <v>258</v>
      </c>
      <c r="C35" s="2" t="s">
        <v>241</v>
      </c>
      <c r="D35" s="34" t="str">
        <f>IFERROR(VLOOKUP(R_Babkas_CaramelP[[#This Row],[Ingrédients]],T_ingrédients[],3,0),"")</f>
        <v/>
      </c>
      <c r="E35" s="40"/>
      <c r="F35" s="41"/>
      <c r="G35" s="40"/>
    </row>
    <row r="36" spans="2:7" ht="15.75" thickBot="1" x14ac:dyDescent="0.3">
      <c r="B36" s="180"/>
      <c r="C36" s="2" t="s">
        <v>220</v>
      </c>
      <c r="D36" s="34" t="str">
        <f>IFERROR(VLOOKUP(R_Babkas_CaramelP[[#This Row],[Ingrédients]],T_ingrédients[],3,0),"")</f>
        <v>g</v>
      </c>
      <c r="E36" s="40"/>
      <c r="F36" s="41"/>
      <c r="G36" s="40"/>
    </row>
    <row r="37" spans="2:7" x14ac:dyDescent="0.25">
      <c r="B37" s="179" t="s">
        <v>257</v>
      </c>
      <c r="C37" s="2" t="s">
        <v>229</v>
      </c>
      <c r="D37" s="34" t="str">
        <f>IFERROR(VLOOKUP(R_Babkas_CaramelP[[#This Row],[Ingrédients]],T_ingrédients[],3,0),"")</f>
        <v>g</v>
      </c>
      <c r="E37" s="40"/>
      <c r="F37" s="41"/>
      <c r="G37" s="40"/>
    </row>
    <row r="38" spans="2:7" ht="15.75" thickBot="1" x14ac:dyDescent="0.3">
      <c r="B38" s="180"/>
      <c r="C38" s="2" t="s">
        <v>15</v>
      </c>
      <c r="D38" s="34" t="str">
        <f>IFERROR(VLOOKUP(R_Babkas_CaramelP[[#This Row],[Ingrédients]],T_ingrédients[],3,0),"")</f>
        <v>g</v>
      </c>
      <c r="E38" s="40"/>
      <c r="F38" s="41"/>
      <c r="G38" s="40"/>
    </row>
    <row r="39" spans="2:7" x14ac:dyDescent="0.25">
      <c r="B39" s="179" t="s">
        <v>259</v>
      </c>
      <c r="C39" s="2" t="s">
        <v>16</v>
      </c>
      <c r="D39" s="34" t="str">
        <f>IFERROR(VLOOKUP(R_Babkas_CaramelP[[#This Row],[Ingrédients]],T_ingrédients[],3,0),"")</f>
        <v>g</v>
      </c>
      <c r="E39" s="40"/>
      <c r="F39" s="41"/>
      <c r="G39" s="40"/>
    </row>
    <row r="40" spans="2:7" ht="15.75" thickBot="1" x14ac:dyDescent="0.3">
      <c r="B40" s="180"/>
      <c r="C40" s="2" t="s">
        <v>220</v>
      </c>
      <c r="D40" s="34" t="str">
        <f>IFERROR(VLOOKUP(R_Babkas_CaramelP[[#This Row],[Ingrédients]],T_ingrédients[],3,0),"")</f>
        <v>g</v>
      </c>
      <c r="E40" s="40"/>
      <c r="F40" s="41"/>
      <c r="G40" s="40"/>
    </row>
    <row r="41" spans="2:7" ht="16.5" thickBot="1" x14ac:dyDescent="0.3">
      <c r="C41" s="26" t="s">
        <v>39</v>
      </c>
      <c r="D41" s="27" t="s">
        <v>12</v>
      </c>
      <c r="E41" s="28">
        <f>SUBTOTAL(109,R_Babkas_CaramelP[6])</f>
        <v>0</v>
      </c>
      <c r="F41" s="28">
        <f>SUBTOTAL(109,R_Babkas_CaramelP[12])</f>
        <v>0</v>
      </c>
      <c r="G41" s="29">
        <f>SUBTOTAL(109,R_Babkas_CaramelP[18])</f>
        <v>0</v>
      </c>
    </row>
    <row r="42" spans="2:7" x14ac:dyDescent="0.25">
      <c r="C42" s="103"/>
      <c r="D42" s="34"/>
      <c r="E42" s="41"/>
      <c r="F42" s="41"/>
      <c r="G42" s="41"/>
    </row>
    <row r="43" spans="2:7" ht="15.75" thickBot="1" x14ac:dyDescent="0.3">
      <c r="C43" s="103"/>
      <c r="D43" s="34"/>
      <c r="E43" s="41"/>
      <c r="F43" s="41"/>
      <c r="G43" s="41"/>
    </row>
    <row r="44" spans="2:7" ht="18" thickBot="1" x14ac:dyDescent="0.3">
      <c r="C44" s="176" t="s">
        <v>247</v>
      </c>
      <c r="D44" s="177"/>
      <c r="E44" s="177"/>
      <c r="F44" s="177"/>
      <c r="G44" s="178"/>
    </row>
    <row r="45" spans="2:7" ht="15.75" thickBot="1" x14ac:dyDescent="0.3">
      <c r="C45" s="181"/>
      <c r="D45" s="182"/>
      <c r="E45" s="183" t="s">
        <v>13</v>
      </c>
      <c r="F45" s="184"/>
      <c r="G45" s="185"/>
    </row>
    <row r="46" spans="2:7" ht="16.5" thickBot="1" x14ac:dyDescent="0.3">
      <c r="C46" s="19" t="s">
        <v>0</v>
      </c>
      <c r="D46" s="33" t="s">
        <v>1</v>
      </c>
      <c r="E46" s="21" t="s">
        <v>40</v>
      </c>
      <c r="F46" s="21" t="s">
        <v>41</v>
      </c>
      <c r="G46" s="21" t="s">
        <v>43</v>
      </c>
    </row>
    <row r="47" spans="2:7" x14ac:dyDescent="0.25">
      <c r="C47" s="32" t="s">
        <v>8</v>
      </c>
      <c r="D47" s="34" t="str">
        <f>VLOOKUP(R_Babkas_NocciolataN[[#This Row],[Ingrédients]],T_ingrédients[],3,0)</f>
        <v>g</v>
      </c>
      <c r="E47" s="40"/>
      <c r="F47" s="41"/>
      <c r="G47" s="40"/>
    </row>
    <row r="48" spans="2:7" x14ac:dyDescent="0.25">
      <c r="C48" s="2" t="s">
        <v>167</v>
      </c>
      <c r="D48" s="34" t="str">
        <f>VLOOKUP(R_Babkas_NocciolataN[[#This Row],[Ingrédients]],T_ingrédients[],3,0)</f>
        <v>g</v>
      </c>
      <c r="E48" s="40"/>
      <c r="F48" s="41"/>
      <c r="G48" s="40"/>
    </row>
    <row r="49" spans="2:7" x14ac:dyDescent="0.25">
      <c r="C49" s="2" t="s">
        <v>169</v>
      </c>
      <c r="D49" s="34" t="str">
        <f>VLOOKUP(R_Babkas_NocciolataN[[#This Row],[Ingrédients]],T_ingrédients[],3,0)</f>
        <v>g</v>
      </c>
      <c r="E49" s="40"/>
      <c r="F49" s="41"/>
      <c r="G49" s="40"/>
    </row>
    <row r="50" spans="2:7" x14ac:dyDescent="0.25">
      <c r="C50" s="2" t="s">
        <v>161</v>
      </c>
      <c r="D50" s="34" t="str">
        <f>VLOOKUP(R_Babkas_NocciolataN[[#This Row],[Ingrédients]],T_ingrédients[],3,0)</f>
        <v>g</v>
      </c>
      <c r="E50" s="40"/>
      <c r="F50" s="41"/>
      <c r="G50" s="40"/>
    </row>
    <row r="51" spans="2:7" x14ac:dyDescent="0.25">
      <c r="C51" s="2" t="s">
        <v>21</v>
      </c>
      <c r="D51" s="34" t="str">
        <f>VLOOKUP(R_Babkas_NocciolataN[[#This Row],[Ingrédients]],T_ingrédients[],3,0)</f>
        <v>g</v>
      </c>
      <c r="E51" s="40"/>
      <c r="F51" s="41"/>
      <c r="G51" s="40"/>
    </row>
    <row r="52" spans="2:7" x14ac:dyDescent="0.25">
      <c r="C52" s="2" t="s">
        <v>15</v>
      </c>
      <c r="D52" s="34" t="str">
        <f>VLOOKUP(R_Babkas_NocciolataN[[#This Row],[Ingrédients]],T_ingrédients[],3,0)</f>
        <v>g</v>
      </c>
      <c r="E52" s="40"/>
      <c r="F52" s="41"/>
      <c r="G52" s="40"/>
    </row>
    <row r="53" spans="2:7" x14ac:dyDescent="0.25">
      <c r="C53" s="2" t="s">
        <v>181</v>
      </c>
      <c r="D53" s="34" t="str">
        <f>VLOOKUP(R_Babkas_NocciolataN[[#This Row],[Ingrédients]],T_ingrédients[],3,0)</f>
        <v>g</v>
      </c>
      <c r="E53" s="40"/>
      <c r="F53" s="41"/>
      <c r="G53" s="40"/>
    </row>
    <row r="54" spans="2:7" ht="15.75" thickBot="1" x14ac:dyDescent="0.3">
      <c r="C54" s="2" t="s">
        <v>4</v>
      </c>
      <c r="D54" s="34" t="str">
        <f>VLOOKUP(R_Babkas_NocciolataN[[#This Row],[Ingrédients]],T_ingrédients[],3,0)</f>
        <v>g</v>
      </c>
      <c r="E54" s="40"/>
      <c r="F54" s="41"/>
      <c r="G54" s="40"/>
    </row>
    <row r="55" spans="2:7" x14ac:dyDescent="0.25">
      <c r="B55" s="179" t="s">
        <v>258</v>
      </c>
      <c r="C55" s="2" t="s">
        <v>249</v>
      </c>
      <c r="D55" s="34" t="str">
        <f>VLOOKUP(R_Babkas_NocciolataN[[#This Row],[Ingrédients]],T_ingrédients[],3,0)</f>
        <v>g</v>
      </c>
      <c r="E55" s="40"/>
      <c r="F55" s="41"/>
      <c r="G55" s="40"/>
    </row>
    <row r="56" spans="2:7" ht="15.75" thickBot="1" x14ac:dyDescent="0.3">
      <c r="B56" s="180"/>
      <c r="C56" s="2" t="s">
        <v>220</v>
      </c>
      <c r="D56" s="34" t="str">
        <f>VLOOKUP(R_Babkas_NocciolataN[[#This Row],[Ingrédients]],T_ingrédients[],3,0)</f>
        <v>g</v>
      </c>
      <c r="E56" s="40"/>
      <c r="F56" s="41"/>
      <c r="G56" s="40"/>
    </row>
    <row r="57" spans="2:7" x14ac:dyDescent="0.25">
      <c r="B57" s="179" t="s">
        <v>257</v>
      </c>
      <c r="C57" s="2" t="s">
        <v>229</v>
      </c>
      <c r="D57" s="34" t="str">
        <f>VLOOKUP(R_Babkas_NocciolataN[[#This Row],[Ingrédients]],T_ingrédients[],3,0)</f>
        <v>g</v>
      </c>
      <c r="E57" s="40"/>
      <c r="F57" s="41"/>
      <c r="G57" s="40"/>
    </row>
    <row r="58" spans="2:7" ht="15.75" thickBot="1" x14ac:dyDescent="0.3">
      <c r="B58" s="180"/>
      <c r="C58" s="2" t="s">
        <v>15</v>
      </c>
      <c r="D58" s="34" t="str">
        <f>VLOOKUP(R_Babkas_NocciolataN[[#This Row],[Ingrédients]],T_ingrédients[],3,0)</f>
        <v>g</v>
      </c>
      <c r="E58" s="40"/>
      <c r="F58" s="41"/>
      <c r="G58" s="40"/>
    </row>
    <row r="59" spans="2:7" x14ac:dyDescent="0.25">
      <c r="B59" s="179" t="s">
        <v>259</v>
      </c>
      <c r="C59" s="2" t="s">
        <v>16</v>
      </c>
      <c r="D59" s="34" t="str">
        <f>VLOOKUP(R_Babkas_NocciolataN[[#This Row],[Ingrédients]],T_ingrédients[],3,0)</f>
        <v>g</v>
      </c>
      <c r="E59" s="40"/>
      <c r="F59" s="41"/>
      <c r="G59" s="40"/>
    </row>
    <row r="60" spans="2:7" ht="15.75" thickBot="1" x14ac:dyDescent="0.3">
      <c r="B60" s="180"/>
      <c r="C60" s="2" t="s">
        <v>219</v>
      </c>
      <c r="D60" s="34" t="str">
        <f>VLOOKUP(R_Babkas_NocciolataN[[#This Row],[Ingrédients]],T_ingrédients[],3,0)</f>
        <v>g</v>
      </c>
      <c r="E60" s="40"/>
      <c r="F60" s="41"/>
      <c r="G60" s="40"/>
    </row>
    <row r="61" spans="2:7" ht="16.5" thickBot="1" x14ac:dyDescent="0.3">
      <c r="C61" s="26" t="s">
        <v>39</v>
      </c>
      <c r="D61" s="27" t="s">
        <v>12</v>
      </c>
      <c r="E61" s="28">
        <f>SUBTOTAL(109,R_Babkas_NocciolataN[6])</f>
        <v>0</v>
      </c>
      <c r="F61" s="28">
        <f>SUBTOTAL(109,R_Babkas_NocciolataN[12])</f>
        <v>0</v>
      </c>
      <c r="G61" s="29">
        <f>SUBTOTAL(109,R_Babkas_NocciolataN[18])</f>
        <v>0</v>
      </c>
    </row>
    <row r="63" spans="2:7" ht="15.75" thickBot="1" x14ac:dyDescent="0.3"/>
    <row r="64" spans="2:7" ht="18" thickBot="1" x14ac:dyDescent="0.3">
      <c r="C64" s="176" t="s">
        <v>105</v>
      </c>
      <c r="D64" s="177"/>
      <c r="E64" s="177"/>
      <c r="F64" s="177"/>
      <c r="G64" s="178"/>
    </row>
    <row r="65" spans="2:7" ht="15.75" thickBot="1" x14ac:dyDescent="0.3">
      <c r="C65" s="186"/>
      <c r="D65" s="187"/>
      <c r="E65" s="183" t="s">
        <v>13</v>
      </c>
      <c r="F65" s="184"/>
      <c r="G65" s="185"/>
    </row>
    <row r="66" spans="2:7" ht="16.5" thickBot="1" x14ac:dyDescent="0.3">
      <c r="C66" s="19" t="s">
        <v>0</v>
      </c>
      <c r="D66" s="33" t="s">
        <v>1</v>
      </c>
      <c r="E66" s="21" t="s">
        <v>40</v>
      </c>
      <c r="F66" s="21" t="s">
        <v>41</v>
      </c>
      <c r="G66" s="21" t="s">
        <v>43</v>
      </c>
    </row>
    <row r="67" spans="2:7" x14ac:dyDescent="0.25">
      <c r="C67" s="32" t="s">
        <v>161</v>
      </c>
      <c r="D67" s="34" t="str">
        <f>VLOOKUP(R_Scones_Amandes[[#This Row],[Ingrédients]],T_ingrédients[],3,0)</f>
        <v>g</v>
      </c>
      <c r="E67" s="40"/>
      <c r="F67" s="41"/>
      <c r="G67" s="40"/>
    </row>
    <row r="68" spans="2:7" x14ac:dyDescent="0.25">
      <c r="C68" s="2" t="s">
        <v>21</v>
      </c>
      <c r="D68" s="34" t="str">
        <f>VLOOKUP(R_Scones_Amandes[[#This Row],[Ingrédients]],T_ingrédients[],3,0)</f>
        <v>g</v>
      </c>
      <c r="E68" s="40"/>
      <c r="F68" s="41"/>
      <c r="G68" s="40"/>
    </row>
    <row r="69" spans="2:7" x14ac:dyDescent="0.25">
      <c r="C69" s="2" t="s">
        <v>10</v>
      </c>
      <c r="D69" s="34" t="str">
        <f>VLOOKUP(R_Scones_Amandes[[#This Row],[Ingrédients]],T_ingrédients[],3,0)</f>
        <v>g</v>
      </c>
      <c r="E69" s="40"/>
      <c r="F69" s="41"/>
      <c r="G69" s="40"/>
    </row>
    <row r="70" spans="2:7" x14ac:dyDescent="0.25">
      <c r="C70" s="2" t="s">
        <v>4</v>
      </c>
      <c r="D70" s="34" t="str">
        <f>VLOOKUP(R_Scones_Amandes[[#This Row],[Ingrédients]],T_ingrédients[],3,0)</f>
        <v>g</v>
      </c>
      <c r="E70" s="40"/>
      <c r="F70" s="41"/>
      <c r="G70" s="40"/>
    </row>
    <row r="71" spans="2:7" x14ac:dyDescent="0.25">
      <c r="C71" s="2" t="s">
        <v>15</v>
      </c>
      <c r="D71" s="34" t="str">
        <f>VLOOKUP(R_Scones_Amandes[[#This Row],[Ingrédients]],T_ingrédients[],3,0)</f>
        <v>g</v>
      </c>
      <c r="E71" s="40"/>
      <c r="F71" s="41"/>
      <c r="G71" s="40"/>
    </row>
    <row r="72" spans="2:7" x14ac:dyDescent="0.25">
      <c r="C72" s="2" t="s">
        <v>171</v>
      </c>
      <c r="D72" s="34" t="str">
        <f>VLOOKUP(R_Scones_Amandes[[#This Row],[Ingrédients]],T_ingrédients[],3,0)</f>
        <v>g</v>
      </c>
      <c r="E72" s="40"/>
      <c r="F72" s="41"/>
      <c r="G72" s="40"/>
    </row>
    <row r="73" spans="2:7" x14ac:dyDescent="0.25">
      <c r="C73" s="2" t="s">
        <v>167</v>
      </c>
      <c r="D73" s="34" t="str">
        <f>VLOOKUP(R_Scones_Amandes[[#This Row],[Ingrédients]],T_ingrédients[],3,0)</f>
        <v>g</v>
      </c>
      <c r="E73" s="40"/>
      <c r="F73" s="41"/>
      <c r="G73" s="40"/>
    </row>
    <row r="74" spans="2:7" x14ac:dyDescent="0.25">
      <c r="C74" s="2" t="s">
        <v>206</v>
      </c>
      <c r="D74" s="34" t="str">
        <f>VLOOKUP(R_Scones_Amandes[[#This Row],[Ingrédients]],T_ingrédients[],3,0)</f>
        <v>goutte</v>
      </c>
      <c r="E74" s="40"/>
      <c r="F74" s="41"/>
      <c r="G74" s="40"/>
    </row>
    <row r="75" spans="2:7" x14ac:dyDescent="0.25">
      <c r="C75" s="2" t="s">
        <v>188</v>
      </c>
      <c r="D75" s="34" t="str">
        <f>VLOOKUP(R_Scones_Amandes[[#This Row],[Ingrédients]],T_ingrédients[],3,0)</f>
        <v>g</v>
      </c>
      <c r="E75" s="40"/>
      <c r="F75" s="41"/>
      <c r="G75" s="40"/>
    </row>
    <row r="76" spans="2:7" ht="15.75" thickBot="1" x14ac:dyDescent="0.3">
      <c r="C76" s="2" t="s">
        <v>17</v>
      </c>
      <c r="D76" s="34" t="str">
        <f>VLOOKUP(R_Scones_Amandes[[#This Row],[Ingrédients]],T_ingrédients[],3,0)</f>
        <v>g</v>
      </c>
      <c r="E76" s="40"/>
      <c r="F76" s="41"/>
      <c r="G76" s="40"/>
    </row>
    <row r="77" spans="2:7" x14ac:dyDescent="0.25">
      <c r="B77" s="179" t="s">
        <v>282</v>
      </c>
      <c r="C77" s="2" t="s">
        <v>4</v>
      </c>
      <c r="D77" s="34" t="str">
        <f>VLOOKUP(R_Scones_Amandes[[#This Row],[Ingrédients]],T_ingrédients[],3,0)</f>
        <v>g</v>
      </c>
      <c r="E77" s="40"/>
      <c r="F77" s="41"/>
      <c r="G77" s="40"/>
    </row>
    <row r="78" spans="2:7" x14ac:dyDescent="0.25">
      <c r="B78" s="188"/>
      <c r="C78" s="2" t="s">
        <v>15</v>
      </c>
      <c r="D78" s="34" t="str">
        <f>VLOOKUP(R_Scones_Amandes[[#This Row],[Ingrédients]],T_ingrédients[],3,0)</f>
        <v>g</v>
      </c>
      <c r="E78" s="40"/>
      <c r="F78" s="41"/>
      <c r="G78" s="40"/>
    </row>
    <row r="79" spans="2:7" x14ac:dyDescent="0.25">
      <c r="B79" s="188"/>
      <c r="C79" s="2" t="s">
        <v>21</v>
      </c>
      <c r="D79" s="34" t="str">
        <f>VLOOKUP(R_Scones_Amandes[[#This Row],[Ingrédients]],T_ingrédients[],3,0)</f>
        <v>g</v>
      </c>
      <c r="E79" s="40"/>
      <c r="F79" s="41"/>
      <c r="G79" s="40"/>
    </row>
    <row r="80" spans="2:7" x14ac:dyDescent="0.25">
      <c r="B80" s="188"/>
      <c r="C80" s="2" t="s">
        <v>147</v>
      </c>
      <c r="D80" s="34" t="str">
        <f>VLOOKUP(R_Scones_Amandes[[#This Row],[Ingrédients]],T_ingrédients[],3,0)</f>
        <v>g</v>
      </c>
      <c r="E80" s="40"/>
      <c r="F80" s="41"/>
      <c r="G80" s="40"/>
    </row>
    <row r="81" spans="2:7" ht="15.75" thickBot="1" x14ac:dyDescent="0.3">
      <c r="B81" s="180"/>
      <c r="C81" s="2" t="s">
        <v>188</v>
      </c>
      <c r="D81" s="34" t="str">
        <f>VLOOKUP(R_Scones_Amandes[[#This Row],[Ingrédients]],T_ingrédients[],3,0)</f>
        <v>g</v>
      </c>
      <c r="E81" s="40"/>
      <c r="F81" s="41"/>
      <c r="G81" s="40"/>
    </row>
    <row r="82" spans="2:7" x14ac:dyDescent="0.25">
      <c r="B82" s="179" t="s">
        <v>259</v>
      </c>
      <c r="C82" s="2" t="s">
        <v>281</v>
      </c>
      <c r="D82" s="34" t="str">
        <f>VLOOKUP(R_Scones_Amandes[[#This Row],[Ingrédients]],T_ingrédients[],3,0)</f>
        <v>g</v>
      </c>
      <c r="E82" s="40"/>
      <c r="F82" s="41"/>
      <c r="G82" s="40"/>
    </row>
    <row r="83" spans="2:7" ht="15.75" thickBot="1" x14ac:dyDescent="0.3">
      <c r="B83" s="180"/>
      <c r="C83" s="2" t="s">
        <v>280</v>
      </c>
      <c r="D83" s="34" t="str">
        <f>VLOOKUP(R_Scones_Amandes[[#This Row],[Ingrédients]],T_ingrédients[],3,0)</f>
        <v>g</v>
      </c>
      <c r="E83" s="40"/>
      <c r="F83" s="41"/>
      <c r="G83" s="40"/>
    </row>
    <row r="84" spans="2:7" ht="16.5" thickBot="1" x14ac:dyDescent="0.3">
      <c r="C84" s="26" t="s">
        <v>39</v>
      </c>
      <c r="D84" s="27" t="s">
        <v>12</v>
      </c>
      <c r="E84" s="28">
        <f>SUBTOTAL(109,R_Scones_Amandes[6])</f>
        <v>0</v>
      </c>
      <c r="F84" s="28">
        <f>SUBTOTAL(109,R_Scones_Amandes[12])</f>
        <v>0</v>
      </c>
      <c r="G84" s="29">
        <f>SUBTOTAL(109,R_Scones_Amandes[18])</f>
        <v>0</v>
      </c>
    </row>
    <row r="86" spans="2:7" ht="15.75" thickBot="1" x14ac:dyDescent="0.3"/>
    <row r="87" spans="2:7" ht="18" thickBot="1" x14ac:dyDescent="0.3">
      <c r="C87" s="176" t="s">
        <v>60</v>
      </c>
      <c r="D87" s="177"/>
      <c r="E87" s="177"/>
      <c r="F87" s="177"/>
      <c r="G87" s="178"/>
    </row>
    <row r="88" spans="2:7" ht="15.75" thickBot="1" x14ac:dyDescent="0.3">
      <c r="C88" s="181"/>
      <c r="D88" s="182"/>
      <c r="E88" s="183" t="s">
        <v>13</v>
      </c>
      <c r="F88" s="184"/>
      <c r="G88" s="185"/>
    </row>
    <row r="89" spans="2:7" ht="16.5" thickBot="1" x14ac:dyDescent="0.3">
      <c r="C89" s="19" t="s">
        <v>0</v>
      </c>
      <c r="D89" s="33" t="s">
        <v>1</v>
      </c>
      <c r="E89" s="21" t="s">
        <v>57</v>
      </c>
      <c r="F89" s="21" t="s">
        <v>58</v>
      </c>
      <c r="G89" s="21" t="s">
        <v>59</v>
      </c>
    </row>
    <row r="90" spans="2:7" x14ac:dyDescent="0.25">
      <c r="C90" s="32"/>
      <c r="D90" s="34" t="e">
        <f>VLOOKUP(TR_Modèle91628[[#This Row],[Ingrédients]],T_ingrédients[],3,0)</f>
        <v>#N/A</v>
      </c>
      <c r="E90" s="40"/>
      <c r="F90" s="41"/>
      <c r="G90" s="40"/>
    </row>
    <row r="91" spans="2:7" x14ac:dyDescent="0.25">
      <c r="C91" s="2"/>
      <c r="D91" s="34" t="e">
        <f>VLOOKUP(TR_Modèle91628[[#This Row],[Ingrédients]],T_ingrédients[],3,0)</f>
        <v>#N/A</v>
      </c>
      <c r="E91" s="40"/>
      <c r="F91" s="41"/>
      <c r="G91" s="40"/>
    </row>
    <row r="92" spans="2:7" x14ac:dyDescent="0.25">
      <c r="C92" s="2"/>
      <c r="D92" s="34" t="e">
        <f>VLOOKUP(TR_Modèle91628[[#This Row],[Ingrédients]],T_ingrédients[],3,0)</f>
        <v>#N/A</v>
      </c>
      <c r="E92" s="40"/>
      <c r="F92" s="41"/>
      <c r="G92" s="40"/>
    </row>
    <row r="93" spans="2:7" x14ac:dyDescent="0.25">
      <c r="C93" s="2"/>
      <c r="D93" s="34" t="e">
        <f>VLOOKUP(TR_Modèle91628[[#This Row],[Ingrédients]],T_ingrédients[],3,0)</f>
        <v>#N/A</v>
      </c>
      <c r="E93" s="40"/>
      <c r="F93" s="41"/>
      <c r="G93" s="40"/>
    </row>
    <row r="94" spans="2:7" x14ac:dyDescent="0.25">
      <c r="C94" s="2"/>
      <c r="D94" s="34" t="e">
        <f>VLOOKUP(TR_Modèle91628[[#This Row],[Ingrédients]],T_ingrédients[],3,0)</f>
        <v>#N/A</v>
      </c>
      <c r="E94" s="40"/>
      <c r="F94" s="41"/>
      <c r="G94" s="40"/>
    </row>
    <row r="95" spans="2:7" x14ac:dyDescent="0.25">
      <c r="C95" s="2"/>
      <c r="D95" s="34" t="e">
        <f>VLOOKUP(TR_Modèle91628[[#This Row],[Ingrédients]],T_ingrédients[],3,0)</f>
        <v>#N/A</v>
      </c>
      <c r="E95" s="40"/>
      <c r="F95" s="41"/>
      <c r="G95" s="40"/>
    </row>
    <row r="96" spans="2:7" x14ac:dyDescent="0.25">
      <c r="C96" s="2"/>
      <c r="D96" s="34" t="e">
        <f>VLOOKUP(TR_Modèle91628[[#This Row],[Ingrédients]],T_ingrédients[],3,0)</f>
        <v>#N/A</v>
      </c>
      <c r="E96" s="40"/>
      <c r="F96" s="41"/>
      <c r="G96" s="40"/>
    </row>
    <row r="97" spans="3:7" x14ac:dyDescent="0.25">
      <c r="C97" s="2"/>
      <c r="D97" s="34" t="e">
        <f>VLOOKUP(TR_Modèle91628[[#This Row],[Ingrédients]],T_ingrédients[],3,0)</f>
        <v>#N/A</v>
      </c>
      <c r="E97" s="40"/>
      <c r="F97" s="41"/>
      <c r="G97" s="40"/>
    </row>
    <row r="98" spans="3:7" x14ac:dyDescent="0.25">
      <c r="C98" s="2"/>
      <c r="D98" s="34" t="e">
        <f>VLOOKUP(TR_Modèle91628[[#This Row],[Ingrédients]],T_ingrédients[],3,0)</f>
        <v>#N/A</v>
      </c>
      <c r="E98" s="40"/>
      <c r="F98" s="41"/>
      <c r="G98" s="40"/>
    </row>
    <row r="99" spans="3:7" x14ac:dyDescent="0.25">
      <c r="C99" s="2"/>
      <c r="D99" s="34" t="e">
        <f>VLOOKUP(TR_Modèle91628[[#This Row],[Ingrédients]],T_ingrédients[],3,0)</f>
        <v>#N/A</v>
      </c>
      <c r="E99" s="40"/>
      <c r="F99" s="41"/>
      <c r="G99" s="40"/>
    </row>
    <row r="100" spans="3:7" x14ac:dyDescent="0.25">
      <c r="C100" s="2"/>
      <c r="D100" s="34" t="e">
        <f>VLOOKUP(TR_Modèle91628[[#This Row],[Ingrédients]],T_ingrédients[],3,0)</f>
        <v>#N/A</v>
      </c>
      <c r="E100" s="40"/>
      <c r="F100" s="41"/>
      <c r="G100" s="40"/>
    </row>
    <row r="101" spans="3:7" x14ac:dyDescent="0.25">
      <c r="C101" s="2"/>
      <c r="D101" s="34" t="e">
        <f>VLOOKUP(TR_Modèle91628[[#This Row],[Ingrédients]],T_ingrédients[],3,0)</f>
        <v>#N/A</v>
      </c>
      <c r="E101" s="40"/>
      <c r="F101" s="41"/>
      <c r="G101" s="40"/>
    </row>
    <row r="102" spans="3:7" x14ac:dyDescent="0.25">
      <c r="C102" s="2"/>
      <c r="D102" s="34" t="e">
        <f>VLOOKUP(TR_Modèle91628[[#This Row],[Ingrédients]],T_ingrédients[],3,0)</f>
        <v>#N/A</v>
      </c>
      <c r="E102" s="40"/>
      <c r="F102" s="41"/>
      <c r="G102" s="40"/>
    </row>
    <row r="103" spans="3:7" x14ac:dyDescent="0.25">
      <c r="C103" s="2"/>
      <c r="D103" s="34" t="e">
        <f>VLOOKUP(TR_Modèle91628[[#This Row],[Ingrédients]],T_ingrédients[],3,0)</f>
        <v>#N/A</v>
      </c>
      <c r="E103" s="40"/>
      <c r="F103" s="41"/>
      <c r="G103" s="40"/>
    </row>
    <row r="104" spans="3:7" x14ac:dyDescent="0.25">
      <c r="C104" s="2"/>
      <c r="D104" s="34" t="e">
        <f>VLOOKUP(TR_Modèle91628[[#This Row],[Ingrédients]],T_ingrédients[],3,0)</f>
        <v>#N/A</v>
      </c>
      <c r="E104" s="40"/>
      <c r="F104" s="41"/>
      <c r="G104" s="40"/>
    </row>
    <row r="105" spans="3:7" x14ac:dyDescent="0.25">
      <c r="C105" s="2"/>
      <c r="D105" s="34" t="e">
        <f>VLOOKUP(TR_Modèle91628[[#This Row],[Ingrédients]],T_ingrédients[],3,0)</f>
        <v>#N/A</v>
      </c>
      <c r="E105" s="40"/>
      <c r="F105" s="41"/>
      <c r="G105" s="40"/>
    </row>
    <row r="106" spans="3:7" x14ac:dyDescent="0.25">
      <c r="C106" s="2"/>
      <c r="D106" s="34" t="e">
        <f>VLOOKUP(TR_Modèle91628[[#This Row],[Ingrédients]],T_ingrédients[],3,0)</f>
        <v>#N/A</v>
      </c>
      <c r="E106" s="40"/>
      <c r="F106" s="41"/>
      <c r="G106" s="40"/>
    </row>
    <row r="107" spans="3:7" x14ac:dyDescent="0.25">
      <c r="C107" s="2"/>
      <c r="D107" s="34" t="e">
        <f>VLOOKUP(TR_Modèle91628[[#This Row],[Ingrédients]],T_ingrédients[],3,0)</f>
        <v>#N/A</v>
      </c>
      <c r="E107" s="40"/>
      <c r="F107" s="41"/>
      <c r="G107" s="40"/>
    </row>
    <row r="108" spans="3:7" x14ac:dyDescent="0.25">
      <c r="C108" s="2"/>
      <c r="D108" s="34" t="e">
        <f>VLOOKUP(TR_Modèle91628[[#This Row],[Ingrédients]],T_ingrédients[],3,0)</f>
        <v>#N/A</v>
      </c>
      <c r="E108" s="40"/>
      <c r="F108" s="41"/>
      <c r="G108" s="40"/>
    </row>
    <row r="109" spans="3:7" x14ac:dyDescent="0.25">
      <c r="C109" s="2"/>
      <c r="D109" s="34" t="e">
        <f>VLOOKUP(TR_Modèle91628[[#This Row],[Ingrédients]],T_ingrédients[],3,0)</f>
        <v>#N/A</v>
      </c>
      <c r="E109" s="40"/>
      <c r="F109" s="41"/>
      <c r="G109" s="40"/>
    </row>
    <row r="110" spans="3:7" x14ac:dyDescent="0.25">
      <c r="C110" s="2"/>
      <c r="D110" s="34" t="e">
        <f>VLOOKUP(TR_Modèle91628[[#This Row],[Ingrédients]],T_ingrédients[],3,0)</f>
        <v>#N/A</v>
      </c>
      <c r="E110" s="40"/>
      <c r="F110" s="41"/>
      <c r="G110" s="40"/>
    </row>
    <row r="111" spans="3:7" x14ac:dyDescent="0.25">
      <c r="C111" s="2"/>
      <c r="D111" s="34" t="e">
        <f>VLOOKUP(TR_Modèle91628[[#This Row],[Ingrédients]],T_ingrédients[],3,0)</f>
        <v>#N/A</v>
      </c>
      <c r="E111" s="40"/>
      <c r="F111" s="41"/>
      <c r="G111" s="40"/>
    </row>
    <row r="112" spans="3:7" x14ac:dyDescent="0.25">
      <c r="C112" s="2"/>
      <c r="D112" s="34" t="e">
        <f>VLOOKUP(TR_Modèle91628[[#This Row],[Ingrédients]],T_ingrédients[],3,0)</f>
        <v>#N/A</v>
      </c>
      <c r="E112" s="40"/>
      <c r="F112" s="41"/>
      <c r="G112" s="40"/>
    </row>
    <row r="113" spans="3:7" x14ac:dyDescent="0.25">
      <c r="C113" s="2"/>
      <c r="D113" s="34" t="e">
        <f>VLOOKUP(TR_Modèle91628[[#This Row],[Ingrédients]],T_ingrédients[],3,0)</f>
        <v>#N/A</v>
      </c>
      <c r="E113" s="40"/>
      <c r="F113" s="41"/>
      <c r="G113" s="40"/>
    </row>
    <row r="114" spans="3:7" x14ac:dyDescent="0.25">
      <c r="C114" s="2"/>
      <c r="D114" s="34" t="e">
        <f>VLOOKUP(TR_Modèle91628[[#This Row],[Ingrédients]],T_ingrédients[],3,0)</f>
        <v>#N/A</v>
      </c>
      <c r="E114" s="40"/>
      <c r="F114" s="41"/>
      <c r="G114" s="40"/>
    </row>
    <row r="115" spans="3:7" x14ac:dyDescent="0.25">
      <c r="C115" s="2"/>
      <c r="D115" s="34" t="e">
        <f>VLOOKUP(TR_Modèle91628[[#This Row],[Ingrédients]],T_ingrédients[],3,0)</f>
        <v>#N/A</v>
      </c>
      <c r="E115" s="40"/>
      <c r="F115" s="41"/>
      <c r="G115" s="40"/>
    </row>
    <row r="116" spans="3:7" x14ac:dyDescent="0.25">
      <c r="C116" s="2"/>
      <c r="D116" s="34" t="e">
        <f>VLOOKUP(TR_Modèle91628[[#This Row],[Ingrédients]],T_ingrédients[],3,0)</f>
        <v>#N/A</v>
      </c>
      <c r="E116" s="40"/>
      <c r="F116" s="41"/>
      <c r="G116" s="40"/>
    </row>
    <row r="117" spans="3:7" ht="15.75" thickBot="1" x14ac:dyDescent="0.3">
      <c r="C117" s="2"/>
      <c r="D117" s="34" t="e">
        <f>VLOOKUP(TR_Modèle91628[[#This Row],[Ingrédients]],T_ingrédients[],3,0)</f>
        <v>#N/A</v>
      </c>
      <c r="E117" s="40"/>
      <c r="F117" s="41"/>
      <c r="G117" s="40"/>
    </row>
    <row r="118" spans="3:7" ht="16.5" thickBot="1" x14ac:dyDescent="0.3">
      <c r="C118" s="26" t="s">
        <v>39</v>
      </c>
      <c r="D118" s="27" t="s">
        <v>12</v>
      </c>
      <c r="E118" s="28">
        <f>SUBTOTAL(109,TR_Modèle91628[Colonne1])</f>
        <v>0</v>
      </c>
      <c r="F118" s="28">
        <f>SUBTOTAL(109,TR_Modèle91628[Colonne2])</f>
        <v>0</v>
      </c>
      <c r="G118" s="29">
        <f>SUBTOTAL(109,TR_Modèle91628[Colonne3])</f>
        <v>0</v>
      </c>
    </row>
    <row r="120" spans="3:7" ht="15.75" thickBot="1" x14ac:dyDescent="0.3"/>
    <row r="121" spans="3:7" ht="18" thickBot="1" x14ac:dyDescent="0.3">
      <c r="C121" s="176" t="s">
        <v>60</v>
      </c>
      <c r="D121" s="177"/>
      <c r="E121" s="177"/>
      <c r="F121" s="177"/>
      <c r="G121" s="178"/>
    </row>
    <row r="122" spans="3:7" ht="15.75" thickBot="1" x14ac:dyDescent="0.3">
      <c r="C122" s="181"/>
      <c r="D122" s="182"/>
      <c r="E122" s="183" t="s">
        <v>13</v>
      </c>
      <c r="F122" s="184"/>
      <c r="G122" s="185"/>
    </row>
    <row r="123" spans="3:7" ht="16.5" thickBot="1" x14ac:dyDescent="0.3">
      <c r="C123" s="19" t="s">
        <v>0</v>
      </c>
      <c r="D123" s="33" t="s">
        <v>1</v>
      </c>
      <c r="E123" s="21" t="s">
        <v>57</v>
      </c>
      <c r="F123" s="21" t="s">
        <v>58</v>
      </c>
      <c r="G123" s="21" t="s">
        <v>59</v>
      </c>
    </row>
    <row r="124" spans="3:7" x14ac:dyDescent="0.25">
      <c r="C124" s="32"/>
      <c r="D124" s="34" t="e">
        <f>VLOOKUP(TR_Modèle91729[[#This Row],[Ingrédients]],T_ingrédients[],3,0)</f>
        <v>#N/A</v>
      </c>
      <c r="E124" s="40"/>
      <c r="F124" s="41"/>
      <c r="G124" s="40"/>
    </row>
    <row r="125" spans="3:7" x14ac:dyDescent="0.25">
      <c r="C125" s="2"/>
      <c r="D125" s="34" t="e">
        <f>VLOOKUP(TR_Modèle91729[[#This Row],[Ingrédients]],T_ingrédients[],3,0)</f>
        <v>#N/A</v>
      </c>
      <c r="E125" s="40"/>
      <c r="F125" s="41"/>
      <c r="G125" s="40"/>
    </row>
    <row r="126" spans="3:7" x14ac:dyDescent="0.25">
      <c r="C126" s="2"/>
      <c r="D126" s="34" t="e">
        <f>VLOOKUP(TR_Modèle91729[[#This Row],[Ingrédients]],T_ingrédients[],3,0)</f>
        <v>#N/A</v>
      </c>
      <c r="E126" s="40"/>
      <c r="F126" s="41"/>
      <c r="G126" s="40"/>
    </row>
    <row r="127" spans="3:7" x14ac:dyDescent="0.25">
      <c r="C127" s="2"/>
      <c r="D127" s="34" t="e">
        <f>VLOOKUP(TR_Modèle91729[[#This Row],[Ingrédients]],T_ingrédients[],3,0)</f>
        <v>#N/A</v>
      </c>
      <c r="E127" s="40"/>
      <c r="F127" s="41"/>
      <c r="G127" s="40"/>
    </row>
    <row r="128" spans="3:7" x14ac:dyDescent="0.25">
      <c r="C128" s="2"/>
      <c r="D128" s="34" t="e">
        <f>VLOOKUP(TR_Modèle91729[[#This Row],[Ingrédients]],T_ingrédients[],3,0)</f>
        <v>#N/A</v>
      </c>
      <c r="E128" s="40"/>
      <c r="F128" s="41"/>
      <c r="G128" s="40"/>
    </row>
    <row r="129" spans="3:7" x14ac:dyDescent="0.25">
      <c r="C129" s="2"/>
      <c r="D129" s="34" t="e">
        <f>VLOOKUP(TR_Modèle91729[[#This Row],[Ingrédients]],T_ingrédients[],3,0)</f>
        <v>#N/A</v>
      </c>
      <c r="E129" s="40"/>
      <c r="F129" s="41"/>
      <c r="G129" s="40"/>
    </row>
    <row r="130" spans="3:7" x14ac:dyDescent="0.25">
      <c r="C130" s="2"/>
      <c r="D130" s="34" t="e">
        <f>VLOOKUP(TR_Modèle91729[[#This Row],[Ingrédients]],T_ingrédients[],3,0)</f>
        <v>#N/A</v>
      </c>
      <c r="E130" s="40"/>
      <c r="F130" s="41"/>
      <c r="G130" s="40"/>
    </row>
    <row r="131" spans="3:7" x14ac:dyDescent="0.25">
      <c r="C131" s="2"/>
      <c r="D131" s="34" t="e">
        <f>VLOOKUP(TR_Modèle91729[[#This Row],[Ingrédients]],T_ingrédients[],3,0)</f>
        <v>#N/A</v>
      </c>
      <c r="E131" s="40"/>
      <c r="F131" s="41"/>
      <c r="G131" s="40"/>
    </row>
    <row r="132" spans="3:7" x14ac:dyDescent="0.25">
      <c r="C132" s="2"/>
      <c r="D132" s="34" t="e">
        <f>VLOOKUP(TR_Modèle91729[[#This Row],[Ingrédients]],T_ingrédients[],3,0)</f>
        <v>#N/A</v>
      </c>
      <c r="E132" s="40"/>
      <c r="F132" s="41"/>
      <c r="G132" s="40"/>
    </row>
    <row r="133" spans="3:7" x14ac:dyDescent="0.25">
      <c r="C133" s="2"/>
      <c r="D133" s="34" t="e">
        <f>VLOOKUP(TR_Modèle91729[[#This Row],[Ingrédients]],T_ingrédients[],3,0)</f>
        <v>#N/A</v>
      </c>
      <c r="E133" s="40"/>
      <c r="F133" s="41"/>
      <c r="G133" s="40"/>
    </row>
    <row r="134" spans="3:7" x14ac:dyDescent="0.25">
      <c r="C134" s="2"/>
      <c r="D134" s="34" t="e">
        <f>VLOOKUP(TR_Modèle91729[[#This Row],[Ingrédients]],T_ingrédients[],3,0)</f>
        <v>#N/A</v>
      </c>
      <c r="E134" s="40"/>
      <c r="F134" s="41"/>
      <c r="G134" s="40"/>
    </row>
    <row r="135" spans="3:7" x14ac:dyDescent="0.25">
      <c r="C135" s="2"/>
      <c r="D135" s="34" t="e">
        <f>VLOOKUP(TR_Modèle91729[[#This Row],[Ingrédients]],T_ingrédients[],3,0)</f>
        <v>#N/A</v>
      </c>
      <c r="E135" s="40"/>
      <c r="F135" s="41"/>
      <c r="G135" s="40"/>
    </row>
    <row r="136" spans="3:7" x14ac:dyDescent="0.25">
      <c r="C136" s="2"/>
      <c r="D136" s="34" t="e">
        <f>VLOOKUP(TR_Modèle91729[[#This Row],[Ingrédients]],T_ingrédients[],3,0)</f>
        <v>#N/A</v>
      </c>
      <c r="E136" s="40"/>
      <c r="F136" s="41"/>
      <c r="G136" s="40"/>
    </row>
    <row r="137" spans="3:7" x14ac:dyDescent="0.25">
      <c r="C137" s="2"/>
      <c r="D137" s="34" t="e">
        <f>VLOOKUP(TR_Modèle91729[[#This Row],[Ingrédients]],T_ingrédients[],3,0)</f>
        <v>#N/A</v>
      </c>
      <c r="E137" s="40"/>
      <c r="F137" s="41"/>
      <c r="G137" s="40"/>
    </row>
    <row r="138" spans="3:7" x14ac:dyDescent="0.25">
      <c r="C138" s="2"/>
      <c r="D138" s="34" t="e">
        <f>VLOOKUP(TR_Modèle91729[[#This Row],[Ingrédients]],T_ingrédients[],3,0)</f>
        <v>#N/A</v>
      </c>
      <c r="E138" s="40"/>
      <c r="F138" s="41"/>
      <c r="G138" s="40"/>
    </row>
    <row r="139" spans="3:7" x14ac:dyDescent="0.25">
      <c r="C139" s="2"/>
      <c r="D139" s="34" t="e">
        <f>VLOOKUP(TR_Modèle91729[[#This Row],[Ingrédients]],T_ingrédients[],3,0)</f>
        <v>#N/A</v>
      </c>
      <c r="E139" s="40"/>
      <c r="F139" s="41"/>
      <c r="G139" s="40"/>
    </row>
    <row r="140" spans="3:7" x14ac:dyDescent="0.25">
      <c r="C140" s="2"/>
      <c r="D140" s="34" t="e">
        <f>VLOOKUP(TR_Modèle91729[[#This Row],[Ingrédients]],T_ingrédients[],3,0)</f>
        <v>#N/A</v>
      </c>
      <c r="E140" s="40"/>
      <c r="F140" s="41"/>
      <c r="G140" s="40"/>
    </row>
    <row r="141" spans="3:7" x14ac:dyDescent="0.25">
      <c r="C141" s="2"/>
      <c r="D141" s="34" t="e">
        <f>VLOOKUP(TR_Modèle91729[[#This Row],[Ingrédients]],T_ingrédients[],3,0)</f>
        <v>#N/A</v>
      </c>
      <c r="E141" s="40"/>
      <c r="F141" s="41"/>
      <c r="G141" s="40"/>
    </row>
    <row r="142" spans="3:7" x14ac:dyDescent="0.25">
      <c r="C142" s="2"/>
      <c r="D142" s="34" t="e">
        <f>VLOOKUP(TR_Modèle91729[[#This Row],[Ingrédients]],T_ingrédients[],3,0)</f>
        <v>#N/A</v>
      </c>
      <c r="E142" s="40"/>
      <c r="F142" s="41"/>
      <c r="G142" s="40"/>
    </row>
    <row r="143" spans="3:7" x14ac:dyDescent="0.25">
      <c r="C143" s="2"/>
      <c r="D143" s="34" t="e">
        <f>VLOOKUP(TR_Modèle91729[[#This Row],[Ingrédients]],T_ingrédients[],3,0)</f>
        <v>#N/A</v>
      </c>
      <c r="E143" s="40"/>
      <c r="F143" s="41"/>
      <c r="G143" s="40"/>
    </row>
    <row r="144" spans="3:7" x14ac:dyDescent="0.25">
      <c r="C144" s="2"/>
      <c r="D144" s="34" t="e">
        <f>VLOOKUP(TR_Modèle91729[[#This Row],[Ingrédients]],T_ingrédients[],3,0)</f>
        <v>#N/A</v>
      </c>
      <c r="E144" s="40"/>
      <c r="F144" s="41"/>
      <c r="G144" s="40"/>
    </row>
    <row r="145" spans="3:7" x14ac:dyDescent="0.25">
      <c r="C145" s="2"/>
      <c r="D145" s="34" t="e">
        <f>VLOOKUP(TR_Modèle91729[[#This Row],[Ingrédients]],T_ingrédients[],3,0)</f>
        <v>#N/A</v>
      </c>
      <c r="E145" s="40"/>
      <c r="F145" s="41"/>
      <c r="G145" s="40"/>
    </row>
    <row r="146" spans="3:7" x14ac:dyDescent="0.25">
      <c r="C146" s="2"/>
      <c r="D146" s="34" t="e">
        <f>VLOOKUP(TR_Modèle91729[[#This Row],[Ingrédients]],T_ingrédients[],3,0)</f>
        <v>#N/A</v>
      </c>
      <c r="E146" s="40"/>
      <c r="F146" s="41"/>
      <c r="G146" s="40"/>
    </row>
    <row r="147" spans="3:7" x14ac:dyDescent="0.25">
      <c r="C147" s="2"/>
      <c r="D147" s="34" t="e">
        <f>VLOOKUP(TR_Modèle91729[[#This Row],[Ingrédients]],T_ingrédients[],3,0)</f>
        <v>#N/A</v>
      </c>
      <c r="E147" s="40"/>
      <c r="F147" s="41"/>
      <c r="G147" s="40"/>
    </row>
    <row r="148" spans="3:7" x14ac:dyDescent="0.25">
      <c r="C148" s="2"/>
      <c r="D148" s="34" t="e">
        <f>VLOOKUP(TR_Modèle91729[[#This Row],[Ingrédients]],T_ingrédients[],3,0)</f>
        <v>#N/A</v>
      </c>
      <c r="E148" s="40"/>
      <c r="F148" s="41"/>
      <c r="G148" s="40"/>
    </row>
    <row r="149" spans="3:7" x14ac:dyDescent="0.25">
      <c r="C149" s="2"/>
      <c r="D149" s="34" t="e">
        <f>VLOOKUP(TR_Modèle91729[[#This Row],[Ingrédients]],T_ingrédients[],3,0)</f>
        <v>#N/A</v>
      </c>
      <c r="E149" s="40"/>
      <c r="F149" s="41"/>
      <c r="G149" s="40"/>
    </row>
    <row r="150" spans="3:7" x14ac:dyDescent="0.25">
      <c r="C150" s="2"/>
      <c r="D150" s="34" t="e">
        <f>VLOOKUP(TR_Modèle91729[[#This Row],[Ingrédients]],T_ingrédients[],3,0)</f>
        <v>#N/A</v>
      </c>
      <c r="E150" s="40"/>
      <c r="F150" s="41"/>
      <c r="G150" s="40"/>
    </row>
    <row r="151" spans="3:7" ht="15.75" thickBot="1" x14ac:dyDescent="0.3">
      <c r="C151" s="2"/>
      <c r="D151" s="34" t="e">
        <f>VLOOKUP(TR_Modèle91729[[#This Row],[Ingrédients]],T_ingrédients[],3,0)</f>
        <v>#N/A</v>
      </c>
      <c r="E151" s="40"/>
      <c r="F151" s="41"/>
      <c r="G151" s="40"/>
    </row>
    <row r="152" spans="3:7" ht="16.5" thickBot="1" x14ac:dyDescent="0.3">
      <c r="C152" s="26" t="s">
        <v>39</v>
      </c>
      <c r="D152" s="27" t="s">
        <v>12</v>
      </c>
      <c r="E152" s="28">
        <f>SUBTOTAL(109,TR_Modèle91729[Colonne1])</f>
        <v>0</v>
      </c>
      <c r="F152" s="28">
        <f>SUBTOTAL(109,TR_Modèle91729[Colonne2])</f>
        <v>0</v>
      </c>
      <c r="G152" s="29">
        <f>SUBTOTAL(109,TR_Modèle91729[Colonne3])</f>
        <v>0</v>
      </c>
    </row>
    <row r="154" spans="3:7" ht="15.75" thickBot="1" x14ac:dyDescent="0.3"/>
    <row r="155" spans="3:7" ht="18" thickBot="1" x14ac:dyDescent="0.3">
      <c r="C155" s="176" t="s">
        <v>60</v>
      </c>
      <c r="D155" s="177"/>
      <c r="E155" s="177"/>
      <c r="F155" s="177"/>
      <c r="G155" s="178"/>
    </row>
    <row r="156" spans="3:7" ht="15.75" thickBot="1" x14ac:dyDescent="0.3">
      <c r="C156" s="181"/>
      <c r="D156" s="182"/>
      <c r="E156" s="183" t="s">
        <v>13</v>
      </c>
      <c r="F156" s="184"/>
      <c r="G156" s="185"/>
    </row>
    <row r="157" spans="3:7" ht="16.5" thickBot="1" x14ac:dyDescent="0.3">
      <c r="C157" s="19" t="s">
        <v>0</v>
      </c>
      <c r="D157" s="33" t="s">
        <v>1</v>
      </c>
      <c r="E157" s="21" t="s">
        <v>57</v>
      </c>
      <c r="F157" s="21" t="s">
        <v>58</v>
      </c>
      <c r="G157" s="21" t="s">
        <v>59</v>
      </c>
    </row>
    <row r="158" spans="3:7" x14ac:dyDescent="0.25">
      <c r="C158" s="32"/>
      <c r="D158" s="34" t="e">
        <f>VLOOKUP(TR_Modèle91830[[#This Row],[Ingrédients]],T_ingrédients[],3,0)</f>
        <v>#N/A</v>
      </c>
      <c r="E158" s="40"/>
      <c r="F158" s="41"/>
      <c r="G158" s="40"/>
    </row>
    <row r="159" spans="3:7" x14ac:dyDescent="0.25">
      <c r="C159" s="2"/>
      <c r="D159" s="34" t="e">
        <f>VLOOKUP(TR_Modèle91830[[#This Row],[Ingrédients]],T_ingrédients[],3,0)</f>
        <v>#N/A</v>
      </c>
      <c r="E159" s="40"/>
      <c r="F159" s="41"/>
      <c r="G159" s="40"/>
    </row>
    <row r="160" spans="3:7" x14ac:dyDescent="0.25">
      <c r="C160" s="2"/>
      <c r="D160" s="34" t="e">
        <f>VLOOKUP(TR_Modèle91830[[#This Row],[Ingrédients]],T_ingrédients[],3,0)</f>
        <v>#N/A</v>
      </c>
      <c r="E160" s="40"/>
      <c r="F160" s="41"/>
      <c r="G160" s="40"/>
    </row>
    <row r="161" spans="3:7" x14ac:dyDescent="0.25">
      <c r="C161" s="2"/>
      <c r="D161" s="34" t="e">
        <f>VLOOKUP(TR_Modèle91830[[#This Row],[Ingrédients]],T_ingrédients[],3,0)</f>
        <v>#N/A</v>
      </c>
      <c r="E161" s="40"/>
      <c r="F161" s="41"/>
      <c r="G161" s="40"/>
    </row>
    <row r="162" spans="3:7" x14ac:dyDescent="0.25">
      <c r="C162" s="2"/>
      <c r="D162" s="34" t="e">
        <f>VLOOKUP(TR_Modèle91830[[#This Row],[Ingrédients]],T_ingrédients[],3,0)</f>
        <v>#N/A</v>
      </c>
      <c r="E162" s="40"/>
      <c r="F162" s="41"/>
      <c r="G162" s="40"/>
    </row>
    <row r="163" spans="3:7" x14ac:dyDescent="0.25">
      <c r="C163" s="2"/>
      <c r="D163" s="34" t="e">
        <f>VLOOKUP(TR_Modèle91830[[#This Row],[Ingrédients]],T_ingrédients[],3,0)</f>
        <v>#N/A</v>
      </c>
      <c r="E163" s="40"/>
      <c r="F163" s="41"/>
      <c r="G163" s="40"/>
    </row>
    <row r="164" spans="3:7" x14ac:dyDescent="0.25">
      <c r="C164" s="2"/>
      <c r="D164" s="34" t="e">
        <f>VLOOKUP(TR_Modèle91830[[#This Row],[Ingrédients]],T_ingrédients[],3,0)</f>
        <v>#N/A</v>
      </c>
      <c r="E164" s="40"/>
      <c r="F164" s="41"/>
      <c r="G164" s="40"/>
    </row>
    <row r="165" spans="3:7" x14ac:dyDescent="0.25">
      <c r="C165" s="2"/>
      <c r="D165" s="34" t="e">
        <f>VLOOKUP(TR_Modèle91830[[#This Row],[Ingrédients]],T_ingrédients[],3,0)</f>
        <v>#N/A</v>
      </c>
      <c r="E165" s="40"/>
      <c r="F165" s="41"/>
      <c r="G165" s="40"/>
    </row>
    <row r="166" spans="3:7" x14ac:dyDescent="0.25">
      <c r="C166" s="2"/>
      <c r="D166" s="34" t="e">
        <f>VLOOKUP(TR_Modèle91830[[#This Row],[Ingrédients]],T_ingrédients[],3,0)</f>
        <v>#N/A</v>
      </c>
      <c r="E166" s="40"/>
      <c r="F166" s="41"/>
      <c r="G166" s="40"/>
    </row>
    <row r="167" spans="3:7" x14ac:dyDescent="0.25">
      <c r="C167" s="2"/>
      <c r="D167" s="34" t="e">
        <f>VLOOKUP(TR_Modèle91830[[#This Row],[Ingrédients]],T_ingrédients[],3,0)</f>
        <v>#N/A</v>
      </c>
      <c r="E167" s="40"/>
      <c r="F167" s="41"/>
      <c r="G167" s="40"/>
    </row>
    <row r="168" spans="3:7" x14ac:dyDescent="0.25">
      <c r="C168" s="2"/>
      <c r="D168" s="34" t="e">
        <f>VLOOKUP(TR_Modèle91830[[#This Row],[Ingrédients]],T_ingrédients[],3,0)</f>
        <v>#N/A</v>
      </c>
      <c r="E168" s="40"/>
      <c r="F168" s="41"/>
      <c r="G168" s="40"/>
    </row>
    <row r="169" spans="3:7" x14ac:dyDescent="0.25">
      <c r="C169" s="2"/>
      <c r="D169" s="34" t="e">
        <f>VLOOKUP(TR_Modèle91830[[#This Row],[Ingrédients]],T_ingrédients[],3,0)</f>
        <v>#N/A</v>
      </c>
      <c r="E169" s="40"/>
      <c r="F169" s="41"/>
      <c r="G169" s="40"/>
    </row>
    <row r="170" spans="3:7" x14ac:dyDescent="0.25">
      <c r="C170" s="2"/>
      <c r="D170" s="34" t="e">
        <f>VLOOKUP(TR_Modèle91830[[#This Row],[Ingrédients]],T_ingrédients[],3,0)</f>
        <v>#N/A</v>
      </c>
      <c r="E170" s="40"/>
      <c r="F170" s="41"/>
      <c r="G170" s="40"/>
    </row>
    <row r="171" spans="3:7" x14ac:dyDescent="0.25">
      <c r="C171" s="2"/>
      <c r="D171" s="34" t="e">
        <f>VLOOKUP(TR_Modèle91830[[#This Row],[Ingrédients]],T_ingrédients[],3,0)</f>
        <v>#N/A</v>
      </c>
      <c r="E171" s="40"/>
      <c r="F171" s="41"/>
      <c r="G171" s="40"/>
    </row>
    <row r="172" spans="3:7" x14ac:dyDescent="0.25">
      <c r="C172" s="2"/>
      <c r="D172" s="34" t="e">
        <f>VLOOKUP(TR_Modèle91830[[#This Row],[Ingrédients]],T_ingrédients[],3,0)</f>
        <v>#N/A</v>
      </c>
      <c r="E172" s="40"/>
      <c r="F172" s="41"/>
      <c r="G172" s="40"/>
    </row>
    <row r="173" spans="3:7" x14ac:dyDescent="0.25">
      <c r="C173" s="2"/>
      <c r="D173" s="34" t="e">
        <f>VLOOKUP(TR_Modèle91830[[#This Row],[Ingrédients]],T_ingrédients[],3,0)</f>
        <v>#N/A</v>
      </c>
      <c r="E173" s="40"/>
      <c r="F173" s="41"/>
      <c r="G173" s="40"/>
    </row>
    <row r="174" spans="3:7" x14ac:dyDescent="0.25">
      <c r="C174" s="2"/>
      <c r="D174" s="34" t="e">
        <f>VLOOKUP(TR_Modèle91830[[#This Row],[Ingrédients]],T_ingrédients[],3,0)</f>
        <v>#N/A</v>
      </c>
      <c r="E174" s="40"/>
      <c r="F174" s="41"/>
      <c r="G174" s="40"/>
    </row>
    <row r="175" spans="3:7" x14ac:dyDescent="0.25">
      <c r="C175" s="2"/>
      <c r="D175" s="34" t="e">
        <f>VLOOKUP(TR_Modèle91830[[#This Row],[Ingrédients]],T_ingrédients[],3,0)</f>
        <v>#N/A</v>
      </c>
      <c r="E175" s="40"/>
      <c r="F175" s="41"/>
      <c r="G175" s="40"/>
    </row>
    <row r="176" spans="3:7" x14ac:dyDescent="0.25">
      <c r="C176" s="2"/>
      <c r="D176" s="34" t="e">
        <f>VLOOKUP(TR_Modèle91830[[#This Row],[Ingrédients]],T_ingrédients[],3,0)</f>
        <v>#N/A</v>
      </c>
      <c r="E176" s="40"/>
      <c r="F176" s="41"/>
      <c r="G176" s="40"/>
    </row>
    <row r="177" spans="3:7" x14ac:dyDescent="0.25">
      <c r="C177" s="2"/>
      <c r="D177" s="34" t="e">
        <f>VLOOKUP(TR_Modèle91830[[#This Row],[Ingrédients]],T_ingrédients[],3,0)</f>
        <v>#N/A</v>
      </c>
      <c r="E177" s="40"/>
      <c r="F177" s="41"/>
      <c r="G177" s="40"/>
    </row>
    <row r="178" spans="3:7" x14ac:dyDescent="0.25">
      <c r="C178" s="2"/>
      <c r="D178" s="34" t="e">
        <f>VLOOKUP(TR_Modèle91830[[#This Row],[Ingrédients]],T_ingrédients[],3,0)</f>
        <v>#N/A</v>
      </c>
      <c r="E178" s="40"/>
      <c r="F178" s="41"/>
      <c r="G178" s="40"/>
    </row>
    <row r="179" spans="3:7" x14ac:dyDescent="0.25">
      <c r="C179" s="2"/>
      <c r="D179" s="34" t="e">
        <f>VLOOKUP(TR_Modèle91830[[#This Row],[Ingrédients]],T_ingrédients[],3,0)</f>
        <v>#N/A</v>
      </c>
      <c r="E179" s="40"/>
      <c r="F179" s="41"/>
      <c r="G179" s="40"/>
    </row>
    <row r="180" spans="3:7" x14ac:dyDescent="0.25">
      <c r="C180" s="2"/>
      <c r="D180" s="34" t="e">
        <f>VLOOKUP(TR_Modèle91830[[#This Row],[Ingrédients]],T_ingrédients[],3,0)</f>
        <v>#N/A</v>
      </c>
      <c r="E180" s="40"/>
      <c r="F180" s="41"/>
      <c r="G180" s="40"/>
    </row>
    <row r="181" spans="3:7" x14ac:dyDescent="0.25">
      <c r="C181" s="2"/>
      <c r="D181" s="34" t="e">
        <f>VLOOKUP(TR_Modèle91830[[#This Row],[Ingrédients]],T_ingrédients[],3,0)</f>
        <v>#N/A</v>
      </c>
      <c r="E181" s="40"/>
      <c r="F181" s="41"/>
      <c r="G181" s="40"/>
    </row>
    <row r="182" spans="3:7" x14ac:dyDescent="0.25">
      <c r="C182" s="2"/>
      <c r="D182" s="34" t="e">
        <f>VLOOKUP(TR_Modèle91830[[#This Row],[Ingrédients]],T_ingrédients[],3,0)</f>
        <v>#N/A</v>
      </c>
      <c r="E182" s="40"/>
      <c r="F182" s="41"/>
      <c r="G182" s="40"/>
    </row>
    <row r="183" spans="3:7" x14ac:dyDescent="0.25">
      <c r="C183" s="2"/>
      <c r="D183" s="34" t="e">
        <f>VLOOKUP(TR_Modèle91830[[#This Row],[Ingrédients]],T_ingrédients[],3,0)</f>
        <v>#N/A</v>
      </c>
      <c r="E183" s="40"/>
      <c r="F183" s="41"/>
      <c r="G183" s="40"/>
    </row>
    <row r="184" spans="3:7" x14ac:dyDescent="0.25">
      <c r="C184" s="2"/>
      <c r="D184" s="34" t="e">
        <f>VLOOKUP(TR_Modèle91830[[#This Row],[Ingrédients]],T_ingrédients[],3,0)</f>
        <v>#N/A</v>
      </c>
      <c r="E184" s="40"/>
      <c r="F184" s="41"/>
      <c r="G184" s="40"/>
    </row>
    <row r="185" spans="3:7" ht="15.75" thickBot="1" x14ac:dyDescent="0.3">
      <c r="C185" s="2"/>
      <c r="D185" s="34" t="e">
        <f>VLOOKUP(TR_Modèle91830[[#This Row],[Ingrédients]],T_ingrédients[],3,0)</f>
        <v>#N/A</v>
      </c>
      <c r="E185" s="40"/>
      <c r="F185" s="41"/>
      <c r="G185" s="40"/>
    </row>
    <row r="186" spans="3:7" ht="16.5" thickBot="1" x14ac:dyDescent="0.3">
      <c r="C186" s="26" t="s">
        <v>39</v>
      </c>
      <c r="D186" s="27" t="s">
        <v>12</v>
      </c>
      <c r="E186" s="28">
        <f>SUBTOTAL(109,TR_Modèle91830[Colonne1])</f>
        <v>0</v>
      </c>
      <c r="F186" s="28">
        <f>SUBTOTAL(109,TR_Modèle91830[Colonne2])</f>
        <v>0</v>
      </c>
      <c r="G186" s="29">
        <f>SUBTOTAL(109,TR_Modèle91830[Colonne3])</f>
        <v>0</v>
      </c>
    </row>
    <row r="188" spans="3:7" ht="15.75" thickBot="1" x14ac:dyDescent="0.3"/>
    <row r="189" spans="3:7" ht="18" thickBot="1" x14ac:dyDescent="0.3">
      <c r="C189" s="176" t="s">
        <v>60</v>
      </c>
      <c r="D189" s="177"/>
      <c r="E189" s="177"/>
      <c r="F189" s="177"/>
      <c r="G189" s="178"/>
    </row>
    <row r="190" spans="3:7" ht="15.75" thickBot="1" x14ac:dyDescent="0.3">
      <c r="C190" s="181"/>
      <c r="D190" s="182"/>
      <c r="E190" s="183" t="s">
        <v>13</v>
      </c>
      <c r="F190" s="184"/>
      <c r="G190" s="185"/>
    </row>
    <row r="191" spans="3:7" ht="16.5" thickBot="1" x14ac:dyDescent="0.3">
      <c r="C191" s="19" t="s">
        <v>0</v>
      </c>
      <c r="D191" s="33" t="s">
        <v>1</v>
      </c>
      <c r="E191" s="21" t="s">
        <v>57</v>
      </c>
      <c r="F191" s="21" t="s">
        <v>58</v>
      </c>
      <c r="G191" s="21" t="s">
        <v>59</v>
      </c>
    </row>
    <row r="192" spans="3:7" x14ac:dyDescent="0.25">
      <c r="C192" s="32"/>
      <c r="D192" s="34" t="e">
        <f>VLOOKUP(TR_Modèle91931[[#This Row],[Ingrédients]],T_ingrédients[],3,0)</f>
        <v>#N/A</v>
      </c>
      <c r="E192" s="40"/>
      <c r="F192" s="41"/>
      <c r="G192" s="40"/>
    </row>
    <row r="193" spans="3:7" x14ac:dyDescent="0.25">
      <c r="C193" s="2"/>
      <c r="D193" s="34" t="e">
        <f>VLOOKUP(TR_Modèle91931[[#This Row],[Ingrédients]],T_ingrédients[],3,0)</f>
        <v>#N/A</v>
      </c>
      <c r="E193" s="40"/>
      <c r="F193" s="41"/>
      <c r="G193" s="40"/>
    </row>
    <row r="194" spans="3:7" x14ac:dyDescent="0.25">
      <c r="C194" s="2"/>
      <c r="D194" s="34" t="e">
        <f>VLOOKUP(TR_Modèle91931[[#This Row],[Ingrédients]],T_ingrédients[],3,0)</f>
        <v>#N/A</v>
      </c>
      <c r="E194" s="40"/>
      <c r="F194" s="41"/>
      <c r="G194" s="40"/>
    </row>
    <row r="195" spans="3:7" x14ac:dyDescent="0.25">
      <c r="C195" s="2"/>
      <c r="D195" s="34" t="e">
        <f>VLOOKUP(TR_Modèle91931[[#This Row],[Ingrédients]],T_ingrédients[],3,0)</f>
        <v>#N/A</v>
      </c>
      <c r="E195" s="40"/>
      <c r="F195" s="41"/>
      <c r="G195" s="40"/>
    </row>
    <row r="196" spans="3:7" x14ac:dyDescent="0.25">
      <c r="C196" s="2"/>
      <c r="D196" s="34" t="e">
        <f>VLOOKUP(TR_Modèle91931[[#This Row],[Ingrédients]],T_ingrédients[],3,0)</f>
        <v>#N/A</v>
      </c>
      <c r="E196" s="40"/>
      <c r="F196" s="41"/>
      <c r="G196" s="40"/>
    </row>
    <row r="197" spans="3:7" x14ac:dyDescent="0.25">
      <c r="C197" s="2"/>
      <c r="D197" s="34" t="e">
        <f>VLOOKUP(TR_Modèle91931[[#This Row],[Ingrédients]],T_ingrédients[],3,0)</f>
        <v>#N/A</v>
      </c>
      <c r="E197" s="40"/>
      <c r="F197" s="41"/>
      <c r="G197" s="40"/>
    </row>
    <row r="198" spans="3:7" x14ac:dyDescent="0.25">
      <c r="C198" s="2"/>
      <c r="D198" s="34" t="e">
        <f>VLOOKUP(TR_Modèle91931[[#This Row],[Ingrédients]],T_ingrédients[],3,0)</f>
        <v>#N/A</v>
      </c>
      <c r="E198" s="40"/>
      <c r="F198" s="41"/>
      <c r="G198" s="40"/>
    </row>
    <row r="199" spans="3:7" x14ac:dyDescent="0.25">
      <c r="C199" s="2"/>
      <c r="D199" s="34" t="e">
        <f>VLOOKUP(TR_Modèle91931[[#This Row],[Ingrédients]],T_ingrédients[],3,0)</f>
        <v>#N/A</v>
      </c>
      <c r="E199" s="40"/>
      <c r="F199" s="41"/>
      <c r="G199" s="40"/>
    </row>
    <row r="200" spans="3:7" x14ac:dyDescent="0.25">
      <c r="C200" s="2"/>
      <c r="D200" s="34" t="e">
        <f>VLOOKUP(TR_Modèle91931[[#This Row],[Ingrédients]],T_ingrédients[],3,0)</f>
        <v>#N/A</v>
      </c>
      <c r="E200" s="40"/>
      <c r="F200" s="41"/>
      <c r="G200" s="40"/>
    </row>
    <row r="201" spans="3:7" x14ac:dyDescent="0.25">
      <c r="C201" s="2"/>
      <c r="D201" s="34" t="e">
        <f>VLOOKUP(TR_Modèle91931[[#This Row],[Ingrédients]],T_ingrédients[],3,0)</f>
        <v>#N/A</v>
      </c>
      <c r="E201" s="40"/>
      <c r="F201" s="41"/>
      <c r="G201" s="40"/>
    </row>
    <row r="202" spans="3:7" x14ac:dyDescent="0.25">
      <c r="C202" s="2"/>
      <c r="D202" s="34" t="e">
        <f>VLOOKUP(TR_Modèle91931[[#This Row],[Ingrédients]],T_ingrédients[],3,0)</f>
        <v>#N/A</v>
      </c>
      <c r="E202" s="40"/>
      <c r="F202" s="41"/>
      <c r="G202" s="40"/>
    </row>
    <row r="203" spans="3:7" x14ac:dyDescent="0.25">
      <c r="C203" s="2"/>
      <c r="D203" s="34" t="e">
        <f>VLOOKUP(TR_Modèle91931[[#This Row],[Ingrédients]],T_ingrédients[],3,0)</f>
        <v>#N/A</v>
      </c>
      <c r="E203" s="40"/>
      <c r="F203" s="41"/>
      <c r="G203" s="40"/>
    </row>
    <row r="204" spans="3:7" x14ac:dyDescent="0.25">
      <c r="C204" s="2"/>
      <c r="D204" s="34" t="e">
        <f>VLOOKUP(TR_Modèle91931[[#This Row],[Ingrédients]],T_ingrédients[],3,0)</f>
        <v>#N/A</v>
      </c>
      <c r="E204" s="40"/>
      <c r="F204" s="41"/>
      <c r="G204" s="40"/>
    </row>
    <row r="205" spans="3:7" x14ac:dyDescent="0.25">
      <c r="C205" s="2"/>
      <c r="D205" s="34" t="e">
        <f>VLOOKUP(TR_Modèle91931[[#This Row],[Ingrédients]],T_ingrédients[],3,0)</f>
        <v>#N/A</v>
      </c>
      <c r="E205" s="40"/>
      <c r="F205" s="41"/>
      <c r="G205" s="40"/>
    </row>
    <row r="206" spans="3:7" x14ac:dyDescent="0.25">
      <c r="C206" s="2"/>
      <c r="D206" s="34" t="e">
        <f>VLOOKUP(TR_Modèle91931[[#This Row],[Ingrédients]],T_ingrédients[],3,0)</f>
        <v>#N/A</v>
      </c>
      <c r="E206" s="40"/>
      <c r="F206" s="41"/>
      <c r="G206" s="40"/>
    </row>
    <row r="207" spans="3:7" x14ac:dyDescent="0.25">
      <c r="C207" s="2"/>
      <c r="D207" s="34" t="e">
        <f>VLOOKUP(TR_Modèle91931[[#This Row],[Ingrédients]],T_ingrédients[],3,0)</f>
        <v>#N/A</v>
      </c>
      <c r="E207" s="40"/>
      <c r="F207" s="41"/>
      <c r="G207" s="40"/>
    </row>
    <row r="208" spans="3:7" x14ac:dyDescent="0.25">
      <c r="C208" s="2"/>
      <c r="D208" s="34" t="e">
        <f>VLOOKUP(TR_Modèle91931[[#This Row],[Ingrédients]],T_ingrédients[],3,0)</f>
        <v>#N/A</v>
      </c>
      <c r="E208" s="40"/>
      <c r="F208" s="41"/>
      <c r="G208" s="40"/>
    </row>
    <row r="209" spans="3:7" x14ac:dyDescent="0.25">
      <c r="C209" s="2"/>
      <c r="D209" s="34" t="e">
        <f>VLOOKUP(TR_Modèle91931[[#This Row],[Ingrédients]],T_ingrédients[],3,0)</f>
        <v>#N/A</v>
      </c>
      <c r="E209" s="40"/>
      <c r="F209" s="41"/>
      <c r="G209" s="40"/>
    </row>
    <row r="210" spans="3:7" x14ac:dyDescent="0.25">
      <c r="C210" s="2"/>
      <c r="D210" s="34" t="e">
        <f>VLOOKUP(TR_Modèle91931[[#This Row],[Ingrédients]],T_ingrédients[],3,0)</f>
        <v>#N/A</v>
      </c>
      <c r="E210" s="40"/>
      <c r="F210" s="41"/>
      <c r="G210" s="40"/>
    </row>
    <row r="211" spans="3:7" x14ac:dyDescent="0.25">
      <c r="C211" s="2"/>
      <c r="D211" s="34" t="e">
        <f>VLOOKUP(TR_Modèle91931[[#This Row],[Ingrédients]],T_ingrédients[],3,0)</f>
        <v>#N/A</v>
      </c>
      <c r="E211" s="40"/>
      <c r="F211" s="41"/>
      <c r="G211" s="40"/>
    </row>
    <row r="212" spans="3:7" x14ac:dyDescent="0.25">
      <c r="C212" s="2"/>
      <c r="D212" s="34" t="e">
        <f>VLOOKUP(TR_Modèle91931[[#This Row],[Ingrédients]],T_ingrédients[],3,0)</f>
        <v>#N/A</v>
      </c>
      <c r="E212" s="40"/>
      <c r="F212" s="41"/>
      <c r="G212" s="40"/>
    </row>
    <row r="213" spans="3:7" x14ac:dyDescent="0.25">
      <c r="C213" s="2"/>
      <c r="D213" s="34" t="e">
        <f>VLOOKUP(TR_Modèle91931[[#This Row],[Ingrédients]],T_ingrédients[],3,0)</f>
        <v>#N/A</v>
      </c>
      <c r="E213" s="40"/>
      <c r="F213" s="41"/>
      <c r="G213" s="40"/>
    </row>
    <row r="214" spans="3:7" x14ac:dyDescent="0.25">
      <c r="C214" s="2"/>
      <c r="D214" s="34" t="e">
        <f>VLOOKUP(TR_Modèle91931[[#This Row],[Ingrédients]],T_ingrédients[],3,0)</f>
        <v>#N/A</v>
      </c>
      <c r="E214" s="40"/>
      <c r="F214" s="41"/>
      <c r="G214" s="40"/>
    </row>
    <row r="215" spans="3:7" x14ac:dyDescent="0.25">
      <c r="C215" s="2"/>
      <c r="D215" s="34" t="e">
        <f>VLOOKUP(TR_Modèle91931[[#This Row],[Ingrédients]],T_ingrédients[],3,0)</f>
        <v>#N/A</v>
      </c>
      <c r="E215" s="40"/>
      <c r="F215" s="41"/>
      <c r="G215" s="40"/>
    </row>
    <row r="216" spans="3:7" x14ac:dyDescent="0.25">
      <c r="C216" s="2"/>
      <c r="D216" s="34" t="e">
        <f>VLOOKUP(TR_Modèle91931[[#This Row],[Ingrédients]],T_ingrédients[],3,0)</f>
        <v>#N/A</v>
      </c>
      <c r="E216" s="40"/>
      <c r="F216" s="41"/>
      <c r="G216" s="40"/>
    </row>
    <row r="217" spans="3:7" x14ac:dyDescent="0.25">
      <c r="C217" s="2"/>
      <c r="D217" s="34" t="e">
        <f>VLOOKUP(TR_Modèle91931[[#This Row],[Ingrédients]],T_ingrédients[],3,0)</f>
        <v>#N/A</v>
      </c>
      <c r="E217" s="40"/>
      <c r="F217" s="41"/>
      <c r="G217" s="40"/>
    </row>
    <row r="218" spans="3:7" x14ac:dyDescent="0.25">
      <c r="C218" s="2"/>
      <c r="D218" s="34" t="e">
        <f>VLOOKUP(TR_Modèle91931[[#This Row],[Ingrédients]],T_ingrédients[],3,0)</f>
        <v>#N/A</v>
      </c>
      <c r="E218" s="40"/>
      <c r="F218" s="41"/>
      <c r="G218" s="40"/>
    </row>
    <row r="219" spans="3:7" ht="15.75" thickBot="1" x14ac:dyDescent="0.3">
      <c r="C219" s="2"/>
      <c r="D219" s="34" t="e">
        <f>VLOOKUP(TR_Modèle91931[[#This Row],[Ingrédients]],T_ingrédients[],3,0)</f>
        <v>#N/A</v>
      </c>
      <c r="E219" s="40"/>
      <c r="F219" s="41"/>
      <c r="G219" s="40"/>
    </row>
    <row r="220" spans="3:7" ht="16.5" thickBot="1" x14ac:dyDescent="0.3">
      <c r="C220" s="26" t="s">
        <v>39</v>
      </c>
      <c r="D220" s="27" t="s">
        <v>12</v>
      </c>
      <c r="E220" s="28">
        <f>SUBTOTAL(109,TR_Modèle91931[Colonne1])</f>
        <v>0</v>
      </c>
      <c r="F220" s="28">
        <f>SUBTOTAL(109,TR_Modèle91931[Colonne2])</f>
        <v>0</v>
      </c>
      <c r="G220" s="29">
        <f>SUBTOTAL(109,TR_Modèle91931[Colonne3])</f>
        <v>0</v>
      </c>
    </row>
    <row r="222" spans="3:7" ht="15.75" thickBot="1" x14ac:dyDescent="0.3"/>
    <row r="223" spans="3:7" ht="18" thickBot="1" x14ac:dyDescent="0.3">
      <c r="C223" s="176" t="s">
        <v>60</v>
      </c>
      <c r="D223" s="177"/>
      <c r="E223" s="177"/>
      <c r="F223" s="177"/>
      <c r="G223" s="178"/>
    </row>
    <row r="224" spans="3:7" ht="15.75" thickBot="1" x14ac:dyDescent="0.3">
      <c r="C224" s="181"/>
      <c r="D224" s="182"/>
      <c r="E224" s="183" t="s">
        <v>13</v>
      </c>
      <c r="F224" s="184"/>
      <c r="G224" s="185"/>
    </row>
    <row r="225" spans="3:7" ht="16.5" thickBot="1" x14ac:dyDescent="0.3">
      <c r="C225" s="19" t="s">
        <v>0</v>
      </c>
      <c r="D225" s="33" t="s">
        <v>1</v>
      </c>
      <c r="E225" s="21" t="s">
        <v>57</v>
      </c>
      <c r="F225" s="21" t="s">
        <v>58</v>
      </c>
      <c r="G225" s="21" t="s">
        <v>59</v>
      </c>
    </row>
    <row r="226" spans="3:7" x14ac:dyDescent="0.25">
      <c r="C226" s="32"/>
      <c r="D226" s="34" t="e">
        <f>VLOOKUP(TR_Modèle92032[[#This Row],[Ingrédients]],T_ingrédients[],3,0)</f>
        <v>#N/A</v>
      </c>
      <c r="E226" s="40"/>
      <c r="F226" s="41"/>
      <c r="G226" s="40"/>
    </row>
    <row r="227" spans="3:7" x14ac:dyDescent="0.25">
      <c r="C227" s="2"/>
      <c r="D227" s="34" t="e">
        <f>VLOOKUP(TR_Modèle92032[[#This Row],[Ingrédients]],T_ingrédients[],3,0)</f>
        <v>#N/A</v>
      </c>
      <c r="E227" s="40"/>
      <c r="F227" s="41"/>
      <c r="G227" s="40"/>
    </row>
    <row r="228" spans="3:7" x14ac:dyDescent="0.25">
      <c r="C228" s="2"/>
      <c r="D228" s="34" t="e">
        <f>VLOOKUP(TR_Modèle92032[[#This Row],[Ingrédients]],T_ingrédients[],3,0)</f>
        <v>#N/A</v>
      </c>
      <c r="E228" s="40"/>
      <c r="F228" s="41"/>
      <c r="G228" s="40"/>
    </row>
    <row r="229" spans="3:7" x14ac:dyDescent="0.25">
      <c r="C229" s="2"/>
      <c r="D229" s="34" t="e">
        <f>VLOOKUP(TR_Modèle92032[[#This Row],[Ingrédients]],T_ingrédients[],3,0)</f>
        <v>#N/A</v>
      </c>
      <c r="E229" s="40"/>
      <c r="F229" s="41"/>
      <c r="G229" s="40"/>
    </row>
    <row r="230" spans="3:7" x14ac:dyDescent="0.25">
      <c r="C230" s="2"/>
      <c r="D230" s="34" t="e">
        <f>VLOOKUP(TR_Modèle92032[[#This Row],[Ingrédients]],T_ingrédients[],3,0)</f>
        <v>#N/A</v>
      </c>
      <c r="E230" s="40"/>
      <c r="F230" s="41"/>
      <c r="G230" s="40"/>
    </row>
    <row r="231" spans="3:7" x14ac:dyDescent="0.25">
      <c r="C231" s="2"/>
      <c r="D231" s="34" t="e">
        <f>VLOOKUP(TR_Modèle92032[[#This Row],[Ingrédients]],T_ingrédients[],3,0)</f>
        <v>#N/A</v>
      </c>
      <c r="E231" s="40"/>
      <c r="F231" s="41"/>
      <c r="G231" s="40"/>
    </row>
    <row r="232" spans="3:7" x14ac:dyDescent="0.25">
      <c r="C232" s="2"/>
      <c r="D232" s="34" t="e">
        <f>VLOOKUP(TR_Modèle92032[[#This Row],[Ingrédients]],T_ingrédients[],3,0)</f>
        <v>#N/A</v>
      </c>
      <c r="E232" s="40"/>
      <c r="F232" s="41"/>
      <c r="G232" s="40"/>
    </row>
    <row r="233" spans="3:7" x14ac:dyDescent="0.25">
      <c r="C233" s="2"/>
      <c r="D233" s="34" t="e">
        <f>VLOOKUP(TR_Modèle92032[[#This Row],[Ingrédients]],T_ingrédients[],3,0)</f>
        <v>#N/A</v>
      </c>
      <c r="E233" s="40"/>
      <c r="F233" s="41"/>
      <c r="G233" s="40"/>
    </row>
    <row r="234" spans="3:7" x14ac:dyDescent="0.25">
      <c r="C234" s="2"/>
      <c r="D234" s="34" t="e">
        <f>VLOOKUP(TR_Modèle92032[[#This Row],[Ingrédients]],T_ingrédients[],3,0)</f>
        <v>#N/A</v>
      </c>
      <c r="E234" s="40"/>
      <c r="F234" s="41"/>
      <c r="G234" s="40"/>
    </row>
    <row r="235" spans="3:7" x14ac:dyDescent="0.25">
      <c r="C235" s="2"/>
      <c r="D235" s="34" t="e">
        <f>VLOOKUP(TR_Modèle92032[[#This Row],[Ingrédients]],T_ingrédients[],3,0)</f>
        <v>#N/A</v>
      </c>
      <c r="E235" s="40"/>
      <c r="F235" s="41"/>
      <c r="G235" s="40"/>
    </row>
    <row r="236" spans="3:7" x14ac:dyDescent="0.25">
      <c r="C236" s="2"/>
      <c r="D236" s="34" t="e">
        <f>VLOOKUP(TR_Modèle92032[[#This Row],[Ingrédients]],T_ingrédients[],3,0)</f>
        <v>#N/A</v>
      </c>
      <c r="E236" s="40"/>
      <c r="F236" s="41"/>
      <c r="G236" s="40"/>
    </row>
    <row r="237" spans="3:7" x14ac:dyDescent="0.25">
      <c r="C237" s="2"/>
      <c r="D237" s="34" t="e">
        <f>VLOOKUP(TR_Modèle92032[[#This Row],[Ingrédients]],T_ingrédients[],3,0)</f>
        <v>#N/A</v>
      </c>
      <c r="E237" s="40"/>
      <c r="F237" s="41"/>
      <c r="G237" s="40"/>
    </row>
    <row r="238" spans="3:7" x14ac:dyDescent="0.25">
      <c r="C238" s="2"/>
      <c r="D238" s="34" t="e">
        <f>VLOOKUP(TR_Modèle92032[[#This Row],[Ingrédients]],T_ingrédients[],3,0)</f>
        <v>#N/A</v>
      </c>
      <c r="E238" s="40"/>
      <c r="F238" s="41"/>
      <c r="G238" s="40"/>
    </row>
    <row r="239" spans="3:7" x14ac:dyDescent="0.25">
      <c r="C239" s="2"/>
      <c r="D239" s="34" t="e">
        <f>VLOOKUP(TR_Modèle92032[[#This Row],[Ingrédients]],T_ingrédients[],3,0)</f>
        <v>#N/A</v>
      </c>
      <c r="E239" s="40"/>
      <c r="F239" s="41"/>
      <c r="G239" s="40"/>
    </row>
    <row r="240" spans="3:7" x14ac:dyDescent="0.25">
      <c r="C240" s="2"/>
      <c r="D240" s="34" t="e">
        <f>VLOOKUP(TR_Modèle92032[[#This Row],[Ingrédients]],T_ingrédients[],3,0)</f>
        <v>#N/A</v>
      </c>
      <c r="E240" s="40"/>
      <c r="F240" s="41"/>
      <c r="G240" s="40"/>
    </row>
    <row r="241" spans="3:7" x14ac:dyDescent="0.25">
      <c r="C241" s="2"/>
      <c r="D241" s="34" t="e">
        <f>VLOOKUP(TR_Modèle92032[[#This Row],[Ingrédients]],T_ingrédients[],3,0)</f>
        <v>#N/A</v>
      </c>
      <c r="E241" s="40"/>
      <c r="F241" s="41"/>
      <c r="G241" s="40"/>
    </row>
    <row r="242" spans="3:7" x14ac:dyDescent="0.25">
      <c r="C242" s="2"/>
      <c r="D242" s="34" t="e">
        <f>VLOOKUP(TR_Modèle92032[[#This Row],[Ingrédients]],T_ingrédients[],3,0)</f>
        <v>#N/A</v>
      </c>
      <c r="E242" s="40"/>
      <c r="F242" s="41"/>
      <c r="G242" s="40"/>
    </row>
    <row r="243" spans="3:7" x14ac:dyDescent="0.25">
      <c r="C243" s="2"/>
      <c r="D243" s="34" t="e">
        <f>VLOOKUP(TR_Modèle92032[[#This Row],[Ingrédients]],T_ingrédients[],3,0)</f>
        <v>#N/A</v>
      </c>
      <c r="E243" s="40"/>
      <c r="F243" s="41"/>
      <c r="G243" s="40"/>
    </row>
    <row r="244" spans="3:7" x14ac:dyDescent="0.25">
      <c r="C244" s="2"/>
      <c r="D244" s="34" t="e">
        <f>VLOOKUP(TR_Modèle92032[[#This Row],[Ingrédients]],T_ingrédients[],3,0)</f>
        <v>#N/A</v>
      </c>
      <c r="E244" s="40"/>
      <c r="F244" s="41"/>
      <c r="G244" s="40"/>
    </row>
    <row r="245" spans="3:7" x14ac:dyDescent="0.25">
      <c r="C245" s="2"/>
      <c r="D245" s="34" t="e">
        <f>VLOOKUP(TR_Modèle92032[[#This Row],[Ingrédients]],T_ingrédients[],3,0)</f>
        <v>#N/A</v>
      </c>
      <c r="E245" s="40"/>
      <c r="F245" s="41"/>
      <c r="G245" s="40"/>
    </row>
    <row r="246" spans="3:7" x14ac:dyDescent="0.25">
      <c r="C246" s="2"/>
      <c r="D246" s="34" t="e">
        <f>VLOOKUP(TR_Modèle92032[[#This Row],[Ingrédients]],T_ingrédients[],3,0)</f>
        <v>#N/A</v>
      </c>
      <c r="E246" s="40"/>
      <c r="F246" s="41"/>
      <c r="G246" s="40"/>
    </row>
    <row r="247" spans="3:7" x14ac:dyDescent="0.25">
      <c r="C247" s="2"/>
      <c r="D247" s="34" t="e">
        <f>VLOOKUP(TR_Modèle92032[[#This Row],[Ingrédients]],T_ingrédients[],3,0)</f>
        <v>#N/A</v>
      </c>
      <c r="E247" s="40"/>
      <c r="F247" s="41"/>
      <c r="G247" s="40"/>
    </row>
    <row r="248" spans="3:7" x14ac:dyDescent="0.25">
      <c r="C248" s="2"/>
      <c r="D248" s="34" t="e">
        <f>VLOOKUP(TR_Modèle92032[[#This Row],[Ingrédients]],T_ingrédients[],3,0)</f>
        <v>#N/A</v>
      </c>
      <c r="E248" s="40"/>
      <c r="F248" s="41"/>
      <c r="G248" s="40"/>
    </row>
    <row r="249" spans="3:7" x14ac:dyDescent="0.25">
      <c r="C249" s="2"/>
      <c r="D249" s="34" t="e">
        <f>VLOOKUP(TR_Modèle92032[[#This Row],[Ingrédients]],T_ingrédients[],3,0)</f>
        <v>#N/A</v>
      </c>
      <c r="E249" s="40"/>
      <c r="F249" s="41"/>
      <c r="G249" s="40"/>
    </row>
    <row r="250" spans="3:7" x14ac:dyDescent="0.25">
      <c r="C250" s="2"/>
      <c r="D250" s="34" t="e">
        <f>VLOOKUP(TR_Modèle92032[[#This Row],[Ingrédients]],T_ingrédients[],3,0)</f>
        <v>#N/A</v>
      </c>
      <c r="E250" s="40"/>
      <c r="F250" s="41"/>
      <c r="G250" s="40"/>
    </row>
    <row r="251" spans="3:7" x14ac:dyDescent="0.25">
      <c r="C251" s="2"/>
      <c r="D251" s="34" t="e">
        <f>VLOOKUP(TR_Modèle92032[[#This Row],[Ingrédients]],T_ingrédients[],3,0)</f>
        <v>#N/A</v>
      </c>
      <c r="E251" s="40"/>
      <c r="F251" s="41"/>
      <c r="G251" s="40"/>
    </row>
    <row r="252" spans="3:7" x14ac:dyDescent="0.25">
      <c r="C252" s="2"/>
      <c r="D252" s="34" t="e">
        <f>VLOOKUP(TR_Modèle92032[[#This Row],[Ingrédients]],T_ingrédients[],3,0)</f>
        <v>#N/A</v>
      </c>
      <c r="E252" s="40"/>
      <c r="F252" s="41"/>
      <c r="G252" s="40"/>
    </row>
    <row r="253" spans="3:7" ht="15.75" thickBot="1" x14ac:dyDescent="0.3">
      <c r="C253" s="2"/>
      <c r="D253" s="34" t="e">
        <f>VLOOKUP(TR_Modèle92032[[#This Row],[Ingrédients]],T_ingrédients[],3,0)</f>
        <v>#N/A</v>
      </c>
      <c r="E253" s="40"/>
      <c r="F253" s="41"/>
      <c r="G253" s="40"/>
    </row>
    <row r="254" spans="3:7" ht="16.5" thickBot="1" x14ac:dyDescent="0.3">
      <c r="C254" s="26" t="s">
        <v>39</v>
      </c>
      <c r="D254" s="27" t="s">
        <v>12</v>
      </c>
      <c r="E254" s="28">
        <f>SUBTOTAL(109,TR_Modèle92032[Colonne1])</f>
        <v>0</v>
      </c>
      <c r="F254" s="28">
        <f>SUBTOTAL(109,TR_Modèle92032[Colonne2])</f>
        <v>0</v>
      </c>
      <c r="G254" s="29">
        <f>SUBTOTAL(109,TR_Modèle92032[Colonne3])</f>
        <v>0</v>
      </c>
    </row>
    <row r="256" spans="3:7" ht="15.75" thickBot="1" x14ac:dyDescent="0.3"/>
    <row r="257" spans="3:7" ht="18" thickBot="1" x14ac:dyDescent="0.3">
      <c r="C257" s="176" t="s">
        <v>60</v>
      </c>
      <c r="D257" s="177"/>
      <c r="E257" s="177"/>
      <c r="F257" s="177"/>
      <c r="G257" s="178"/>
    </row>
    <row r="258" spans="3:7" ht="15.75" thickBot="1" x14ac:dyDescent="0.3">
      <c r="C258" s="181"/>
      <c r="D258" s="182"/>
      <c r="E258" s="183" t="s">
        <v>13</v>
      </c>
      <c r="F258" s="184"/>
      <c r="G258" s="185"/>
    </row>
    <row r="259" spans="3:7" ht="16.5" thickBot="1" x14ac:dyDescent="0.3">
      <c r="C259" s="19" t="s">
        <v>0</v>
      </c>
      <c r="D259" s="33" t="s">
        <v>1</v>
      </c>
      <c r="E259" s="21" t="s">
        <v>57</v>
      </c>
      <c r="F259" s="21" t="s">
        <v>58</v>
      </c>
      <c r="G259" s="21" t="s">
        <v>59</v>
      </c>
    </row>
    <row r="260" spans="3:7" x14ac:dyDescent="0.25">
      <c r="C260" s="32"/>
      <c r="D260" s="34" t="e">
        <f>VLOOKUP(TR_Modèle92133[[#This Row],[Ingrédients]],T_ingrédients[],3,0)</f>
        <v>#N/A</v>
      </c>
      <c r="E260" s="40"/>
      <c r="F260" s="41"/>
      <c r="G260" s="40"/>
    </row>
    <row r="261" spans="3:7" x14ac:dyDescent="0.25">
      <c r="C261" s="2"/>
      <c r="D261" s="34" t="e">
        <f>VLOOKUP(TR_Modèle92133[[#This Row],[Ingrédients]],T_ingrédients[],3,0)</f>
        <v>#N/A</v>
      </c>
      <c r="E261" s="40"/>
      <c r="F261" s="41"/>
      <c r="G261" s="40"/>
    </row>
    <row r="262" spans="3:7" x14ac:dyDescent="0.25">
      <c r="C262" s="2"/>
      <c r="D262" s="34" t="e">
        <f>VLOOKUP(TR_Modèle92133[[#This Row],[Ingrédients]],T_ingrédients[],3,0)</f>
        <v>#N/A</v>
      </c>
      <c r="E262" s="40"/>
      <c r="F262" s="41"/>
      <c r="G262" s="40"/>
    </row>
    <row r="263" spans="3:7" x14ac:dyDescent="0.25">
      <c r="C263" s="2"/>
      <c r="D263" s="34" t="e">
        <f>VLOOKUP(TR_Modèle92133[[#This Row],[Ingrédients]],T_ingrédients[],3,0)</f>
        <v>#N/A</v>
      </c>
      <c r="E263" s="40"/>
      <c r="F263" s="41"/>
      <c r="G263" s="40"/>
    </row>
    <row r="264" spans="3:7" x14ac:dyDescent="0.25">
      <c r="C264" s="2"/>
      <c r="D264" s="34" t="e">
        <f>VLOOKUP(TR_Modèle92133[[#This Row],[Ingrédients]],T_ingrédients[],3,0)</f>
        <v>#N/A</v>
      </c>
      <c r="E264" s="40"/>
      <c r="F264" s="41"/>
      <c r="G264" s="40"/>
    </row>
    <row r="265" spans="3:7" x14ac:dyDescent="0.25">
      <c r="C265" s="2"/>
      <c r="D265" s="34" t="e">
        <f>VLOOKUP(TR_Modèle92133[[#This Row],[Ingrédients]],T_ingrédients[],3,0)</f>
        <v>#N/A</v>
      </c>
      <c r="E265" s="40"/>
      <c r="F265" s="41"/>
      <c r="G265" s="40"/>
    </row>
    <row r="266" spans="3:7" x14ac:dyDescent="0.25">
      <c r="C266" s="2"/>
      <c r="D266" s="34" t="e">
        <f>VLOOKUP(TR_Modèle92133[[#This Row],[Ingrédients]],T_ingrédients[],3,0)</f>
        <v>#N/A</v>
      </c>
      <c r="E266" s="40"/>
      <c r="F266" s="41"/>
      <c r="G266" s="40"/>
    </row>
    <row r="267" spans="3:7" x14ac:dyDescent="0.25">
      <c r="C267" s="2"/>
      <c r="D267" s="34" t="e">
        <f>VLOOKUP(TR_Modèle92133[[#This Row],[Ingrédients]],T_ingrédients[],3,0)</f>
        <v>#N/A</v>
      </c>
      <c r="E267" s="40"/>
      <c r="F267" s="41"/>
      <c r="G267" s="40"/>
    </row>
    <row r="268" spans="3:7" x14ac:dyDescent="0.25">
      <c r="C268" s="2"/>
      <c r="D268" s="34" t="e">
        <f>VLOOKUP(TR_Modèle92133[[#This Row],[Ingrédients]],T_ingrédients[],3,0)</f>
        <v>#N/A</v>
      </c>
      <c r="E268" s="40"/>
      <c r="F268" s="41"/>
      <c r="G268" s="40"/>
    </row>
    <row r="269" spans="3:7" x14ac:dyDescent="0.25">
      <c r="C269" s="2"/>
      <c r="D269" s="34" t="e">
        <f>VLOOKUP(TR_Modèle92133[[#This Row],[Ingrédients]],T_ingrédients[],3,0)</f>
        <v>#N/A</v>
      </c>
      <c r="E269" s="40"/>
      <c r="F269" s="41"/>
      <c r="G269" s="40"/>
    </row>
    <row r="270" spans="3:7" x14ac:dyDescent="0.25">
      <c r="C270" s="2"/>
      <c r="D270" s="34" t="e">
        <f>VLOOKUP(TR_Modèle92133[[#This Row],[Ingrédients]],T_ingrédients[],3,0)</f>
        <v>#N/A</v>
      </c>
      <c r="E270" s="40"/>
      <c r="F270" s="41"/>
      <c r="G270" s="40"/>
    </row>
    <row r="271" spans="3:7" x14ac:dyDescent="0.25">
      <c r="C271" s="2"/>
      <c r="D271" s="34" t="e">
        <f>VLOOKUP(TR_Modèle92133[[#This Row],[Ingrédients]],T_ingrédients[],3,0)</f>
        <v>#N/A</v>
      </c>
      <c r="E271" s="40"/>
      <c r="F271" s="41"/>
      <c r="G271" s="40"/>
    </row>
    <row r="272" spans="3:7" x14ac:dyDescent="0.25">
      <c r="C272" s="2"/>
      <c r="D272" s="34" t="e">
        <f>VLOOKUP(TR_Modèle92133[[#This Row],[Ingrédients]],T_ingrédients[],3,0)</f>
        <v>#N/A</v>
      </c>
      <c r="E272" s="40"/>
      <c r="F272" s="41"/>
      <c r="G272" s="40"/>
    </row>
    <row r="273" spans="3:7" x14ac:dyDescent="0.25">
      <c r="C273" s="2"/>
      <c r="D273" s="34" t="e">
        <f>VLOOKUP(TR_Modèle92133[[#This Row],[Ingrédients]],T_ingrédients[],3,0)</f>
        <v>#N/A</v>
      </c>
      <c r="E273" s="40"/>
      <c r="F273" s="41"/>
      <c r="G273" s="40"/>
    </row>
    <row r="274" spans="3:7" x14ac:dyDescent="0.25">
      <c r="C274" s="2"/>
      <c r="D274" s="34" t="e">
        <f>VLOOKUP(TR_Modèle92133[[#This Row],[Ingrédients]],T_ingrédients[],3,0)</f>
        <v>#N/A</v>
      </c>
      <c r="E274" s="40"/>
      <c r="F274" s="41"/>
      <c r="G274" s="40"/>
    </row>
    <row r="275" spans="3:7" x14ac:dyDescent="0.25">
      <c r="C275" s="2"/>
      <c r="D275" s="34" t="e">
        <f>VLOOKUP(TR_Modèle92133[[#This Row],[Ingrédients]],T_ingrédients[],3,0)</f>
        <v>#N/A</v>
      </c>
      <c r="E275" s="40"/>
      <c r="F275" s="41"/>
      <c r="G275" s="40"/>
    </row>
    <row r="276" spans="3:7" x14ac:dyDescent="0.25">
      <c r="C276" s="2"/>
      <c r="D276" s="34" t="e">
        <f>VLOOKUP(TR_Modèle92133[[#This Row],[Ingrédients]],T_ingrédients[],3,0)</f>
        <v>#N/A</v>
      </c>
      <c r="E276" s="40"/>
      <c r="F276" s="41"/>
      <c r="G276" s="40"/>
    </row>
    <row r="277" spans="3:7" x14ac:dyDescent="0.25">
      <c r="C277" s="2"/>
      <c r="D277" s="34" t="e">
        <f>VLOOKUP(TR_Modèle92133[[#This Row],[Ingrédients]],T_ingrédients[],3,0)</f>
        <v>#N/A</v>
      </c>
      <c r="E277" s="40"/>
      <c r="F277" s="41"/>
      <c r="G277" s="40"/>
    </row>
    <row r="278" spans="3:7" x14ac:dyDescent="0.25">
      <c r="C278" s="2"/>
      <c r="D278" s="34" t="e">
        <f>VLOOKUP(TR_Modèle92133[[#This Row],[Ingrédients]],T_ingrédients[],3,0)</f>
        <v>#N/A</v>
      </c>
      <c r="E278" s="40"/>
      <c r="F278" s="41"/>
      <c r="G278" s="40"/>
    </row>
    <row r="279" spans="3:7" x14ac:dyDescent="0.25">
      <c r="C279" s="2"/>
      <c r="D279" s="34" t="e">
        <f>VLOOKUP(TR_Modèle92133[[#This Row],[Ingrédients]],T_ingrédients[],3,0)</f>
        <v>#N/A</v>
      </c>
      <c r="E279" s="40"/>
      <c r="F279" s="41"/>
      <c r="G279" s="40"/>
    </row>
    <row r="280" spans="3:7" x14ac:dyDescent="0.25">
      <c r="C280" s="2"/>
      <c r="D280" s="34" t="e">
        <f>VLOOKUP(TR_Modèle92133[[#This Row],[Ingrédients]],T_ingrédients[],3,0)</f>
        <v>#N/A</v>
      </c>
      <c r="E280" s="40"/>
      <c r="F280" s="41"/>
      <c r="G280" s="40"/>
    </row>
    <row r="281" spans="3:7" x14ac:dyDescent="0.25">
      <c r="C281" s="2"/>
      <c r="D281" s="34" t="e">
        <f>VLOOKUP(TR_Modèle92133[[#This Row],[Ingrédients]],T_ingrédients[],3,0)</f>
        <v>#N/A</v>
      </c>
      <c r="E281" s="40"/>
      <c r="F281" s="41"/>
      <c r="G281" s="40"/>
    </row>
    <row r="282" spans="3:7" x14ac:dyDescent="0.25">
      <c r="C282" s="2"/>
      <c r="D282" s="34" t="e">
        <f>VLOOKUP(TR_Modèle92133[[#This Row],[Ingrédients]],T_ingrédients[],3,0)</f>
        <v>#N/A</v>
      </c>
      <c r="E282" s="40"/>
      <c r="F282" s="41"/>
      <c r="G282" s="40"/>
    </row>
    <row r="283" spans="3:7" x14ac:dyDescent="0.25">
      <c r="C283" s="2"/>
      <c r="D283" s="34" t="e">
        <f>VLOOKUP(TR_Modèle92133[[#This Row],[Ingrédients]],T_ingrédients[],3,0)</f>
        <v>#N/A</v>
      </c>
      <c r="E283" s="40"/>
      <c r="F283" s="41"/>
      <c r="G283" s="40"/>
    </row>
    <row r="284" spans="3:7" x14ac:dyDescent="0.25">
      <c r="C284" s="2"/>
      <c r="D284" s="34" t="e">
        <f>VLOOKUP(TR_Modèle92133[[#This Row],[Ingrédients]],T_ingrédients[],3,0)</f>
        <v>#N/A</v>
      </c>
      <c r="E284" s="40"/>
      <c r="F284" s="41"/>
      <c r="G284" s="40"/>
    </row>
    <row r="285" spans="3:7" x14ac:dyDescent="0.25">
      <c r="C285" s="2"/>
      <c r="D285" s="34" t="e">
        <f>VLOOKUP(TR_Modèle92133[[#This Row],[Ingrédients]],T_ingrédients[],3,0)</f>
        <v>#N/A</v>
      </c>
      <c r="E285" s="40"/>
      <c r="F285" s="41"/>
      <c r="G285" s="40"/>
    </row>
    <row r="286" spans="3:7" x14ac:dyDescent="0.25">
      <c r="C286" s="2"/>
      <c r="D286" s="34" t="e">
        <f>VLOOKUP(TR_Modèle92133[[#This Row],[Ingrédients]],T_ingrédients[],3,0)</f>
        <v>#N/A</v>
      </c>
      <c r="E286" s="40"/>
      <c r="F286" s="41"/>
      <c r="G286" s="40"/>
    </row>
    <row r="287" spans="3:7" ht="15.75" thickBot="1" x14ac:dyDescent="0.3">
      <c r="C287" s="2"/>
      <c r="D287" s="34" t="e">
        <f>VLOOKUP(TR_Modèle92133[[#This Row],[Ingrédients]],T_ingrédients[],3,0)</f>
        <v>#N/A</v>
      </c>
      <c r="E287" s="40"/>
      <c r="F287" s="41"/>
      <c r="G287" s="40"/>
    </row>
    <row r="288" spans="3:7" ht="16.5" thickBot="1" x14ac:dyDescent="0.3">
      <c r="C288" s="26" t="s">
        <v>39</v>
      </c>
      <c r="D288" s="27" t="s">
        <v>12</v>
      </c>
      <c r="E288" s="28">
        <f>SUBTOTAL(109,TR_Modèle92133[Colonne1])</f>
        <v>0</v>
      </c>
      <c r="F288" s="28">
        <f>SUBTOTAL(109,TR_Modèle92133[Colonne2])</f>
        <v>0</v>
      </c>
      <c r="G288" s="29">
        <f>SUBTOTAL(109,TR_Modèle92133[Colonne3])</f>
        <v>0</v>
      </c>
    </row>
    <row r="290" spans="3:7" ht="15.75" thickBot="1" x14ac:dyDescent="0.3"/>
    <row r="291" spans="3:7" ht="18" thickBot="1" x14ac:dyDescent="0.3">
      <c r="C291" s="176" t="s">
        <v>60</v>
      </c>
      <c r="D291" s="177"/>
      <c r="E291" s="177"/>
      <c r="F291" s="177"/>
      <c r="G291" s="178"/>
    </row>
    <row r="292" spans="3:7" ht="15.75" thickBot="1" x14ac:dyDescent="0.3">
      <c r="C292" s="181"/>
      <c r="D292" s="182"/>
      <c r="E292" s="183" t="s">
        <v>13</v>
      </c>
      <c r="F292" s="184"/>
      <c r="G292" s="185"/>
    </row>
    <row r="293" spans="3:7" ht="16.5" thickBot="1" x14ac:dyDescent="0.3">
      <c r="C293" s="19" t="s">
        <v>0</v>
      </c>
      <c r="D293" s="33" t="s">
        <v>1</v>
      </c>
      <c r="E293" s="21" t="s">
        <v>57</v>
      </c>
      <c r="F293" s="21" t="s">
        <v>58</v>
      </c>
      <c r="G293" s="21" t="s">
        <v>59</v>
      </c>
    </row>
    <row r="294" spans="3:7" x14ac:dyDescent="0.25">
      <c r="C294" s="32"/>
      <c r="D294" s="34" t="e">
        <f>VLOOKUP(TR_Modèle92234[[#This Row],[Ingrédients]],T_ingrédients[],3,0)</f>
        <v>#N/A</v>
      </c>
      <c r="E294" s="40"/>
      <c r="F294" s="41"/>
      <c r="G294" s="40"/>
    </row>
    <row r="295" spans="3:7" x14ac:dyDescent="0.25">
      <c r="C295" s="2"/>
      <c r="D295" s="34" t="e">
        <f>VLOOKUP(TR_Modèle92234[[#This Row],[Ingrédients]],T_ingrédients[],3,0)</f>
        <v>#N/A</v>
      </c>
      <c r="E295" s="40"/>
      <c r="F295" s="41"/>
      <c r="G295" s="40"/>
    </row>
    <row r="296" spans="3:7" x14ac:dyDescent="0.25">
      <c r="C296" s="2"/>
      <c r="D296" s="34" t="e">
        <f>VLOOKUP(TR_Modèle92234[[#This Row],[Ingrédients]],T_ingrédients[],3,0)</f>
        <v>#N/A</v>
      </c>
      <c r="E296" s="40"/>
      <c r="F296" s="41"/>
      <c r="G296" s="40"/>
    </row>
    <row r="297" spans="3:7" x14ac:dyDescent="0.25">
      <c r="C297" s="2"/>
      <c r="D297" s="34" t="e">
        <f>VLOOKUP(TR_Modèle92234[[#This Row],[Ingrédients]],T_ingrédients[],3,0)</f>
        <v>#N/A</v>
      </c>
      <c r="E297" s="40"/>
      <c r="F297" s="41"/>
      <c r="G297" s="40"/>
    </row>
    <row r="298" spans="3:7" x14ac:dyDescent="0.25">
      <c r="C298" s="2"/>
      <c r="D298" s="34" t="e">
        <f>VLOOKUP(TR_Modèle92234[[#This Row],[Ingrédients]],T_ingrédients[],3,0)</f>
        <v>#N/A</v>
      </c>
      <c r="E298" s="40"/>
      <c r="F298" s="41"/>
      <c r="G298" s="40"/>
    </row>
    <row r="299" spans="3:7" x14ac:dyDescent="0.25">
      <c r="C299" s="2"/>
      <c r="D299" s="34" t="e">
        <f>VLOOKUP(TR_Modèle92234[[#This Row],[Ingrédients]],T_ingrédients[],3,0)</f>
        <v>#N/A</v>
      </c>
      <c r="E299" s="40"/>
      <c r="F299" s="41"/>
      <c r="G299" s="40"/>
    </row>
    <row r="300" spans="3:7" x14ac:dyDescent="0.25">
      <c r="C300" s="2"/>
      <c r="D300" s="34" t="e">
        <f>VLOOKUP(TR_Modèle92234[[#This Row],[Ingrédients]],T_ingrédients[],3,0)</f>
        <v>#N/A</v>
      </c>
      <c r="E300" s="40"/>
      <c r="F300" s="41"/>
      <c r="G300" s="40"/>
    </row>
    <row r="301" spans="3:7" x14ac:dyDescent="0.25">
      <c r="C301" s="2"/>
      <c r="D301" s="34" t="e">
        <f>VLOOKUP(TR_Modèle92234[[#This Row],[Ingrédients]],T_ingrédients[],3,0)</f>
        <v>#N/A</v>
      </c>
      <c r="E301" s="40"/>
      <c r="F301" s="41"/>
      <c r="G301" s="40"/>
    </row>
    <row r="302" spans="3:7" x14ac:dyDescent="0.25">
      <c r="C302" s="2"/>
      <c r="D302" s="34" t="e">
        <f>VLOOKUP(TR_Modèle92234[[#This Row],[Ingrédients]],T_ingrédients[],3,0)</f>
        <v>#N/A</v>
      </c>
      <c r="E302" s="40"/>
      <c r="F302" s="41"/>
      <c r="G302" s="40"/>
    </row>
    <row r="303" spans="3:7" x14ac:dyDescent="0.25">
      <c r="C303" s="2"/>
      <c r="D303" s="34" t="e">
        <f>VLOOKUP(TR_Modèle92234[[#This Row],[Ingrédients]],T_ingrédients[],3,0)</f>
        <v>#N/A</v>
      </c>
      <c r="E303" s="40"/>
      <c r="F303" s="41"/>
      <c r="G303" s="40"/>
    </row>
    <row r="304" spans="3:7" x14ac:dyDescent="0.25">
      <c r="C304" s="2"/>
      <c r="D304" s="34" t="e">
        <f>VLOOKUP(TR_Modèle92234[[#This Row],[Ingrédients]],T_ingrédients[],3,0)</f>
        <v>#N/A</v>
      </c>
      <c r="E304" s="40"/>
      <c r="F304" s="41"/>
      <c r="G304" s="40"/>
    </row>
    <row r="305" spans="3:7" x14ac:dyDescent="0.25">
      <c r="C305" s="2"/>
      <c r="D305" s="34" t="e">
        <f>VLOOKUP(TR_Modèle92234[[#This Row],[Ingrédients]],T_ingrédients[],3,0)</f>
        <v>#N/A</v>
      </c>
      <c r="E305" s="40"/>
      <c r="F305" s="41"/>
      <c r="G305" s="40"/>
    </row>
    <row r="306" spans="3:7" x14ac:dyDescent="0.25">
      <c r="C306" s="2"/>
      <c r="D306" s="34" t="e">
        <f>VLOOKUP(TR_Modèle92234[[#This Row],[Ingrédients]],T_ingrédients[],3,0)</f>
        <v>#N/A</v>
      </c>
      <c r="E306" s="40"/>
      <c r="F306" s="41"/>
      <c r="G306" s="40"/>
    </row>
    <row r="307" spans="3:7" x14ac:dyDescent="0.25">
      <c r="C307" s="2"/>
      <c r="D307" s="34" t="e">
        <f>VLOOKUP(TR_Modèle92234[[#This Row],[Ingrédients]],T_ingrédients[],3,0)</f>
        <v>#N/A</v>
      </c>
      <c r="E307" s="40"/>
      <c r="F307" s="41"/>
      <c r="G307" s="40"/>
    </row>
    <row r="308" spans="3:7" x14ac:dyDescent="0.25">
      <c r="C308" s="2"/>
      <c r="D308" s="34" t="e">
        <f>VLOOKUP(TR_Modèle92234[[#This Row],[Ingrédients]],T_ingrédients[],3,0)</f>
        <v>#N/A</v>
      </c>
      <c r="E308" s="40"/>
      <c r="F308" s="41"/>
      <c r="G308" s="40"/>
    </row>
    <row r="309" spans="3:7" x14ac:dyDescent="0.25">
      <c r="C309" s="2"/>
      <c r="D309" s="34" t="e">
        <f>VLOOKUP(TR_Modèle92234[[#This Row],[Ingrédients]],T_ingrédients[],3,0)</f>
        <v>#N/A</v>
      </c>
      <c r="E309" s="40"/>
      <c r="F309" s="41"/>
      <c r="G309" s="40"/>
    </row>
    <row r="310" spans="3:7" x14ac:dyDescent="0.25">
      <c r="C310" s="2"/>
      <c r="D310" s="34" t="e">
        <f>VLOOKUP(TR_Modèle92234[[#This Row],[Ingrédients]],T_ingrédients[],3,0)</f>
        <v>#N/A</v>
      </c>
      <c r="E310" s="40"/>
      <c r="F310" s="41"/>
      <c r="G310" s="40"/>
    </row>
    <row r="311" spans="3:7" x14ac:dyDescent="0.25">
      <c r="C311" s="2"/>
      <c r="D311" s="34" t="e">
        <f>VLOOKUP(TR_Modèle92234[[#This Row],[Ingrédients]],T_ingrédients[],3,0)</f>
        <v>#N/A</v>
      </c>
      <c r="E311" s="40"/>
      <c r="F311" s="41"/>
      <c r="G311" s="40"/>
    </row>
    <row r="312" spans="3:7" x14ac:dyDescent="0.25">
      <c r="C312" s="2"/>
      <c r="D312" s="34" t="e">
        <f>VLOOKUP(TR_Modèle92234[[#This Row],[Ingrédients]],T_ingrédients[],3,0)</f>
        <v>#N/A</v>
      </c>
      <c r="E312" s="40"/>
      <c r="F312" s="41"/>
      <c r="G312" s="40"/>
    </row>
    <row r="313" spans="3:7" x14ac:dyDescent="0.25">
      <c r="C313" s="2"/>
      <c r="D313" s="34" t="e">
        <f>VLOOKUP(TR_Modèle92234[[#This Row],[Ingrédients]],T_ingrédients[],3,0)</f>
        <v>#N/A</v>
      </c>
      <c r="E313" s="40"/>
      <c r="F313" s="41"/>
      <c r="G313" s="40"/>
    </row>
    <row r="314" spans="3:7" x14ac:dyDescent="0.25">
      <c r="C314" s="2"/>
      <c r="D314" s="34" t="e">
        <f>VLOOKUP(TR_Modèle92234[[#This Row],[Ingrédients]],T_ingrédients[],3,0)</f>
        <v>#N/A</v>
      </c>
      <c r="E314" s="40"/>
      <c r="F314" s="41"/>
      <c r="G314" s="40"/>
    </row>
    <row r="315" spans="3:7" x14ac:dyDescent="0.25">
      <c r="C315" s="2"/>
      <c r="D315" s="34" t="e">
        <f>VLOOKUP(TR_Modèle92234[[#This Row],[Ingrédients]],T_ingrédients[],3,0)</f>
        <v>#N/A</v>
      </c>
      <c r="E315" s="40"/>
      <c r="F315" s="41"/>
      <c r="G315" s="40"/>
    </row>
    <row r="316" spans="3:7" x14ac:dyDescent="0.25">
      <c r="C316" s="2"/>
      <c r="D316" s="34" t="e">
        <f>VLOOKUP(TR_Modèle92234[[#This Row],[Ingrédients]],T_ingrédients[],3,0)</f>
        <v>#N/A</v>
      </c>
      <c r="E316" s="40"/>
      <c r="F316" s="41"/>
      <c r="G316" s="40"/>
    </row>
    <row r="317" spans="3:7" x14ac:dyDescent="0.25">
      <c r="C317" s="2"/>
      <c r="D317" s="34" t="e">
        <f>VLOOKUP(TR_Modèle92234[[#This Row],[Ingrédients]],T_ingrédients[],3,0)</f>
        <v>#N/A</v>
      </c>
      <c r="E317" s="40"/>
      <c r="F317" s="41"/>
      <c r="G317" s="40"/>
    </row>
    <row r="318" spans="3:7" x14ac:dyDescent="0.25">
      <c r="C318" s="2"/>
      <c r="D318" s="34" t="e">
        <f>VLOOKUP(TR_Modèle92234[[#This Row],[Ingrédients]],T_ingrédients[],3,0)</f>
        <v>#N/A</v>
      </c>
      <c r="E318" s="40"/>
      <c r="F318" s="41"/>
      <c r="G318" s="40"/>
    </row>
    <row r="319" spans="3:7" x14ac:dyDescent="0.25">
      <c r="C319" s="2"/>
      <c r="D319" s="34" t="e">
        <f>VLOOKUP(TR_Modèle92234[[#This Row],[Ingrédients]],T_ingrédients[],3,0)</f>
        <v>#N/A</v>
      </c>
      <c r="E319" s="40"/>
      <c r="F319" s="41"/>
      <c r="G319" s="40"/>
    </row>
    <row r="320" spans="3:7" x14ac:dyDescent="0.25">
      <c r="C320" s="2"/>
      <c r="D320" s="34" t="e">
        <f>VLOOKUP(TR_Modèle92234[[#This Row],[Ingrédients]],T_ingrédients[],3,0)</f>
        <v>#N/A</v>
      </c>
      <c r="E320" s="40"/>
      <c r="F320" s="41"/>
      <c r="G320" s="40"/>
    </row>
    <row r="321" spans="3:7" ht="15.75" thickBot="1" x14ac:dyDescent="0.3">
      <c r="C321" s="2"/>
      <c r="D321" s="34" t="e">
        <f>VLOOKUP(TR_Modèle92234[[#This Row],[Ingrédients]],T_ingrédients[],3,0)</f>
        <v>#N/A</v>
      </c>
      <c r="E321" s="40"/>
      <c r="F321" s="41"/>
      <c r="G321" s="40"/>
    </row>
    <row r="322" spans="3:7" ht="16.5" thickBot="1" x14ac:dyDescent="0.3">
      <c r="C322" s="26" t="s">
        <v>39</v>
      </c>
      <c r="D322" s="27" t="s">
        <v>12</v>
      </c>
      <c r="E322" s="28">
        <f>SUBTOTAL(109,TR_Modèle92234[Colonne1])</f>
        <v>0</v>
      </c>
      <c r="F322" s="28">
        <f>SUBTOTAL(109,TR_Modèle92234[Colonne2])</f>
        <v>0</v>
      </c>
      <c r="G322" s="29">
        <f>SUBTOTAL(109,TR_Modèle92234[Colonne3])</f>
        <v>0</v>
      </c>
    </row>
    <row r="324" spans="3:7" ht="15.75" thickBot="1" x14ac:dyDescent="0.3"/>
    <row r="325" spans="3:7" ht="18" thickBot="1" x14ac:dyDescent="0.3">
      <c r="C325" s="176" t="s">
        <v>60</v>
      </c>
      <c r="D325" s="177"/>
      <c r="E325" s="177"/>
      <c r="F325" s="177"/>
      <c r="G325" s="178"/>
    </row>
    <row r="326" spans="3:7" ht="15.75" thickBot="1" x14ac:dyDescent="0.3">
      <c r="C326" s="181"/>
      <c r="D326" s="182"/>
      <c r="E326" s="183" t="s">
        <v>13</v>
      </c>
      <c r="F326" s="184"/>
      <c r="G326" s="185"/>
    </row>
    <row r="327" spans="3:7" ht="16.5" thickBot="1" x14ac:dyDescent="0.3">
      <c r="C327" s="19" t="s">
        <v>0</v>
      </c>
      <c r="D327" s="33" t="s">
        <v>1</v>
      </c>
      <c r="E327" s="21" t="s">
        <v>57</v>
      </c>
      <c r="F327" s="21" t="s">
        <v>58</v>
      </c>
      <c r="G327" s="21" t="s">
        <v>59</v>
      </c>
    </row>
    <row r="328" spans="3:7" x14ac:dyDescent="0.25">
      <c r="C328" s="32"/>
      <c r="D328" s="34" t="e">
        <f>VLOOKUP(TR_Modèle92335[[#This Row],[Ingrédients]],T_ingrédients[],3,0)</f>
        <v>#N/A</v>
      </c>
      <c r="E328" s="40"/>
      <c r="F328" s="41"/>
      <c r="G328" s="40"/>
    </row>
    <row r="329" spans="3:7" x14ac:dyDescent="0.25">
      <c r="C329" s="2"/>
      <c r="D329" s="34" t="e">
        <f>VLOOKUP(TR_Modèle92335[[#This Row],[Ingrédients]],T_ingrédients[],3,0)</f>
        <v>#N/A</v>
      </c>
      <c r="E329" s="40"/>
      <c r="F329" s="41"/>
      <c r="G329" s="40"/>
    </row>
    <row r="330" spans="3:7" x14ac:dyDescent="0.25">
      <c r="C330" s="2"/>
      <c r="D330" s="34" t="e">
        <f>VLOOKUP(TR_Modèle92335[[#This Row],[Ingrédients]],T_ingrédients[],3,0)</f>
        <v>#N/A</v>
      </c>
      <c r="E330" s="40"/>
      <c r="F330" s="41"/>
      <c r="G330" s="40"/>
    </row>
    <row r="331" spans="3:7" x14ac:dyDescent="0.25">
      <c r="C331" s="2"/>
      <c r="D331" s="34" t="e">
        <f>VLOOKUP(TR_Modèle92335[[#This Row],[Ingrédients]],T_ingrédients[],3,0)</f>
        <v>#N/A</v>
      </c>
      <c r="E331" s="40"/>
      <c r="F331" s="41"/>
      <c r="G331" s="40"/>
    </row>
    <row r="332" spans="3:7" x14ac:dyDescent="0.25">
      <c r="C332" s="2"/>
      <c r="D332" s="34" t="e">
        <f>VLOOKUP(TR_Modèle92335[[#This Row],[Ingrédients]],T_ingrédients[],3,0)</f>
        <v>#N/A</v>
      </c>
      <c r="E332" s="40"/>
      <c r="F332" s="41"/>
      <c r="G332" s="40"/>
    </row>
    <row r="333" spans="3:7" x14ac:dyDescent="0.25">
      <c r="C333" s="2"/>
      <c r="D333" s="34" t="e">
        <f>VLOOKUP(TR_Modèle92335[[#This Row],[Ingrédients]],T_ingrédients[],3,0)</f>
        <v>#N/A</v>
      </c>
      <c r="E333" s="40"/>
      <c r="F333" s="41"/>
      <c r="G333" s="40"/>
    </row>
    <row r="334" spans="3:7" x14ac:dyDescent="0.25">
      <c r="C334" s="2"/>
      <c r="D334" s="34" t="e">
        <f>VLOOKUP(TR_Modèle92335[[#This Row],[Ingrédients]],T_ingrédients[],3,0)</f>
        <v>#N/A</v>
      </c>
      <c r="E334" s="40"/>
      <c r="F334" s="41"/>
      <c r="G334" s="40"/>
    </row>
    <row r="335" spans="3:7" x14ac:dyDescent="0.25">
      <c r="C335" s="2"/>
      <c r="D335" s="34" t="e">
        <f>VLOOKUP(TR_Modèle92335[[#This Row],[Ingrédients]],T_ingrédients[],3,0)</f>
        <v>#N/A</v>
      </c>
      <c r="E335" s="40"/>
      <c r="F335" s="41"/>
      <c r="G335" s="40"/>
    </row>
    <row r="336" spans="3:7" x14ac:dyDescent="0.25">
      <c r="C336" s="2"/>
      <c r="D336" s="34" t="e">
        <f>VLOOKUP(TR_Modèle92335[[#This Row],[Ingrédients]],T_ingrédients[],3,0)</f>
        <v>#N/A</v>
      </c>
      <c r="E336" s="40"/>
      <c r="F336" s="41"/>
      <c r="G336" s="40"/>
    </row>
    <row r="337" spans="3:7" x14ac:dyDescent="0.25">
      <c r="C337" s="2"/>
      <c r="D337" s="34" t="e">
        <f>VLOOKUP(TR_Modèle92335[[#This Row],[Ingrédients]],T_ingrédients[],3,0)</f>
        <v>#N/A</v>
      </c>
      <c r="E337" s="40"/>
      <c r="F337" s="41"/>
      <c r="G337" s="40"/>
    </row>
    <row r="338" spans="3:7" x14ac:dyDescent="0.25">
      <c r="C338" s="2"/>
      <c r="D338" s="34" t="e">
        <f>VLOOKUP(TR_Modèle92335[[#This Row],[Ingrédients]],T_ingrédients[],3,0)</f>
        <v>#N/A</v>
      </c>
      <c r="E338" s="40"/>
      <c r="F338" s="41"/>
      <c r="G338" s="40"/>
    </row>
    <row r="339" spans="3:7" x14ac:dyDescent="0.25">
      <c r="C339" s="2"/>
      <c r="D339" s="34" t="e">
        <f>VLOOKUP(TR_Modèle92335[[#This Row],[Ingrédients]],T_ingrédients[],3,0)</f>
        <v>#N/A</v>
      </c>
      <c r="E339" s="40"/>
      <c r="F339" s="41"/>
      <c r="G339" s="40"/>
    </row>
    <row r="340" spans="3:7" x14ac:dyDescent="0.25">
      <c r="C340" s="2"/>
      <c r="D340" s="34" t="e">
        <f>VLOOKUP(TR_Modèle92335[[#This Row],[Ingrédients]],T_ingrédients[],3,0)</f>
        <v>#N/A</v>
      </c>
      <c r="E340" s="40"/>
      <c r="F340" s="41"/>
      <c r="G340" s="40"/>
    </row>
    <row r="341" spans="3:7" x14ac:dyDescent="0.25">
      <c r="C341" s="2"/>
      <c r="D341" s="34" t="e">
        <f>VLOOKUP(TR_Modèle92335[[#This Row],[Ingrédients]],T_ingrédients[],3,0)</f>
        <v>#N/A</v>
      </c>
      <c r="E341" s="40"/>
      <c r="F341" s="41"/>
      <c r="G341" s="40"/>
    </row>
    <row r="342" spans="3:7" x14ac:dyDescent="0.25">
      <c r="C342" s="2"/>
      <c r="D342" s="34" t="e">
        <f>VLOOKUP(TR_Modèle92335[[#This Row],[Ingrédients]],T_ingrédients[],3,0)</f>
        <v>#N/A</v>
      </c>
      <c r="E342" s="40"/>
      <c r="F342" s="41"/>
      <c r="G342" s="40"/>
    </row>
    <row r="343" spans="3:7" x14ac:dyDescent="0.25">
      <c r="C343" s="2"/>
      <c r="D343" s="34" t="e">
        <f>VLOOKUP(TR_Modèle92335[[#This Row],[Ingrédients]],T_ingrédients[],3,0)</f>
        <v>#N/A</v>
      </c>
      <c r="E343" s="40"/>
      <c r="F343" s="41"/>
      <c r="G343" s="40"/>
    </row>
    <row r="344" spans="3:7" x14ac:dyDescent="0.25">
      <c r="C344" s="2"/>
      <c r="D344" s="34" t="e">
        <f>VLOOKUP(TR_Modèle92335[[#This Row],[Ingrédients]],T_ingrédients[],3,0)</f>
        <v>#N/A</v>
      </c>
      <c r="E344" s="40"/>
      <c r="F344" s="41"/>
      <c r="G344" s="40"/>
    </row>
    <row r="345" spans="3:7" x14ac:dyDescent="0.25">
      <c r="C345" s="2"/>
      <c r="D345" s="34" t="e">
        <f>VLOOKUP(TR_Modèle92335[[#This Row],[Ingrédients]],T_ingrédients[],3,0)</f>
        <v>#N/A</v>
      </c>
      <c r="E345" s="40"/>
      <c r="F345" s="41"/>
      <c r="G345" s="40"/>
    </row>
    <row r="346" spans="3:7" x14ac:dyDescent="0.25">
      <c r="C346" s="2"/>
      <c r="D346" s="34" t="e">
        <f>VLOOKUP(TR_Modèle92335[[#This Row],[Ingrédients]],T_ingrédients[],3,0)</f>
        <v>#N/A</v>
      </c>
      <c r="E346" s="40"/>
      <c r="F346" s="41"/>
      <c r="G346" s="40"/>
    </row>
    <row r="347" spans="3:7" x14ac:dyDescent="0.25">
      <c r="C347" s="2"/>
      <c r="D347" s="34" t="e">
        <f>VLOOKUP(TR_Modèle92335[[#This Row],[Ingrédients]],T_ingrédients[],3,0)</f>
        <v>#N/A</v>
      </c>
      <c r="E347" s="40"/>
      <c r="F347" s="41"/>
      <c r="G347" s="40"/>
    </row>
    <row r="348" spans="3:7" x14ac:dyDescent="0.25">
      <c r="C348" s="2"/>
      <c r="D348" s="34" t="e">
        <f>VLOOKUP(TR_Modèle92335[[#This Row],[Ingrédients]],T_ingrédients[],3,0)</f>
        <v>#N/A</v>
      </c>
      <c r="E348" s="40"/>
      <c r="F348" s="41"/>
      <c r="G348" s="40"/>
    </row>
    <row r="349" spans="3:7" x14ac:dyDescent="0.25">
      <c r="C349" s="2"/>
      <c r="D349" s="34" t="e">
        <f>VLOOKUP(TR_Modèle92335[[#This Row],[Ingrédients]],T_ingrédients[],3,0)</f>
        <v>#N/A</v>
      </c>
      <c r="E349" s="40"/>
      <c r="F349" s="41"/>
      <c r="G349" s="40"/>
    </row>
    <row r="350" spans="3:7" x14ac:dyDescent="0.25">
      <c r="C350" s="2"/>
      <c r="D350" s="34" t="e">
        <f>VLOOKUP(TR_Modèle92335[[#This Row],[Ingrédients]],T_ingrédients[],3,0)</f>
        <v>#N/A</v>
      </c>
      <c r="E350" s="40"/>
      <c r="F350" s="41"/>
      <c r="G350" s="40"/>
    </row>
    <row r="351" spans="3:7" x14ac:dyDescent="0.25">
      <c r="C351" s="2"/>
      <c r="D351" s="34" t="e">
        <f>VLOOKUP(TR_Modèle92335[[#This Row],[Ingrédients]],T_ingrédients[],3,0)</f>
        <v>#N/A</v>
      </c>
      <c r="E351" s="40"/>
      <c r="F351" s="41"/>
      <c r="G351" s="40"/>
    </row>
    <row r="352" spans="3:7" x14ac:dyDescent="0.25">
      <c r="C352" s="2"/>
      <c r="D352" s="34" t="e">
        <f>VLOOKUP(TR_Modèle92335[[#This Row],[Ingrédients]],T_ingrédients[],3,0)</f>
        <v>#N/A</v>
      </c>
      <c r="E352" s="40"/>
      <c r="F352" s="41"/>
      <c r="G352" s="40"/>
    </row>
    <row r="353" spans="3:7" x14ac:dyDescent="0.25">
      <c r="C353" s="2"/>
      <c r="D353" s="34" t="e">
        <f>VLOOKUP(TR_Modèle92335[[#This Row],[Ingrédients]],T_ingrédients[],3,0)</f>
        <v>#N/A</v>
      </c>
      <c r="E353" s="40"/>
      <c r="F353" s="41"/>
      <c r="G353" s="40"/>
    </row>
    <row r="354" spans="3:7" x14ac:dyDescent="0.25">
      <c r="C354" s="2"/>
      <c r="D354" s="34" t="e">
        <f>VLOOKUP(TR_Modèle92335[[#This Row],[Ingrédients]],T_ingrédients[],3,0)</f>
        <v>#N/A</v>
      </c>
      <c r="E354" s="40"/>
      <c r="F354" s="41"/>
      <c r="G354" s="40"/>
    </row>
    <row r="355" spans="3:7" ht="15.75" thickBot="1" x14ac:dyDescent="0.3">
      <c r="C355" s="2"/>
      <c r="D355" s="34" t="e">
        <f>VLOOKUP(TR_Modèle92335[[#This Row],[Ingrédients]],T_ingrédients[],3,0)</f>
        <v>#N/A</v>
      </c>
      <c r="E355" s="40"/>
      <c r="F355" s="41"/>
      <c r="G355" s="40"/>
    </row>
    <row r="356" spans="3:7" ht="16.5" thickBot="1" x14ac:dyDescent="0.3">
      <c r="C356" s="26" t="s">
        <v>39</v>
      </c>
      <c r="D356" s="27" t="s">
        <v>12</v>
      </c>
      <c r="E356" s="28">
        <f>SUBTOTAL(109,TR_Modèle92335[Colonne1])</f>
        <v>0</v>
      </c>
      <c r="F356" s="28">
        <f>SUBTOTAL(109,TR_Modèle92335[Colonne2])</f>
        <v>0</v>
      </c>
      <c r="G356" s="29">
        <f>SUBTOTAL(109,TR_Modèle92335[Colonne3])</f>
        <v>0</v>
      </c>
    </row>
  </sheetData>
  <mergeCells count="47">
    <mergeCell ref="C2:G2"/>
    <mergeCell ref="C3:D3"/>
    <mergeCell ref="E3:G3"/>
    <mergeCell ref="C122:D122"/>
    <mergeCell ref="E122:G122"/>
    <mergeCell ref="C24:G24"/>
    <mergeCell ref="C25:D25"/>
    <mergeCell ref="E25:G25"/>
    <mergeCell ref="C64:G64"/>
    <mergeCell ref="C65:D65"/>
    <mergeCell ref="E65:G65"/>
    <mergeCell ref="C325:G325"/>
    <mergeCell ref="C326:D326"/>
    <mergeCell ref="E326:G326"/>
    <mergeCell ref="C223:G223"/>
    <mergeCell ref="C224:D224"/>
    <mergeCell ref="E224:G224"/>
    <mergeCell ref="C257:G257"/>
    <mergeCell ref="C258:D258"/>
    <mergeCell ref="E258:G258"/>
    <mergeCell ref="C44:G44"/>
    <mergeCell ref="C45:D45"/>
    <mergeCell ref="E45:G45"/>
    <mergeCell ref="C291:G291"/>
    <mergeCell ref="C292:D292"/>
    <mergeCell ref="E292:G292"/>
    <mergeCell ref="C155:G155"/>
    <mergeCell ref="C156:D156"/>
    <mergeCell ref="E156:G156"/>
    <mergeCell ref="C189:G189"/>
    <mergeCell ref="C190:D190"/>
    <mergeCell ref="E190:G190"/>
    <mergeCell ref="C87:G87"/>
    <mergeCell ref="C88:D88"/>
    <mergeCell ref="E88:G88"/>
    <mergeCell ref="C121:G121"/>
    <mergeCell ref="B59:B60"/>
    <mergeCell ref="B82:B83"/>
    <mergeCell ref="B77:B81"/>
    <mergeCell ref="B17:B18"/>
    <mergeCell ref="B13:B16"/>
    <mergeCell ref="B35:B36"/>
    <mergeCell ref="B37:B38"/>
    <mergeCell ref="B57:B58"/>
    <mergeCell ref="B55:B56"/>
    <mergeCell ref="B19:B20"/>
    <mergeCell ref="B39:B40"/>
  </mergeCells>
  <dataValidations count="1">
    <dataValidation type="list" allowBlank="1" showInputMessage="1" sqref="C5:C20 C328:C355 C67:C83 C90:C117 C124:C151 C158:C185 C192:C219 C226:C253 C260:C287 C294:C321 C27:C40 C42:C43 C47:C60" xr:uid="{00000000-0002-0000-0200-000000000000}">
      <formula1>L_ingrédients</formula1>
    </dataValidation>
  </dataValidation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T163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2" max="2" width="11.7109375" customWidth="1"/>
    <col min="3" max="3" width="40.7109375" customWidth="1"/>
    <col min="8" max="9" width="11.7109375" customWidth="1"/>
    <col min="10" max="10" width="40.7109375" customWidth="1"/>
    <col min="11" max="14" width="11.7109375" customWidth="1"/>
  </cols>
  <sheetData>
    <row r="1" spans="3:16" ht="16.149999999999999" customHeight="1" thickBot="1" x14ac:dyDescent="0.3"/>
    <row r="2" spans="3:16" ht="18" customHeight="1" thickBot="1" x14ac:dyDescent="0.3">
      <c r="C2" s="176" t="s">
        <v>250</v>
      </c>
      <c r="D2" s="177"/>
      <c r="E2" s="177"/>
      <c r="F2" s="177"/>
      <c r="G2" s="178"/>
      <c r="O2" s="15"/>
      <c r="P2" s="15"/>
    </row>
    <row r="3" spans="3:16" ht="15.75" thickBot="1" x14ac:dyDescent="0.3">
      <c r="C3" s="99"/>
      <c r="D3" s="10"/>
      <c r="E3" s="183" t="s">
        <v>62</v>
      </c>
      <c r="F3" s="184"/>
      <c r="G3" s="185"/>
      <c r="O3" s="15"/>
      <c r="P3" s="15"/>
    </row>
    <row r="4" spans="3:16" ht="16.5" thickBot="1" x14ac:dyDescent="0.3">
      <c r="C4" s="19" t="s">
        <v>0</v>
      </c>
      <c r="D4" s="33" t="s">
        <v>1</v>
      </c>
      <c r="E4" s="21" t="s">
        <v>251</v>
      </c>
      <c r="F4" s="21" t="s">
        <v>47</v>
      </c>
      <c r="G4" s="21" t="s">
        <v>48</v>
      </c>
      <c r="O4" s="15"/>
      <c r="P4" s="15"/>
    </row>
    <row r="5" spans="3:16" x14ac:dyDescent="0.25">
      <c r="C5" s="32" t="s">
        <v>8</v>
      </c>
      <c r="D5" s="34" t="str">
        <f>VLOOKUP(R_Banana_Bread[[#This Row],[Ingrédients]],T_ingrédients[],3,0)</f>
        <v>g</v>
      </c>
      <c r="E5" s="40"/>
      <c r="F5" s="41"/>
      <c r="G5" s="40"/>
      <c r="O5" s="15"/>
      <c r="P5" s="15"/>
    </row>
    <row r="6" spans="3:16" x14ac:dyDescent="0.25">
      <c r="C6" s="2" t="s">
        <v>6</v>
      </c>
      <c r="D6" s="34" t="str">
        <f>VLOOKUP(R_Banana_Bread[[#This Row],[Ingrédients]],T_ingrédients[],3,0)</f>
        <v>g</v>
      </c>
      <c r="E6" s="40"/>
      <c r="F6" s="41"/>
      <c r="G6" s="40"/>
      <c r="O6" s="15"/>
      <c r="P6" s="15"/>
    </row>
    <row r="7" spans="3:16" x14ac:dyDescent="0.25">
      <c r="C7" s="2" t="s">
        <v>185</v>
      </c>
      <c r="D7" s="34" t="str">
        <f>VLOOKUP(R_Banana_Bread[[#This Row],[Ingrédients]],T_ingrédients[],3,0)</f>
        <v>g</v>
      </c>
      <c r="E7" s="40"/>
      <c r="F7" s="41"/>
      <c r="G7" s="40"/>
      <c r="O7" s="15"/>
      <c r="P7" s="15"/>
    </row>
    <row r="8" spans="3:16" x14ac:dyDescent="0.25">
      <c r="C8" s="2" t="s">
        <v>165</v>
      </c>
      <c r="D8" s="34" t="str">
        <f>VLOOKUP(R_Banana_Bread[[#This Row],[Ingrédients]],T_ingrédients[],3,0)</f>
        <v>g</v>
      </c>
      <c r="E8" s="40"/>
      <c r="F8" s="41"/>
      <c r="G8" s="40"/>
      <c r="O8" s="15"/>
      <c r="P8" s="15"/>
    </row>
    <row r="9" spans="3:16" x14ac:dyDescent="0.25">
      <c r="C9" s="2" t="s">
        <v>149</v>
      </c>
      <c r="D9" s="34" t="str">
        <f>VLOOKUP(R_Banana_Bread[[#This Row],[Ingrédients]],T_ingrédients[],3,0)</f>
        <v>g</v>
      </c>
      <c r="E9" s="40"/>
      <c r="F9" s="41"/>
      <c r="G9" s="40"/>
      <c r="O9" s="15"/>
      <c r="P9" s="15"/>
    </row>
    <row r="10" spans="3:16" x14ac:dyDescent="0.25">
      <c r="C10" s="2" t="s">
        <v>18</v>
      </c>
      <c r="D10" s="34" t="str">
        <f>VLOOKUP(R_Banana_Bread[[#This Row],[Ingrédients]],T_ingrédients[],3,0)</f>
        <v>g</v>
      </c>
      <c r="E10" s="40"/>
      <c r="F10" s="41"/>
      <c r="G10" s="40"/>
      <c r="O10" s="15"/>
      <c r="P10" s="15"/>
    </row>
    <row r="11" spans="3:16" x14ac:dyDescent="0.25">
      <c r="C11" s="2" t="s">
        <v>166</v>
      </c>
      <c r="D11" s="34" t="str">
        <f>VLOOKUP(R_Banana_Bread[[#This Row],[Ingrédients]],T_ingrédients[],3,0)</f>
        <v>g</v>
      </c>
      <c r="E11" s="40"/>
      <c r="F11" s="41"/>
      <c r="G11" s="40"/>
      <c r="O11" s="15"/>
      <c r="P11" s="15"/>
    </row>
    <row r="12" spans="3:16" x14ac:dyDescent="0.25">
      <c r="C12" s="2" t="s">
        <v>163</v>
      </c>
      <c r="D12" s="34" t="str">
        <f>VLOOKUP(R_Banana_Bread[[#This Row],[Ingrédients]],T_ingrédients[],3,0)</f>
        <v>g</v>
      </c>
      <c r="E12" s="40"/>
      <c r="F12" s="41"/>
      <c r="G12" s="40"/>
      <c r="O12" s="15"/>
      <c r="P12" s="15"/>
    </row>
    <row r="13" spans="3:16" x14ac:dyDescent="0.25">
      <c r="C13" s="2" t="s">
        <v>207</v>
      </c>
      <c r="D13" s="34" t="str">
        <f>VLOOKUP(R_Banana_Bread[[#This Row],[Ingrédients]],T_ingrédients[],3,0)</f>
        <v>g</v>
      </c>
      <c r="E13" s="40"/>
      <c r="F13" s="41"/>
      <c r="G13" s="40"/>
      <c r="O13" s="15"/>
      <c r="P13" s="15"/>
    </row>
    <row r="14" spans="3:16" x14ac:dyDescent="0.25">
      <c r="C14" s="2" t="s">
        <v>21</v>
      </c>
      <c r="D14" s="34" t="str">
        <f>VLOOKUP(R_Banana_Bread[[#This Row],[Ingrédients]],T_ingrédients[],3,0)</f>
        <v>g</v>
      </c>
      <c r="E14" s="40"/>
      <c r="F14" s="41"/>
      <c r="G14" s="40"/>
      <c r="O14" s="15"/>
      <c r="P14" s="15"/>
    </row>
    <row r="15" spans="3:16" x14ac:dyDescent="0.25">
      <c r="C15" s="2" t="s">
        <v>10</v>
      </c>
      <c r="D15" s="34" t="str">
        <f>VLOOKUP(R_Banana_Bread[[#This Row],[Ingrédients]],T_ingrédients[],3,0)</f>
        <v>g</v>
      </c>
      <c r="E15" s="40"/>
      <c r="F15" s="41"/>
      <c r="G15" s="40"/>
      <c r="O15" s="15"/>
      <c r="P15" s="15"/>
    </row>
    <row r="16" spans="3:16" x14ac:dyDescent="0.25">
      <c r="C16" s="2" t="s">
        <v>151</v>
      </c>
      <c r="D16" s="34" t="str">
        <f>VLOOKUP(R_Banana_Bread[[#This Row],[Ingrédients]],T_ingrédients[],3,0)</f>
        <v>g</v>
      </c>
      <c r="E16" s="40"/>
      <c r="F16" s="41"/>
      <c r="G16" s="40"/>
      <c r="O16" s="15"/>
      <c r="P16" s="15"/>
    </row>
    <row r="17" spans="3:20" x14ac:dyDescent="0.25">
      <c r="C17" s="2" t="s">
        <v>16</v>
      </c>
      <c r="D17" s="34" t="str">
        <f>VLOOKUP(R_Banana_Bread[[#This Row],[Ingrédients]],T_ingrédients[],3,0)</f>
        <v>g</v>
      </c>
      <c r="E17" s="40"/>
      <c r="F17" s="41"/>
      <c r="G17" s="40"/>
      <c r="H17" s="3"/>
      <c r="I17" s="3"/>
      <c r="J17" s="3"/>
      <c r="K17" s="3"/>
      <c r="L17" s="3"/>
      <c r="M17" s="3"/>
    </row>
    <row r="18" spans="3:20" x14ac:dyDescent="0.25">
      <c r="C18" s="2" t="s">
        <v>219</v>
      </c>
      <c r="D18" s="34" t="str">
        <f>VLOOKUP(R_Banana_Bread[[#This Row],[Ingrédients]],T_ingrédients[],3,0)</f>
        <v>g</v>
      </c>
      <c r="E18" s="40"/>
      <c r="F18" s="41"/>
      <c r="G18" s="40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3:20" ht="15.75" thickBot="1" x14ac:dyDescent="0.3">
      <c r="C19" s="2" t="s">
        <v>175</v>
      </c>
      <c r="D19" s="34" t="str">
        <f>VLOOKUP(R_Banana_Bread[[#This Row],[Ingrédients]],T_ingrédients[],3,0)</f>
        <v>g</v>
      </c>
      <c r="E19" s="40"/>
      <c r="F19" s="41"/>
      <c r="G19" s="40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3:20" ht="16.5" thickBot="1" x14ac:dyDescent="0.3">
      <c r="C20" s="26" t="s">
        <v>39</v>
      </c>
      <c r="D20" s="27" t="s">
        <v>12</v>
      </c>
      <c r="E20" s="28">
        <f>SUBTOTAL(109,R_Banana_Bread[1000])</f>
        <v>0</v>
      </c>
      <c r="F20" s="28">
        <f>SUBTOTAL(109,R_Banana_Bread[1800])</f>
        <v>0</v>
      </c>
      <c r="G20" s="29">
        <f>SUBTOTAL(109,R_Banana_Bread[2400])</f>
        <v>0</v>
      </c>
      <c r="H20" s="3"/>
      <c r="I20" s="3"/>
      <c r="J20" s="110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3:20" x14ac:dyDescent="0.25">
      <c r="H21" s="4"/>
      <c r="I21" s="4"/>
      <c r="J21" s="110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3:20" ht="14.45" customHeight="1" thickBot="1" x14ac:dyDescent="0.3">
      <c r="H22" s="5"/>
      <c r="I22" s="5"/>
      <c r="J22" s="110"/>
      <c r="K22" s="3"/>
      <c r="L22" s="4"/>
      <c r="M22" s="105"/>
      <c r="N22" s="4"/>
      <c r="O22" s="4"/>
      <c r="P22" s="4"/>
      <c r="Q22" s="4"/>
      <c r="R22" s="3"/>
      <c r="S22" s="3"/>
      <c r="T22" s="3"/>
    </row>
    <row r="23" spans="3:20" ht="14.45" customHeight="1" thickBot="1" x14ac:dyDescent="0.3">
      <c r="C23" s="176" t="s">
        <v>252</v>
      </c>
      <c r="D23" s="177"/>
      <c r="E23" s="177"/>
      <c r="F23" s="177"/>
      <c r="G23" s="178"/>
      <c r="H23" s="5"/>
      <c r="I23" s="5"/>
      <c r="J23" s="103"/>
      <c r="K23" s="1"/>
      <c r="L23" s="106"/>
      <c r="M23" s="5"/>
      <c r="N23" s="5"/>
      <c r="O23" s="5"/>
      <c r="P23" s="5"/>
      <c r="Q23" s="106"/>
      <c r="R23" s="3"/>
      <c r="S23" s="3"/>
      <c r="T23" s="3"/>
    </row>
    <row r="24" spans="3:20" ht="14.45" customHeight="1" thickBot="1" x14ac:dyDescent="0.3">
      <c r="C24" s="56"/>
      <c r="D24" s="57"/>
      <c r="E24" s="183" t="s">
        <v>62</v>
      </c>
      <c r="F24" s="184"/>
      <c r="G24" s="185"/>
      <c r="H24" s="5"/>
      <c r="I24" s="5"/>
      <c r="J24" s="103"/>
      <c r="K24" s="1"/>
      <c r="L24" s="106"/>
      <c r="M24" s="5"/>
      <c r="N24" s="5"/>
      <c r="O24" s="5"/>
      <c r="P24" s="5"/>
      <c r="Q24" s="106"/>
      <c r="R24" s="3"/>
      <c r="S24" s="3"/>
      <c r="T24" s="3"/>
    </row>
    <row r="25" spans="3:20" ht="14.45" customHeight="1" thickBot="1" x14ac:dyDescent="0.3">
      <c r="C25" s="19" t="s">
        <v>0</v>
      </c>
      <c r="D25" s="33" t="s">
        <v>1</v>
      </c>
      <c r="E25" s="21" t="s">
        <v>251</v>
      </c>
      <c r="F25" s="21" t="s">
        <v>47</v>
      </c>
      <c r="G25" s="21" t="s">
        <v>48</v>
      </c>
      <c r="H25" s="5"/>
      <c r="I25" s="5"/>
      <c r="J25" s="103"/>
      <c r="K25" s="1"/>
      <c r="L25" s="107"/>
      <c r="M25" s="8"/>
      <c r="N25" s="8"/>
      <c r="O25" s="8"/>
      <c r="P25" s="8"/>
      <c r="Q25" s="107"/>
      <c r="R25" s="3"/>
      <c r="S25" s="3"/>
      <c r="T25" s="3"/>
    </row>
    <row r="26" spans="3:20" ht="14.45" customHeight="1" x14ac:dyDescent="0.25">
      <c r="C26" s="32" t="s">
        <v>228</v>
      </c>
      <c r="D26" s="34" t="str">
        <f>VLOOKUP(R_Cake_Orange[[#This Row],[Ingrédients]],T_ingrédients[],3,0)</f>
        <v>g</v>
      </c>
      <c r="E26" s="40"/>
      <c r="F26" s="41"/>
      <c r="G26" s="40"/>
      <c r="H26" s="5"/>
      <c r="I26" s="5"/>
      <c r="J26" s="103"/>
      <c r="K26" s="1"/>
      <c r="L26" s="106"/>
      <c r="M26" s="5"/>
      <c r="N26" s="5"/>
      <c r="O26" s="5"/>
      <c r="P26" s="5"/>
      <c r="Q26" s="106"/>
      <c r="R26" s="3"/>
      <c r="S26" s="3"/>
      <c r="T26" s="3"/>
    </row>
    <row r="27" spans="3:20" ht="14.45" customHeight="1" x14ac:dyDescent="0.25">
      <c r="C27" s="2" t="s">
        <v>6</v>
      </c>
      <c r="D27" s="34" t="str">
        <f>VLOOKUP(R_Cake_Orange[[#This Row],[Ingrédients]],T_ingrédients[],3,0)</f>
        <v>g</v>
      </c>
      <c r="E27" s="40"/>
      <c r="F27" s="41"/>
      <c r="G27" s="40"/>
      <c r="H27" s="5"/>
      <c r="I27" s="5"/>
      <c r="J27" s="103"/>
      <c r="K27" s="1"/>
      <c r="L27" s="106"/>
      <c r="M27" s="5"/>
      <c r="N27" s="5"/>
      <c r="O27" s="5"/>
      <c r="P27" s="5"/>
      <c r="Q27" s="106"/>
      <c r="R27" s="3"/>
      <c r="S27" s="3"/>
      <c r="T27" s="3"/>
    </row>
    <row r="28" spans="3:20" ht="14.45" customHeight="1" x14ac:dyDescent="0.25">
      <c r="C28" s="2" t="s">
        <v>189</v>
      </c>
      <c r="D28" s="34" t="str">
        <f>VLOOKUP(R_Cake_Orange[[#This Row],[Ingrédients]],T_ingrédients[],3,0)</f>
        <v>g</v>
      </c>
      <c r="E28" s="40"/>
      <c r="F28" s="41"/>
      <c r="G28" s="40"/>
      <c r="H28" s="5"/>
      <c r="I28" s="5"/>
      <c r="J28" s="103"/>
      <c r="K28" s="1"/>
      <c r="L28" s="106"/>
      <c r="M28" s="5"/>
      <c r="N28" s="5"/>
      <c r="O28" s="5"/>
      <c r="P28" s="5"/>
      <c r="Q28" s="106"/>
      <c r="R28" s="3"/>
      <c r="S28" s="3"/>
      <c r="T28" s="3"/>
    </row>
    <row r="29" spans="3:20" ht="14.45" customHeight="1" x14ac:dyDescent="0.25">
      <c r="C29" s="2" t="s">
        <v>6</v>
      </c>
      <c r="D29" s="34" t="str">
        <f>VLOOKUP(R_Cake_Orange[[#This Row],[Ingrédients]],T_ingrédients[],3,0)</f>
        <v>g</v>
      </c>
      <c r="E29" s="40"/>
      <c r="F29" s="41"/>
      <c r="G29" s="40"/>
      <c r="H29" s="8"/>
      <c r="I29" s="8"/>
      <c r="J29" s="103"/>
      <c r="K29" s="1"/>
      <c r="L29" s="106"/>
      <c r="M29" s="5"/>
      <c r="N29" s="5"/>
      <c r="O29" s="5"/>
      <c r="P29" s="5"/>
      <c r="Q29" s="106"/>
      <c r="R29" s="3"/>
      <c r="S29" s="3"/>
      <c r="T29" s="3"/>
    </row>
    <row r="30" spans="3:20" ht="14.45" customHeight="1" x14ac:dyDescent="0.25">
      <c r="C30" s="2" t="s">
        <v>184</v>
      </c>
      <c r="D30" s="34" t="str">
        <f>VLOOKUP(R_Cake_Orange[[#This Row],[Ingrédients]],T_ingrédients[],3,0)</f>
        <v>g</v>
      </c>
      <c r="E30" s="40"/>
      <c r="F30" s="41"/>
      <c r="G30" s="40"/>
      <c r="H30" s="8"/>
      <c r="I30" s="8"/>
      <c r="J30" s="103"/>
      <c r="K30" s="1"/>
      <c r="L30" s="106"/>
      <c r="M30" s="5"/>
      <c r="N30" s="5"/>
      <c r="O30" s="5"/>
      <c r="P30" s="5"/>
      <c r="Q30" s="106"/>
      <c r="R30" s="3"/>
      <c r="S30" s="3"/>
      <c r="T30" s="3"/>
    </row>
    <row r="31" spans="3:20" ht="14.45" customHeight="1" x14ac:dyDescent="0.25">
      <c r="C31" s="2" t="s">
        <v>237</v>
      </c>
      <c r="D31" s="34" t="str">
        <f>VLOOKUP(R_Cake_Orange[[#This Row],[Ingrédients]],T_ingrédients[],3,0)</f>
        <v>g</v>
      </c>
      <c r="E31" s="40"/>
      <c r="F31" s="41"/>
      <c r="G31" s="40"/>
      <c r="H31" s="5"/>
      <c r="I31" s="5"/>
      <c r="J31" s="103"/>
      <c r="K31" s="1"/>
      <c r="L31" s="106"/>
      <c r="M31" s="5"/>
      <c r="N31" s="5"/>
      <c r="O31" s="5"/>
      <c r="P31" s="5"/>
      <c r="Q31" s="106"/>
      <c r="R31" s="3"/>
      <c r="S31" s="3"/>
      <c r="T31" s="3"/>
    </row>
    <row r="32" spans="3:20" ht="14.45" customHeight="1" x14ac:dyDescent="0.25">
      <c r="C32" s="2" t="s">
        <v>233</v>
      </c>
      <c r="D32" s="34" t="str">
        <f>VLOOKUP(R_Cake_Orange[[#This Row],[Ingrédients]],T_ingrédients[],3,0)</f>
        <v>gousse</v>
      </c>
      <c r="E32" s="40"/>
      <c r="F32" s="41"/>
      <c r="G32" s="40"/>
      <c r="H32" s="5"/>
      <c r="I32" s="5"/>
      <c r="J32" s="103"/>
      <c r="K32" s="1"/>
      <c r="L32" s="107"/>
      <c r="M32" s="8"/>
      <c r="N32" s="8"/>
      <c r="O32" s="8"/>
      <c r="P32" s="8"/>
      <c r="Q32" s="107"/>
      <c r="R32" s="3"/>
      <c r="S32" s="3"/>
      <c r="T32" s="3"/>
    </row>
    <row r="33" spans="2:20" ht="14.45" customHeight="1" x14ac:dyDescent="0.25">
      <c r="C33" s="2" t="s">
        <v>16</v>
      </c>
      <c r="D33" s="34" t="str">
        <f>VLOOKUP(R_Cake_Orange[[#This Row],[Ingrédients]],T_ingrédients[],3,0)</f>
        <v>g</v>
      </c>
      <c r="E33" s="40"/>
      <c r="F33" s="41"/>
      <c r="G33" s="40"/>
      <c r="H33" s="9"/>
      <c r="I33" s="9"/>
      <c r="J33" s="103"/>
      <c r="K33" s="1"/>
      <c r="L33" s="106"/>
      <c r="M33" s="5"/>
      <c r="N33" s="5"/>
      <c r="O33" s="5"/>
      <c r="P33" s="5"/>
      <c r="Q33" s="106"/>
      <c r="R33" s="3"/>
      <c r="S33" s="3"/>
      <c r="T33" s="3"/>
    </row>
    <row r="34" spans="2:20" ht="14.45" customHeight="1" x14ac:dyDescent="0.25">
      <c r="C34" s="2" t="s">
        <v>8</v>
      </c>
      <c r="D34" s="34" t="str">
        <f>VLOOKUP(R_Cake_Orange[[#This Row],[Ingrédients]],T_ingrédients[],3,0)</f>
        <v>g</v>
      </c>
      <c r="E34" s="40"/>
      <c r="F34" s="41"/>
      <c r="G34" s="40"/>
      <c r="J34" s="108"/>
      <c r="K34" s="4"/>
      <c r="L34" s="9"/>
      <c r="M34" s="9"/>
      <c r="N34" s="9"/>
      <c r="O34" s="9"/>
      <c r="P34" s="9"/>
      <c r="Q34" s="9"/>
      <c r="R34" s="3"/>
      <c r="S34" s="3"/>
      <c r="T34" s="3"/>
    </row>
    <row r="35" spans="2:20" x14ac:dyDescent="0.25">
      <c r="C35" s="2" t="s">
        <v>17</v>
      </c>
      <c r="D35" s="34" t="str">
        <f>VLOOKUP(R_Cake_Orange[[#This Row],[Ingrédients]],T_ingrédients[],3,0)</f>
        <v>g</v>
      </c>
      <c r="E35" s="40"/>
      <c r="F35" s="41"/>
      <c r="G35" s="40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</row>
    <row r="36" spans="2:20" x14ac:dyDescent="0.25">
      <c r="C36" s="2" t="s">
        <v>4</v>
      </c>
      <c r="D36" s="34" t="str">
        <f>VLOOKUP(R_Cake_Orange[[#This Row],[Ingrédients]],T_ingrédients[],3,0)</f>
        <v>g</v>
      </c>
      <c r="E36" s="40"/>
      <c r="F36" s="41"/>
      <c r="G36" s="40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</row>
    <row r="37" spans="2:20" x14ac:dyDescent="0.25">
      <c r="C37" s="2" t="s">
        <v>21</v>
      </c>
      <c r="D37" s="34" t="str">
        <f>VLOOKUP(R_Cake_Orange[[#This Row],[Ingrédients]],T_ingrédients[],3,0)</f>
        <v>g</v>
      </c>
      <c r="E37" s="40"/>
      <c r="F37" s="41"/>
      <c r="G37" s="40"/>
      <c r="J37" s="110"/>
      <c r="K37" s="3"/>
      <c r="L37" s="3"/>
      <c r="M37" s="3"/>
      <c r="N37" s="3"/>
      <c r="O37" s="3"/>
      <c r="P37" s="3"/>
      <c r="Q37" s="3"/>
      <c r="R37" s="3"/>
      <c r="S37" s="3"/>
      <c r="T37" s="3"/>
    </row>
    <row r="38" spans="2:20" x14ac:dyDescent="0.25">
      <c r="C38" s="2" t="s">
        <v>10</v>
      </c>
      <c r="D38" s="34" t="str">
        <f>VLOOKUP(R_Cake_Orange[[#This Row],[Ingrédients]],T_ingrédients[],3,0)</f>
        <v>g</v>
      </c>
      <c r="E38" s="40"/>
      <c r="F38" s="41"/>
      <c r="G38" s="40"/>
      <c r="J38" s="110"/>
      <c r="K38" s="3"/>
      <c r="L38" s="3"/>
      <c r="M38" s="3"/>
      <c r="N38" s="3"/>
      <c r="O38" s="3"/>
      <c r="P38" s="3"/>
      <c r="Q38" s="3"/>
      <c r="R38" s="3"/>
      <c r="S38" s="3"/>
      <c r="T38" s="3"/>
    </row>
    <row r="39" spans="2:20" ht="15.75" thickBot="1" x14ac:dyDescent="0.3">
      <c r="C39" s="2" t="s">
        <v>253</v>
      </c>
      <c r="D39" s="34" t="str">
        <f>VLOOKUP(R_Cake_Orange[[#This Row],[Ingrédients]],T_ingrédients[],3,0)</f>
        <v>g</v>
      </c>
      <c r="E39" s="40"/>
      <c r="F39" s="41"/>
      <c r="G39" s="40"/>
      <c r="J39" s="110"/>
      <c r="K39" s="3"/>
      <c r="L39" s="4"/>
      <c r="M39" s="105"/>
      <c r="N39" s="4"/>
      <c r="O39" s="4"/>
      <c r="P39" s="4"/>
      <c r="Q39" s="4"/>
      <c r="R39" s="4"/>
      <c r="S39" s="3"/>
      <c r="T39" s="3"/>
    </row>
    <row r="40" spans="2:20" x14ac:dyDescent="0.25">
      <c r="B40" s="189" t="s">
        <v>256</v>
      </c>
      <c r="C40" s="2" t="s">
        <v>237</v>
      </c>
      <c r="D40" s="34" t="str">
        <f>VLOOKUP(R_Cake_Orange[[#This Row],[Ingrédients]],T_ingrédients[],3,0)</f>
        <v>g</v>
      </c>
      <c r="E40" s="40"/>
      <c r="F40" s="41"/>
      <c r="G40" s="40"/>
      <c r="I40" s="122"/>
      <c r="J40" s="103"/>
      <c r="K40" s="1"/>
      <c r="L40" s="106"/>
      <c r="M40" s="109"/>
      <c r="N40" s="5"/>
      <c r="O40" s="5"/>
      <c r="P40" s="5"/>
      <c r="Q40" s="106"/>
      <c r="R40" s="6"/>
      <c r="S40" s="1"/>
      <c r="T40" s="11"/>
    </row>
    <row r="41" spans="2:20" x14ac:dyDescent="0.25">
      <c r="B41" s="190"/>
      <c r="C41" s="2" t="s">
        <v>254</v>
      </c>
      <c r="D41" s="34" t="str">
        <f>VLOOKUP(R_Cake_Orange[[#This Row],[Ingrédients]],T_ingrédients[],3,0)</f>
        <v>g</v>
      </c>
      <c r="E41" s="40"/>
      <c r="F41" s="41"/>
      <c r="G41" s="40"/>
      <c r="I41" s="122"/>
      <c r="J41" s="103"/>
      <c r="K41" s="1"/>
      <c r="L41" s="106"/>
      <c r="M41" s="109"/>
      <c r="N41" s="5"/>
      <c r="O41" s="5"/>
      <c r="P41" s="5"/>
      <c r="Q41" s="106"/>
      <c r="R41" s="6"/>
      <c r="S41" s="1"/>
      <c r="T41" s="11"/>
    </row>
    <row r="42" spans="2:20" ht="15.75" thickBot="1" x14ac:dyDescent="0.3">
      <c r="B42" s="191"/>
      <c r="C42" s="2" t="s">
        <v>15</v>
      </c>
      <c r="D42" s="34" t="str">
        <f>VLOOKUP(R_Cake_Orange[[#This Row],[Ingrédients]],T_ingrédients[],3,0)</f>
        <v>g</v>
      </c>
      <c r="E42" s="40"/>
      <c r="F42" s="41"/>
      <c r="G42" s="40"/>
      <c r="I42" s="122"/>
      <c r="J42" s="103"/>
      <c r="K42" s="1"/>
      <c r="L42" s="106"/>
      <c r="M42" s="109"/>
      <c r="N42" s="5"/>
      <c r="O42" s="5"/>
      <c r="P42" s="5"/>
      <c r="Q42" s="106"/>
      <c r="R42" s="6"/>
      <c r="S42" s="1"/>
      <c r="T42" s="11"/>
    </row>
    <row r="43" spans="2:20" ht="16.5" thickBot="1" x14ac:dyDescent="0.3">
      <c r="C43" s="26" t="s">
        <v>39</v>
      </c>
      <c r="D43" s="27" t="s">
        <v>12</v>
      </c>
      <c r="E43" s="28">
        <f>SUBTOTAL(109,R_Cake_Orange[1000])</f>
        <v>0</v>
      </c>
      <c r="F43" s="28">
        <f>SUBTOTAL(109,R_Cake_Orange[1800])</f>
        <v>0</v>
      </c>
      <c r="G43" s="29">
        <f>SUBTOTAL(109,R_Cake_Orange[2400])</f>
        <v>0</v>
      </c>
      <c r="J43" s="108"/>
      <c r="K43" s="4"/>
      <c r="L43" s="9"/>
      <c r="M43" s="9"/>
      <c r="N43" s="9"/>
      <c r="O43" s="9"/>
      <c r="P43" s="9"/>
      <c r="Q43" s="9"/>
      <c r="R43" s="9"/>
      <c r="S43" s="4"/>
      <c r="T43" s="12"/>
    </row>
    <row r="45" spans="2:20" ht="15.75" thickBot="1" x14ac:dyDescent="0.3"/>
    <row r="46" spans="2:20" ht="18" thickBot="1" x14ac:dyDescent="0.3">
      <c r="C46" s="176" t="s">
        <v>20</v>
      </c>
      <c r="D46" s="177"/>
      <c r="E46" s="177"/>
      <c r="F46" s="177"/>
      <c r="G46" s="178"/>
    </row>
    <row r="47" spans="2:20" ht="15.75" thickBot="1" x14ac:dyDescent="0.3">
      <c r="C47" s="181"/>
      <c r="D47" s="182"/>
      <c r="E47" s="183" t="s">
        <v>62</v>
      </c>
      <c r="F47" s="184"/>
      <c r="G47" s="185"/>
    </row>
    <row r="48" spans="2:20" ht="16.5" thickBot="1" x14ac:dyDescent="0.3">
      <c r="C48" s="19" t="s">
        <v>0</v>
      </c>
      <c r="D48" s="20" t="s">
        <v>1</v>
      </c>
      <c r="E48" s="16" t="s">
        <v>251</v>
      </c>
      <c r="F48" s="16" t="s">
        <v>47</v>
      </c>
      <c r="G48" s="17" t="s">
        <v>48</v>
      </c>
    </row>
    <row r="49" spans="2:7" x14ac:dyDescent="0.25">
      <c r="C49" s="30" t="s">
        <v>4</v>
      </c>
      <c r="D49" s="42" t="str">
        <f>VLOOKUP(R_Cake_Marrons[[#This Row],[Ingrédients]],T_ingrédients[],3,0)</f>
        <v>g</v>
      </c>
      <c r="E49" s="44">
        <v>252</v>
      </c>
      <c r="F49" s="111">
        <v>336</v>
      </c>
      <c r="G49" s="44">
        <v>1008</v>
      </c>
    </row>
    <row r="50" spans="2:7" x14ac:dyDescent="0.25">
      <c r="C50" s="112" t="s">
        <v>15</v>
      </c>
      <c r="D50" s="113" t="str">
        <f>VLOOKUP(R_Cake_Marrons[[#This Row],[Ingrédients]],T_ingrédients[],3,0)</f>
        <v>g</v>
      </c>
      <c r="E50" s="114">
        <v>252</v>
      </c>
      <c r="F50" s="115">
        <v>336</v>
      </c>
      <c r="G50" s="114">
        <v>1008</v>
      </c>
    </row>
    <row r="51" spans="2:7" x14ac:dyDescent="0.25">
      <c r="C51" s="112" t="s">
        <v>16</v>
      </c>
      <c r="D51" s="113" t="str">
        <f>VLOOKUP(R_Cake_Marrons[[#This Row],[Ingrédients]],T_ingrédients[],3,0)</f>
        <v>g</v>
      </c>
      <c r="E51" s="114">
        <v>5.4</v>
      </c>
      <c r="F51" s="115">
        <v>7.2</v>
      </c>
      <c r="G51" s="114">
        <v>21.6</v>
      </c>
    </row>
    <row r="52" spans="2:7" x14ac:dyDescent="0.25">
      <c r="C52" s="112" t="s">
        <v>8</v>
      </c>
      <c r="D52" s="113" t="str">
        <f>VLOOKUP(R_Cake_Marrons[[#This Row],[Ingrédients]],T_ingrédients[],3,0)</f>
        <v>g</v>
      </c>
      <c r="E52" s="114">
        <v>189</v>
      </c>
      <c r="F52" s="115">
        <v>252</v>
      </c>
      <c r="G52" s="114">
        <v>756</v>
      </c>
    </row>
    <row r="53" spans="2:7" x14ac:dyDescent="0.25">
      <c r="C53" s="112" t="s">
        <v>18</v>
      </c>
      <c r="D53" s="113" t="str">
        <f>VLOOKUP(R_Cake_Marrons[[#This Row],[Ingrédients]],T_ingrédients[],3,0)</f>
        <v>g</v>
      </c>
      <c r="E53" s="114">
        <v>378</v>
      </c>
      <c r="F53" s="115">
        <v>504</v>
      </c>
      <c r="G53" s="114">
        <v>1512</v>
      </c>
    </row>
    <row r="54" spans="2:7" x14ac:dyDescent="0.25">
      <c r="C54" s="2" t="s">
        <v>202</v>
      </c>
      <c r="D54" s="43" t="str">
        <f>VLOOKUP(R_Cake_Marrons[[#This Row],[Ingrédients]],T_ingrédients[],3,0)</f>
        <v>g</v>
      </c>
      <c r="E54" s="40">
        <v>180</v>
      </c>
      <c r="F54" s="40">
        <v>240</v>
      </c>
      <c r="G54" s="40">
        <v>360</v>
      </c>
    </row>
    <row r="55" spans="2:7" x14ac:dyDescent="0.25">
      <c r="C55" s="112" t="s">
        <v>21</v>
      </c>
      <c r="D55" s="113" t="str">
        <f>VLOOKUP(R_Cake_Marrons[[#This Row],[Ingrédients]],T_ingrédients[],3,0)</f>
        <v>g</v>
      </c>
      <c r="E55" s="114">
        <v>405</v>
      </c>
      <c r="F55" s="115">
        <v>540</v>
      </c>
      <c r="G55" s="114">
        <v>1620</v>
      </c>
    </row>
    <row r="56" spans="2:7" ht="15.75" thickBot="1" x14ac:dyDescent="0.3">
      <c r="C56" s="31" t="s">
        <v>10</v>
      </c>
      <c r="D56" s="43" t="str">
        <f>VLOOKUP(R_Cake_Marrons[[#This Row],[Ingrédients]],T_ingrédients[],3,0)</f>
        <v>g</v>
      </c>
      <c r="E56" s="114">
        <v>9</v>
      </c>
      <c r="F56" s="115">
        <v>12</v>
      </c>
      <c r="G56" s="114">
        <v>36</v>
      </c>
    </row>
    <row r="57" spans="2:7" x14ac:dyDescent="0.25">
      <c r="B57" s="189" t="s">
        <v>257</v>
      </c>
      <c r="C57" s="31" t="s">
        <v>229</v>
      </c>
      <c r="D57" s="43" t="str">
        <f>VLOOKUP(R_Cake_Marrons[[#This Row],[Ingrédients]],T_ingrédients[],3,0)</f>
        <v>g</v>
      </c>
      <c r="E57" s="114">
        <v>180</v>
      </c>
      <c r="F57" s="116">
        <v>240</v>
      </c>
      <c r="G57" s="114">
        <v>360</v>
      </c>
    </row>
    <row r="58" spans="2:7" x14ac:dyDescent="0.25">
      <c r="B58" s="190"/>
      <c r="C58" s="31" t="s">
        <v>202</v>
      </c>
      <c r="D58" s="43" t="str">
        <f>VLOOKUP(R_Cake_Marrons[[#This Row],[Ingrédients]],T_ingrédients[],3,0)</f>
        <v>g</v>
      </c>
      <c r="E58" s="114">
        <v>180</v>
      </c>
      <c r="F58" s="116">
        <v>240</v>
      </c>
      <c r="G58" s="114">
        <v>360</v>
      </c>
    </row>
    <row r="59" spans="2:7" ht="15.75" thickBot="1" x14ac:dyDescent="0.3">
      <c r="B59" s="191"/>
      <c r="C59" s="31" t="s">
        <v>32</v>
      </c>
      <c r="D59" s="43" t="str">
        <f>VLOOKUP(R_Cake_Marrons[[#This Row],[Ingrédients]],T_ingrédients[],3,0)</f>
        <v>g</v>
      </c>
      <c r="E59" s="117">
        <v>14</v>
      </c>
      <c r="F59" s="118">
        <v>19</v>
      </c>
      <c r="G59" s="117">
        <v>29</v>
      </c>
    </row>
    <row r="60" spans="2:7" ht="16.5" thickBot="1" x14ac:dyDescent="0.3">
      <c r="C60" s="119" t="s">
        <v>39</v>
      </c>
      <c r="D60" s="120" t="s">
        <v>12</v>
      </c>
      <c r="E60" s="121">
        <f>SUBTOTAL(109,R_Cake_Marrons[1000])</f>
        <v>2044.4</v>
      </c>
      <c r="F60" s="28">
        <f>SUBTOTAL(109,R_Cake_Marrons[1800])</f>
        <v>2726.2</v>
      </c>
      <c r="G60" s="29">
        <f>SUBTOTAL(109,R_Cake_Marrons[2400])</f>
        <v>7070.6</v>
      </c>
    </row>
    <row r="62" spans="2:7" ht="15.75" thickBot="1" x14ac:dyDescent="0.3"/>
    <row r="63" spans="2:7" ht="18" thickBot="1" x14ac:dyDescent="0.3">
      <c r="C63" s="176" t="s">
        <v>100</v>
      </c>
      <c r="D63" s="177"/>
      <c r="E63" s="177"/>
      <c r="F63" s="177"/>
      <c r="G63" s="178"/>
    </row>
    <row r="64" spans="2:7" ht="15.75" thickBot="1" x14ac:dyDescent="0.3">
      <c r="C64" s="181"/>
      <c r="D64" s="182"/>
      <c r="E64" s="183" t="s">
        <v>62</v>
      </c>
      <c r="F64" s="184"/>
      <c r="G64" s="185"/>
    </row>
    <row r="65" spans="3:7" ht="16.5" thickBot="1" x14ac:dyDescent="0.3">
      <c r="C65" s="19" t="s">
        <v>0</v>
      </c>
      <c r="D65" s="33" t="s">
        <v>1</v>
      </c>
      <c r="E65" s="16" t="s">
        <v>251</v>
      </c>
      <c r="F65" s="16" t="s">
        <v>47</v>
      </c>
      <c r="G65" s="17" t="s">
        <v>48</v>
      </c>
    </row>
    <row r="66" spans="3:7" x14ac:dyDescent="0.25">
      <c r="C66" s="32" t="s">
        <v>184</v>
      </c>
      <c r="D66" s="34" t="str">
        <f>VLOOKUP(R_Cake_Pavot_Vanille[[#This Row],[Ingrédients]],T_ingrédients[],3,0)</f>
        <v>g</v>
      </c>
      <c r="E66" s="40"/>
      <c r="F66" s="41"/>
      <c r="G66" s="40"/>
    </row>
    <row r="67" spans="3:7" x14ac:dyDescent="0.25">
      <c r="C67" s="2" t="s">
        <v>21</v>
      </c>
      <c r="D67" s="34" t="str">
        <f>VLOOKUP(R_Cake_Pavot_Vanille[[#This Row],[Ingrédients]],T_ingrédients[],3,0)</f>
        <v>g</v>
      </c>
      <c r="E67" s="40"/>
      <c r="F67" s="41"/>
      <c r="G67" s="40"/>
    </row>
    <row r="68" spans="3:7" x14ac:dyDescent="0.25">
      <c r="C68" s="2" t="s">
        <v>19</v>
      </c>
      <c r="D68" s="34" t="str">
        <f>VLOOKUP(R_Cake_Pavot_Vanille[[#This Row],[Ingrédients]],T_ingrédients[],3,0)</f>
        <v>g</v>
      </c>
      <c r="E68" s="40"/>
      <c r="F68" s="41"/>
      <c r="G68" s="40"/>
    </row>
    <row r="69" spans="3:7" x14ac:dyDescent="0.25">
      <c r="C69" s="2" t="s">
        <v>10</v>
      </c>
      <c r="D69" s="34" t="str">
        <f>VLOOKUP(R_Cake_Pavot_Vanille[[#This Row],[Ingrédients]],T_ingrédients[],3,0)</f>
        <v>g</v>
      </c>
      <c r="E69" s="40"/>
      <c r="F69" s="41"/>
      <c r="G69" s="40"/>
    </row>
    <row r="70" spans="3:7" x14ac:dyDescent="0.25">
      <c r="C70" s="2" t="s">
        <v>16</v>
      </c>
      <c r="D70" s="34" t="str">
        <f>VLOOKUP(R_Cake_Pavot_Vanille[[#This Row],[Ingrédients]],T_ingrédients[],3,0)</f>
        <v>g</v>
      </c>
      <c r="E70" s="40"/>
      <c r="F70" s="41"/>
      <c r="G70" s="40"/>
    </row>
    <row r="71" spans="3:7" x14ac:dyDescent="0.25">
      <c r="C71" s="2" t="s">
        <v>189</v>
      </c>
      <c r="D71" s="34" t="str">
        <f>VLOOKUP(R_Cake_Pavot_Vanille[[#This Row],[Ingrédients]],T_ingrédients[],3,0)</f>
        <v>g</v>
      </c>
      <c r="E71" s="40"/>
      <c r="F71" s="41"/>
      <c r="G71" s="40"/>
    </row>
    <row r="72" spans="3:7" x14ac:dyDescent="0.25">
      <c r="C72" s="2" t="s">
        <v>212</v>
      </c>
      <c r="D72" s="34" t="str">
        <f>VLOOKUP(R_Cake_Pavot_Vanille[[#This Row],[Ingrédients]],T_ingrédients[],3,0)</f>
        <v>g</v>
      </c>
      <c r="E72" s="40"/>
      <c r="F72" s="41"/>
      <c r="G72" s="40"/>
    </row>
    <row r="73" spans="3:7" x14ac:dyDescent="0.25">
      <c r="C73" s="2" t="s">
        <v>233</v>
      </c>
      <c r="D73" s="34" t="str">
        <f>VLOOKUP(R_Cake_Pavot_Vanille[[#This Row],[Ingrédients]],T_ingrédients[],3,0)</f>
        <v>gousse</v>
      </c>
      <c r="E73" s="40"/>
      <c r="F73" s="41"/>
      <c r="G73" s="40"/>
    </row>
    <row r="74" spans="3:7" x14ac:dyDescent="0.25">
      <c r="C74" s="2" t="s">
        <v>4</v>
      </c>
      <c r="D74" s="34" t="str">
        <f>VLOOKUP(R_Cake_Pavot_Vanille[[#This Row],[Ingrédients]],T_ingrédients[],3,0)</f>
        <v>g</v>
      </c>
      <c r="E74" s="40"/>
      <c r="F74" s="41"/>
      <c r="G74" s="40"/>
    </row>
    <row r="75" spans="3:7" x14ac:dyDescent="0.25">
      <c r="C75" s="2" t="s">
        <v>171</v>
      </c>
      <c r="D75" s="34" t="str">
        <f>VLOOKUP(R_Cake_Pavot_Vanille[[#This Row],[Ingrédients]],T_ingrédients[],3,0)</f>
        <v>g</v>
      </c>
      <c r="E75" s="40"/>
      <c r="F75" s="41"/>
      <c r="G75" s="40"/>
    </row>
    <row r="76" spans="3:7" ht="15.75" thickBot="1" x14ac:dyDescent="0.3">
      <c r="C76" s="2" t="s">
        <v>228</v>
      </c>
      <c r="D76" s="34" t="str">
        <f>VLOOKUP(R_Cake_Pavot_Vanille[[#This Row],[Ingrédients]],T_ingrédients[],3,0)</f>
        <v>g</v>
      </c>
      <c r="E76" s="40"/>
      <c r="F76" s="41"/>
      <c r="G76" s="40"/>
    </row>
    <row r="77" spans="3:7" ht="16.5" thickBot="1" x14ac:dyDescent="0.3">
      <c r="C77" s="26" t="s">
        <v>39</v>
      </c>
      <c r="D77" s="27" t="s">
        <v>12</v>
      </c>
      <c r="E77" s="28">
        <f>SUBTOTAL(109,R_Cake_Pavot_Vanille[1000])</f>
        <v>0</v>
      </c>
      <c r="F77" s="28">
        <f>SUBTOTAL(109,R_Cake_Pavot_Vanille[1800])</f>
        <v>0</v>
      </c>
      <c r="G77" s="29">
        <f>SUBTOTAL(109,R_Cake_Pavot_Vanille[2400])</f>
        <v>0</v>
      </c>
    </row>
    <row r="79" spans="3:7" ht="15.75" thickBot="1" x14ac:dyDescent="0.3"/>
    <row r="80" spans="3:7" ht="18" thickBot="1" x14ac:dyDescent="0.3">
      <c r="C80" s="176" t="s">
        <v>255</v>
      </c>
      <c r="D80" s="177"/>
      <c r="E80" s="177"/>
      <c r="F80" s="177"/>
      <c r="G80" s="178"/>
    </row>
    <row r="81" spans="2:7" ht="15.75" thickBot="1" x14ac:dyDescent="0.3">
      <c r="C81" s="181"/>
      <c r="D81" s="182"/>
      <c r="E81" s="183" t="s">
        <v>62</v>
      </c>
      <c r="F81" s="184"/>
      <c r="G81" s="185"/>
    </row>
    <row r="82" spans="2:7" ht="16.5" thickBot="1" x14ac:dyDescent="0.3">
      <c r="C82" s="19" t="s">
        <v>0</v>
      </c>
      <c r="D82" s="33" t="s">
        <v>1</v>
      </c>
      <c r="E82" s="16" t="s">
        <v>251</v>
      </c>
      <c r="F82" s="16" t="s">
        <v>47</v>
      </c>
      <c r="G82" s="17" t="s">
        <v>48</v>
      </c>
    </row>
    <row r="83" spans="2:7" x14ac:dyDescent="0.25">
      <c r="C83" s="32" t="s">
        <v>4</v>
      </c>
      <c r="D83" s="34" t="str">
        <f>VLOOKUP(R_Marbré_Chocolat[[#This Row],[Ingrédients]],T_ingrédients[],3,0)</f>
        <v>g</v>
      </c>
      <c r="E83" s="40"/>
      <c r="F83" s="41"/>
      <c r="G83" s="40"/>
    </row>
    <row r="84" spans="2:7" x14ac:dyDescent="0.25">
      <c r="C84" s="2" t="s">
        <v>15</v>
      </c>
      <c r="D84" s="34" t="str">
        <f>VLOOKUP(R_Marbré_Chocolat[[#This Row],[Ingrédients]],T_ingrédients[],3,0)</f>
        <v>g</v>
      </c>
      <c r="E84" s="40"/>
      <c r="F84" s="41"/>
      <c r="G84" s="40"/>
    </row>
    <row r="85" spans="2:7" x14ac:dyDescent="0.25">
      <c r="C85" s="2" t="s">
        <v>16</v>
      </c>
      <c r="D85" s="34" t="str">
        <f>VLOOKUP(R_Marbré_Chocolat[[#This Row],[Ingrédients]],T_ingrédients[],3,0)</f>
        <v>g</v>
      </c>
      <c r="E85" s="40"/>
      <c r="F85" s="41"/>
      <c r="G85" s="40"/>
    </row>
    <row r="86" spans="2:7" x14ac:dyDescent="0.25">
      <c r="C86" s="2" t="s">
        <v>8</v>
      </c>
      <c r="D86" s="34" t="str">
        <f>VLOOKUP(R_Marbré_Chocolat[[#This Row],[Ingrédients]],T_ingrédients[],3,0)</f>
        <v>g</v>
      </c>
      <c r="E86" s="40"/>
      <c r="F86" s="41"/>
      <c r="G86" s="40"/>
    </row>
    <row r="87" spans="2:7" x14ac:dyDescent="0.25">
      <c r="C87" s="2" t="s">
        <v>18</v>
      </c>
      <c r="D87" s="34" t="str">
        <f>VLOOKUP(R_Marbré_Chocolat[[#This Row],[Ingrédients]],T_ingrédients[],3,0)</f>
        <v>g</v>
      </c>
      <c r="E87" s="40"/>
      <c r="F87" s="41"/>
      <c r="G87" s="40"/>
    </row>
    <row r="88" spans="2:7" x14ac:dyDescent="0.25">
      <c r="C88" s="2" t="s">
        <v>21</v>
      </c>
      <c r="D88" s="34" t="str">
        <f>VLOOKUP(R_Marbré_Chocolat[[#This Row],[Ingrédients]],T_ingrédients[],3,0)</f>
        <v>g</v>
      </c>
      <c r="E88" s="40"/>
      <c r="F88" s="41"/>
      <c r="G88" s="40"/>
    </row>
    <row r="89" spans="2:7" x14ac:dyDescent="0.25">
      <c r="C89" s="2" t="s">
        <v>10</v>
      </c>
      <c r="D89" s="34" t="str">
        <f>VLOOKUP(R_Marbré_Chocolat[[#This Row],[Ingrédients]],T_ingrédients[],3,0)</f>
        <v>g</v>
      </c>
      <c r="E89" s="40"/>
      <c r="F89" s="41"/>
      <c r="G89" s="40"/>
    </row>
    <row r="90" spans="2:7" x14ac:dyDescent="0.25">
      <c r="C90" s="2" t="s">
        <v>233</v>
      </c>
      <c r="D90" s="34" t="str">
        <f>VLOOKUP(R_Marbré_Chocolat[[#This Row],[Ingrédients]],T_ingrédients[],3,0)</f>
        <v>gousse</v>
      </c>
      <c r="E90" s="40"/>
      <c r="F90" s="41"/>
      <c r="G90" s="40"/>
    </row>
    <row r="91" spans="2:7" ht="15.75" thickBot="1" x14ac:dyDescent="0.3">
      <c r="C91" s="2" t="s">
        <v>223</v>
      </c>
      <c r="D91" s="34" t="str">
        <f>VLOOKUP(R_Marbré_Chocolat[[#This Row],[Ingrédients]],T_ingrédients[],3,0)</f>
        <v>g</v>
      </c>
      <c r="E91" s="40"/>
      <c r="F91" s="41"/>
      <c r="G91" s="40"/>
    </row>
    <row r="92" spans="2:7" x14ac:dyDescent="0.25">
      <c r="B92" s="189" t="s">
        <v>257</v>
      </c>
      <c r="C92" s="2" t="s">
        <v>229</v>
      </c>
      <c r="D92" s="34" t="str">
        <f>VLOOKUP(R_Marbré_Chocolat[[#This Row],[Ingrédients]],T_ingrédients[],3,0)</f>
        <v>g</v>
      </c>
      <c r="E92" s="40"/>
      <c r="F92" s="41"/>
      <c r="G92" s="40"/>
    </row>
    <row r="93" spans="2:7" x14ac:dyDescent="0.25">
      <c r="B93" s="190"/>
      <c r="C93" s="2" t="s">
        <v>15</v>
      </c>
      <c r="D93" s="34" t="str">
        <f>VLOOKUP(R_Marbré_Chocolat[[#This Row],[Ingrédients]],T_ingrédients[],3,0)</f>
        <v>g</v>
      </c>
      <c r="E93" s="40"/>
      <c r="F93" s="41"/>
      <c r="G93" s="40"/>
    </row>
    <row r="94" spans="2:7" ht="15.75" thickBot="1" x14ac:dyDescent="0.3">
      <c r="B94" s="191"/>
      <c r="C94" s="2" t="s">
        <v>32</v>
      </c>
      <c r="D94" s="34" t="str">
        <f>VLOOKUP(R_Marbré_Chocolat[[#This Row],[Ingrédients]],T_ingrédients[],3,0)</f>
        <v>g</v>
      </c>
      <c r="E94" s="40"/>
      <c r="F94" s="41"/>
      <c r="G94" s="40"/>
    </row>
    <row r="95" spans="2:7" ht="16.5" thickBot="1" x14ac:dyDescent="0.3">
      <c r="C95" s="26" t="s">
        <v>39</v>
      </c>
      <c r="D95" s="27" t="s">
        <v>12</v>
      </c>
      <c r="E95" s="28">
        <f>SUBTOTAL(109,R_Marbré_Chocolat[1000])</f>
        <v>0</v>
      </c>
      <c r="F95" s="28">
        <f>SUBTOTAL(109,R_Marbré_Chocolat[1800])</f>
        <v>0</v>
      </c>
      <c r="G95" s="29">
        <f>SUBTOTAL(109,R_Marbré_Chocolat[2400])</f>
        <v>0</v>
      </c>
    </row>
    <row r="97" spans="3:7" ht="15.75" thickBot="1" x14ac:dyDescent="0.3"/>
    <row r="98" spans="3:7" ht="18" thickBot="1" x14ac:dyDescent="0.3">
      <c r="C98" s="176" t="s">
        <v>60</v>
      </c>
      <c r="D98" s="177"/>
      <c r="E98" s="177"/>
      <c r="F98" s="177"/>
      <c r="G98" s="178"/>
    </row>
    <row r="99" spans="3:7" ht="15.75" thickBot="1" x14ac:dyDescent="0.3">
      <c r="C99" s="181"/>
      <c r="D99" s="182"/>
      <c r="E99" s="183" t="s">
        <v>62</v>
      </c>
      <c r="F99" s="184"/>
      <c r="G99" s="185"/>
    </row>
    <row r="100" spans="3:7" ht="16.5" thickBot="1" x14ac:dyDescent="0.3">
      <c r="C100" s="19" t="s">
        <v>0</v>
      </c>
      <c r="D100" s="33" t="s">
        <v>1</v>
      </c>
      <c r="E100" s="16" t="s">
        <v>251</v>
      </c>
      <c r="F100" s="16" t="s">
        <v>47</v>
      </c>
      <c r="G100" s="17" t="s">
        <v>48</v>
      </c>
    </row>
    <row r="101" spans="3:7" x14ac:dyDescent="0.25">
      <c r="C101" s="32"/>
      <c r="D101" s="34" t="e">
        <f>VLOOKUP(TR_Modèle9193158[[#This Row],[Ingrédients]],T_ingrédients[],3,0)</f>
        <v>#N/A</v>
      </c>
      <c r="E101" s="40"/>
      <c r="F101" s="41"/>
      <c r="G101" s="40"/>
    </row>
    <row r="102" spans="3:7" x14ac:dyDescent="0.25">
      <c r="C102" s="2"/>
      <c r="D102" s="34" t="e">
        <f>VLOOKUP(TR_Modèle9193158[[#This Row],[Ingrédients]],T_ingrédients[],3,0)</f>
        <v>#N/A</v>
      </c>
      <c r="E102" s="40"/>
      <c r="F102" s="41"/>
      <c r="G102" s="40"/>
    </row>
    <row r="103" spans="3:7" x14ac:dyDescent="0.25">
      <c r="C103" s="2"/>
      <c r="D103" s="34" t="e">
        <f>VLOOKUP(TR_Modèle9193158[[#This Row],[Ingrédients]],T_ingrédients[],3,0)</f>
        <v>#N/A</v>
      </c>
      <c r="E103" s="40"/>
      <c r="F103" s="41"/>
      <c r="G103" s="40"/>
    </row>
    <row r="104" spans="3:7" x14ac:dyDescent="0.25">
      <c r="C104" s="2"/>
      <c r="D104" s="34" t="e">
        <f>VLOOKUP(TR_Modèle9193158[[#This Row],[Ingrédients]],T_ingrédients[],3,0)</f>
        <v>#N/A</v>
      </c>
      <c r="E104" s="40"/>
      <c r="F104" s="41"/>
      <c r="G104" s="40"/>
    </row>
    <row r="105" spans="3:7" x14ac:dyDescent="0.25">
      <c r="C105" s="2"/>
      <c r="D105" s="34" t="e">
        <f>VLOOKUP(TR_Modèle9193158[[#This Row],[Ingrédients]],T_ingrédients[],3,0)</f>
        <v>#N/A</v>
      </c>
      <c r="E105" s="40"/>
      <c r="F105" s="41"/>
      <c r="G105" s="40"/>
    </row>
    <row r="106" spans="3:7" x14ac:dyDescent="0.25">
      <c r="C106" s="2"/>
      <c r="D106" s="34" t="e">
        <f>VLOOKUP(TR_Modèle9193158[[#This Row],[Ingrédients]],T_ingrédients[],3,0)</f>
        <v>#N/A</v>
      </c>
      <c r="E106" s="40"/>
      <c r="F106" s="41"/>
      <c r="G106" s="40"/>
    </row>
    <row r="107" spans="3:7" x14ac:dyDescent="0.25">
      <c r="C107" s="2"/>
      <c r="D107" s="34" t="e">
        <f>VLOOKUP(TR_Modèle9193158[[#This Row],[Ingrédients]],T_ingrédients[],3,0)</f>
        <v>#N/A</v>
      </c>
      <c r="E107" s="40"/>
      <c r="F107" s="41"/>
      <c r="G107" s="40"/>
    </row>
    <row r="108" spans="3:7" x14ac:dyDescent="0.25">
      <c r="C108" s="2"/>
      <c r="D108" s="34" t="e">
        <f>VLOOKUP(TR_Modèle9193158[[#This Row],[Ingrédients]],T_ingrédients[],3,0)</f>
        <v>#N/A</v>
      </c>
      <c r="E108" s="40"/>
      <c r="F108" s="41"/>
      <c r="G108" s="40"/>
    </row>
    <row r="109" spans="3:7" x14ac:dyDescent="0.25">
      <c r="C109" s="2"/>
      <c r="D109" s="34" t="e">
        <f>VLOOKUP(TR_Modèle9193158[[#This Row],[Ingrédients]],T_ingrédients[],3,0)</f>
        <v>#N/A</v>
      </c>
      <c r="E109" s="40"/>
      <c r="F109" s="41"/>
      <c r="G109" s="40"/>
    </row>
    <row r="110" spans="3:7" x14ac:dyDescent="0.25">
      <c r="C110" s="2"/>
      <c r="D110" s="34" t="e">
        <f>VLOOKUP(TR_Modèle9193158[[#This Row],[Ingrédients]],T_ingrédients[],3,0)</f>
        <v>#N/A</v>
      </c>
      <c r="E110" s="40"/>
      <c r="F110" s="41"/>
      <c r="G110" s="40"/>
    </row>
    <row r="111" spans="3:7" x14ac:dyDescent="0.25">
      <c r="C111" s="2"/>
      <c r="D111" s="34" t="e">
        <f>VLOOKUP(TR_Modèle9193158[[#This Row],[Ingrédients]],T_ingrédients[],3,0)</f>
        <v>#N/A</v>
      </c>
      <c r="E111" s="40"/>
      <c r="F111" s="41"/>
      <c r="G111" s="40"/>
    </row>
    <row r="112" spans="3:7" x14ac:dyDescent="0.25">
      <c r="C112" s="2"/>
      <c r="D112" s="34" t="e">
        <f>VLOOKUP(TR_Modèle9193158[[#This Row],[Ingrédients]],T_ingrédients[],3,0)</f>
        <v>#N/A</v>
      </c>
      <c r="E112" s="40"/>
      <c r="F112" s="41"/>
      <c r="G112" s="40"/>
    </row>
    <row r="113" spans="3:7" x14ac:dyDescent="0.25">
      <c r="C113" s="2"/>
      <c r="D113" s="34" t="e">
        <f>VLOOKUP(TR_Modèle9193158[[#This Row],[Ingrédients]],T_ingrédients[],3,0)</f>
        <v>#N/A</v>
      </c>
      <c r="E113" s="40"/>
      <c r="F113" s="41"/>
      <c r="G113" s="40"/>
    </row>
    <row r="114" spans="3:7" x14ac:dyDescent="0.25">
      <c r="C114" s="2"/>
      <c r="D114" s="34" t="e">
        <f>VLOOKUP(TR_Modèle9193158[[#This Row],[Ingrédients]],T_ingrédients[],3,0)</f>
        <v>#N/A</v>
      </c>
      <c r="E114" s="40"/>
      <c r="F114" s="41"/>
      <c r="G114" s="40"/>
    </row>
    <row r="115" spans="3:7" x14ac:dyDescent="0.25">
      <c r="C115" s="2"/>
      <c r="D115" s="34" t="e">
        <f>VLOOKUP(TR_Modèle9193158[[#This Row],[Ingrédients]],T_ingrédients[],3,0)</f>
        <v>#N/A</v>
      </c>
      <c r="E115" s="40"/>
      <c r="F115" s="41"/>
      <c r="G115" s="40"/>
    </row>
    <row r="116" spans="3:7" x14ac:dyDescent="0.25">
      <c r="C116" s="2"/>
      <c r="D116" s="34" t="e">
        <f>VLOOKUP(TR_Modèle9193158[[#This Row],[Ingrédients]],T_ingrédients[],3,0)</f>
        <v>#N/A</v>
      </c>
      <c r="E116" s="40"/>
      <c r="F116" s="41"/>
      <c r="G116" s="40"/>
    </row>
    <row r="117" spans="3:7" x14ac:dyDescent="0.25">
      <c r="C117" s="2"/>
      <c r="D117" s="34" t="e">
        <f>VLOOKUP(TR_Modèle9193158[[#This Row],[Ingrédients]],T_ingrédients[],3,0)</f>
        <v>#N/A</v>
      </c>
      <c r="E117" s="40"/>
      <c r="F117" s="41"/>
      <c r="G117" s="40"/>
    </row>
    <row r="118" spans="3:7" x14ac:dyDescent="0.25">
      <c r="C118" s="2"/>
      <c r="D118" s="34" t="e">
        <f>VLOOKUP(TR_Modèle9193158[[#This Row],[Ingrédients]],T_ingrédients[],3,0)</f>
        <v>#N/A</v>
      </c>
      <c r="E118" s="40"/>
      <c r="F118" s="41"/>
      <c r="G118" s="40"/>
    </row>
    <row r="119" spans="3:7" x14ac:dyDescent="0.25">
      <c r="C119" s="2"/>
      <c r="D119" s="34" t="e">
        <f>VLOOKUP(TR_Modèle9193158[[#This Row],[Ingrédients]],T_ingrédients[],3,0)</f>
        <v>#N/A</v>
      </c>
      <c r="E119" s="40"/>
      <c r="F119" s="41"/>
      <c r="G119" s="40"/>
    </row>
    <row r="120" spans="3:7" x14ac:dyDescent="0.25">
      <c r="C120" s="2"/>
      <c r="D120" s="34" t="e">
        <f>VLOOKUP(TR_Modèle9193158[[#This Row],[Ingrédients]],T_ingrédients[],3,0)</f>
        <v>#N/A</v>
      </c>
      <c r="E120" s="40"/>
      <c r="F120" s="41"/>
      <c r="G120" s="40"/>
    </row>
    <row r="121" spans="3:7" x14ac:dyDescent="0.25">
      <c r="C121" s="2"/>
      <c r="D121" s="34" t="e">
        <f>VLOOKUP(TR_Modèle9193158[[#This Row],[Ingrédients]],T_ingrédients[],3,0)</f>
        <v>#N/A</v>
      </c>
      <c r="E121" s="40"/>
      <c r="F121" s="41"/>
      <c r="G121" s="40"/>
    </row>
    <row r="122" spans="3:7" x14ac:dyDescent="0.25">
      <c r="C122" s="2"/>
      <c r="D122" s="34" t="e">
        <f>VLOOKUP(TR_Modèle9193158[[#This Row],[Ingrédients]],T_ingrédients[],3,0)</f>
        <v>#N/A</v>
      </c>
      <c r="E122" s="40"/>
      <c r="F122" s="41"/>
      <c r="G122" s="40"/>
    </row>
    <row r="123" spans="3:7" x14ac:dyDescent="0.25">
      <c r="C123" s="2"/>
      <c r="D123" s="34" t="e">
        <f>VLOOKUP(TR_Modèle9193158[[#This Row],[Ingrédients]],T_ingrédients[],3,0)</f>
        <v>#N/A</v>
      </c>
      <c r="E123" s="40"/>
      <c r="F123" s="41"/>
      <c r="G123" s="40"/>
    </row>
    <row r="124" spans="3:7" x14ac:dyDescent="0.25">
      <c r="C124" s="2"/>
      <c r="D124" s="34" t="e">
        <f>VLOOKUP(TR_Modèle9193158[[#This Row],[Ingrédients]],T_ingrédients[],3,0)</f>
        <v>#N/A</v>
      </c>
      <c r="E124" s="40"/>
      <c r="F124" s="41"/>
      <c r="G124" s="40"/>
    </row>
    <row r="125" spans="3:7" x14ac:dyDescent="0.25">
      <c r="C125" s="2"/>
      <c r="D125" s="34" t="e">
        <f>VLOOKUP(TR_Modèle9193158[[#This Row],[Ingrédients]],T_ingrédients[],3,0)</f>
        <v>#N/A</v>
      </c>
      <c r="E125" s="40"/>
      <c r="F125" s="41"/>
      <c r="G125" s="40"/>
    </row>
    <row r="126" spans="3:7" x14ac:dyDescent="0.25">
      <c r="C126" s="2"/>
      <c r="D126" s="34" t="e">
        <f>VLOOKUP(TR_Modèle9193158[[#This Row],[Ingrédients]],T_ingrédients[],3,0)</f>
        <v>#N/A</v>
      </c>
      <c r="E126" s="40"/>
      <c r="F126" s="41"/>
      <c r="G126" s="40"/>
    </row>
    <row r="127" spans="3:7" x14ac:dyDescent="0.25">
      <c r="C127" s="2"/>
      <c r="D127" s="34" t="e">
        <f>VLOOKUP(TR_Modèle9193158[[#This Row],[Ingrédients]],T_ingrédients[],3,0)</f>
        <v>#N/A</v>
      </c>
      <c r="E127" s="40"/>
      <c r="F127" s="41"/>
      <c r="G127" s="40"/>
    </row>
    <row r="128" spans="3:7" ht="15.75" thickBot="1" x14ac:dyDescent="0.3">
      <c r="C128" s="2"/>
      <c r="D128" s="34" t="e">
        <f>VLOOKUP(TR_Modèle9193158[[#This Row],[Ingrédients]],T_ingrédients[],3,0)</f>
        <v>#N/A</v>
      </c>
      <c r="E128" s="40"/>
      <c r="F128" s="41"/>
      <c r="G128" s="40"/>
    </row>
    <row r="129" spans="3:7" ht="16.5" thickBot="1" x14ac:dyDescent="0.3">
      <c r="C129" s="26" t="s">
        <v>39</v>
      </c>
      <c r="D129" s="27" t="s">
        <v>12</v>
      </c>
      <c r="E129" s="28">
        <f>SUBTOTAL(109,TR_Modèle9193158[1000])</f>
        <v>0</v>
      </c>
      <c r="F129" s="28">
        <f>SUBTOTAL(109,TR_Modèle9193158[1800])</f>
        <v>0</v>
      </c>
      <c r="G129" s="29">
        <f>SUBTOTAL(109,TR_Modèle9193158[2400])</f>
        <v>0</v>
      </c>
    </row>
    <row r="131" spans="3:7" ht="15.75" thickBot="1" x14ac:dyDescent="0.3"/>
    <row r="132" spans="3:7" ht="18" thickBot="1" x14ac:dyDescent="0.3">
      <c r="C132" s="176" t="s">
        <v>60</v>
      </c>
      <c r="D132" s="177"/>
      <c r="E132" s="177"/>
      <c r="F132" s="177"/>
      <c r="G132" s="178"/>
    </row>
    <row r="133" spans="3:7" ht="15.75" thickBot="1" x14ac:dyDescent="0.3">
      <c r="C133" s="181"/>
      <c r="D133" s="182"/>
      <c r="E133" s="183" t="s">
        <v>62</v>
      </c>
      <c r="F133" s="184"/>
      <c r="G133" s="185"/>
    </row>
    <row r="134" spans="3:7" ht="16.5" thickBot="1" x14ac:dyDescent="0.3">
      <c r="C134" s="19" t="s">
        <v>0</v>
      </c>
      <c r="D134" s="33" t="s">
        <v>1</v>
      </c>
      <c r="E134" s="21" t="s">
        <v>57</v>
      </c>
      <c r="F134" s="21" t="s">
        <v>58</v>
      </c>
      <c r="G134" s="21" t="s">
        <v>59</v>
      </c>
    </row>
    <row r="135" spans="3:7" x14ac:dyDescent="0.25">
      <c r="C135" s="32"/>
      <c r="D135" s="34" t="e">
        <f>VLOOKUP(TR_Modèle9203259[[#This Row],[Ingrédients]],T_ingrédients[],3,0)</f>
        <v>#N/A</v>
      </c>
      <c r="E135" s="40"/>
      <c r="F135" s="41"/>
      <c r="G135" s="40"/>
    </row>
    <row r="136" spans="3:7" x14ac:dyDescent="0.25">
      <c r="C136" s="2"/>
      <c r="D136" s="34" t="e">
        <f>VLOOKUP(TR_Modèle9203259[[#This Row],[Ingrédients]],T_ingrédients[],3,0)</f>
        <v>#N/A</v>
      </c>
      <c r="E136" s="40"/>
      <c r="F136" s="41"/>
      <c r="G136" s="40"/>
    </row>
    <row r="137" spans="3:7" x14ac:dyDescent="0.25">
      <c r="C137" s="2"/>
      <c r="D137" s="34" t="e">
        <f>VLOOKUP(TR_Modèle9203259[[#This Row],[Ingrédients]],T_ingrédients[],3,0)</f>
        <v>#N/A</v>
      </c>
      <c r="E137" s="40"/>
      <c r="F137" s="41"/>
      <c r="G137" s="40"/>
    </row>
    <row r="138" spans="3:7" x14ac:dyDescent="0.25">
      <c r="C138" s="2"/>
      <c r="D138" s="34" t="e">
        <f>VLOOKUP(TR_Modèle9203259[[#This Row],[Ingrédients]],T_ingrédients[],3,0)</f>
        <v>#N/A</v>
      </c>
      <c r="E138" s="40"/>
      <c r="F138" s="41"/>
      <c r="G138" s="40"/>
    </row>
    <row r="139" spans="3:7" x14ac:dyDescent="0.25">
      <c r="C139" s="2"/>
      <c r="D139" s="34" t="e">
        <f>VLOOKUP(TR_Modèle9203259[[#This Row],[Ingrédients]],T_ingrédients[],3,0)</f>
        <v>#N/A</v>
      </c>
      <c r="E139" s="40"/>
      <c r="F139" s="41"/>
      <c r="G139" s="40"/>
    </row>
    <row r="140" spans="3:7" x14ac:dyDescent="0.25">
      <c r="C140" s="2"/>
      <c r="D140" s="34" t="e">
        <f>VLOOKUP(TR_Modèle9203259[[#This Row],[Ingrédients]],T_ingrédients[],3,0)</f>
        <v>#N/A</v>
      </c>
      <c r="E140" s="40"/>
      <c r="F140" s="41"/>
      <c r="G140" s="40"/>
    </row>
    <row r="141" spans="3:7" x14ac:dyDescent="0.25">
      <c r="C141" s="2"/>
      <c r="D141" s="34" t="e">
        <f>VLOOKUP(TR_Modèle9203259[[#This Row],[Ingrédients]],T_ingrédients[],3,0)</f>
        <v>#N/A</v>
      </c>
      <c r="E141" s="40"/>
      <c r="F141" s="41"/>
      <c r="G141" s="40"/>
    </row>
    <row r="142" spans="3:7" x14ac:dyDescent="0.25">
      <c r="C142" s="2"/>
      <c r="D142" s="34" t="e">
        <f>VLOOKUP(TR_Modèle9203259[[#This Row],[Ingrédients]],T_ingrédients[],3,0)</f>
        <v>#N/A</v>
      </c>
      <c r="E142" s="40"/>
      <c r="F142" s="41"/>
      <c r="G142" s="40"/>
    </row>
    <row r="143" spans="3:7" x14ac:dyDescent="0.25">
      <c r="C143" s="2"/>
      <c r="D143" s="34" t="e">
        <f>VLOOKUP(TR_Modèle9203259[[#This Row],[Ingrédients]],T_ingrédients[],3,0)</f>
        <v>#N/A</v>
      </c>
      <c r="E143" s="40"/>
      <c r="F143" s="41"/>
      <c r="G143" s="40"/>
    </row>
    <row r="144" spans="3:7" x14ac:dyDescent="0.25">
      <c r="C144" s="2"/>
      <c r="D144" s="34" t="e">
        <f>VLOOKUP(TR_Modèle9203259[[#This Row],[Ingrédients]],T_ingrédients[],3,0)</f>
        <v>#N/A</v>
      </c>
      <c r="E144" s="40"/>
      <c r="F144" s="41"/>
      <c r="G144" s="40"/>
    </row>
    <row r="145" spans="3:7" x14ac:dyDescent="0.25">
      <c r="C145" s="2"/>
      <c r="D145" s="34" t="e">
        <f>VLOOKUP(TR_Modèle9203259[[#This Row],[Ingrédients]],T_ingrédients[],3,0)</f>
        <v>#N/A</v>
      </c>
      <c r="E145" s="40"/>
      <c r="F145" s="41"/>
      <c r="G145" s="40"/>
    </row>
    <row r="146" spans="3:7" x14ac:dyDescent="0.25">
      <c r="C146" s="2"/>
      <c r="D146" s="34" t="e">
        <f>VLOOKUP(TR_Modèle9203259[[#This Row],[Ingrédients]],T_ingrédients[],3,0)</f>
        <v>#N/A</v>
      </c>
      <c r="E146" s="40"/>
      <c r="F146" s="41"/>
      <c r="G146" s="40"/>
    </row>
    <row r="147" spans="3:7" x14ac:dyDescent="0.25">
      <c r="C147" s="2"/>
      <c r="D147" s="34" t="e">
        <f>VLOOKUP(TR_Modèle9203259[[#This Row],[Ingrédients]],T_ingrédients[],3,0)</f>
        <v>#N/A</v>
      </c>
      <c r="E147" s="40"/>
      <c r="F147" s="41"/>
      <c r="G147" s="40"/>
    </row>
    <row r="148" spans="3:7" x14ac:dyDescent="0.25">
      <c r="C148" s="2"/>
      <c r="D148" s="34" t="e">
        <f>VLOOKUP(TR_Modèle9203259[[#This Row],[Ingrédients]],T_ingrédients[],3,0)</f>
        <v>#N/A</v>
      </c>
      <c r="E148" s="40"/>
      <c r="F148" s="41"/>
      <c r="G148" s="40"/>
    </row>
    <row r="149" spans="3:7" x14ac:dyDescent="0.25">
      <c r="C149" s="2"/>
      <c r="D149" s="34" t="e">
        <f>VLOOKUP(TR_Modèle9203259[[#This Row],[Ingrédients]],T_ingrédients[],3,0)</f>
        <v>#N/A</v>
      </c>
      <c r="E149" s="40"/>
      <c r="F149" s="41"/>
      <c r="G149" s="40"/>
    </row>
    <row r="150" spans="3:7" x14ac:dyDescent="0.25">
      <c r="C150" s="2"/>
      <c r="D150" s="34" t="e">
        <f>VLOOKUP(TR_Modèle9203259[[#This Row],[Ingrédients]],T_ingrédients[],3,0)</f>
        <v>#N/A</v>
      </c>
      <c r="E150" s="40"/>
      <c r="F150" s="41"/>
      <c r="G150" s="40"/>
    </row>
    <row r="151" spans="3:7" x14ac:dyDescent="0.25">
      <c r="C151" s="2"/>
      <c r="D151" s="34" t="e">
        <f>VLOOKUP(TR_Modèle9203259[[#This Row],[Ingrédients]],T_ingrédients[],3,0)</f>
        <v>#N/A</v>
      </c>
      <c r="E151" s="40"/>
      <c r="F151" s="41"/>
      <c r="G151" s="40"/>
    </row>
    <row r="152" spans="3:7" x14ac:dyDescent="0.25">
      <c r="C152" s="2"/>
      <c r="D152" s="34" t="e">
        <f>VLOOKUP(TR_Modèle9203259[[#This Row],[Ingrédients]],T_ingrédients[],3,0)</f>
        <v>#N/A</v>
      </c>
      <c r="E152" s="40"/>
      <c r="F152" s="41"/>
      <c r="G152" s="40"/>
    </row>
    <row r="153" spans="3:7" x14ac:dyDescent="0.25">
      <c r="C153" s="2"/>
      <c r="D153" s="34" t="e">
        <f>VLOOKUP(TR_Modèle9203259[[#This Row],[Ingrédients]],T_ingrédients[],3,0)</f>
        <v>#N/A</v>
      </c>
      <c r="E153" s="40"/>
      <c r="F153" s="41"/>
      <c r="G153" s="40"/>
    </row>
    <row r="154" spans="3:7" x14ac:dyDescent="0.25">
      <c r="C154" s="2"/>
      <c r="D154" s="34" t="e">
        <f>VLOOKUP(TR_Modèle9203259[[#This Row],[Ingrédients]],T_ingrédients[],3,0)</f>
        <v>#N/A</v>
      </c>
      <c r="E154" s="40"/>
      <c r="F154" s="41"/>
      <c r="G154" s="40"/>
    </row>
    <row r="155" spans="3:7" x14ac:dyDescent="0.25">
      <c r="C155" s="2"/>
      <c r="D155" s="34" t="e">
        <f>VLOOKUP(TR_Modèle9203259[[#This Row],[Ingrédients]],T_ingrédients[],3,0)</f>
        <v>#N/A</v>
      </c>
      <c r="E155" s="40"/>
      <c r="F155" s="41"/>
      <c r="G155" s="40"/>
    </row>
    <row r="156" spans="3:7" x14ac:dyDescent="0.25">
      <c r="C156" s="2"/>
      <c r="D156" s="34" t="e">
        <f>VLOOKUP(TR_Modèle9203259[[#This Row],[Ingrédients]],T_ingrédients[],3,0)</f>
        <v>#N/A</v>
      </c>
      <c r="E156" s="40"/>
      <c r="F156" s="41"/>
      <c r="G156" s="40"/>
    </row>
    <row r="157" spans="3:7" x14ac:dyDescent="0.25">
      <c r="C157" s="2"/>
      <c r="D157" s="34" t="e">
        <f>VLOOKUP(TR_Modèle9203259[[#This Row],[Ingrédients]],T_ingrédients[],3,0)</f>
        <v>#N/A</v>
      </c>
      <c r="E157" s="40"/>
      <c r="F157" s="41"/>
      <c r="G157" s="40"/>
    </row>
    <row r="158" spans="3:7" x14ac:dyDescent="0.25">
      <c r="C158" s="2"/>
      <c r="D158" s="34" t="e">
        <f>VLOOKUP(TR_Modèle9203259[[#This Row],[Ingrédients]],T_ingrédients[],3,0)</f>
        <v>#N/A</v>
      </c>
      <c r="E158" s="40"/>
      <c r="F158" s="41"/>
      <c r="G158" s="40"/>
    </row>
    <row r="159" spans="3:7" x14ac:dyDescent="0.25">
      <c r="C159" s="2"/>
      <c r="D159" s="34" t="e">
        <f>VLOOKUP(TR_Modèle9203259[[#This Row],[Ingrédients]],T_ingrédients[],3,0)</f>
        <v>#N/A</v>
      </c>
      <c r="E159" s="40"/>
      <c r="F159" s="41"/>
      <c r="G159" s="40"/>
    </row>
    <row r="160" spans="3:7" x14ac:dyDescent="0.25">
      <c r="C160" s="2"/>
      <c r="D160" s="34" t="e">
        <f>VLOOKUP(TR_Modèle9203259[[#This Row],[Ingrédients]],T_ingrédients[],3,0)</f>
        <v>#N/A</v>
      </c>
      <c r="E160" s="40"/>
      <c r="F160" s="41"/>
      <c r="G160" s="40"/>
    </row>
    <row r="161" spans="3:7" x14ac:dyDescent="0.25">
      <c r="C161" s="2"/>
      <c r="D161" s="34" t="e">
        <f>VLOOKUP(TR_Modèle9203259[[#This Row],[Ingrédients]],T_ingrédients[],3,0)</f>
        <v>#N/A</v>
      </c>
      <c r="E161" s="40"/>
      <c r="F161" s="41"/>
      <c r="G161" s="40"/>
    </row>
    <row r="162" spans="3:7" ht="15.75" thickBot="1" x14ac:dyDescent="0.3">
      <c r="C162" s="2"/>
      <c r="D162" s="34" t="e">
        <f>VLOOKUP(TR_Modèle9203259[[#This Row],[Ingrédients]],T_ingrédients[],3,0)</f>
        <v>#N/A</v>
      </c>
      <c r="E162" s="40"/>
      <c r="F162" s="41"/>
      <c r="G162" s="40"/>
    </row>
    <row r="163" spans="3:7" ht="16.5" thickBot="1" x14ac:dyDescent="0.3">
      <c r="C163" s="26" t="s">
        <v>39</v>
      </c>
      <c r="D163" s="27" t="s">
        <v>12</v>
      </c>
      <c r="E163" s="28">
        <f>SUBTOTAL(109,TR_Modèle9203259[Colonne1])</f>
        <v>0</v>
      </c>
      <c r="F163" s="28">
        <f>SUBTOTAL(109,TR_Modèle9203259[Colonne2])</f>
        <v>0</v>
      </c>
      <c r="G163" s="29">
        <f>SUBTOTAL(109,TR_Modèle9203259[Colonne3])</f>
        <v>0</v>
      </c>
    </row>
  </sheetData>
  <mergeCells count="22">
    <mergeCell ref="C132:G132"/>
    <mergeCell ref="C133:D133"/>
    <mergeCell ref="E133:G133"/>
    <mergeCell ref="C2:G2"/>
    <mergeCell ref="C23:G23"/>
    <mergeCell ref="C80:G80"/>
    <mergeCell ref="C81:D81"/>
    <mergeCell ref="E81:G81"/>
    <mergeCell ref="C98:G98"/>
    <mergeCell ref="C99:D99"/>
    <mergeCell ref="E99:G99"/>
    <mergeCell ref="C63:G63"/>
    <mergeCell ref="C64:D64"/>
    <mergeCell ref="E64:G64"/>
    <mergeCell ref="C46:G46"/>
    <mergeCell ref="C47:D47"/>
    <mergeCell ref="B40:B42"/>
    <mergeCell ref="B57:B59"/>
    <mergeCell ref="B92:B94"/>
    <mergeCell ref="E24:G24"/>
    <mergeCell ref="E3:G3"/>
    <mergeCell ref="E47:G47"/>
  </mergeCells>
  <dataValidations count="1">
    <dataValidation type="list" allowBlank="1" showInputMessage="1" sqref="C5:C19 C26:C42 C66:C76 C83:C94 C101:C128 C135:C162 C49:C59" xr:uid="{00000000-0002-0000-0300-000000000000}">
      <formula1>L_ingrédients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O143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2" max="2" width="11.7109375" customWidth="1"/>
    <col min="3" max="3" width="40.7109375" customWidth="1"/>
    <col min="4" max="7" width="11.7109375" customWidth="1"/>
    <col min="10" max="10" width="40.7109375" customWidth="1"/>
    <col min="11" max="14" width="11.7109375" customWidth="1"/>
    <col min="16" max="16" width="111.28515625" customWidth="1"/>
  </cols>
  <sheetData>
    <row r="1" spans="3:15" ht="16.149999999999999" customHeight="1" thickBot="1" x14ac:dyDescent="0.3">
      <c r="J1" s="15"/>
      <c r="K1" s="15"/>
      <c r="L1" s="15"/>
      <c r="M1" s="15"/>
      <c r="N1" s="15"/>
      <c r="O1" s="15"/>
    </row>
    <row r="2" spans="3:15" ht="18" customHeight="1" thickBot="1" x14ac:dyDescent="0.3">
      <c r="C2" s="176" t="s">
        <v>93</v>
      </c>
      <c r="D2" s="177"/>
      <c r="E2" s="177"/>
      <c r="F2" s="177"/>
      <c r="G2" s="178"/>
      <c r="H2" s="13"/>
      <c r="J2" s="25" t="s">
        <v>55</v>
      </c>
      <c r="O2" s="15"/>
    </row>
    <row r="3" spans="3:15" ht="16.899999999999999" customHeight="1" thickBot="1" x14ac:dyDescent="0.3">
      <c r="C3" s="181"/>
      <c r="D3" s="182"/>
      <c r="E3" s="183" t="s">
        <v>13</v>
      </c>
      <c r="F3" s="184"/>
      <c r="G3" s="185"/>
      <c r="H3" s="23"/>
      <c r="J3" s="6" t="s">
        <v>56</v>
      </c>
      <c r="O3" s="15"/>
    </row>
    <row r="4" spans="3:15" ht="16.899999999999999" customHeight="1" thickBot="1" x14ac:dyDescent="0.3">
      <c r="C4" s="127" t="s">
        <v>0</v>
      </c>
      <c r="D4" s="33" t="s">
        <v>1</v>
      </c>
      <c r="E4" s="21" t="s">
        <v>40</v>
      </c>
      <c r="F4" s="21" t="s">
        <v>41</v>
      </c>
      <c r="G4" s="21" t="s">
        <v>42</v>
      </c>
      <c r="H4" s="20"/>
      <c r="O4" s="15"/>
    </row>
    <row r="5" spans="3:15" x14ac:dyDescent="0.25">
      <c r="C5" s="53" t="s">
        <v>4</v>
      </c>
      <c r="D5" s="34" t="str">
        <f>VLOOKUP(R_Cookies_AmandesCN[[#This Row],[Ingrédients]],T_ingrédients[],3,0)</f>
        <v>g</v>
      </c>
      <c r="E5" s="40"/>
      <c r="F5" s="41"/>
      <c r="G5" s="40"/>
      <c r="O5" s="15"/>
    </row>
    <row r="6" spans="3:15" x14ac:dyDescent="0.25">
      <c r="C6" s="2" t="s">
        <v>263</v>
      </c>
      <c r="D6" s="34" t="str">
        <f>VLOOKUP(R_Cookies_AmandesCN[[#This Row],[Ingrédients]],T_ingrédients[],3,0)</f>
        <v>g</v>
      </c>
      <c r="E6" s="40"/>
      <c r="F6" s="41"/>
      <c r="G6" s="40"/>
      <c r="O6" s="15"/>
    </row>
    <row r="7" spans="3:15" x14ac:dyDescent="0.25">
      <c r="C7" s="2" t="s">
        <v>6</v>
      </c>
      <c r="D7" s="34" t="str">
        <f>VLOOKUP(R_Cookies_AmandesCN[[#This Row],[Ingrédients]],T_ingrédients[],3,0)</f>
        <v>g</v>
      </c>
      <c r="E7" s="40"/>
      <c r="F7" s="41"/>
      <c r="G7" s="40"/>
      <c r="O7" s="15"/>
    </row>
    <row r="8" spans="3:15" x14ac:dyDescent="0.25">
      <c r="C8" s="2" t="s">
        <v>7</v>
      </c>
      <c r="D8" s="34" t="str">
        <f>VLOOKUP(R_Cookies_AmandesCN[[#This Row],[Ingrédients]],T_ingrédients[],3,0)</f>
        <v>g</v>
      </c>
      <c r="E8" s="40"/>
      <c r="F8" s="41"/>
      <c r="G8" s="40"/>
      <c r="O8" s="15"/>
    </row>
    <row r="9" spans="3:15" x14ac:dyDescent="0.25">
      <c r="C9" s="2" t="s">
        <v>8</v>
      </c>
      <c r="D9" s="34" t="str">
        <f>VLOOKUP(R_Cookies_AmandesCN[[#This Row],[Ingrédients]],T_ingrédients[],3,0)</f>
        <v>g</v>
      </c>
      <c r="E9" s="40"/>
      <c r="F9" s="41"/>
      <c r="G9" s="40"/>
      <c r="O9" s="15"/>
    </row>
    <row r="10" spans="3:15" x14ac:dyDescent="0.25">
      <c r="C10" s="2" t="s">
        <v>206</v>
      </c>
      <c r="D10" s="34" t="str">
        <f>VLOOKUP(R_Cookies_AmandesCN[[#This Row],[Ingrédients]],T_ingrédients[],3,0)</f>
        <v>goutte</v>
      </c>
      <c r="E10" s="40"/>
      <c r="F10" s="41"/>
      <c r="G10" s="40"/>
      <c r="O10" s="15"/>
    </row>
    <row r="11" spans="3:15" x14ac:dyDescent="0.25">
      <c r="C11" s="2" t="s">
        <v>21</v>
      </c>
      <c r="D11" s="34" t="str">
        <f>VLOOKUP(R_Cookies_AmandesCN[[#This Row],[Ingrédients]],T_ingrédients[],3,0)</f>
        <v>g</v>
      </c>
      <c r="E11" s="40"/>
      <c r="F11" s="41"/>
      <c r="G11" s="40"/>
      <c r="O11" s="15"/>
    </row>
    <row r="12" spans="3:15" x14ac:dyDescent="0.25">
      <c r="C12" s="2" t="s">
        <v>10</v>
      </c>
      <c r="D12" s="34" t="str">
        <f>VLOOKUP(R_Cookies_AmandesCN[[#This Row],[Ingrédients]],T_ingrédients[],3,0)</f>
        <v>g</v>
      </c>
      <c r="E12" s="40"/>
      <c r="F12" s="41"/>
      <c r="G12" s="40"/>
      <c r="O12" s="15"/>
    </row>
    <row r="13" spans="3:15" x14ac:dyDescent="0.25">
      <c r="C13" s="2" t="s">
        <v>151</v>
      </c>
      <c r="D13" s="34" t="str">
        <f>VLOOKUP(R_Cookies_AmandesCN[[#This Row],[Ingrédients]],T_ingrédients[],3,0)</f>
        <v>g</v>
      </c>
      <c r="E13" s="40"/>
      <c r="F13" s="41"/>
      <c r="G13" s="40"/>
      <c r="H13" s="24"/>
    </row>
    <row r="14" spans="3:15" x14ac:dyDescent="0.25">
      <c r="C14" s="2" t="s">
        <v>16</v>
      </c>
      <c r="D14" s="34" t="str">
        <f>VLOOKUP(R_Cookies_AmandesCN[[#This Row],[Ingrédients]],T_ingrédients[],3,0)</f>
        <v>g</v>
      </c>
      <c r="E14" s="40"/>
      <c r="F14" s="41"/>
      <c r="G14" s="40"/>
      <c r="H14" s="3"/>
    </row>
    <row r="15" spans="3:15" ht="17.45" customHeight="1" x14ac:dyDescent="0.25">
      <c r="C15" s="2" t="s">
        <v>223</v>
      </c>
      <c r="D15" s="34" t="str">
        <f>VLOOKUP(R_Cookies_AmandesCN[[#This Row],[Ingrédients]],T_ingrédients[],3,0)</f>
        <v>g</v>
      </c>
      <c r="E15" s="40"/>
      <c r="F15" s="41"/>
      <c r="G15" s="40"/>
      <c r="H15" s="3"/>
    </row>
    <row r="16" spans="3:15" ht="18" customHeight="1" thickBot="1" x14ac:dyDescent="0.3">
      <c r="C16" s="2" t="s">
        <v>198</v>
      </c>
      <c r="D16" s="34" t="str">
        <f>VLOOKUP(R_Cookies_AmandesCN[[#This Row],[Ingrédients]],T_ingrédients[],3,0)</f>
        <v>g</v>
      </c>
      <c r="E16" s="40"/>
      <c r="F16" s="41"/>
      <c r="G16" s="40"/>
      <c r="H16" s="13"/>
      <c r="I16" s="3"/>
      <c r="J16" s="3"/>
      <c r="K16" s="3"/>
      <c r="L16" s="3"/>
    </row>
    <row r="17" spans="2:12" ht="16.899999999999999" customHeight="1" x14ac:dyDescent="0.25">
      <c r="B17" s="192" t="s">
        <v>262</v>
      </c>
      <c r="C17" s="2" t="s">
        <v>188</v>
      </c>
      <c r="D17" s="34" t="str">
        <f>VLOOKUP(R_Cookies_AmandesCN[[#This Row],[Ingrédients]],T_ingrédients[],3,0)</f>
        <v>g</v>
      </c>
      <c r="E17" s="40"/>
      <c r="F17" s="41"/>
      <c r="G17" s="40"/>
      <c r="H17" s="23"/>
    </row>
    <row r="18" spans="2:12" ht="16.899999999999999" customHeight="1" thickBot="1" x14ac:dyDescent="0.3">
      <c r="B18" s="193"/>
      <c r="C18" s="134" t="s">
        <v>16</v>
      </c>
      <c r="D18" s="34" t="str">
        <f>VLOOKUP(R_Cookies_AmandesCN[[#This Row],[Ingrédients]],T_ingrédients[],3,0)</f>
        <v>g</v>
      </c>
      <c r="E18" s="40"/>
      <c r="F18" s="41"/>
      <c r="G18" s="40"/>
      <c r="H18" s="20"/>
    </row>
    <row r="19" spans="2:12" ht="14.45" customHeight="1" thickBot="1" x14ac:dyDescent="0.3">
      <c r="C19" s="141" t="s">
        <v>39</v>
      </c>
      <c r="D19" s="27" t="s">
        <v>12</v>
      </c>
      <c r="E19" s="28">
        <f>SUBTOTAL(109,R_Cookies_AmandesCN[6])</f>
        <v>0</v>
      </c>
      <c r="F19" s="28">
        <f>SUBTOTAL(109,R_Cookies_AmandesCN[12])</f>
        <v>0</v>
      </c>
      <c r="G19" s="29">
        <f>SUBTOTAL(109,R_Cookies_AmandesCN[16])</f>
        <v>0</v>
      </c>
    </row>
    <row r="20" spans="2:12" ht="14.45" customHeight="1" x14ac:dyDescent="0.25"/>
    <row r="21" spans="2:12" ht="14.45" customHeight="1" thickBot="1" x14ac:dyDescent="0.3"/>
    <row r="22" spans="2:12" ht="14.45" customHeight="1" thickBot="1" x14ac:dyDescent="0.3">
      <c r="C22" s="176" t="s">
        <v>94</v>
      </c>
      <c r="D22" s="177"/>
      <c r="E22" s="177"/>
      <c r="F22" s="177"/>
      <c r="G22" s="178"/>
    </row>
    <row r="23" spans="2:12" ht="14.45" customHeight="1" thickBot="1" x14ac:dyDescent="0.3">
      <c r="C23" s="181"/>
      <c r="D23" s="182"/>
      <c r="E23" s="183" t="s">
        <v>13</v>
      </c>
      <c r="F23" s="184"/>
      <c r="G23" s="185"/>
    </row>
    <row r="24" spans="2:12" ht="14.45" customHeight="1" thickBot="1" x14ac:dyDescent="0.3">
      <c r="C24" s="127" t="s">
        <v>0</v>
      </c>
      <c r="D24" s="33" t="s">
        <v>1</v>
      </c>
      <c r="E24" s="21" t="s">
        <v>40</v>
      </c>
      <c r="F24" s="21" t="s">
        <v>41</v>
      </c>
      <c r="G24" s="21" t="s">
        <v>42</v>
      </c>
    </row>
    <row r="25" spans="2:12" ht="14.45" customHeight="1" x14ac:dyDescent="0.25">
      <c r="C25" s="53" t="s">
        <v>4</v>
      </c>
      <c r="D25" s="34" t="str">
        <f>VLOOKUP(R_Cookies_ClassiquesCN[[#This Row],[Ingrédients]],T_ingrédients[],3,0)</f>
        <v>g</v>
      </c>
      <c r="E25" s="40"/>
      <c r="F25" s="41"/>
      <c r="G25" s="40"/>
    </row>
    <row r="26" spans="2:12" ht="14.45" customHeight="1" x14ac:dyDescent="0.25">
      <c r="C26" s="2" t="s">
        <v>6</v>
      </c>
      <c r="D26" s="34" t="str">
        <f>VLOOKUP(R_Cookies_ClassiquesCN[[#This Row],[Ingrédients]],T_ingrédients[],3,0)</f>
        <v>g</v>
      </c>
      <c r="E26" s="40"/>
      <c r="F26" s="41"/>
      <c r="G26" s="40"/>
    </row>
    <row r="27" spans="2:12" ht="14.45" customHeight="1" x14ac:dyDescent="0.25">
      <c r="C27" s="2" t="s">
        <v>7</v>
      </c>
      <c r="D27" s="34" t="str">
        <f>VLOOKUP(R_Cookies_ClassiquesCN[[#This Row],[Ingrédients]],T_ingrédients[],3,0)</f>
        <v>g</v>
      </c>
      <c r="E27" s="40"/>
      <c r="F27" s="41"/>
      <c r="G27" s="40"/>
    </row>
    <row r="28" spans="2:12" ht="14.45" customHeight="1" x14ac:dyDescent="0.25">
      <c r="C28" s="2" t="s">
        <v>8</v>
      </c>
      <c r="D28" s="34" t="str">
        <f>VLOOKUP(R_Cookies_ClassiquesCN[[#This Row],[Ingrédients]],T_ingrédients[],3,0)</f>
        <v>g</v>
      </c>
      <c r="E28" s="40"/>
      <c r="F28" s="41"/>
      <c r="G28" s="40"/>
    </row>
    <row r="29" spans="2:12" ht="14.45" customHeight="1" x14ac:dyDescent="0.25">
      <c r="C29" s="2" t="s">
        <v>21</v>
      </c>
      <c r="D29" s="34" t="str">
        <f>VLOOKUP(R_Cookies_ClassiquesCN[[#This Row],[Ingrédients]],T_ingrédients[],3,0)</f>
        <v>g</v>
      </c>
      <c r="E29" s="40"/>
      <c r="F29" s="41"/>
      <c r="G29" s="40"/>
    </row>
    <row r="30" spans="2:12" ht="14.45" customHeight="1" x14ac:dyDescent="0.25">
      <c r="C30" s="2" t="s">
        <v>10</v>
      </c>
      <c r="D30" s="34" t="str">
        <f>VLOOKUP(R_Cookies_ClassiquesCN[[#This Row],[Ingrédients]],T_ingrédients[],3,0)</f>
        <v>g</v>
      </c>
      <c r="E30" s="40"/>
      <c r="F30" s="41"/>
      <c r="G30" s="40"/>
    </row>
    <row r="31" spans="2:12" ht="14.45" customHeight="1" x14ac:dyDescent="0.25">
      <c r="C31" s="2" t="s">
        <v>16</v>
      </c>
      <c r="D31" s="34" t="str">
        <f>VLOOKUP(R_Cookies_ClassiquesCN[[#This Row],[Ingrédients]],T_ingrédients[],3,0)</f>
        <v>g</v>
      </c>
      <c r="E31" s="40"/>
      <c r="F31" s="41"/>
      <c r="G31" s="40"/>
      <c r="I31" s="8"/>
      <c r="J31" s="6"/>
      <c r="K31" s="1"/>
      <c r="L31" s="7"/>
    </row>
    <row r="32" spans="2:12" ht="14.45" customHeight="1" thickBot="1" x14ac:dyDescent="0.3">
      <c r="C32" s="2" t="s">
        <v>198</v>
      </c>
      <c r="D32" s="34" t="str">
        <f>VLOOKUP(R_Cookies_ClassiquesCN[[#This Row],[Ingrédients]],T_ingrédients[],3,0)</f>
        <v>g</v>
      </c>
      <c r="E32" s="40"/>
      <c r="F32" s="41"/>
      <c r="G32" s="40"/>
      <c r="I32" s="8"/>
      <c r="J32" s="6"/>
      <c r="K32" s="1"/>
      <c r="L32" s="7"/>
    </row>
    <row r="33" spans="2:8" ht="14.45" customHeight="1" thickBot="1" x14ac:dyDescent="0.3">
      <c r="B33" s="126" t="s">
        <v>262</v>
      </c>
      <c r="C33" s="2" t="s">
        <v>16</v>
      </c>
      <c r="D33" s="34" t="str">
        <f>VLOOKUP(R_Cookies_ClassiquesCN[[#This Row],[Ingrédients]],T_ingrédients[],3,0)</f>
        <v>g</v>
      </c>
      <c r="E33" s="40"/>
      <c r="F33" s="41"/>
      <c r="G33" s="40"/>
    </row>
    <row r="34" spans="2:8" ht="14.45" customHeight="1" thickBot="1" x14ac:dyDescent="0.3">
      <c r="C34" s="26" t="s">
        <v>39</v>
      </c>
      <c r="D34" s="27" t="s">
        <v>12</v>
      </c>
      <c r="E34" s="28">
        <f>SUBTOTAL(109,R_Cookies_ClassiquesCN[6])</f>
        <v>0</v>
      </c>
      <c r="F34" s="28">
        <f>SUBTOTAL(109,R_Cookies_ClassiquesCN[12])</f>
        <v>0</v>
      </c>
      <c r="G34" s="29">
        <f>SUBTOTAL(109,R_Cookies_ClassiquesCN[16])</f>
        <v>0</v>
      </c>
    </row>
    <row r="35" spans="2:8" ht="14.45" customHeight="1" x14ac:dyDescent="0.25"/>
    <row r="36" spans="2:8" ht="14.45" customHeight="1" thickBot="1" x14ac:dyDescent="0.3"/>
    <row r="37" spans="2:8" ht="14.45" customHeight="1" thickBot="1" x14ac:dyDescent="0.3">
      <c r="C37" s="176" t="s">
        <v>92</v>
      </c>
      <c r="D37" s="177"/>
      <c r="E37" s="177"/>
      <c r="F37" s="177"/>
      <c r="G37" s="178"/>
    </row>
    <row r="38" spans="2:8" ht="14.45" customHeight="1" thickBot="1" x14ac:dyDescent="0.3">
      <c r="C38" s="181"/>
      <c r="D38" s="182"/>
      <c r="E38" s="183" t="s">
        <v>13</v>
      </c>
      <c r="F38" s="184"/>
      <c r="G38" s="185"/>
    </row>
    <row r="39" spans="2:8" ht="14.45" customHeight="1" thickBot="1" x14ac:dyDescent="0.3">
      <c r="C39" s="127" t="s">
        <v>0</v>
      </c>
      <c r="D39" s="33" t="s">
        <v>1</v>
      </c>
      <c r="E39" s="21" t="s">
        <v>40</v>
      </c>
      <c r="F39" s="21" t="s">
        <v>41</v>
      </c>
      <c r="G39" s="21" t="s">
        <v>42</v>
      </c>
    </row>
    <row r="40" spans="2:8" ht="14.45" customHeight="1" x14ac:dyDescent="0.25">
      <c r="C40" s="53" t="s">
        <v>264</v>
      </c>
      <c r="D40" s="34" t="str">
        <f>VLOOKUP(R_Cookies_OliveCN[[#This Row],[Ingrédients]],T_ingrédients[],3,0)</f>
        <v>g</v>
      </c>
      <c r="E40" s="40"/>
      <c r="F40" s="41"/>
      <c r="G40" s="40"/>
    </row>
    <row r="41" spans="2:8" ht="14.45" customHeight="1" x14ac:dyDescent="0.25">
      <c r="C41" s="2" t="s">
        <v>6</v>
      </c>
      <c r="D41" s="34" t="str">
        <f>VLOOKUP(R_Cookies_OliveCN[[#This Row],[Ingrédients]],T_ingrédients[],3,0)</f>
        <v>g</v>
      </c>
      <c r="E41" s="40"/>
      <c r="F41" s="41"/>
      <c r="G41" s="40"/>
    </row>
    <row r="42" spans="2:8" ht="14.45" customHeight="1" x14ac:dyDescent="0.25">
      <c r="C42" s="2" t="s">
        <v>187</v>
      </c>
      <c r="D42" s="34" t="str">
        <f>VLOOKUP(R_Cookies_OliveCN[[#This Row],[Ingrédients]],T_ingrédients[],3,0)</f>
        <v>g</v>
      </c>
      <c r="E42" s="40"/>
      <c r="F42" s="41"/>
      <c r="G42" s="40"/>
    </row>
    <row r="43" spans="2:8" ht="14.45" customHeight="1" x14ac:dyDescent="0.25">
      <c r="C43" s="2" t="s">
        <v>8</v>
      </c>
      <c r="D43" s="34" t="str">
        <f>VLOOKUP(R_Cookies_OliveCN[[#This Row],[Ingrédients]],T_ingrédients[],3,0)</f>
        <v>g</v>
      </c>
      <c r="E43" s="40"/>
      <c r="F43" s="41"/>
      <c r="G43" s="40"/>
    </row>
    <row r="44" spans="2:8" ht="14.45" customHeight="1" x14ac:dyDescent="0.25">
      <c r="C44" s="2" t="s">
        <v>17</v>
      </c>
      <c r="D44" s="34" t="str">
        <f>VLOOKUP(R_Cookies_OliveCN[[#This Row],[Ingrédients]],T_ingrédients[],3,0)</f>
        <v>g</v>
      </c>
      <c r="E44" s="40"/>
      <c r="F44" s="41"/>
      <c r="G44" s="40"/>
    </row>
    <row r="45" spans="2:8" ht="14.45" customHeight="1" x14ac:dyDescent="0.25">
      <c r="C45" s="2" t="s">
        <v>21</v>
      </c>
      <c r="D45" s="34" t="str">
        <f>VLOOKUP(R_Cookies_OliveCN[[#This Row],[Ingrédients]],T_ingrédients[],3,0)</f>
        <v>g</v>
      </c>
      <c r="E45" s="40"/>
      <c r="F45" s="41"/>
      <c r="G45" s="40"/>
    </row>
    <row r="46" spans="2:8" ht="15" customHeight="1" x14ac:dyDescent="0.25">
      <c r="C46" s="2" t="s">
        <v>151</v>
      </c>
      <c r="D46" s="34" t="str">
        <f>VLOOKUP(R_Cookies_OliveCN[[#This Row],[Ingrédients]],T_ingrédients[],3,0)</f>
        <v>g</v>
      </c>
      <c r="E46" s="40"/>
      <c r="F46" s="41"/>
      <c r="G46" s="40"/>
    </row>
    <row r="47" spans="2:8" x14ac:dyDescent="0.25">
      <c r="C47" s="2" t="s">
        <v>16</v>
      </c>
      <c r="D47" s="34" t="str">
        <f>VLOOKUP(R_Cookies_OliveCN[[#This Row],[Ingrédients]],T_ingrédients[],3,0)</f>
        <v>g</v>
      </c>
      <c r="E47" s="40"/>
      <c r="F47" s="41"/>
      <c r="G47" s="40"/>
      <c r="H47" s="24"/>
    </row>
    <row r="48" spans="2:8" ht="30.75" thickBot="1" x14ac:dyDescent="0.3">
      <c r="C48" s="2" t="s">
        <v>198</v>
      </c>
      <c r="D48" s="34" t="str">
        <f>VLOOKUP(R_Cookies_OliveCN[[#This Row],[Ingrédients]],T_ingrédients[],3,0)</f>
        <v>g</v>
      </c>
      <c r="E48" s="40"/>
      <c r="F48" s="41"/>
      <c r="G48" s="40"/>
    </row>
    <row r="49" spans="2:7" ht="16.5" thickBot="1" x14ac:dyDescent="0.3">
      <c r="C49" s="26" t="s">
        <v>39</v>
      </c>
      <c r="D49" s="27" t="s">
        <v>12</v>
      </c>
      <c r="E49" s="28">
        <f>SUBTOTAL(109,R_Cookies_OliveCN[6])</f>
        <v>0</v>
      </c>
      <c r="F49" s="28">
        <f>SUBTOTAL(109,R_Cookies_OliveCN[12])</f>
        <v>0</v>
      </c>
      <c r="G49" s="29">
        <f>SUBTOTAL(109,R_Cookies_OliveCN[16])</f>
        <v>0</v>
      </c>
    </row>
    <row r="51" spans="2:7" ht="15.75" thickBot="1" x14ac:dyDescent="0.3"/>
    <row r="52" spans="2:7" ht="18" thickBot="1" x14ac:dyDescent="0.3">
      <c r="C52" s="176" t="s">
        <v>90</v>
      </c>
      <c r="D52" s="177"/>
      <c r="E52" s="177"/>
      <c r="F52" s="177"/>
      <c r="G52" s="178"/>
    </row>
    <row r="53" spans="2:7" ht="15.75" thickBot="1" x14ac:dyDescent="0.3">
      <c r="C53" s="181"/>
      <c r="D53" s="182"/>
      <c r="E53" s="183" t="s">
        <v>13</v>
      </c>
      <c r="F53" s="184"/>
      <c r="G53" s="185"/>
    </row>
    <row r="54" spans="2:7" ht="16.5" thickBot="1" x14ac:dyDescent="0.3">
      <c r="C54" s="19" t="s">
        <v>0</v>
      </c>
      <c r="D54" s="33" t="s">
        <v>1</v>
      </c>
      <c r="E54" s="21" t="s">
        <v>40</v>
      </c>
      <c r="F54" s="22" t="s">
        <v>41</v>
      </c>
      <c r="G54" s="21" t="s">
        <v>42</v>
      </c>
    </row>
    <row r="55" spans="2:7" x14ac:dyDescent="0.25">
      <c r="C55" s="53" t="s">
        <v>5</v>
      </c>
      <c r="D55" s="34" t="str">
        <f>VLOOKUP(R_Cookies_MatchaCB[[#This Row],[Ingrédients]],T_ingrédients[],3,0)</f>
        <v>g</v>
      </c>
      <c r="E55" s="40"/>
      <c r="F55" s="41"/>
      <c r="G55" s="40"/>
    </row>
    <row r="56" spans="2:7" x14ac:dyDescent="0.25">
      <c r="C56" s="2" t="s">
        <v>6</v>
      </c>
      <c r="D56" s="34" t="str">
        <f>VLOOKUP(R_Cookies_MatchaCB[[#This Row],[Ingrédients]],T_ingrédients[],3,0)</f>
        <v>g</v>
      </c>
      <c r="E56" s="40"/>
      <c r="F56" s="41"/>
      <c r="G56" s="40"/>
    </row>
    <row r="57" spans="2:7" x14ac:dyDescent="0.25">
      <c r="C57" s="2" t="s">
        <v>187</v>
      </c>
      <c r="D57" s="34" t="str">
        <f>VLOOKUP(R_Cookies_MatchaCB[[#This Row],[Ingrédients]],T_ingrédients[],3,0)</f>
        <v>g</v>
      </c>
      <c r="E57" s="40"/>
      <c r="F57" s="41"/>
      <c r="G57" s="40"/>
    </row>
    <row r="58" spans="2:7" x14ac:dyDescent="0.25">
      <c r="C58" s="2" t="s">
        <v>8</v>
      </c>
      <c r="D58" s="34" t="str">
        <f>VLOOKUP(R_Cookies_MatchaCB[[#This Row],[Ingrédients]],T_ingrédients[],3,0)</f>
        <v>g</v>
      </c>
      <c r="E58" s="40"/>
      <c r="F58" s="41"/>
      <c r="G58" s="40"/>
    </row>
    <row r="59" spans="2:7" x14ac:dyDescent="0.25">
      <c r="C59" s="2" t="s">
        <v>21</v>
      </c>
      <c r="D59" s="34" t="str">
        <f>VLOOKUP(R_Cookies_MatchaCB[[#This Row],[Ingrédients]],T_ingrédients[],3,0)</f>
        <v>g</v>
      </c>
      <c r="E59" s="40"/>
      <c r="F59" s="41"/>
      <c r="G59" s="40"/>
    </row>
    <row r="60" spans="2:7" x14ac:dyDescent="0.25">
      <c r="C60" s="2" t="s">
        <v>10</v>
      </c>
      <c r="D60" s="34" t="str">
        <f>VLOOKUP(R_Cookies_MatchaCB[[#This Row],[Ingrédients]],T_ingrédients[],3,0)</f>
        <v>g</v>
      </c>
      <c r="E60" s="40"/>
      <c r="F60" s="41"/>
      <c r="G60" s="40"/>
    </row>
    <row r="61" spans="2:7" x14ac:dyDescent="0.25">
      <c r="C61" s="2" t="s">
        <v>186</v>
      </c>
      <c r="D61" s="34" t="str">
        <f>VLOOKUP(R_Cookies_MatchaCB[[#This Row],[Ingrédients]],T_ingrédients[],3,0)</f>
        <v>g</v>
      </c>
      <c r="E61" s="40"/>
      <c r="F61" s="41"/>
      <c r="G61" s="40"/>
    </row>
    <row r="62" spans="2:7" x14ac:dyDescent="0.25">
      <c r="C62" s="2" t="s">
        <v>16</v>
      </c>
      <c r="D62" s="34" t="str">
        <f>VLOOKUP(R_Cookies_MatchaCB[[#This Row],[Ingrédients]],T_ingrédients[],3,0)</f>
        <v>g</v>
      </c>
      <c r="E62" s="40"/>
      <c r="F62" s="41"/>
      <c r="G62" s="40"/>
    </row>
    <row r="63" spans="2:7" ht="30.75" thickBot="1" x14ac:dyDescent="0.3">
      <c r="C63" s="2" t="s">
        <v>195</v>
      </c>
      <c r="D63" s="34" t="str">
        <f>VLOOKUP(R_Cookies_MatchaCB[[#This Row],[Ingrédients]],T_ingrédients[],3,0)</f>
        <v>g</v>
      </c>
      <c r="E63" s="40"/>
      <c r="F63" s="41"/>
      <c r="G63" s="40"/>
    </row>
    <row r="64" spans="2:7" ht="30.75" thickBot="1" x14ac:dyDescent="0.3">
      <c r="B64" s="126" t="s">
        <v>262</v>
      </c>
      <c r="C64" s="134" t="s">
        <v>195</v>
      </c>
      <c r="D64" s="34" t="str">
        <f>VLOOKUP(R_Cookies_MatchaCB[[#This Row],[Ingrédients]],T_ingrédients[],3,0)</f>
        <v>g</v>
      </c>
      <c r="E64" s="40"/>
      <c r="F64" s="41"/>
      <c r="G64" s="40"/>
    </row>
    <row r="65" spans="2:7" ht="16.5" thickBot="1" x14ac:dyDescent="0.3">
      <c r="C65" s="26" t="s">
        <v>39</v>
      </c>
      <c r="D65" s="27" t="s">
        <v>12</v>
      </c>
      <c r="E65" s="28">
        <f>SUBTOTAL(109,R_Cookies_MatchaCB[6])</f>
        <v>0</v>
      </c>
      <c r="F65" s="28">
        <f>SUBTOTAL(109,R_Cookies_MatchaCB[12])</f>
        <v>0</v>
      </c>
      <c r="G65" s="29">
        <f>SUBTOTAL(109,R_Cookies_MatchaCB[16])</f>
        <v>0</v>
      </c>
    </row>
    <row r="67" spans="2:7" ht="15.75" thickBot="1" x14ac:dyDescent="0.3"/>
    <row r="68" spans="2:7" ht="18" thickBot="1" x14ac:dyDescent="0.3">
      <c r="C68" s="176" t="s">
        <v>91</v>
      </c>
      <c r="D68" s="177"/>
      <c r="E68" s="177"/>
      <c r="F68" s="177"/>
      <c r="G68" s="178"/>
    </row>
    <row r="69" spans="2:7" ht="15.75" thickBot="1" x14ac:dyDescent="0.3">
      <c r="C69" s="181"/>
      <c r="D69" s="182"/>
      <c r="E69" s="183" t="s">
        <v>13</v>
      </c>
      <c r="F69" s="184"/>
      <c r="G69" s="185"/>
    </row>
    <row r="70" spans="2:7" ht="16.5" thickBot="1" x14ac:dyDescent="0.3">
      <c r="C70" s="19" t="s">
        <v>0</v>
      </c>
      <c r="D70" s="33" t="s">
        <v>1</v>
      </c>
      <c r="E70" s="21" t="s">
        <v>40</v>
      </c>
      <c r="F70" s="22" t="s">
        <v>41</v>
      </c>
      <c r="G70" s="21" t="s">
        <v>42</v>
      </c>
    </row>
    <row r="71" spans="2:7" x14ac:dyDescent="0.25">
      <c r="C71" s="53" t="s">
        <v>5</v>
      </c>
      <c r="D71" s="34" t="str">
        <f>VLOOKUP(R_Cookies_NoisettesCL[[#This Row],[Ingrédients]],T_ingrédients[],3,0)</f>
        <v>g</v>
      </c>
      <c r="E71" s="40"/>
      <c r="F71" s="41"/>
      <c r="G71" s="40"/>
    </row>
    <row r="72" spans="2:7" x14ac:dyDescent="0.25">
      <c r="C72" s="2" t="s">
        <v>6</v>
      </c>
      <c r="D72" s="34" t="str">
        <f>VLOOKUP(R_Cookies_NoisettesCL[[#This Row],[Ingrédients]],T_ingrédients[],3,0)</f>
        <v>g</v>
      </c>
      <c r="E72" s="40"/>
      <c r="F72" s="41"/>
      <c r="G72" s="40"/>
    </row>
    <row r="73" spans="2:7" x14ac:dyDescent="0.25">
      <c r="C73" s="2" t="s">
        <v>7</v>
      </c>
      <c r="D73" s="34" t="str">
        <f>VLOOKUP(R_Cookies_NoisettesCL[[#This Row],[Ingrédients]],T_ingrédients[],3,0)</f>
        <v>g</v>
      </c>
      <c r="E73" s="40"/>
      <c r="F73" s="41"/>
      <c r="G73" s="40"/>
    </row>
    <row r="74" spans="2:7" x14ac:dyDescent="0.25">
      <c r="C74" s="2" t="s">
        <v>8</v>
      </c>
      <c r="D74" s="34" t="str">
        <f>VLOOKUP(R_Cookies_NoisettesCL[[#This Row],[Ingrédients]],T_ingrédients[],3,0)</f>
        <v>g</v>
      </c>
      <c r="E74" s="40"/>
      <c r="F74" s="41"/>
      <c r="G74" s="40"/>
    </row>
    <row r="75" spans="2:7" x14ac:dyDescent="0.25">
      <c r="C75" s="2" t="s">
        <v>21</v>
      </c>
      <c r="D75" s="34" t="str">
        <f>VLOOKUP(R_Cookies_NoisettesCL[[#This Row],[Ingrédients]],T_ingrédients[],3,0)</f>
        <v>g</v>
      </c>
      <c r="E75" s="40"/>
      <c r="F75" s="41"/>
      <c r="G75" s="40"/>
    </row>
    <row r="76" spans="2:7" x14ac:dyDescent="0.25">
      <c r="C76" s="2" t="s">
        <v>10</v>
      </c>
      <c r="D76" s="34" t="str">
        <f>VLOOKUP(R_Cookies_NoisettesCL[[#This Row],[Ingrédients]],T_ingrédients[],3,0)</f>
        <v>g</v>
      </c>
      <c r="E76" s="40"/>
      <c r="F76" s="41"/>
      <c r="G76" s="40"/>
    </row>
    <row r="77" spans="2:7" x14ac:dyDescent="0.25">
      <c r="C77" s="2" t="s">
        <v>151</v>
      </c>
      <c r="D77" s="34" t="str">
        <f>VLOOKUP(R_Cookies_NoisettesCL[[#This Row],[Ingrédients]],T_ingrédients[],3,0)</f>
        <v>g</v>
      </c>
      <c r="E77" s="40"/>
      <c r="F77" s="41"/>
      <c r="G77" s="40"/>
    </row>
    <row r="78" spans="2:7" ht="30" x14ac:dyDescent="0.25">
      <c r="C78" s="2" t="s">
        <v>196</v>
      </c>
      <c r="D78" s="34" t="str">
        <f>VLOOKUP(R_Cookies_NoisettesCL[[#This Row],[Ingrédients]],T_ingrédients[],3,0)</f>
        <v>g</v>
      </c>
      <c r="E78" s="40"/>
      <c r="F78" s="41"/>
      <c r="G78" s="40"/>
    </row>
    <row r="79" spans="2:7" ht="15.75" thickBot="1" x14ac:dyDescent="0.3">
      <c r="C79" s="2" t="s">
        <v>219</v>
      </c>
      <c r="D79" s="34" t="str">
        <f>VLOOKUP(R_Cookies_NoisettesCL[[#This Row],[Ingrédients]],T_ingrédients[],3,0)</f>
        <v>g</v>
      </c>
      <c r="E79" s="40"/>
      <c r="F79" s="41"/>
      <c r="G79" s="40"/>
    </row>
    <row r="80" spans="2:7" ht="30.75" thickBot="1" x14ac:dyDescent="0.3">
      <c r="B80" s="126" t="s">
        <v>262</v>
      </c>
      <c r="C80" s="134" t="s">
        <v>196</v>
      </c>
      <c r="D80" s="34" t="str">
        <f>VLOOKUP(R_Cookies_NoisettesCL[[#This Row],[Ingrédients]],T_ingrédients[],3,0)</f>
        <v>g</v>
      </c>
      <c r="E80" s="40"/>
      <c r="F80" s="41"/>
      <c r="G80" s="40"/>
    </row>
    <row r="81" spans="2:7" ht="16.5" thickBot="1" x14ac:dyDescent="0.3">
      <c r="C81" s="26" t="s">
        <v>39</v>
      </c>
      <c r="D81" s="27" t="s">
        <v>12</v>
      </c>
      <c r="E81" s="28">
        <f>SUBTOTAL(109,R_Cookies_NoisettesCL[6])</f>
        <v>0</v>
      </c>
      <c r="F81" s="28">
        <f>SUBTOTAL(109,R_Cookies_NoisettesCL[12])</f>
        <v>0</v>
      </c>
      <c r="G81" s="29">
        <f>SUBTOTAL(109,R_Cookies_NoisettesCL[16])</f>
        <v>0</v>
      </c>
    </row>
    <row r="83" spans="2:7" ht="15.75" thickBot="1" x14ac:dyDescent="0.3"/>
    <row r="84" spans="2:7" ht="18" thickBot="1" x14ac:dyDescent="0.3">
      <c r="C84" s="176" t="s">
        <v>89</v>
      </c>
      <c r="D84" s="177"/>
      <c r="E84" s="177"/>
      <c r="F84" s="177"/>
      <c r="G84" s="178"/>
    </row>
    <row r="85" spans="2:7" ht="15.75" thickBot="1" x14ac:dyDescent="0.3">
      <c r="C85" s="181"/>
      <c r="D85" s="182"/>
      <c r="E85" s="183" t="s">
        <v>13</v>
      </c>
      <c r="F85" s="184"/>
      <c r="G85" s="185"/>
    </row>
    <row r="86" spans="2:7" ht="16.5" thickBot="1" x14ac:dyDescent="0.3">
      <c r="C86" s="127" t="s">
        <v>0</v>
      </c>
      <c r="D86" s="33" t="s">
        <v>1</v>
      </c>
      <c r="E86" s="21" t="s">
        <v>40</v>
      </c>
      <c r="F86" s="21" t="s">
        <v>41</v>
      </c>
      <c r="G86" s="21" t="s">
        <v>42</v>
      </c>
    </row>
    <row r="87" spans="2:7" x14ac:dyDescent="0.25">
      <c r="C87" s="53" t="s">
        <v>5</v>
      </c>
      <c r="D87" s="34" t="str">
        <f>VLOOKUP(R_Cookies_SésameCL[[#This Row],[Ingrédients]],T_ingrédients[],3,0)</f>
        <v>g</v>
      </c>
      <c r="E87" s="40"/>
      <c r="F87" s="41"/>
      <c r="G87" s="40"/>
    </row>
    <row r="88" spans="2:7" x14ac:dyDescent="0.25">
      <c r="C88" s="2" t="s">
        <v>6</v>
      </c>
      <c r="D88" s="34" t="str">
        <f>VLOOKUP(R_Cookies_SésameCL[[#This Row],[Ingrédients]],T_ingrédients[],3,0)</f>
        <v>g</v>
      </c>
      <c r="E88" s="40"/>
      <c r="F88" s="41"/>
      <c r="G88" s="40"/>
    </row>
    <row r="89" spans="2:7" x14ac:dyDescent="0.25">
      <c r="C89" s="2" t="s">
        <v>187</v>
      </c>
      <c r="D89" s="34" t="str">
        <f>VLOOKUP(R_Cookies_SésameCL[[#This Row],[Ingrédients]],T_ingrédients[],3,0)</f>
        <v>g</v>
      </c>
      <c r="E89" s="40"/>
      <c r="F89" s="41"/>
      <c r="G89" s="40"/>
    </row>
    <row r="90" spans="2:7" x14ac:dyDescent="0.25">
      <c r="C90" s="2" t="s">
        <v>263</v>
      </c>
      <c r="D90" s="34" t="str">
        <f>VLOOKUP(R_Cookies_SésameCL[[#This Row],[Ingrédients]],T_ingrédients[],3,0)</f>
        <v>g</v>
      </c>
      <c r="E90" s="40"/>
      <c r="F90" s="41"/>
      <c r="G90" s="40"/>
    </row>
    <row r="91" spans="2:7" x14ac:dyDescent="0.25">
      <c r="C91" s="2" t="s">
        <v>225</v>
      </c>
      <c r="D91" s="34" t="str">
        <f>VLOOKUP(R_Cookies_SésameCL[[#This Row],[Ingrédients]],T_ingrédients[],3,0)</f>
        <v>g</v>
      </c>
      <c r="E91" s="40"/>
      <c r="F91" s="41"/>
      <c r="G91" s="40"/>
    </row>
    <row r="92" spans="2:7" x14ac:dyDescent="0.25">
      <c r="C92" s="2" t="s">
        <v>8</v>
      </c>
      <c r="D92" s="34" t="str">
        <f>VLOOKUP(R_Cookies_SésameCL[[#This Row],[Ingrédients]],T_ingrédients[],3,0)</f>
        <v>g</v>
      </c>
      <c r="E92" s="40"/>
      <c r="F92" s="41"/>
      <c r="G92" s="40"/>
    </row>
    <row r="93" spans="2:7" x14ac:dyDescent="0.25">
      <c r="C93" s="2" t="s">
        <v>21</v>
      </c>
      <c r="D93" s="34" t="str">
        <f>VLOOKUP(R_Cookies_SésameCL[[#This Row],[Ingrédients]],T_ingrédients[],3,0)</f>
        <v>g</v>
      </c>
      <c r="E93" s="40"/>
      <c r="F93" s="41"/>
      <c r="G93" s="40"/>
    </row>
    <row r="94" spans="2:7" x14ac:dyDescent="0.25">
      <c r="C94" s="2" t="s">
        <v>10</v>
      </c>
      <c r="D94" s="34" t="str">
        <f>VLOOKUP(R_Cookies_SésameCL[[#This Row],[Ingrédients]],T_ingrédients[],3,0)</f>
        <v>g</v>
      </c>
      <c r="E94" s="40"/>
      <c r="F94" s="41"/>
      <c r="G94" s="40"/>
    </row>
    <row r="95" spans="2:7" ht="30.75" thickBot="1" x14ac:dyDescent="0.3">
      <c r="C95" s="2" t="s">
        <v>196</v>
      </c>
      <c r="D95" s="34" t="str">
        <f>VLOOKUP(R_Cookies_SésameCL[[#This Row],[Ingrédients]],T_ingrédients[],3,0)</f>
        <v>g</v>
      </c>
      <c r="E95" s="40"/>
      <c r="F95" s="41"/>
      <c r="G95" s="40"/>
    </row>
    <row r="96" spans="2:7" x14ac:dyDescent="0.25">
      <c r="B96" s="179" t="s">
        <v>262</v>
      </c>
      <c r="C96" s="2" t="s">
        <v>213</v>
      </c>
      <c r="D96" s="34" t="str">
        <f>VLOOKUP(R_Cookies_SésameCL[[#This Row],[Ingrédients]],T_ingrédients[],3,0)</f>
        <v>g</v>
      </c>
      <c r="E96" s="40"/>
      <c r="F96" s="41"/>
      <c r="G96" s="40"/>
    </row>
    <row r="97" spans="2:7" ht="30.75" thickBot="1" x14ac:dyDescent="0.3">
      <c r="B97" s="180"/>
      <c r="C97" s="2" t="s">
        <v>196</v>
      </c>
      <c r="D97" s="34" t="str">
        <f>VLOOKUP(R_Cookies_SésameCL[[#This Row],[Ingrédients]],T_ingrédients[],3,0)</f>
        <v>g</v>
      </c>
      <c r="E97" s="40"/>
      <c r="F97" s="41"/>
      <c r="G97" s="40"/>
    </row>
    <row r="98" spans="2:7" ht="16.5" thickBot="1" x14ac:dyDescent="0.3">
      <c r="C98" s="26" t="s">
        <v>39</v>
      </c>
      <c r="D98" s="27" t="s">
        <v>12</v>
      </c>
      <c r="E98" s="28">
        <f>SUBTOTAL(109,R_Cookies_SésameCL[6])</f>
        <v>0</v>
      </c>
      <c r="F98" s="28">
        <f>SUBTOTAL(109,R_Cookies_SésameCL[12])</f>
        <v>0</v>
      </c>
      <c r="G98" s="29">
        <f>SUBTOTAL(109,R_Cookies_SésameCL[16])</f>
        <v>0</v>
      </c>
    </row>
    <row r="100" spans="2:7" ht="15.75" thickBot="1" x14ac:dyDescent="0.3">
      <c r="B100" s="3"/>
    </row>
    <row r="101" spans="2:7" ht="18" thickBot="1" x14ac:dyDescent="0.3">
      <c r="C101" s="176" t="s">
        <v>261</v>
      </c>
      <c r="D101" s="177"/>
      <c r="E101" s="177"/>
      <c r="F101" s="177"/>
      <c r="G101" s="178"/>
    </row>
    <row r="102" spans="2:7" ht="15.75" thickBot="1" x14ac:dyDescent="0.3">
      <c r="C102" s="181"/>
      <c r="D102" s="182"/>
      <c r="E102" s="183" t="s">
        <v>13</v>
      </c>
      <c r="F102" s="184"/>
      <c r="G102" s="185"/>
    </row>
    <row r="103" spans="2:7" ht="16.5" thickBot="1" x14ac:dyDescent="0.3">
      <c r="C103" s="127" t="s">
        <v>0</v>
      </c>
      <c r="D103" s="20" t="s">
        <v>1</v>
      </c>
      <c r="E103" s="22" t="s">
        <v>40</v>
      </c>
      <c r="F103" s="22" t="s">
        <v>41</v>
      </c>
      <c r="G103" s="22" t="s">
        <v>42</v>
      </c>
    </row>
    <row r="104" spans="2:7" x14ac:dyDescent="0.25">
      <c r="C104" s="30" t="s">
        <v>4</v>
      </c>
      <c r="D104" s="42" t="str">
        <f>IFERROR(VLOOKUP(R_CookieSG_cacahuètes[[#This Row],[Ingrédients]],T_ingrédients[],3,0),"")</f>
        <v>g</v>
      </c>
      <c r="E104" s="131">
        <v>78</v>
      </c>
      <c r="F104" s="38">
        <v>157</v>
      </c>
      <c r="G104" s="132">
        <v>209</v>
      </c>
    </row>
    <row r="105" spans="2:7" x14ac:dyDescent="0.25">
      <c r="C105" s="31" t="s">
        <v>6</v>
      </c>
      <c r="D105" s="43" t="str">
        <f>IFERROR(VLOOKUP(R_CookieSG_cacahuètes[[#This Row],[Ingrédients]],T_ingrédients[],3,0),"")</f>
        <v>g</v>
      </c>
      <c r="E105" s="129">
        <v>62</v>
      </c>
      <c r="F105" s="124">
        <v>124</v>
      </c>
      <c r="G105" s="125">
        <v>165</v>
      </c>
    </row>
    <row r="106" spans="2:7" x14ac:dyDescent="0.25">
      <c r="C106" s="31" t="s">
        <v>7</v>
      </c>
      <c r="D106" s="43" t="str">
        <f>IFERROR(VLOOKUP(R_CookieSG_cacahuètes[[#This Row],[Ingrédients]],T_ingrédients[],3,0),"")</f>
        <v>g</v>
      </c>
      <c r="E106" s="128">
        <v>62</v>
      </c>
      <c r="F106" s="37">
        <v>124</v>
      </c>
      <c r="G106" s="39">
        <v>165</v>
      </c>
    </row>
    <row r="107" spans="2:7" x14ac:dyDescent="0.25">
      <c r="C107" s="31" t="s">
        <v>8</v>
      </c>
      <c r="D107" s="43" t="str">
        <f>IFERROR(VLOOKUP(R_CookieSG_cacahuètes[[#This Row],[Ingrédients]],T_ingrédients[],3,0),"")</f>
        <v>g</v>
      </c>
      <c r="E107" s="129">
        <v>38</v>
      </c>
      <c r="F107" s="124">
        <v>75</v>
      </c>
      <c r="G107" s="125">
        <v>100</v>
      </c>
    </row>
    <row r="108" spans="2:7" x14ac:dyDescent="0.25">
      <c r="C108" s="31" t="s">
        <v>9</v>
      </c>
      <c r="D108" s="43" t="str">
        <f>IFERROR(VLOOKUP(R_CookieSG_cacahuètes[[#This Row],[Ingrédients]],T_ingrédients[],3,0),"")</f>
        <v>g</v>
      </c>
      <c r="E108" s="128">
        <v>131</v>
      </c>
      <c r="F108" s="37">
        <v>263</v>
      </c>
      <c r="G108" s="39">
        <v>350</v>
      </c>
    </row>
    <row r="109" spans="2:7" x14ac:dyDescent="0.25">
      <c r="C109" s="31" t="s">
        <v>10</v>
      </c>
      <c r="D109" s="43" t="str">
        <f>IFERROR(VLOOKUP(R_CookieSG_cacahuètes[[#This Row],[Ingrédients]],T_ingrédients[],3,0),"")</f>
        <v>g</v>
      </c>
      <c r="E109" s="129">
        <v>2.7</v>
      </c>
      <c r="F109" s="124">
        <v>5.4</v>
      </c>
      <c r="G109" s="125">
        <v>7.2</v>
      </c>
    </row>
    <row r="110" spans="2:7" ht="30" x14ac:dyDescent="0.25">
      <c r="C110" s="31" t="s">
        <v>198</v>
      </c>
      <c r="D110" s="43" t="str">
        <f>IFERROR(VLOOKUP(R_CookieSG_cacahuètes[[#This Row],[Ingrédients]],T_ingrédients[],3,0),"")</f>
        <v>g</v>
      </c>
      <c r="E110" s="128">
        <v>53</v>
      </c>
      <c r="F110" s="37">
        <v>107</v>
      </c>
      <c r="G110" s="39">
        <v>142</v>
      </c>
    </row>
    <row r="111" spans="2:7" ht="15.75" thickBot="1" x14ac:dyDescent="0.3">
      <c r="C111" s="31" t="s">
        <v>11</v>
      </c>
      <c r="D111" s="43" t="str">
        <f>IFERROR(VLOOKUP(R_CookieSG_cacahuètes[[#This Row],[Ingrédients]],T_ingrédients[],3,0),"")</f>
        <v>g</v>
      </c>
      <c r="E111" s="129">
        <v>53</v>
      </c>
      <c r="F111" s="124">
        <v>107</v>
      </c>
      <c r="G111" s="125">
        <v>142</v>
      </c>
    </row>
    <row r="112" spans="2:7" x14ac:dyDescent="0.25">
      <c r="B112" s="192" t="s">
        <v>262</v>
      </c>
      <c r="C112" s="31" t="s">
        <v>241</v>
      </c>
      <c r="D112" s="144" t="str">
        <f>IFERROR(VLOOKUP(R_CookieSG_cacahuètes[[#This Row],[Ingrédients]],T_ingrédients[],3,0),"")</f>
        <v/>
      </c>
      <c r="E112" s="130"/>
      <c r="F112" s="139"/>
      <c r="G112" s="142"/>
    </row>
    <row r="113" spans="2:7" ht="15.75" thickBot="1" x14ac:dyDescent="0.3">
      <c r="B113" s="193"/>
      <c r="C113" s="133" t="s">
        <v>16</v>
      </c>
      <c r="D113" s="52" t="str">
        <f>IFERROR(VLOOKUP(R_CookieSG_cacahuètes[[#This Row],[Ingrédients]],T_ingrédients[],3,0),"")</f>
        <v>g</v>
      </c>
      <c r="E113" s="140"/>
      <c r="F113" s="145"/>
      <c r="G113" s="143"/>
    </row>
    <row r="114" spans="2:7" ht="16.5" thickBot="1" x14ac:dyDescent="0.3">
      <c r="C114" s="135" t="s">
        <v>39</v>
      </c>
      <c r="D114" s="136" t="s">
        <v>12</v>
      </c>
      <c r="E114" s="137">
        <f>SUBTOTAL(109,R_CookieSG_cacahuètes[6])</f>
        <v>479.7</v>
      </c>
      <c r="F114" s="137">
        <f>SUBTOTAL(109,R_CookieSG_cacahuètes[12])</f>
        <v>962.4</v>
      </c>
      <c r="G114" s="138">
        <f>SUBTOTAL(109,R_CookieSG_cacahuètes[16])</f>
        <v>1280.2</v>
      </c>
    </row>
    <row r="116" spans="2:7" ht="15.75" thickBot="1" x14ac:dyDescent="0.3"/>
    <row r="117" spans="2:7" ht="18" thickBot="1" x14ac:dyDescent="0.3">
      <c r="C117" s="176" t="s">
        <v>97</v>
      </c>
      <c r="D117" s="177"/>
      <c r="E117" s="177"/>
      <c r="F117" s="177"/>
      <c r="G117" s="178"/>
    </row>
    <row r="118" spans="2:7" ht="15.75" thickBot="1" x14ac:dyDescent="0.3">
      <c r="C118" s="186"/>
      <c r="D118" s="187"/>
      <c r="E118" s="183" t="s">
        <v>13</v>
      </c>
      <c r="F118" s="184"/>
      <c r="G118" s="185"/>
    </row>
    <row r="119" spans="2:7" ht="16.5" thickBot="1" x14ac:dyDescent="0.3">
      <c r="C119" s="72" t="s">
        <v>0</v>
      </c>
      <c r="D119" s="33" t="s">
        <v>1</v>
      </c>
      <c r="E119" s="21" t="s">
        <v>40</v>
      </c>
      <c r="F119" s="21" t="s">
        <v>41</v>
      </c>
      <c r="G119" s="21" t="s">
        <v>42</v>
      </c>
    </row>
    <row r="120" spans="2:7" x14ac:dyDescent="0.25">
      <c r="C120" s="53" t="s">
        <v>4</v>
      </c>
      <c r="D120" s="34" t="str">
        <f>VLOOKUP(R_CookiesSG_CranberriesCB[[#This Row],[Ingrédients]],T_ingrédients[],3,0)</f>
        <v>g</v>
      </c>
      <c r="E120" s="40"/>
      <c r="F120" s="41"/>
      <c r="G120" s="40"/>
    </row>
    <row r="121" spans="2:7" x14ac:dyDescent="0.25">
      <c r="C121" s="2" t="s">
        <v>6</v>
      </c>
      <c r="D121" s="34" t="str">
        <f>VLOOKUP(R_CookiesSG_CranberriesCB[[#This Row],[Ingrédients]],T_ingrédients[],3,0)</f>
        <v>g</v>
      </c>
      <c r="E121" s="40"/>
      <c r="F121" s="41"/>
      <c r="G121" s="40"/>
    </row>
    <row r="122" spans="2:7" x14ac:dyDescent="0.25">
      <c r="C122" s="2" t="s">
        <v>7</v>
      </c>
      <c r="D122" s="34" t="str">
        <f>VLOOKUP(R_CookiesSG_CranberriesCB[[#This Row],[Ingrédients]],T_ingrédients[],3,0)</f>
        <v>g</v>
      </c>
      <c r="E122" s="40"/>
      <c r="F122" s="41"/>
      <c r="G122" s="40"/>
    </row>
    <row r="123" spans="2:7" x14ac:dyDescent="0.25">
      <c r="C123" s="2" t="s">
        <v>8</v>
      </c>
      <c r="D123" s="34" t="str">
        <f>VLOOKUP(R_CookiesSG_CranberriesCB[[#This Row],[Ingrédients]],T_ingrédients[],3,0)</f>
        <v>g</v>
      </c>
      <c r="E123" s="40"/>
      <c r="F123" s="41"/>
      <c r="G123" s="40"/>
    </row>
    <row r="124" spans="2:7" x14ac:dyDescent="0.25">
      <c r="C124" s="2" t="s">
        <v>9</v>
      </c>
      <c r="D124" s="34" t="str">
        <f>VLOOKUP(R_CookiesSG_CranberriesCB[[#This Row],[Ingrédients]],T_ingrédients[],3,0)</f>
        <v>g</v>
      </c>
      <c r="E124" s="40"/>
      <c r="F124" s="41"/>
      <c r="G124" s="40"/>
    </row>
    <row r="125" spans="2:7" x14ac:dyDescent="0.25">
      <c r="C125" s="2" t="s">
        <v>10</v>
      </c>
      <c r="D125" s="34" t="str">
        <f>VLOOKUP(R_CookiesSG_CranberriesCB[[#This Row],[Ingrédients]],T_ingrédients[],3,0)</f>
        <v>g</v>
      </c>
      <c r="E125" s="40"/>
      <c r="F125" s="41"/>
      <c r="G125" s="40"/>
    </row>
    <row r="126" spans="2:7" ht="30" x14ac:dyDescent="0.25">
      <c r="C126" s="2" t="s">
        <v>195</v>
      </c>
      <c r="D126" s="34" t="str">
        <f>VLOOKUP(R_CookiesSG_CranberriesCB[[#This Row],[Ingrédients]],T_ingrédients[],3,0)</f>
        <v>g</v>
      </c>
      <c r="E126" s="40"/>
      <c r="F126" s="41"/>
      <c r="G126" s="40"/>
    </row>
    <row r="127" spans="2:7" x14ac:dyDescent="0.25">
      <c r="C127" s="2" t="s">
        <v>227</v>
      </c>
      <c r="D127" s="34" t="str">
        <f>VLOOKUP(R_CookiesSG_CranberriesCB[[#This Row],[Ingrédients]],T_ingrédients[],3,0)</f>
        <v>g</v>
      </c>
      <c r="E127" s="40"/>
      <c r="F127" s="41"/>
      <c r="G127" s="40"/>
    </row>
    <row r="128" spans="2:7" ht="15.75" thickBot="1" x14ac:dyDescent="0.3">
      <c r="C128" s="2" t="s">
        <v>226</v>
      </c>
      <c r="D128" s="34" t="str">
        <f>VLOOKUP(R_CookiesSG_CranberriesCB[[#This Row],[Ingrédients]],T_ingrédients[],3,0)</f>
        <v>g</v>
      </c>
      <c r="E128" s="40"/>
      <c r="F128" s="41"/>
      <c r="G128" s="40"/>
    </row>
    <row r="129" spans="3:7" ht="16.5" thickBot="1" x14ac:dyDescent="0.3">
      <c r="C129" s="26" t="s">
        <v>39</v>
      </c>
      <c r="D129" s="27" t="s">
        <v>12</v>
      </c>
      <c r="E129" s="28">
        <f>SUBTOTAL(109,R_CookiesSG_CranberriesCB[6])</f>
        <v>0</v>
      </c>
      <c r="F129" s="28">
        <f>SUBTOTAL(109,R_CookiesSG_CranberriesCB[12])</f>
        <v>0</v>
      </c>
      <c r="G129" s="29">
        <f>SUBTOTAL(109,R_CookiesSG_CranberriesCB[16])</f>
        <v>0</v>
      </c>
    </row>
    <row r="131" spans="3:7" ht="15.75" thickBot="1" x14ac:dyDescent="0.3"/>
    <row r="132" spans="3:7" ht="18" thickBot="1" x14ac:dyDescent="0.3">
      <c r="C132" s="176" t="s">
        <v>96</v>
      </c>
      <c r="D132" s="177"/>
      <c r="E132" s="177"/>
      <c r="F132" s="177"/>
      <c r="G132" s="178"/>
    </row>
    <row r="133" spans="3:7" ht="15.75" thickBot="1" x14ac:dyDescent="0.3">
      <c r="C133" s="181"/>
      <c r="D133" s="182"/>
      <c r="E133" s="183" t="s">
        <v>13</v>
      </c>
      <c r="F133" s="184"/>
      <c r="G133" s="185"/>
    </row>
    <row r="134" spans="3:7" ht="16.5" thickBot="1" x14ac:dyDescent="0.3">
      <c r="C134" s="127" t="s">
        <v>0</v>
      </c>
      <c r="D134" s="33" t="s">
        <v>1</v>
      </c>
      <c r="E134" s="21" t="s">
        <v>40</v>
      </c>
      <c r="F134" s="21" t="s">
        <v>41</v>
      </c>
      <c r="G134" s="21" t="s">
        <v>42</v>
      </c>
    </row>
    <row r="135" spans="3:7" x14ac:dyDescent="0.25">
      <c r="C135" s="53" t="s">
        <v>4</v>
      </c>
      <c r="D135" s="34" t="str">
        <f>VLOOKUP(R_CookiesSG_OrangesCN[[#This Row],[Ingrédients]],T_ingrédients[],3,0)</f>
        <v>g</v>
      </c>
      <c r="E135" s="40"/>
      <c r="F135" s="41"/>
      <c r="G135" s="40"/>
    </row>
    <row r="136" spans="3:7" x14ac:dyDescent="0.25">
      <c r="C136" s="2" t="s">
        <v>6</v>
      </c>
      <c r="D136" s="34" t="str">
        <f>VLOOKUP(R_CookiesSG_OrangesCN[[#This Row],[Ingrédients]],T_ingrédients[],3,0)</f>
        <v>g</v>
      </c>
      <c r="E136" s="40"/>
      <c r="F136" s="41"/>
      <c r="G136" s="40"/>
    </row>
    <row r="137" spans="3:7" x14ac:dyDescent="0.25">
      <c r="C137" s="2" t="s">
        <v>7</v>
      </c>
      <c r="D137" s="34" t="str">
        <f>VLOOKUP(R_CookiesSG_OrangesCN[[#This Row],[Ingrédients]],T_ingrédients[],3,0)</f>
        <v>g</v>
      </c>
      <c r="E137" s="40"/>
      <c r="F137" s="41"/>
      <c r="G137" s="40"/>
    </row>
    <row r="138" spans="3:7" x14ac:dyDescent="0.25">
      <c r="C138" s="2" t="s">
        <v>8</v>
      </c>
      <c r="D138" s="34" t="str">
        <f>VLOOKUP(R_CookiesSG_OrangesCN[[#This Row],[Ingrédients]],T_ingrédients[],3,0)</f>
        <v>g</v>
      </c>
      <c r="E138" s="40"/>
      <c r="F138" s="41"/>
      <c r="G138" s="40"/>
    </row>
    <row r="139" spans="3:7" x14ac:dyDescent="0.25">
      <c r="C139" s="2" t="s">
        <v>9</v>
      </c>
      <c r="D139" s="34" t="str">
        <f>VLOOKUP(R_CookiesSG_OrangesCN[[#This Row],[Ingrédients]],T_ingrédients[],3,0)</f>
        <v>g</v>
      </c>
      <c r="E139" s="40"/>
      <c r="F139" s="41"/>
      <c r="G139" s="40"/>
    </row>
    <row r="140" spans="3:7" x14ac:dyDescent="0.25">
      <c r="C140" s="2" t="s">
        <v>10</v>
      </c>
      <c r="D140" s="34" t="str">
        <f>VLOOKUP(R_CookiesSG_OrangesCN[[#This Row],[Ingrédients]],T_ingrédients[],3,0)</f>
        <v>g</v>
      </c>
      <c r="E140" s="40"/>
      <c r="F140" s="41"/>
      <c r="G140" s="40"/>
    </row>
    <row r="141" spans="3:7" ht="30" x14ac:dyDescent="0.25">
      <c r="C141" s="2" t="s">
        <v>198</v>
      </c>
      <c r="D141" s="34" t="str">
        <f>VLOOKUP(R_CookiesSG_OrangesCN[[#This Row],[Ingrédients]],T_ingrédients[],3,0)</f>
        <v>g</v>
      </c>
      <c r="E141" s="40"/>
      <c r="F141" s="41"/>
      <c r="G141" s="40"/>
    </row>
    <row r="142" spans="3:7" ht="15.75" thickBot="1" x14ac:dyDescent="0.3">
      <c r="C142" s="2" t="s">
        <v>265</v>
      </c>
      <c r="D142" s="34" t="str">
        <f>VLOOKUP(R_CookiesSG_OrangesCN[[#This Row],[Ingrédients]],T_ingrédients[],3,0)</f>
        <v>g</v>
      </c>
      <c r="E142" s="40"/>
      <c r="F142" s="41"/>
      <c r="G142" s="40"/>
    </row>
    <row r="143" spans="3:7" ht="16.5" thickBot="1" x14ac:dyDescent="0.3">
      <c r="C143" s="26" t="s">
        <v>39</v>
      </c>
      <c r="D143" s="27" t="s">
        <v>12</v>
      </c>
      <c r="E143" s="28">
        <f>SUBTOTAL(109,R_CookiesSG_OrangesCN[6])</f>
        <v>0</v>
      </c>
      <c r="F143" s="28">
        <f>SUBTOTAL(109,R_CookiesSG_OrangesCN[12])</f>
        <v>0</v>
      </c>
      <c r="G143" s="29">
        <f>SUBTOTAL(109,R_CookiesSG_OrangesCN[16])</f>
        <v>0</v>
      </c>
    </row>
  </sheetData>
  <mergeCells count="30">
    <mergeCell ref="B112:B113"/>
    <mergeCell ref="C52:G52"/>
    <mergeCell ref="C53:D53"/>
    <mergeCell ref="E53:G53"/>
    <mergeCell ref="C2:G2"/>
    <mergeCell ref="C101:G101"/>
    <mergeCell ref="C102:D102"/>
    <mergeCell ref="C69:D69"/>
    <mergeCell ref="C68:G68"/>
    <mergeCell ref="E102:G102"/>
    <mergeCell ref="E69:G69"/>
    <mergeCell ref="C3:D3"/>
    <mergeCell ref="E3:G3"/>
    <mergeCell ref="B17:B18"/>
    <mergeCell ref="C37:G37"/>
    <mergeCell ref="C38:D38"/>
    <mergeCell ref="E38:G38"/>
    <mergeCell ref="C132:G132"/>
    <mergeCell ref="C133:D133"/>
    <mergeCell ref="E133:G133"/>
    <mergeCell ref="C117:G117"/>
    <mergeCell ref="C118:D118"/>
    <mergeCell ref="E118:G118"/>
    <mergeCell ref="B96:B97"/>
    <mergeCell ref="C22:G22"/>
    <mergeCell ref="C23:D23"/>
    <mergeCell ref="E23:G23"/>
    <mergeCell ref="C84:G84"/>
    <mergeCell ref="C85:D85"/>
    <mergeCell ref="E85:G85"/>
  </mergeCells>
  <dataValidations count="1">
    <dataValidation type="list" allowBlank="1" showInputMessage="1" sqref="C104:C113 C71:C80 C55:C64 C5:C18 C40:C48 C135:C142 C120:C128 C25:C33 C87:C97" xr:uid="{00000000-0002-0000-0400-000000000000}">
      <formula1>L_ingrédients</formula1>
    </dataValidation>
  </dataValidations>
  <pageMargins left="0.7" right="0.7" top="0.75" bottom="0.75" header="0.3" footer="0.3"/>
  <pageSetup paperSize="9" orientation="portrait" horizontalDpi="4294967293" verticalDpi="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N168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2" max="2" width="11.7109375" customWidth="1"/>
    <col min="3" max="3" width="40.7109375" customWidth="1"/>
    <col min="10" max="10" width="40.7109375" customWidth="1"/>
    <col min="11" max="14" width="11.7109375" customWidth="1"/>
  </cols>
  <sheetData>
    <row r="1" spans="3:14" ht="16.149999999999999" customHeight="1" thickBot="1" x14ac:dyDescent="0.3"/>
    <row r="2" spans="3:14" ht="18" customHeight="1" thickBot="1" x14ac:dyDescent="0.3">
      <c r="C2" s="176" t="s">
        <v>73</v>
      </c>
      <c r="D2" s="177"/>
      <c r="E2" s="177"/>
      <c r="F2" s="177"/>
      <c r="G2" s="178"/>
      <c r="I2" s="15"/>
      <c r="J2" s="176" t="s">
        <v>26</v>
      </c>
      <c r="K2" s="177"/>
      <c r="L2" s="177"/>
      <c r="M2" s="177"/>
      <c r="N2" s="178"/>
    </row>
    <row r="3" spans="3:14" ht="15.75" thickBot="1" x14ac:dyDescent="0.3">
      <c r="C3" s="181"/>
      <c r="D3" s="182"/>
      <c r="E3" s="183" t="s">
        <v>61</v>
      </c>
      <c r="F3" s="184"/>
      <c r="G3" s="185"/>
      <c r="I3" s="15"/>
      <c r="J3" s="181"/>
      <c r="K3" s="182"/>
      <c r="L3" s="183" t="s">
        <v>61</v>
      </c>
      <c r="M3" s="184"/>
      <c r="N3" s="185"/>
    </row>
    <row r="4" spans="3:14" ht="16.5" thickBot="1" x14ac:dyDescent="0.3">
      <c r="C4" s="19" t="s">
        <v>0</v>
      </c>
      <c r="D4" s="33" t="s">
        <v>1</v>
      </c>
      <c r="E4" s="21" t="s">
        <v>42</v>
      </c>
      <c r="F4" s="21" t="s">
        <v>43</v>
      </c>
      <c r="G4" s="21" t="s">
        <v>44</v>
      </c>
      <c r="I4" s="15"/>
      <c r="J4" s="19" t="s">
        <v>0</v>
      </c>
      <c r="K4" s="33" t="s">
        <v>1</v>
      </c>
      <c r="L4" s="21" t="s">
        <v>42</v>
      </c>
      <c r="M4" s="21" t="s">
        <v>43</v>
      </c>
      <c r="N4" s="21" t="s">
        <v>44</v>
      </c>
    </row>
    <row r="5" spans="3:14" x14ac:dyDescent="0.25">
      <c r="C5" s="32" t="s">
        <v>14</v>
      </c>
      <c r="D5" s="34" t="str">
        <f>VLOOKUP(R_Basque_CheeseCakeV[[#This Row],[Ingrédients]],T_ingrédients[],3,0)</f>
        <v>g</v>
      </c>
      <c r="E5" s="44">
        <v>571</v>
      </c>
      <c r="F5" s="44">
        <v>825</v>
      </c>
      <c r="G5" s="45">
        <v>1650</v>
      </c>
      <c r="I5" s="15"/>
      <c r="J5" s="32" t="s">
        <v>14</v>
      </c>
      <c r="K5" s="34" t="str">
        <f>VLOOKUP(R_Basque_CheeseCakeN[[#This Row],[Ingrédients]],T_ingrédients[],3,0)</f>
        <v>g</v>
      </c>
      <c r="L5" s="44">
        <v>571</v>
      </c>
      <c r="M5" s="44">
        <v>825</v>
      </c>
      <c r="N5" s="45">
        <v>1650</v>
      </c>
    </row>
    <row r="6" spans="3:14" x14ac:dyDescent="0.25">
      <c r="C6" s="35" t="s">
        <v>15</v>
      </c>
      <c r="D6" s="34" t="str">
        <f>VLOOKUP(R_Basque_CheeseCakeV[[#This Row],[Ingrédients]],T_ingrédients[],3,0)</f>
        <v>g</v>
      </c>
      <c r="E6" s="46">
        <v>228</v>
      </c>
      <c r="F6" s="46">
        <v>330</v>
      </c>
      <c r="G6" s="47">
        <v>660</v>
      </c>
      <c r="I6" s="15"/>
      <c r="J6" s="35" t="s">
        <v>15</v>
      </c>
      <c r="K6" s="34" t="str">
        <f>VLOOKUP(R_Basque_CheeseCakeN[[#This Row],[Ingrédients]],T_ingrédients[],3,0)</f>
        <v>g</v>
      </c>
      <c r="L6" s="46">
        <v>228</v>
      </c>
      <c r="M6" s="46">
        <v>330</v>
      </c>
      <c r="N6" s="47">
        <v>660</v>
      </c>
    </row>
    <row r="7" spans="3:14" x14ac:dyDescent="0.25">
      <c r="C7" s="35" t="s">
        <v>16</v>
      </c>
      <c r="D7" s="34" t="str">
        <f>VLOOKUP(R_Basque_CheeseCakeV[[#This Row],[Ingrédients]],T_ingrédients[],3,0)</f>
        <v>g</v>
      </c>
      <c r="E7" s="46">
        <v>0.7</v>
      </c>
      <c r="F7" s="46">
        <v>1</v>
      </c>
      <c r="G7" s="47">
        <v>2</v>
      </c>
      <c r="I7" s="15"/>
      <c r="J7" s="35" t="s">
        <v>16</v>
      </c>
      <c r="K7" s="34" t="str">
        <f>VLOOKUP(R_Basque_CheeseCakeN[[#This Row],[Ingrédients]],T_ingrédients[],3,0)</f>
        <v>g</v>
      </c>
      <c r="L7" s="46">
        <v>0.7</v>
      </c>
      <c r="M7" s="46">
        <v>1</v>
      </c>
      <c r="N7" s="47">
        <v>2</v>
      </c>
    </row>
    <row r="8" spans="3:14" x14ac:dyDescent="0.25">
      <c r="C8" s="35" t="s">
        <v>8</v>
      </c>
      <c r="D8" s="34" t="str">
        <f>VLOOKUP(R_Basque_CheeseCakeV[[#This Row],[Ingrédients]],T_ingrédients[],3,0)</f>
        <v>g</v>
      </c>
      <c r="E8" s="46">
        <v>127</v>
      </c>
      <c r="F8" s="46">
        <v>184</v>
      </c>
      <c r="G8" s="47">
        <v>368</v>
      </c>
      <c r="I8" s="15"/>
      <c r="J8" s="35" t="s">
        <v>8</v>
      </c>
      <c r="K8" s="34" t="str">
        <f>VLOOKUP(R_Basque_CheeseCakeN[[#This Row],[Ingrédients]],T_ingrédients[],3,0)</f>
        <v>g</v>
      </c>
      <c r="L8" s="46">
        <v>127</v>
      </c>
      <c r="M8" s="46">
        <v>184</v>
      </c>
      <c r="N8" s="47">
        <v>368</v>
      </c>
    </row>
    <row r="9" spans="3:14" x14ac:dyDescent="0.25">
      <c r="C9" s="35" t="s">
        <v>17</v>
      </c>
      <c r="D9" s="34" t="str">
        <f>VLOOKUP(R_Basque_CheeseCakeV[[#This Row],[Ingrédients]],T_ingrédients[],3,0)</f>
        <v>g</v>
      </c>
      <c r="E9" s="46">
        <v>20</v>
      </c>
      <c r="F9" s="46">
        <v>29</v>
      </c>
      <c r="G9" s="47">
        <v>58</v>
      </c>
      <c r="I9" s="15"/>
      <c r="J9" s="35" t="s">
        <v>17</v>
      </c>
      <c r="K9" s="34" t="str">
        <f>VLOOKUP(R_Basque_CheeseCakeN[[#This Row],[Ingrédients]],T_ingrédients[],3,0)</f>
        <v>g</v>
      </c>
      <c r="L9" s="46">
        <v>20</v>
      </c>
      <c r="M9" s="46">
        <v>29</v>
      </c>
      <c r="N9" s="47">
        <v>58</v>
      </c>
    </row>
    <row r="10" spans="3:14" x14ac:dyDescent="0.25">
      <c r="C10" s="35" t="s">
        <v>18</v>
      </c>
      <c r="D10" s="34" t="str">
        <f>VLOOKUP(R_Basque_CheeseCakeV[[#This Row],[Ingrédients]],T_ingrédients[],3,0)</f>
        <v>g</v>
      </c>
      <c r="E10" s="46">
        <v>343</v>
      </c>
      <c r="F10" s="46">
        <v>495</v>
      </c>
      <c r="G10" s="47">
        <v>990</v>
      </c>
      <c r="I10" s="15"/>
      <c r="J10" s="35" t="s">
        <v>18</v>
      </c>
      <c r="K10" s="34" t="str">
        <f>VLOOKUP(R_Basque_CheeseCakeN[[#This Row],[Ingrédients]],T_ingrédients[],3,0)</f>
        <v>g</v>
      </c>
      <c r="L10" s="46">
        <v>343</v>
      </c>
      <c r="M10" s="46">
        <v>495</v>
      </c>
      <c r="N10" s="47">
        <v>990</v>
      </c>
    </row>
    <row r="11" spans="3:14" ht="15.75" thickBot="1" x14ac:dyDescent="0.3">
      <c r="C11" s="35" t="s">
        <v>19</v>
      </c>
      <c r="D11" s="34" t="str">
        <f>VLOOKUP(R_Basque_CheeseCakeV[[#This Row],[Ingrédients]],T_ingrédients[],3,0)</f>
        <v>g</v>
      </c>
      <c r="E11" s="46">
        <v>24</v>
      </c>
      <c r="F11" s="46">
        <v>34</v>
      </c>
      <c r="G11" s="47">
        <v>68</v>
      </c>
      <c r="I11" s="15"/>
      <c r="J11" s="35" t="s">
        <v>19</v>
      </c>
      <c r="K11" s="34" t="str">
        <f>VLOOKUP(R_Basque_CheeseCakeN[[#This Row],[Ingrédients]],T_ingrédients[],3,0)</f>
        <v>g</v>
      </c>
      <c r="L11" s="46">
        <v>24</v>
      </c>
      <c r="M11" s="46">
        <v>34</v>
      </c>
      <c r="N11" s="47">
        <v>68</v>
      </c>
    </row>
    <row r="12" spans="3:14" ht="16.5" thickBot="1" x14ac:dyDescent="0.3">
      <c r="C12" s="35" t="s">
        <v>233</v>
      </c>
      <c r="D12" s="34" t="str">
        <f>VLOOKUP(R_Basque_CheeseCakeV[[#This Row],[Ingrédients]],T_ingrédients[],3,0)</f>
        <v>gousse</v>
      </c>
      <c r="E12" s="146"/>
      <c r="F12" s="146"/>
      <c r="G12" s="147"/>
      <c r="I12" s="15"/>
      <c r="J12" s="26" t="s">
        <v>39</v>
      </c>
      <c r="K12" s="27" t="s">
        <v>12</v>
      </c>
      <c r="L12" s="28">
        <f>SUBTOTAL(109,R_Basque_CheeseCakeN[16])</f>
        <v>1313.7</v>
      </c>
      <c r="M12" s="28">
        <f>SUBTOTAL(109,R_Basque_CheeseCakeN[18])</f>
        <v>1898</v>
      </c>
      <c r="N12" s="29">
        <f>SUBTOTAL(109,R_Basque_CheeseCakeN[26])</f>
        <v>3796</v>
      </c>
    </row>
    <row r="13" spans="3:14" ht="16.5" thickBot="1" x14ac:dyDescent="0.3">
      <c r="C13" s="26" t="s">
        <v>39</v>
      </c>
      <c r="D13" s="27" t="s">
        <v>12</v>
      </c>
      <c r="E13" s="28">
        <f>SUBTOTAL(109,R_Basque_CheeseCakeV[16])</f>
        <v>1313.7</v>
      </c>
      <c r="F13" s="28">
        <f>SUBTOTAL(109,R_Basque_CheeseCakeV[18])</f>
        <v>1898</v>
      </c>
      <c r="G13" s="29">
        <f>SUBTOTAL(109,R_Basque_CheeseCakeV[26])</f>
        <v>3796</v>
      </c>
      <c r="I13" s="15"/>
      <c r="J13" s="15"/>
      <c r="K13" s="15"/>
      <c r="L13" s="15"/>
      <c r="M13" s="15"/>
      <c r="N13" s="15"/>
    </row>
    <row r="14" spans="3:14" x14ac:dyDescent="0.25">
      <c r="H14" s="3"/>
      <c r="I14" s="3"/>
      <c r="J14" s="3"/>
      <c r="K14" s="3"/>
      <c r="L14" s="3"/>
    </row>
    <row r="15" spans="3:14" ht="15.75" thickBot="1" x14ac:dyDescent="0.3">
      <c r="H15" s="3"/>
      <c r="I15" s="3"/>
      <c r="J15" s="3"/>
      <c r="K15" s="3"/>
      <c r="L15" s="3"/>
    </row>
    <row r="16" spans="3:14" ht="18" thickBot="1" x14ac:dyDescent="0.3">
      <c r="C16" s="176" t="s">
        <v>71</v>
      </c>
      <c r="D16" s="177"/>
      <c r="E16" s="177"/>
      <c r="F16" s="177"/>
      <c r="G16" s="178"/>
      <c r="H16" s="3"/>
      <c r="I16" s="3"/>
      <c r="J16" s="176" t="s">
        <v>72</v>
      </c>
      <c r="K16" s="177"/>
      <c r="L16" s="177"/>
      <c r="M16" s="177"/>
      <c r="N16" s="178"/>
    </row>
    <row r="17" spans="3:14" ht="15.75" thickBot="1" x14ac:dyDescent="0.3">
      <c r="C17" s="181"/>
      <c r="D17" s="182"/>
      <c r="E17" s="183" t="s">
        <v>61</v>
      </c>
      <c r="F17" s="184"/>
      <c r="G17" s="185"/>
      <c r="H17" s="3"/>
      <c r="I17" s="3"/>
      <c r="J17" s="181"/>
      <c r="K17" s="182"/>
      <c r="L17" s="183" t="s">
        <v>61</v>
      </c>
      <c r="M17" s="184"/>
      <c r="N17" s="185"/>
    </row>
    <row r="18" spans="3:14" ht="16.5" thickBot="1" x14ac:dyDescent="0.3">
      <c r="C18" s="19" t="s">
        <v>0</v>
      </c>
      <c r="D18" s="33" t="s">
        <v>1</v>
      </c>
      <c r="E18" s="21" t="s">
        <v>42</v>
      </c>
      <c r="F18" s="21" t="s">
        <v>43</v>
      </c>
      <c r="G18" s="21" t="s">
        <v>44</v>
      </c>
      <c r="H18" s="4"/>
      <c r="I18" s="4"/>
      <c r="J18" s="19" t="s">
        <v>0</v>
      </c>
      <c r="K18" s="33" t="s">
        <v>1</v>
      </c>
      <c r="L18" s="21" t="s">
        <v>42</v>
      </c>
      <c r="M18" s="21" t="s">
        <v>43</v>
      </c>
      <c r="N18" s="21" t="s">
        <v>44</v>
      </c>
    </row>
    <row r="19" spans="3:14" x14ac:dyDescent="0.25">
      <c r="C19" s="32" t="s">
        <v>14</v>
      </c>
      <c r="D19" s="34" t="str">
        <f>VLOOKUP(R_Basque_CheeseCakePT[[#This Row],[Ingrédients]],T_ingrédients[],3,0)</f>
        <v>g</v>
      </c>
      <c r="E19" s="44">
        <v>571</v>
      </c>
      <c r="F19" s="44">
        <v>825</v>
      </c>
      <c r="G19" s="45">
        <v>1650</v>
      </c>
      <c r="H19" s="5"/>
      <c r="I19" s="5"/>
      <c r="J19" s="32" t="s">
        <v>14</v>
      </c>
      <c r="K19" s="34" t="str">
        <f>VLOOKUP(R_Basque_CheeseCakeFT[[#This Row],[Ingrédients]],T_ingrédients[],3,0)</f>
        <v>g</v>
      </c>
      <c r="L19" s="44">
        <v>571</v>
      </c>
      <c r="M19" s="44">
        <v>825</v>
      </c>
      <c r="N19" s="45">
        <v>1650</v>
      </c>
    </row>
    <row r="20" spans="3:14" x14ac:dyDescent="0.25">
      <c r="C20" s="35" t="s">
        <v>15</v>
      </c>
      <c r="D20" s="34" t="str">
        <f>VLOOKUP(R_Basque_CheeseCakePT[[#This Row],[Ingrédients]],T_ingrédients[],3,0)</f>
        <v>g</v>
      </c>
      <c r="E20" s="46">
        <v>228</v>
      </c>
      <c r="F20" s="46">
        <v>330</v>
      </c>
      <c r="G20" s="47">
        <v>660</v>
      </c>
      <c r="H20" s="5"/>
      <c r="I20" s="5"/>
      <c r="J20" s="35" t="s">
        <v>15</v>
      </c>
      <c r="K20" s="34" t="str">
        <f>VLOOKUP(R_Basque_CheeseCakeFT[[#This Row],[Ingrédients]],T_ingrédients[],3,0)</f>
        <v>g</v>
      </c>
      <c r="L20" s="46">
        <v>228</v>
      </c>
      <c r="M20" s="46">
        <v>330</v>
      </c>
      <c r="N20" s="47">
        <v>660</v>
      </c>
    </row>
    <row r="21" spans="3:14" x14ac:dyDescent="0.25">
      <c r="C21" s="35" t="s">
        <v>16</v>
      </c>
      <c r="D21" s="34" t="str">
        <f>VLOOKUP(R_Basque_CheeseCakePT[[#This Row],[Ingrédients]],T_ingrédients[],3,0)</f>
        <v>g</v>
      </c>
      <c r="E21" s="46">
        <v>0.7</v>
      </c>
      <c r="F21" s="46">
        <v>1</v>
      </c>
      <c r="G21" s="47">
        <v>2</v>
      </c>
      <c r="H21" s="5"/>
      <c r="I21" s="5"/>
      <c r="J21" s="35" t="s">
        <v>16</v>
      </c>
      <c r="K21" s="34" t="str">
        <f>VLOOKUP(R_Basque_CheeseCakeFT[[#This Row],[Ingrédients]],T_ingrédients[],3,0)</f>
        <v>g</v>
      </c>
      <c r="L21" s="46">
        <v>0.7</v>
      </c>
      <c r="M21" s="46">
        <v>1</v>
      </c>
      <c r="N21" s="47">
        <v>2</v>
      </c>
    </row>
    <row r="22" spans="3:14" x14ac:dyDescent="0.25">
      <c r="C22" s="35" t="s">
        <v>8</v>
      </c>
      <c r="D22" s="34" t="str">
        <f>VLOOKUP(R_Basque_CheeseCakePT[[#This Row],[Ingrédients]],T_ingrédients[],3,0)</f>
        <v>g</v>
      </c>
      <c r="E22" s="46">
        <v>127</v>
      </c>
      <c r="F22" s="46">
        <v>184</v>
      </c>
      <c r="G22" s="47">
        <v>368</v>
      </c>
      <c r="H22" s="5"/>
      <c r="I22" s="5"/>
      <c r="J22" s="35" t="s">
        <v>8</v>
      </c>
      <c r="K22" s="34" t="str">
        <f>VLOOKUP(R_Basque_CheeseCakeFT[[#This Row],[Ingrédients]],T_ingrédients[],3,0)</f>
        <v>g</v>
      </c>
      <c r="L22" s="46">
        <v>127</v>
      </c>
      <c r="M22" s="46">
        <v>184</v>
      </c>
      <c r="N22" s="47">
        <v>368</v>
      </c>
    </row>
    <row r="23" spans="3:14" x14ac:dyDescent="0.25">
      <c r="C23" s="35" t="s">
        <v>17</v>
      </c>
      <c r="D23" s="34" t="str">
        <f>VLOOKUP(R_Basque_CheeseCakePT[[#This Row],[Ingrédients]],T_ingrédients[],3,0)</f>
        <v>g</v>
      </c>
      <c r="E23" s="46">
        <v>20</v>
      </c>
      <c r="F23" s="46">
        <v>29</v>
      </c>
      <c r="G23" s="47">
        <v>58</v>
      </c>
      <c r="H23" s="5"/>
      <c r="I23" s="5"/>
      <c r="J23" s="35" t="s">
        <v>17</v>
      </c>
      <c r="K23" s="34" t="str">
        <f>VLOOKUP(R_Basque_CheeseCakeFT[[#This Row],[Ingrédients]],T_ingrédients[],3,0)</f>
        <v>g</v>
      </c>
      <c r="L23" s="46">
        <v>20</v>
      </c>
      <c r="M23" s="46">
        <v>29</v>
      </c>
      <c r="N23" s="47">
        <v>58</v>
      </c>
    </row>
    <row r="24" spans="3:14" x14ac:dyDescent="0.25">
      <c r="C24" s="35" t="s">
        <v>18</v>
      </c>
      <c r="D24" s="34" t="str">
        <f>VLOOKUP(R_Basque_CheeseCakePT[[#This Row],[Ingrédients]],T_ingrédients[],3,0)</f>
        <v>g</v>
      </c>
      <c r="E24" s="46">
        <v>343</v>
      </c>
      <c r="F24" s="46">
        <v>495</v>
      </c>
      <c r="G24" s="47">
        <v>990</v>
      </c>
      <c r="H24" s="8"/>
      <c r="I24" s="5"/>
      <c r="J24" s="35" t="s">
        <v>18</v>
      </c>
      <c r="K24" s="34" t="str">
        <f>VLOOKUP(R_Basque_CheeseCakeFT[[#This Row],[Ingrédients]],T_ingrédients[],3,0)</f>
        <v>g</v>
      </c>
      <c r="L24" s="46">
        <v>343</v>
      </c>
      <c r="M24" s="46">
        <v>495</v>
      </c>
      <c r="N24" s="47">
        <v>990</v>
      </c>
    </row>
    <row r="25" spans="3:14" x14ac:dyDescent="0.25">
      <c r="C25" s="35" t="s">
        <v>19</v>
      </c>
      <c r="D25" s="34" t="str">
        <f>VLOOKUP(R_Basque_CheeseCakePT[[#This Row],[Ingrédients]],T_ingrédients[],3,0)</f>
        <v>g</v>
      </c>
      <c r="E25" s="46">
        <v>24</v>
      </c>
      <c r="F25" s="46">
        <v>34</v>
      </c>
      <c r="G25" s="47">
        <v>68</v>
      </c>
      <c r="H25" s="5"/>
      <c r="I25" s="5"/>
      <c r="J25" s="35" t="s">
        <v>19</v>
      </c>
      <c r="K25" s="34" t="str">
        <f>VLOOKUP(R_Basque_CheeseCakeFT[[#This Row],[Ingrédients]],T_ingrédients[],3,0)</f>
        <v>g</v>
      </c>
      <c r="L25" s="46">
        <v>24</v>
      </c>
      <c r="M25" s="46">
        <v>34</v>
      </c>
      <c r="N25" s="47">
        <v>68</v>
      </c>
    </row>
    <row r="26" spans="3:14" ht="15.75" thickBot="1" x14ac:dyDescent="0.3">
      <c r="C26" s="35" t="s">
        <v>222</v>
      </c>
      <c r="D26" s="34" t="str">
        <f>VLOOKUP(R_Basque_CheeseCakePT[[#This Row],[Ingrédients]],T_ingrédients[],3,0)</f>
        <v>g</v>
      </c>
      <c r="E26" s="146"/>
      <c r="F26" s="146"/>
      <c r="G26" s="147"/>
      <c r="H26" s="5"/>
      <c r="I26" s="8"/>
      <c r="J26" s="35" t="s">
        <v>163</v>
      </c>
      <c r="K26" s="34" t="str">
        <f>VLOOKUP(R_Basque_CheeseCakeFT[[#This Row],[Ingrédients]],T_ingrédients[],3,0)</f>
        <v>g</v>
      </c>
      <c r="L26" s="146"/>
      <c r="M26" s="146"/>
      <c r="N26" s="147"/>
    </row>
    <row r="27" spans="3:14" ht="16.5" thickBot="1" x14ac:dyDescent="0.3">
      <c r="C27" s="26" t="s">
        <v>39</v>
      </c>
      <c r="D27" s="27" t="s">
        <v>12</v>
      </c>
      <c r="E27" s="28">
        <f>SUBTOTAL(109,R_Basque_CheeseCakePT[16])</f>
        <v>1313.7</v>
      </c>
      <c r="F27" s="28">
        <f>SUBTOTAL(109,R_Basque_CheeseCakePT[18])</f>
        <v>1898</v>
      </c>
      <c r="G27" s="29">
        <f>SUBTOTAL(109,R_Basque_CheeseCakePT[26])</f>
        <v>3796</v>
      </c>
      <c r="H27" s="9"/>
      <c r="I27" s="9"/>
      <c r="J27" s="26" t="s">
        <v>39</v>
      </c>
      <c r="K27" s="27" t="s">
        <v>12</v>
      </c>
      <c r="L27" s="28">
        <f>SUBTOTAL(109,R_Basque_CheeseCakeFT[16])</f>
        <v>1313.7</v>
      </c>
      <c r="M27" s="28">
        <f>SUBTOTAL(109,R_Basque_CheeseCakeFT[18])</f>
        <v>1898</v>
      </c>
      <c r="N27" s="29">
        <f>SUBTOTAL(109,R_Basque_CheeseCakeFT[26])</f>
        <v>3796</v>
      </c>
    </row>
    <row r="29" spans="3:14" ht="15.75" thickBot="1" x14ac:dyDescent="0.3"/>
    <row r="30" spans="3:14" ht="18" thickBot="1" x14ac:dyDescent="0.3">
      <c r="C30" s="176" t="s">
        <v>266</v>
      </c>
      <c r="D30" s="177"/>
      <c r="E30" s="177"/>
      <c r="F30" s="177"/>
      <c r="G30" s="178"/>
    </row>
    <row r="31" spans="3:14" ht="15.75" thickBot="1" x14ac:dyDescent="0.3">
      <c r="C31" s="181"/>
      <c r="D31" s="182"/>
      <c r="E31" s="183" t="s">
        <v>61</v>
      </c>
      <c r="F31" s="184"/>
      <c r="G31" s="185"/>
    </row>
    <row r="32" spans="3:14" ht="16.5" thickBot="1" x14ac:dyDescent="0.3">
      <c r="C32" s="19" t="s">
        <v>0</v>
      </c>
      <c r="D32" s="33" t="s">
        <v>1</v>
      </c>
      <c r="E32" s="21" t="s">
        <v>42</v>
      </c>
      <c r="F32" s="21" t="s">
        <v>43</v>
      </c>
      <c r="G32" s="21" t="s">
        <v>44</v>
      </c>
    </row>
    <row r="33" spans="3:7" x14ac:dyDescent="0.25">
      <c r="C33" s="32" t="s">
        <v>14</v>
      </c>
      <c r="D33" s="34" t="str">
        <f>VLOOKUP(R_Basque_CheeseCakeCL[[#This Row],[Ingrédients]],T_ingrédients[],3,0)</f>
        <v>g</v>
      </c>
      <c r="E33" s="44">
        <v>571</v>
      </c>
      <c r="F33" s="44">
        <v>825</v>
      </c>
      <c r="G33" s="45">
        <v>1650</v>
      </c>
    </row>
    <row r="34" spans="3:7" x14ac:dyDescent="0.25">
      <c r="C34" s="35" t="s">
        <v>15</v>
      </c>
      <c r="D34" s="34" t="str">
        <f>VLOOKUP(R_Basque_CheeseCakeCL[[#This Row],[Ingrédients]],T_ingrédients[],3,0)</f>
        <v>g</v>
      </c>
      <c r="E34" s="46">
        <v>228</v>
      </c>
      <c r="F34" s="46">
        <v>330</v>
      </c>
      <c r="G34" s="47">
        <v>660</v>
      </c>
    </row>
    <row r="35" spans="3:7" x14ac:dyDescent="0.25">
      <c r="C35" s="35" t="s">
        <v>235</v>
      </c>
      <c r="D35" s="34" t="str">
        <f>VLOOKUP(R_Basque_CheeseCakeCL[[#This Row],[Ingrédients]],T_ingrédients[],3,0)</f>
        <v>g</v>
      </c>
      <c r="E35" s="146"/>
      <c r="F35" s="146"/>
      <c r="G35" s="147"/>
    </row>
    <row r="36" spans="3:7" x14ac:dyDescent="0.25">
      <c r="C36" s="35" t="s">
        <v>16</v>
      </c>
      <c r="D36" s="34" t="str">
        <f>VLOOKUP(R_Basque_CheeseCakeCL[[#This Row],[Ingrédients]],T_ingrédients[],3,0)</f>
        <v>g</v>
      </c>
      <c r="E36" s="46">
        <v>0.7</v>
      </c>
      <c r="F36" s="46">
        <v>1</v>
      </c>
      <c r="G36" s="47">
        <v>2</v>
      </c>
    </row>
    <row r="37" spans="3:7" x14ac:dyDescent="0.25">
      <c r="C37" s="35" t="s">
        <v>8</v>
      </c>
      <c r="D37" s="34" t="str">
        <f>VLOOKUP(R_Basque_CheeseCakeCL[[#This Row],[Ingrédients]],T_ingrédients[],3,0)</f>
        <v>g</v>
      </c>
      <c r="E37" s="46">
        <v>127</v>
      </c>
      <c r="F37" s="46">
        <v>184</v>
      </c>
      <c r="G37" s="47">
        <v>368</v>
      </c>
    </row>
    <row r="38" spans="3:7" x14ac:dyDescent="0.25">
      <c r="C38" s="35" t="s">
        <v>17</v>
      </c>
      <c r="D38" s="34" t="str">
        <f>VLOOKUP(R_Basque_CheeseCakeCL[[#This Row],[Ingrédients]],T_ingrédients[],3,0)</f>
        <v>g</v>
      </c>
      <c r="E38" s="46">
        <v>20</v>
      </c>
      <c r="F38" s="46">
        <v>29</v>
      </c>
      <c r="G38" s="47">
        <v>58</v>
      </c>
    </row>
    <row r="39" spans="3:7" x14ac:dyDescent="0.25">
      <c r="C39" s="35" t="s">
        <v>18</v>
      </c>
      <c r="D39" s="34" t="str">
        <f>VLOOKUP(R_Basque_CheeseCakeCL[[#This Row],[Ingrédients]],T_ingrédients[],3,0)</f>
        <v>g</v>
      </c>
      <c r="E39" s="46">
        <v>343</v>
      </c>
      <c r="F39" s="46">
        <v>495</v>
      </c>
      <c r="G39" s="47">
        <v>990</v>
      </c>
    </row>
    <row r="40" spans="3:7" x14ac:dyDescent="0.25">
      <c r="C40" s="35" t="s">
        <v>168</v>
      </c>
      <c r="D40" s="34" t="str">
        <f>VLOOKUP(R_Basque_CheeseCakeCL[[#This Row],[Ingrédients]],T_ingrédients[],3,0)</f>
        <v>g</v>
      </c>
      <c r="E40" s="146"/>
      <c r="F40" s="146"/>
      <c r="G40" s="147"/>
    </row>
    <row r="41" spans="3:7" x14ac:dyDescent="0.25">
      <c r="C41" s="35" t="s">
        <v>238</v>
      </c>
      <c r="D41" s="34" t="str">
        <f>VLOOKUP(R_Basque_CheeseCakeCL[[#This Row],[Ingrédients]],T_ingrédients[],3,0)</f>
        <v>g</v>
      </c>
      <c r="E41" s="146"/>
      <c r="F41" s="146"/>
      <c r="G41" s="147"/>
    </row>
    <row r="42" spans="3:7" ht="15.75" thickBot="1" x14ac:dyDescent="0.3">
      <c r="C42" s="35" t="s">
        <v>19</v>
      </c>
      <c r="D42" s="34" t="str">
        <f>VLOOKUP(R_Basque_CheeseCakeCL[[#This Row],[Ingrédients]],T_ingrédients[],3,0)</f>
        <v>g</v>
      </c>
      <c r="E42" s="46">
        <v>24</v>
      </c>
      <c r="F42" s="46">
        <v>34</v>
      </c>
      <c r="G42" s="47">
        <v>68</v>
      </c>
    </row>
    <row r="43" spans="3:7" ht="16.5" thickBot="1" x14ac:dyDescent="0.3">
      <c r="C43" s="26" t="s">
        <v>39</v>
      </c>
      <c r="D43" s="27" t="s">
        <v>12</v>
      </c>
      <c r="E43" s="28">
        <f>SUBTOTAL(109,R_Basque_CheeseCakeCL[16])</f>
        <v>1313.7</v>
      </c>
      <c r="F43" s="28">
        <f>SUBTOTAL(109,R_Basque_CheeseCakeCL[18])</f>
        <v>1898</v>
      </c>
      <c r="G43" s="29">
        <f>SUBTOTAL(109,R_Basque_CheeseCakeCL[26])</f>
        <v>3796</v>
      </c>
    </row>
    <row r="45" spans="3:7" ht="15.75" thickBot="1" x14ac:dyDescent="0.3"/>
    <row r="46" spans="3:7" ht="18" thickBot="1" x14ac:dyDescent="0.3">
      <c r="C46" s="176" t="s">
        <v>74</v>
      </c>
      <c r="D46" s="177"/>
      <c r="E46" s="177"/>
      <c r="F46" s="177"/>
      <c r="G46" s="178"/>
    </row>
    <row r="47" spans="3:7" ht="15.75" thickBot="1" x14ac:dyDescent="0.3">
      <c r="C47" s="181"/>
      <c r="D47" s="182"/>
      <c r="E47" s="183" t="s">
        <v>61</v>
      </c>
      <c r="F47" s="184"/>
      <c r="G47" s="185"/>
    </row>
    <row r="48" spans="3:7" ht="16.5" thickBot="1" x14ac:dyDescent="0.3">
      <c r="C48" s="19" t="s">
        <v>0</v>
      </c>
      <c r="D48" s="33" t="s">
        <v>1</v>
      </c>
      <c r="E48" s="21" t="s">
        <v>42</v>
      </c>
      <c r="F48" s="21" t="s">
        <v>43</v>
      </c>
      <c r="G48" s="21" t="s">
        <v>44</v>
      </c>
    </row>
    <row r="49" spans="3:7" x14ac:dyDescent="0.25">
      <c r="C49" s="32" t="s">
        <v>8</v>
      </c>
      <c r="D49" s="34" t="str">
        <f>VLOOKUP(R_CarrotCake[[#This Row],[Ingrédients]],T_ingrédients[],3,0)</f>
        <v>g</v>
      </c>
      <c r="E49" s="44"/>
      <c r="F49" s="44"/>
      <c r="G49" s="45"/>
    </row>
    <row r="50" spans="3:7" x14ac:dyDescent="0.25">
      <c r="C50" s="35" t="s">
        <v>15</v>
      </c>
      <c r="D50" s="34" t="str">
        <f>VLOOKUP(R_CarrotCake[[#This Row],[Ingrédients]],T_ingrédients[],3,0)</f>
        <v>g</v>
      </c>
      <c r="E50" s="46"/>
      <c r="F50" s="46"/>
      <c r="G50" s="47"/>
    </row>
    <row r="51" spans="3:7" x14ac:dyDescent="0.25">
      <c r="C51" s="35" t="s">
        <v>7</v>
      </c>
      <c r="D51" s="34" t="str">
        <f>VLOOKUP(R_CarrotCake[[#This Row],[Ingrédients]],T_ingrédients[],3,0)</f>
        <v>g</v>
      </c>
      <c r="E51" s="146"/>
      <c r="F51" s="146"/>
      <c r="G51" s="147"/>
    </row>
    <row r="52" spans="3:7" x14ac:dyDescent="0.25">
      <c r="C52" s="35" t="s">
        <v>165</v>
      </c>
      <c r="D52" s="34" t="str">
        <f>VLOOKUP(R_CarrotCake[[#This Row],[Ingrédients]],T_ingrédients[],3,0)</f>
        <v>g</v>
      </c>
      <c r="E52" s="46"/>
      <c r="F52" s="46"/>
      <c r="G52" s="47"/>
    </row>
    <row r="53" spans="3:7" x14ac:dyDescent="0.25">
      <c r="C53" s="35" t="s">
        <v>166</v>
      </c>
      <c r="D53" s="34" t="str">
        <f>VLOOKUP(R_CarrotCake[[#This Row],[Ingrédients]],T_ingrédients[],3,0)</f>
        <v>g</v>
      </c>
      <c r="E53" s="46"/>
      <c r="F53" s="46"/>
      <c r="G53" s="47"/>
    </row>
    <row r="54" spans="3:7" x14ac:dyDescent="0.25">
      <c r="C54" s="35" t="s">
        <v>21</v>
      </c>
      <c r="D54" s="34" t="str">
        <f>VLOOKUP(R_CarrotCake[[#This Row],[Ingrédients]],T_ingrédients[],3,0)</f>
        <v>g</v>
      </c>
      <c r="E54" s="46"/>
      <c r="F54" s="46"/>
      <c r="G54" s="47"/>
    </row>
    <row r="55" spans="3:7" x14ac:dyDescent="0.25">
      <c r="C55" s="35" t="s">
        <v>151</v>
      </c>
      <c r="D55" s="34" t="str">
        <f>VLOOKUP(R_CarrotCake[[#This Row],[Ingrédients]],T_ingrédients[],3,0)</f>
        <v>g</v>
      </c>
      <c r="E55" s="46"/>
      <c r="F55" s="46"/>
      <c r="G55" s="47"/>
    </row>
    <row r="56" spans="3:7" x14ac:dyDescent="0.25">
      <c r="C56" s="35" t="s">
        <v>192</v>
      </c>
      <c r="D56" s="34" t="str">
        <f>VLOOKUP(R_CarrotCake[[#This Row],[Ingrédients]],T_ingrédients[],3,0)</f>
        <v>g</v>
      </c>
      <c r="E56" s="146"/>
      <c r="F56" s="146"/>
      <c r="G56" s="147"/>
    </row>
    <row r="57" spans="3:7" x14ac:dyDescent="0.25">
      <c r="C57" s="35" t="s">
        <v>211</v>
      </c>
      <c r="D57" s="34" t="str">
        <f>VLOOKUP(R_CarrotCake[[#This Row],[Ingrédients]],T_ingrédients[],3,0)</f>
        <v>g</v>
      </c>
      <c r="E57" s="146"/>
      <c r="F57" s="146"/>
      <c r="G57" s="147"/>
    </row>
    <row r="58" spans="3:7" x14ac:dyDescent="0.25">
      <c r="C58" s="35" t="s">
        <v>217</v>
      </c>
      <c r="D58" s="34" t="str">
        <f>VLOOKUP(R_CarrotCake[[#This Row],[Ingrédients]],T_ingrédients[],3,0)</f>
        <v>g</v>
      </c>
      <c r="E58" s="146"/>
      <c r="F58" s="146"/>
      <c r="G58" s="147"/>
    </row>
    <row r="59" spans="3:7" x14ac:dyDescent="0.25">
      <c r="C59" s="35" t="s">
        <v>193</v>
      </c>
      <c r="D59" s="34" t="str">
        <f>VLOOKUP(R_CarrotCake[[#This Row],[Ingrédients]],T_ingrédients[],3,0)</f>
        <v>g</v>
      </c>
      <c r="E59" s="146"/>
      <c r="F59" s="146"/>
      <c r="G59" s="147"/>
    </row>
    <row r="60" spans="3:7" x14ac:dyDescent="0.25">
      <c r="C60" s="35" t="s">
        <v>16</v>
      </c>
      <c r="D60" s="34" t="str">
        <f>VLOOKUP(R_CarrotCake[[#This Row],[Ingrédients]],T_ingrédients[],3,0)</f>
        <v>g</v>
      </c>
      <c r="E60" s="146"/>
      <c r="F60" s="146"/>
      <c r="G60" s="147"/>
    </row>
    <row r="61" spans="3:7" x14ac:dyDescent="0.25">
      <c r="C61" s="35" t="s">
        <v>173</v>
      </c>
      <c r="D61" s="34" t="str">
        <f>VLOOKUP(R_CarrotCake[[#This Row],[Ingrédients]],T_ingrédients[],3,0)</f>
        <v>g</v>
      </c>
      <c r="E61" s="146"/>
      <c r="F61" s="146"/>
      <c r="G61" s="147"/>
    </row>
    <row r="62" spans="3:7" x14ac:dyDescent="0.25">
      <c r="C62" s="35" t="s">
        <v>190</v>
      </c>
      <c r="D62" s="34" t="str">
        <f>VLOOKUP(R_CarrotCake[[#This Row],[Ingrédients]],T_ingrédients[],3,0)</f>
        <v>g</v>
      </c>
      <c r="E62" s="146"/>
      <c r="F62" s="146"/>
      <c r="G62" s="147"/>
    </row>
    <row r="63" spans="3:7" x14ac:dyDescent="0.25">
      <c r="C63" s="35" t="s">
        <v>153</v>
      </c>
      <c r="D63" s="34" t="str">
        <f>VLOOKUP(R_CarrotCake[[#This Row],[Ingrédients]],T_ingrédients[],3,0)</f>
        <v>g</v>
      </c>
      <c r="E63" s="146"/>
      <c r="F63" s="146"/>
      <c r="G63" s="147"/>
    </row>
    <row r="64" spans="3:7" ht="15.75" thickBot="1" x14ac:dyDescent="0.3">
      <c r="C64" s="35" t="s">
        <v>220</v>
      </c>
      <c r="D64" s="34" t="str">
        <f>VLOOKUP(R_CarrotCake[[#This Row],[Ingrédients]],T_ingrédients[],3,0)</f>
        <v>g</v>
      </c>
      <c r="E64" s="146"/>
      <c r="F64" s="146"/>
      <c r="G64" s="147"/>
    </row>
    <row r="65" spans="2:7" x14ac:dyDescent="0.25">
      <c r="B65" s="189" t="s">
        <v>271</v>
      </c>
      <c r="C65" s="35" t="s">
        <v>18</v>
      </c>
      <c r="D65" s="34" t="str">
        <f>VLOOKUP(R_CarrotCake[[#This Row],[Ingrédients]],T_ingrédients[],3,0)</f>
        <v>g</v>
      </c>
      <c r="E65" s="146"/>
      <c r="F65" s="146"/>
      <c r="G65" s="147"/>
    </row>
    <row r="66" spans="2:7" x14ac:dyDescent="0.25">
      <c r="B66" s="190"/>
      <c r="C66" s="35" t="s">
        <v>270</v>
      </c>
      <c r="D66" s="34" t="str">
        <f>VLOOKUP(R_CarrotCake[[#This Row],[Ingrédients]],T_ingrédients[],3,0)</f>
        <v>g</v>
      </c>
      <c r="E66" s="146"/>
      <c r="F66" s="146"/>
      <c r="G66" s="147"/>
    </row>
    <row r="67" spans="2:7" x14ac:dyDescent="0.25">
      <c r="B67" s="190"/>
      <c r="C67" s="35" t="s">
        <v>184</v>
      </c>
      <c r="D67" s="34" t="str">
        <f>VLOOKUP(R_CarrotCake[[#This Row],[Ingrédients]],T_ingrédients[],3,0)</f>
        <v>g</v>
      </c>
      <c r="E67" s="146"/>
      <c r="F67" s="146"/>
      <c r="G67" s="147"/>
    </row>
    <row r="68" spans="2:7" x14ac:dyDescent="0.25">
      <c r="B68" s="190"/>
      <c r="C68" s="35" t="s">
        <v>268</v>
      </c>
      <c r="D68" s="34" t="str">
        <f>VLOOKUP(R_CarrotCake[[#This Row],[Ingrédients]],T_ingrédients[],3,0)</f>
        <v>goutte</v>
      </c>
      <c r="E68" s="46"/>
      <c r="F68" s="46"/>
      <c r="G68" s="47"/>
    </row>
    <row r="69" spans="2:7" ht="15.75" thickBot="1" x14ac:dyDescent="0.3">
      <c r="B69" s="191"/>
      <c r="C69" s="35" t="s">
        <v>267</v>
      </c>
      <c r="D69" s="34" t="str">
        <f>VLOOKUP(R_CarrotCake[[#This Row],[Ingrédients]],T_ingrédients[],3,0)</f>
        <v>goutte</v>
      </c>
      <c r="E69" s="146"/>
      <c r="F69" s="146"/>
      <c r="G69" s="147"/>
    </row>
    <row r="70" spans="2:7" ht="16.5" thickBot="1" x14ac:dyDescent="0.3">
      <c r="C70" s="26" t="s">
        <v>39</v>
      </c>
      <c r="D70" s="27" t="s">
        <v>12</v>
      </c>
      <c r="E70" s="28">
        <f>SUBTOTAL(109,R_CarrotCake[16])</f>
        <v>0</v>
      </c>
      <c r="F70" s="28">
        <f>SUBTOTAL(109,R_CarrotCake[18])</f>
        <v>0</v>
      </c>
      <c r="G70" s="29">
        <f>SUBTOTAL(109,R_CarrotCake[26])</f>
        <v>0</v>
      </c>
    </row>
    <row r="71" spans="2:7" ht="15.75" x14ac:dyDescent="0.25">
      <c r="C71" s="100"/>
      <c r="D71" s="101"/>
      <c r="E71" s="102"/>
      <c r="F71" s="102"/>
      <c r="G71" s="102"/>
    </row>
    <row r="72" spans="2:7" ht="16.5" thickBot="1" x14ac:dyDescent="0.3">
      <c r="C72" s="100"/>
      <c r="D72" s="101"/>
      <c r="E72" s="102"/>
      <c r="F72" s="102"/>
      <c r="G72" s="102"/>
    </row>
    <row r="73" spans="2:7" ht="18" thickBot="1" x14ac:dyDescent="0.3">
      <c r="C73" s="176" t="s">
        <v>283</v>
      </c>
      <c r="D73" s="177"/>
      <c r="E73" s="177"/>
      <c r="F73" s="177"/>
      <c r="G73" s="178"/>
    </row>
    <row r="74" spans="2:7" ht="15.75" thickBot="1" x14ac:dyDescent="0.3">
      <c r="C74" s="181"/>
      <c r="D74" s="182"/>
      <c r="E74" s="183" t="s">
        <v>61</v>
      </c>
      <c r="F74" s="184"/>
      <c r="G74" s="185"/>
    </row>
    <row r="75" spans="2:7" ht="16.5" thickBot="1" x14ac:dyDescent="0.3">
      <c r="C75" s="19" t="s">
        <v>0</v>
      </c>
      <c r="D75" s="33" t="s">
        <v>1</v>
      </c>
      <c r="E75" s="21" t="s">
        <v>42</v>
      </c>
      <c r="F75" s="21" t="s">
        <v>43</v>
      </c>
      <c r="G75" s="21" t="s">
        <v>44</v>
      </c>
    </row>
    <row r="76" spans="2:7" x14ac:dyDescent="0.25">
      <c r="C76" s="32" t="s">
        <v>189</v>
      </c>
      <c r="D76" s="34" t="str">
        <f>VLOOKUP(R_Clafoutis[[#This Row],[Ingrédients]],T_ingrédients[],3,0)</f>
        <v>g</v>
      </c>
      <c r="E76" s="44"/>
      <c r="F76" s="44"/>
      <c r="G76" s="45"/>
    </row>
    <row r="77" spans="2:7" x14ac:dyDescent="0.25">
      <c r="C77" s="35" t="s">
        <v>19</v>
      </c>
      <c r="D77" s="34" t="str">
        <f>VLOOKUP(R_Clafoutis[[#This Row],[Ingrédients]],T_ingrédients[],3,0)</f>
        <v>g</v>
      </c>
      <c r="E77" s="46"/>
      <c r="F77" s="46"/>
      <c r="G77" s="47"/>
    </row>
    <row r="78" spans="2:7" x14ac:dyDescent="0.25">
      <c r="C78" s="35" t="s">
        <v>6</v>
      </c>
      <c r="D78" s="34" t="str">
        <f>VLOOKUP(R_Clafoutis[[#This Row],[Ingrédients]],T_ingrédients[],3,0)</f>
        <v>g</v>
      </c>
      <c r="E78" s="146"/>
      <c r="F78" s="146"/>
      <c r="G78" s="147"/>
    </row>
    <row r="79" spans="2:7" x14ac:dyDescent="0.25">
      <c r="C79" s="35" t="s">
        <v>8</v>
      </c>
      <c r="D79" s="34" t="str">
        <f>VLOOKUP(R_Clafoutis[[#This Row],[Ingrédients]],T_ingrédients[],3,0)</f>
        <v>g</v>
      </c>
      <c r="E79" s="46"/>
      <c r="F79" s="46"/>
      <c r="G79" s="47"/>
    </row>
    <row r="80" spans="2:7" x14ac:dyDescent="0.25">
      <c r="C80" s="35" t="s">
        <v>18</v>
      </c>
      <c r="D80" s="34" t="str">
        <f>VLOOKUP(R_Clafoutis[[#This Row],[Ingrédients]],T_ingrédients[],3,0)</f>
        <v>g</v>
      </c>
      <c r="E80" s="46"/>
      <c r="F80" s="46"/>
      <c r="G80" s="47"/>
    </row>
    <row r="81" spans="3:7" x14ac:dyDescent="0.25">
      <c r="C81" s="35" t="s">
        <v>177</v>
      </c>
      <c r="D81" s="34" t="str">
        <f>VLOOKUP(R_Clafoutis[[#This Row],[Ingrédients]],T_ingrédients[],3,0)</f>
        <v>g</v>
      </c>
      <c r="E81" s="46"/>
      <c r="F81" s="46"/>
      <c r="G81" s="47"/>
    </row>
    <row r="82" spans="3:7" ht="15.75" thickBot="1" x14ac:dyDescent="0.3">
      <c r="C82" s="35" t="s">
        <v>175</v>
      </c>
      <c r="D82" s="34" t="str">
        <f>VLOOKUP(R_Clafoutis[[#This Row],[Ingrédients]],T_ingrédients[],3,0)</f>
        <v>g</v>
      </c>
      <c r="E82" s="46"/>
      <c r="F82" s="46"/>
      <c r="G82" s="47"/>
    </row>
    <row r="83" spans="3:7" ht="16.5" thickBot="1" x14ac:dyDescent="0.3">
      <c r="C83" s="150" t="s">
        <v>39</v>
      </c>
      <c r="D83" s="27" t="s">
        <v>12</v>
      </c>
      <c r="E83" s="28">
        <f>SUBTOTAL(109,R_Clafoutis[16])</f>
        <v>0</v>
      </c>
      <c r="F83" s="28">
        <f>SUBTOTAL(109,R_Clafoutis[18])</f>
        <v>0</v>
      </c>
      <c r="G83" s="29">
        <f>SUBTOTAL(109,R_Clafoutis[26])</f>
        <v>0</v>
      </c>
    </row>
    <row r="85" spans="3:7" ht="15.75" thickBot="1" x14ac:dyDescent="0.3"/>
    <row r="86" spans="3:7" ht="18" thickBot="1" x14ac:dyDescent="0.3">
      <c r="C86" s="176" t="s">
        <v>77</v>
      </c>
      <c r="D86" s="177"/>
      <c r="E86" s="177"/>
      <c r="F86" s="177"/>
      <c r="G86" s="178"/>
    </row>
    <row r="87" spans="3:7" ht="15.75" thickBot="1" x14ac:dyDescent="0.3">
      <c r="C87" s="181"/>
      <c r="D87" s="182"/>
      <c r="E87" s="183" t="s">
        <v>61</v>
      </c>
      <c r="F87" s="184"/>
      <c r="G87" s="185"/>
    </row>
    <row r="88" spans="3:7" ht="16.5" thickBot="1" x14ac:dyDescent="0.3">
      <c r="C88" s="19" t="s">
        <v>0</v>
      </c>
      <c r="D88" s="33" t="s">
        <v>1</v>
      </c>
      <c r="E88" s="21" t="s">
        <v>42</v>
      </c>
      <c r="F88" s="21" t="s">
        <v>43</v>
      </c>
      <c r="G88" s="21" t="s">
        <v>44</v>
      </c>
    </row>
    <row r="89" spans="3:7" x14ac:dyDescent="0.25">
      <c r="C89" s="32" t="s">
        <v>18</v>
      </c>
      <c r="D89" s="34" t="str">
        <f>VLOOKUP(R_Classique_Choco[[#This Row],[Ingrédients]],T_ingrédients[],3,0)</f>
        <v>g</v>
      </c>
      <c r="E89" s="44"/>
      <c r="F89" s="44"/>
      <c r="G89" s="45"/>
    </row>
    <row r="90" spans="3:7" ht="30" x14ac:dyDescent="0.25">
      <c r="C90" s="35" t="s">
        <v>198</v>
      </c>
      <c r="D90" s="34" t="str">
        <f>VLOOKUP(R_Classique_Choco[[#This Row],[Ingrédients]],T_ingrédients[],3,0)</f>
        <v>g</v>
      </c>
      <c r="E90" s="46"/>
      <c r="F90" s="46"/>
      <c r="G90" s="47"/>
    </row>
    <row r="91" spans="3:7" x14ac:dyDescent="0.25">
      <c r="C91" s="35" t="s">
        <v>272</v>
      </c>
      <c r="D91" s="34" t="str">
        <f>VLOOKUP(R_Classique_Choco[[#This Row],[Ingrédients]],T_ingrédients[],3,0)</f>
        <v>g</v>
      </c>
      <c r="E91" s="146"/>
      <c r="F91" s="146"/>
      <c r="G91" s="147"/>
    </row>
    <row r="92" spans="3:7" x14ac:dyDescent="0.25">
      <c r="C92" s="35" t="s">
        <v>17</v>
      </c>
      <c r="D92" s="34" t="str">
        <f>VLOOKUP(R_Classique_Choco[[#This Row],[Ingrédients]],T_ingrédients[],3,0)</f>
        <v>g</v>
      </c>
      <c r="E92" s="46"/>
      <c r="F92" s="46"/>
      <c r="G92" s="47"/>
    </row>
    <row r="93" spans="3:7" x14ac:dyDescent="0.25">
      <c r="C93" s="35" t="s">
        <v>15</v>
      </c>
      <c r="D93" s="34" t="str">
        <f>VLOOKUP(R_Classique_Choco[[#This Row],[Ingrédients]],T_ingrédients[],3,0)</f>
        <v>g</v>
      </c>
      <c r="E93" s="46"/>
      <c r="F93" s="46"/>
      <c r="G93" s="47"/>
    </row>
    <row r="94" spans="3:7" x14ac:dyDescent="0.25">
      <c r="C94" s="35" t="s">
        <v>228</v>
      </c>
      <c r="D94" s="34" t="str">
        <f>VLOOKUP(R_Classique_Choco[[#This Row],[Ingrédients]],T_ingrédients[],3,0)</f>
        <v>g</v>
      </c>
      <c r="E94" s="46"/>
      <c r="F94" s="46"/>
      <c r="G94" s="47"/>
    </row>
    <row r="95" spans="3:7" x14ac:dyDescent="0.25">
      <c r="C95" s="35" t="s">
        <v>15</v>
      </c>
      <c r="D95" s="34" t="str">
        <f>VLOOKUP(R_Classique_Choco[[#This Row],[Ingrédients]],T_ingrédients[],3,0)</f>
        <v>g</v>
      </c>
      <c r="E95" s="46"/>
      <c r="F95" s="46"/>
      <c r="G95" s="47"/>
    </row>
    <row r="96" spans="3:7" x14ac:dyDescent="0.25">
      <c r="C96" s="35" t="s">
        <v>21</v>
      </c>
      <c r="D96" s="34" t="str">
        <f>VLOOKUP(R_Classique_Choco[[#This Row],[Ingrédients]],T_ingrédients[],3,0)</f>
        <v>g</v>
      </c>
      <c r="E96" s="146"/>
      <c r="F96" s="146"/>
      <c r="G96" s="147"/>
    </row>
    <row r="97" spans="2:7" ht="15.75" thickBot="1" x14ac:dyDescent="0.3">
      <c r="C97" s="35" t="s">
        <v>16</v>
      </c>
      <c r="D97" s="34" t="str">
        <f>VLOOKUP(R_Classique_Choco[[#This Row],[Ingrédients]],T_ingrédients[],3,0)</f>
        <v>g</v>
      </c>
      <c r="E97" s="146"/>
      <c r="F97" s="146"/>
      <c r="G97" s="147"/>
    </row>
    <row r="98" spans="2:7" ht="16.5" thickBot="1" x14ac:dyDescent="0.3">
      <c r="B98" s="15"/>
      <c r="C98" s="150" t="s">
        <v>39</v>
      </c>
      <c r="D98" s="27" t="s">
        <v>12</v>
      </c>
      <c r="E98" s="28">
        <f>SUBTOTAL(109,R_Classique_Choco[16])</f>
        <v>0</v>
      </c>
      <c r="F98" s="28">
        <f>SUBTOTAL(109,R_Classique_Choco[18])</f>
        <v>0</v>
      </c>
      <c r="G98" s="29">
        <f>SUBTOTAL(109,R_Classique_Choco[26])</f>
        <v>0</v>
      </c>
    </row>
    <row r="100" spans="2:7" ht="15.75" thickBot="1" x14ac:dyDescent="0.3"/>
    <row r="101" spans="2:7" ht="18" thickBot="1" x14ac:dyDescent="0.3">
      <c r="C101" s="176" t="s">
        <v>76</v>
      </c>
      <c r="D101" s="177"/>
      <c r="E101" s="177"/>
      <c r="F101" s="177"/>
      <c r="G101" s="178"/>
    </row>
    <row r="102" spans="2:7" ht="15.75" thickBot="1" x14ac:dyDescent="0.3">
      <c r="C102" s="181"/>
      <c r="D102" s="182"/>
      <c r="E102" s="183" t="s">
        <v>61</v>
      </c>
      <c r="F102" s="184"/>
      <c r="G102" s="185"/>
    </row>
    <row r="103" spans="2:7" ht="16.5" thickBot="1" x14ac:dyDescent="0.3">
      <c r="C103" s="19" t="s">
        <v>0</v>
      </c>
      <c r="D103" s="33" t="s">
        <v>1</v>
      </c>
      <c r="E103" s="21" t="s">
        <v>42</v>
      </c>
      <c r="F103" s="21" t="s">
        <v>43</v>
      </c>
      <c r="G103" s="21" t="s">
        <v>44</v>
      </c>
    </row>
    <row r="104" spans="2:7" x14ac:dyDescent="0.25">
      <c r="C104" s="32" t="s">
        <v>4</v>
      </c>
      <c r="D104" s="34" t="str">
        <f>VLOOKUP(R_Gâteau_Nantais[[#This Row],[Ingrédients]],T_ingrédients[],3,0)</f>
        <v>g</v>
      </c>
      <c r="E104" s="44"/>
      <c r="F104" s="44"/>
      <c r="G104" s="45"/>
    </row>
    <row r="105" spans="2:7" ht="14.45" customHeight="1" x14ac:dyDescent="0.25">
      <c r="C105" s="35" t="s">
        <v>15</v>
      </c>
      <c r="D105" s="34" t="str">
        <f>VLOOKUP(R_Gâteau_Nantais[[#This Row],[Ingrédients]],T_ingrédients[],3,0)</f>
        <v>g</v>
      </c>
      <c r="E105" s="46"/>
      <c r="F105" s="46"/>
      <c r="G105" s="47"/>
    </row>
    <row r="106" spans="2:7" x14ac:dyDescent="0.25">
      <c r="B106" s="15"/>
      <c r="C106" s="35" t="s">
        <v>16</v>
      </c>
      <c r="D106" s="34" t="str">
        <f>VLOOKUP(R_Gâteau_Nantais[[#This Row],[Ingrédients]],T_ingrédients[],3,0)</f>
        <v>g</v>
      </c>
      <c r="E106" s="146"/>
      <c r="F106" s="146"/>
      <c r="G106" s="147"/>
    </row>
    <row r="107" spans="2:7" x14ac:dyDescent="0.25">
      <c r="B107" s="15"/>
      <c r="C107" s="35" t="s">
        <v>189</v>
      </c>
      <c r="D107" s="34" t="str">
        <f>VLOOKUP(R_Gâteau_Nantais[[#This Row],[Ingrédients]],T_ingrédients[],3,0)</f>
        <v>g</v>
      </c>
      <c r="E107" s="46"/>
      <c r="F107" s="46"/>
      <c r="G107" s="47"/>
    </row>
    <row r="108" spans="2:7" x14ac:dyDescent="0.25">
      <c r="B108" s="15"/>
      <c r="C108" s="35" t="s">
        <v>8</v>
      </c>
      <c r="D108" s="34" t="str">
        <f>VLOOKUP(R_Gâteau_Nantais[[#This Row],[Ingrédients]],T_ingrédients[],3,0)</f>
        <v>g</v>
      </c>
      <c r="E108" s="46"/>
      <c r="F108" s="46"/>
      <c r="G108" s="47"/>
    </row>
    <row r="109" spans="2:7" x14ac:dyDescent="0.25">
      <c r="B109" s="15"/>
      <c r="C109" s="35" t="s">
        <v>21</v>
      </c>
      <c r="D109" s="34" t="str">
        <f>VLOOKUP(R_Gâteau_Nantais[[#This Row],[Ingrédients]],T_ingrédients[],3,0)</f>
        <v>g</v>
      </c>
      <c r="E109" s="46"/>
      <c r="F109" s="46"/>
      <c r="G109" s="47"/>
    </row>
    <row r="110" spans="2:7" ht="15.75" thickBot="1" x14ac:dyDescent="0.3">
      <c r="C110" s="35" t="s">
        <v>32</v>
      </c>
      <c r="D110" s="34" t="str">
        <f>VLOOKUP(R_Gâteau_Nantais[[#This Row],[Ingrédients]],T_ingrédients[],3,0)</f>
        <v>g</v>
      </c>
      <c r="E110" s="46"/>
      <c r="F110" s="46"/>
      <c r="G110" s="47"/>
    </row>
    <row r="111" spans="2:7" ht="14.45" customHeight="1" x14ac:dyDescent="0.25">
      <c r="B111" s="179" t="s">
        <v>257</v>
      </c>
      <c r="C111" s="35" t="s">
        <v>170</v>
      </c>
      <c r="D111" s="34" t="str">
        <f>VLOOKUP(R_Gâteau_Nantais[[#This Row],[Ingrédients]],T_ingrédients[],3,0)</f>
        <v>g</v>
      </c>
      <c r="E111" s="146"/>
      <c r="F111" s="146"/>
      <c r="G111" s="147"/>
    </row>
    <row r="112" spans="2:7" ht="15.75" thickBot="1" x14ac:dyDescent="0.3">
      <c r="B112" s="180"/>
      <c r="C112" s="35" t="s">
        <v>239</v>
      </c>
      <c r="D112" s="34" t="str">
        <f>VLOOKUP(R_Gâteau_Nantais[[#This Row],[Ingrédients]],T_ingrédients[],3,0)</f>
        <v>g</v>
      </c>
      <c r="E112" s="146"/>
      <c r="F112" s="146"/>
      <c r="G112" s="147"/>
    </row>
    <row r="113" spans="2:7" x14ac:dyDescent="0.25">
      <c r="B113" s="179" t="s">
        <v>260</v>
      </c>
      <c r="C113" s="35" t="s">
        <v>184</v>
      </c>
      <c r="D113" s="34" t="str">
        <f>VLOOKUP(R_Gâteau_Nantais[[#This Row],[Ingrédients]],T_ingrédients[],3,0)</f>
        <v>g</v>
      </c>
      <c r="E113" s="146"/>
      <c r="F113" s="146"/>
      <c r="G113" s="147"/>
    </row>
    <row r="114" spans="2:7" x14ac:dyDescent="0.25">
      <c r="B114" s="188"/>
      <c r="C114" s="35" t="s">
        <v>170</v>
      </c>
      <c r="D114" s="34" t="str">
        <f>VLOOKUP(R_Gâteau_Nantais[[#This Row],[Ingrédients]],T_ingrédients[],3,0)</f>
        <v>g</v>
      </c>
      <c r="E114" s="146"/>
      <c r="F114" s="146"/>
      <c r="G114" s="147"/>
    </row>
    <row r="115" spans="2:7" x14ac:dyDescent="0.25">
      <c r="B115" s="188"/>
      <c r="C115" s="35" t="s">
        <v>239</v>
      </c>
      <c r="D115" s="34" t="str">
        <f>VLOOKUP(R_Gâteau_Nantais[[#This Row],[Ingrédients]],T_ingrédients[],3,0)</f>
        <v>g</v>
      </c>
      <c r="E115" s="146"/>
      <c r="F115" s="146"/>
      <c r="G115" s="147"/>
    </row>
    <row r="116" spans="2:7" x14ac:dyDescent="0.25">
      <c r="B116" s="188"/>
      <c r="C116" s="35" t="s">
        <v>147</v>
      </c>
      <c r="D116" s="34" t="str">
        <f>VLOOKUP(R_Gâteau_Nantais[[#This Row],[Ingrédients]],T_ingrédients[],3,0)</f>
        <v>g</v>
      </c>
      <c r="E116" s="146"/>
      <c r="F116" s="146"/>
      <c r="G116" s="147"/>
    </row>
    <row r="117" spans="2:7" ht="15.75" thickBot="1" x14ac:dyDescent="0.3">
      <c r="B117" s="180"/>
      <c r="C117" s="35" t="s">
        <v>236</v>
      </c>
      <c r="D117" s="34" t="str">
        <f>VLOOKUP(R_Gâteau_Nantais[[#This Row],[Ingrédients]],T_ingrédients[],3,0)</f>
        <v>g</v>
      </c>
      <c r="E117" s="146"/>
      <c r="F117" s="146"/>
      <c r="G117" s="147"/>
    </row>
    <row r="118" spans="2:7" ht="16.5" thickBot="1" x14ac:dyDescent="0.3">
      <c r="C118" s="150" t="s">
        <v>39</v>
      </c>
      <c r="D118" s="27" t="s">
        <v>12</v>
      </c>
      <c r="E118" s="28">
        <f>SUBTOTAL(109,R_Gâteau_Nantais[16])</f>
        <v>0</v>
      </c>
      <c r="F118" s="28">
        <f>SUBTOTAL(109,R_Gâteau_Nantais[18])</f>
        <v>0</v>
      </c>
      <c r="G118" s="29">
        <f>SUBTOTAL(109,R_Gâteau_Nantais[26])</f>
        <v>0</v>
      </c>
    </row>
    <row r="120" spans="2:7" ht="15.75" thickBot="1" x14ac:dyDescent="0.3"/>
    <row r="121" spans="2:7" ht="18" thickBot="1" x14ac:dyDescent="0.3">
      <c r="C121" s="176" t="s">
        <v>273</v>
      </c>
      <c r="D121" s="177"/>
      <c r="E121" s="177"/>
      <c r="F121" s="177"/>
      <c r="G121" s="178"/>
    </row>
    <row r="122" spans="2:7" ht="15.75" thickBot="1" x14ac:dyDescent="0.3">
      <c r="C122" s="181"/>
      <c r="D122" s="182"/>
      <c r="E122" s="183" t="s">
        <v>61</v>
      </c>
      <c r="F122" s="184"/>
      <c r="G122" s="185"/>
    </row>
    <row r="123" spans="2:7" ht="16.5" thickBot="1" x14ac:dyDescent="0.3">
      <c r="C123" s="19" t="s">
        <v>0</v>
      </c>
      <c r="D123" s="33" t="s">
        <v>1</v>
      </c>
      <c r="E123" s="21" t="s">
        <v>42</v>
      </c>
      <c r="F123" s="21" t="s">
        <v>43</v>
      </c>
      <c r="G123" s="21" t="s">
        <v>44</v>
      </c>
    </row>
    <row r="124" spans="2:7" x14ac:dyDescent="0.25">
      <c r="C124" s="32" t="s">
        <v>4</v>
      </c>
      <c r="D124" s="34" t="str">
        <f>VLOOKUP(R_Moelleux_Citron[[#This Row],[Ingrédients]],T_ingrédients[],3,0)</f>
        <v>g</v>
      </c>
      <c r="E124" s="44"/>
      <c r="F124" s="44"/>
      <c r="G124" s="45"/>
    </row>
    <row r="125" spans="2:7" x14ac:dyDescent="0.25">
      <c r="C125" s="35" t="s">
        <v>15</v>
      </c>
      <c r="D125" s="34" t="str">
        <f>VLOOKUP(R_Moelleux_Citron[[#This Row],[Ingrédients]],T_ingrédients[],3,0)</f>
        <v>g</v>
      </c>
      <c r="E125" s="46"/>
      <c r="F125" s="46"/>
      <c r="G125" s="47"/>
    </row>
    <row r="126" spans="2:7" x14ac:dyDescent="0.25">
      <c r="B126" s="15"/>
      <c r="C126" s="35" t="s">
        <v>235</v>
      </c>
      <c r="D126" s="34" t="str">
        <f>VLOOKUP(R_Moelleux_Citron[[#This Row],[Ingrédients]],T_ingrédients[],3,0)</f>
        <v>g</v>
      </c>
      <c r="E126" s="146"/>
      <c r="F126" s="146"/>
      <c r="G126" s="147"/>
    </row>
    <row r="127" spans="2:7" x14ac:dyDescent="0.25">
      <c r="B127" s="15"/>
      <c r="C127" s="35" t="s">
        <v>8</v>
      </c>
      <c r="D127" s="34" t="str">
        <f>VLOOKUP(R_Moelleux_Citron[[#This Row],[Ingrédients]],T_ingrédients[],3,0)</f>
        <v>g</v>
      </c>
      <c r="E127" s="46"/>
      <c r="F127" s="46"/>
      <c r="G127" s="47"/>
    </row>
    <row r="128" spans="2:7" x14ac:dyDescent="0.25">
      <c r="B128" s="15"/>
      <c r="C128" s="35" t="s">
        <v>18</v>
      </c>
      <c r="D128" s="34" t="str">
        <f>VLOOKUP(R_Moelleux_Citron[[#This Row],[Ingrédients]],T_ingrédients[],3,0)</f>
        <v>g</v>
      </c>
      <c r="E128" s="46"/>
      <c r="F128" s="46"/>
      <c r="G128" s="47"/>
    </row>
    <row r="129" spans="2:7" x14ac:dyDescent="0.25">
      <c r="B129" s="15"/>
      <c r="C129" s="35" t="s">
        <v>32</v>
      </c>
      <c r="D129" s="34" t="str">
        <f>VLOOKUP(R_Moelleux_Citron[[#This Row],[Ingrédients]],T_ingrédients[],3,0)</f>
        <v>g</v>
      </c>
      <c r="E129" s="46"/>
      <c r="F129" s="46"/>
      <c r="G129" s="47"/>
    </row>
    <row r="130" spans="2:7" x14ac:dyDescent="0.25">
      <c r="C130" s="35" t="s">
        <v>21</v>
      </c>
      <c r="D130" s="34" t="str">
        <f>VLOOKUP(R_Moelleux_Citron[[#This Row],[Ingrédients]],T_ingrédients[],3,0)</f>
        <v>g</v>
      </c>
      <c r="E130" s="46"/>
      <c r="F130" s="46"/>
      <c r="G130" s="47"/>
    </row>
    <row r="131" spans="2:7" x14ac:dyDescent="0.25">
      <c r="C131" s="35" t="s">
        <v>10</v>
      </c>
      <c r="D131" s="34" t="str">
        <f>VLOOKUP(R_Moelleux_Citron[[#This Row],[Ingrédients]],T_ingrédients[],3,0)</f>
        <v>g</v>
      </c>
      <c r="E131" s="146"/>
      <c r="F131" s="146"/>
      <c r="G131" s="147"/>
    </row>
    <row r="132" spans="2:7" ht="15.75" thickBot="1" x14ac:dyDescent="0.3">
      <c r="C132" s="35" t="s">
        <v>16</v>
      </c>
      <c r="D132" s="34" t="str">
        <f>VLOOKUP(R_Moelleux_Citron[[#This Row],[Ingrédients]],T_ingrédients[],3,0)</f>
        <v>g</v>
      </c>
      <c r="E132" s="146"/>
      <c r="F132" s="146"/>
      <c r="G132" s="147"/>
    </row>
    <row r="133" spans="2:7" x14ac:dyDescent="0.25">
      <c r="B133" s="179" t="s">
        <v>257</v>
      </c>
      <c r="C133" s="35" t="s">
        <v>229</v>
      </c>
      <c r="D133" s="34" t="str">
        <f>VLOOKUP(R_Moelleux_Citron[[#This Row],[Ingrédients]],T_ingrédients[],3,0)</f>
        <v>g</v>
      </c>
      <c r="E133" s="146"/>
      <c r="F133" s="146"/>
      <c r="G133" s="147"/>
    </row>
    <row r="134" spans="2:7" x14ac:dyDescent="0.25">
      <c r="B134" s="188"/>
      <c r="C134" s="35" t="s">
        <v>15</v>
      </c>
      <c r="D134" s="34" t="str">
        <f>VLOOKUP(R_Moelleux_Citron[[#This Row],[Ingrédients]],T_ingrédients[],3,0)</f>
        <v>g</v>
      </c>
      <c r="E134" s="146"/>
      <c r="F134" s="146"/>
      <c r="G134" s="147"/>
    </row>
    <row r="135" spans="2:7" ht="15.75" thickBot="1" x14ac:dyDescent="0.3">
      <c r="B135" s="180"/>
      <c r="C135" s="35" t="s">
        <v>238</v>
      </c>
      <c r="D135" s="34" t="str">
        <f>VLOOKUP(R_Moelleux_Citron[[#This Row],[Ingrédients]],T_ingrédients[],3,0)</f>
        <v>g</v>
      </c>
      <c r="E135" s="146"/>
      <c r="F135" s="146"/>
      <c r="G135" s="147"/>
    </row>
    <row r="136" spans="2:7" x14ac:dyDescent="0.25">
      <c r="B136" s="179" t="s">
        <v>260</v>
      </c>
      <c r="C136" s="35" t="s">
        <v>183</v>
      </c>
      <c r="D136" s="34" t="str">
        <f>VLOOKUP(R_Moelleux_Citron[[#This Row],[Ingrédients]],T_ingrédients[],3,0)</f>
        <v>g</v>
      </c>
      <c r="E136" s="146"/>
      <c r="F136" s="146"/>
      <c r="G136" s="147"/>
    </row>
    <row r="137" spans="2:7" ht="15.75" thickBot="1" x14ac:dyDescent="0.3">
      <c r="B137" s="180"/>
      <c r="C137" s="35" t="s">
        <v>274</v>
      </c>
      <c r="D137" s="34" t="str">
        <f>VLOOKUP(R_Moelleux_Citron[[#This Row],[Ingrédients]],T_ingrédients[],3,0)</f>
        <v>g</v>
      </c>
      <c r="E137" s="146"/>
      <c r="F137" s="146"/>
      <c r="G137" s="147"/>
    </row>
    <row r="138" spans="2:7" ht="16.5" thickBot="1" x14ac:dyDescent="0.3">
      <c r="C138" s="150" t="s">
        <v>39</v>
      </c>
      <c r="D138" s="27" t="s">
        <v>12</v>
      </c>
      <c r="E138" s="28">
        <f>SUBTOTAL(109,R_Moelleux_Citron[16])</f>
        <v>0</v>
      </c>
      <c r="F138" s="28">
        <f>SUBTOTAL(109,R_Moelleux_Citron[18])</f>
        <v>0</v>
      </c>
      <c r="G138" s="29">
        <f>SUBTOTAL(109,R_Moelleux_Citron[26])</f>
        <v>0</v>
      </c>
    </row>
    <row r="140" spans="2:7" ht="15.75" thickBot="1" x14ac:dyDescent="0.3"/>
    <row r="141" spans="2:7" ht="18" thickBot="1" x14ac:dyDescent="0.3">
      <c r="C141" s="176" t="s">
        <v>75</v>
      </c>
      <c r="D141" s="177"/>
      <c r="E141" s="177"/>
      <c r="F141" s="177"/>
      <c r="G141" s="178"/>
    </row>
    <row r="142" spans="2:7" ht="15.75" thickBot="1" x14ac:dyDescent="0.3">
      <c r="C142" s="181"/>
      <c r="D142" s="182"/>
      <c r="E142" s="183" t="s">
        <v>61</v>
      </c>
      <c r="F142" s="184"/>
      <c r="G142" s="185"/>
    </row>
    <row r="143" spans="2:7" ht="16.5" thickBot="1" x14ac:dyDescent="0.3">
      <c r="C143" s="19" t="s">
        <v>0</v>
      </c>
      <c r="D143" s="33" t="s">
        <v>1</v>
      </c>
      <c r="E143" s="21" t="s">
        <v>42</v>
      </c>
      <c r="F143" s="21" t="s">
        <v>43</v>
      </c>
      <c r="G143" s="21" t="s">
        <v>44</v>
      </c>
    </row>
    <row r="144" spans="2:7" x14ac:dyDescent="0.25">
      <c r="C144" s="32" t="s">
        <v>4</v>
      </c>
      <c r="D144" s="34" t="str">
        <f>VLOOKUP(R_Gramms_Apple_Cake[[#This Row],[Ingrédients]],T_ingrédients[],3,0)</f>
        <v>g</v>
      </c>
      <c r="E144" s="44"/>
      <c r="F144" s="44"/>
      <c r="G144" s="45"/>
    </row>
    <row r="145" spans="2:14" x14ac:dyDescent="0.25">
      <c r="C145" s="35" t="s">
        <v>15</v>
      </c>
      <c r="D145" s="34" t="str">
        <f>VLOOKUP(R_Gramms_Apple_Cake[[#This Row],[Ingrédients]],T_ingrédients[],3,0)</f>
        <v>g</v>
      </c>
      <c r="E145" s="46"/>
      <c r="F145" s="46"/>
      <c r="G145" s="47"/>
    </row>
    <row r="146" spans="2:14" x14ac:dyDescent="0.25">
      <c r="B146" s="15"/>
      <c r="C146" s="35" t="s">
        <v>8</v>
      </c>
      <c r="D146" s="34" t="str">
        <f>VLOOKUP(R_Gramms_Apple_Cake[[#This Row],[Ingrédients]],T_ingrédients[],3,0)</f>
        <v>g</v>
      </c>
      <c r="E146" s="46"/>
      <c r="F146" s="46"/>
      <c r="G146" s="47"/>
    </row>
    <row r="147" spans="2:14" x14ac:dyDescent="0.25">
      <c r="B147" s="15"/>
      <c r="C147" s="35" t="s">
        <v>165</v>
      </c>
      <c r="D147" s="34" t="str">
        <f>VLOOKUP(R_Gramms_Apple_Cake[[#This Row],[Ingrédients]],T_ingrédients[],3,0)</f>
        <v>g</v>
      </c>
      <c r="E147" s="46"/>
      <c r="F147" s="46"/>
      <c r="G147" s="47"/>
    </row>
    <row r="148" spans="2:14" x14ac:dyDescent="0.25">
      <c r="B148" s="15"/>
      <c r="C148" s="35" t="s">
        <v>21</v>
      </c>
      <c r="D148" s="34" t="str">
        <f>VLOOKUP(R_Gramms_Apple_Cake[[#This Row],[Ingrédients]],T_ingrédients[],3,0)</f>
        <v>g</v>
      </c>
      <c r="E148" s="46"/>
      <c r="F148" s="46"/>
      <c r="G148" s="47"/>
    </row>
    <row r="149" spans="2:14" x14ac:dyDescent="0.25">
      <c r="B149" s="15"/>
      <c r="C149" s="35" t="s">
        <v>189</v>
      </c>
      <c r="D149" s="34" t="str">
        <f>VLOOKUP(R_Gramms_Apple_Cake[[#This Row],[Ingrédients]],T_ingrédients[],3,0)</f>
        <v>g</v>
      </c>
      <c r="E149" s="46"/>
      <c r="F149" s="46"/>
      <c r="G149" s="47"/>
    </row>
    <row r="150" spans="2:14" x14ac:dyDescent="0.25">
      <c r="C150" s="35" t="s">
        <v>16</v>
      </c>
      <c r="D150" s="34" t="str">
        <f>VLOOKUP(R_Gramms_Apple_Cake[[#This Row],[Ingrédients]],T_ingrédients[],3,0)</f>
        <v>g</v>
      </c>
      <c r="E150" s="146"/>
      <c r="F150" s="146"/>
      <c r="G150" s="147"/>
    </row>
    <row r="151" spans="2:14" x14ac:dyDescent="0.25">
      <c r="C151" s="35" t="s">
        <v>167</v>
      </c>
      <c r="D151" s="34" t="str">
        <f>VLOOKUP(R_Gramms_Apple_Cake[[#This Row],[Ingrédients]],T_ingrédients[],3,0)</f>
        <v>g</v>
      </c>
      <c r="E151" s="146"/>
      <c r="F151" s="146"/>
      <c r="G151" s="147"/>
    </row>
    <row r="152" spans="2:14" ht="15.75" thickBot="1" x14ac:dyDescent="0.3">
      <c r="C152" s="35" t="s">
        <v>178</v>
      </c>
      <c r="D152" s="34" t="str">
        <f>VLOOKUP(R_Gramms_Apple_Cake[[#This Row],[Ingrédients]],T_ingrédients[],3,0)</f>
        <v>g</v>
      </c>
      <c r="E152" s="146"/>
      <c r="F152" s="146"/>
      <c r="G152" s="147"/>
    </row>
    <row r="153" spans="2:14" x14ac:dyDescent="0.25">
      <c r="B153" s="194" t="s">
        <v>276</v>
      </c>
      <c r="C153" s="35" t="s">
        <v>5</v>
      </c>
      <c r="D153" s="34" t="str">
        <f>VLOOKUP(R_Gramms_Apple_Cake[[#This Row],[Ingrédients]],T_ingrédients[],3,0)</f>
        <v>g</v>
      </c>
      <c r="E153" s="146"/>
      <c r="F153" s="146"/>
      <c r="G153" s="147"/>
    </row>
    <row r="154" spans="2:14" ht="15.75" thickBot="1" x14ac:dyDescent="0.3">
      <c r="B154" s="191"/>
      <c r="C154" s="35" t="s">
        <v>187</v>
      </c>
      <c r="D154" s="34" t="str">
        <f>VLOOKUP(R_Gramms_Apple_Cake[[#This Row],[Ingrédients]],T_ingrédients[],3,0)</f>
        <v>g</v>
      </c>
      <c r="E154" s="146"/>
      <c r="F154" s="146"/>
      <c r="G154" s="147"/>
    </row>
    <row r="155" spans="2:14" ht="18" thickBot="1" x14ac:dyDescent="0.3">
      <c r="B155" s="3"/>
      <c r="C155" s="150" t="s">
        <v>39</v>
      </c>
      <c r="D155" s="27" t="s">
        <v>12</v>
      </c>
      <c r="E155" s="28">
        <f>SUBTOTAL(109,R_Gramms_Apple_Cake[16])</f>
        <v>0</v>
      </c>
      <c r="F155" s="28">
        <f>SUBTOTAL(109,R_Gramms_Apple_Cake[18])</f>
        <v>0</v>
      </c>
      <c r="G155" s="29">
        <f>SUBTOTAL(109,R_Gramms_Apple_Cake[26])</f>
        <v>0</v>
      </c>
      <c r="J155" s="176" t="s">
        <v>83</v>
      </c>
      <c r="K155" s="177"/>
      <c r="L155" s="177"/>
      <c r="M155" s="177"/>
      <c r="N155" s="178"/>
    </row>
    <row r="156" spans="2:14" ht="15.75" thickBot="1" x14ac:dyDescent="0.3">
      <c r="B156" s="3"/>
      <c r="J156" s="181"/>
      <c r="K156" s="182"/>
      <c r="L156" s="183" t="s">
        <v>61</v>
      </c>
      <c r="M156" s="184"/>
      <c r="N156" s="185"/>
    </row>
    <row r="157" spans="2:14" ht="18" thickBot="1" x14ac:dyDescent="0.3">
      <c r="B157" s="3"/>
      <c r="C157" s="176" t="s">
        <v>82</v>
      </c>
      <c r="D157" s="177"/>
      <c r="E157" s="177"/>
      <c r="F157" s="177"/>
      <c r="G157" s="178"/>
      <c r="I157" s="3"/>
      <c r="J157" s="19" t="s">
        <v>0</v>
      </c>
      <c r="K157" s="33" t="s">
        <v>1</v>
      </c>
      <c r="L157" s="21" t="s">
        <v>42</v>
      </c>
      <c r="M157" s="21" t="s">
        <v>43</v>
      </c>
      <c r="N157" s="21" t="s">
        <v>44</v>
      </c>
    </row>
    <row r="158" spans="2:14" ht="15.75" thickBot="1" x14ac:dyDescent="0.3">
      <c r="C158" s="181"/>
      <c r="D158" s="182"/>
      <c r="E158" s="183" t="s">
        <v>61</v>
      </c>
      <c r="F158" s="184"/>
      <c r="G158" s="185"/>
      <c r="J158" s="32" t="s">
        <v>4</v>
      </c>
      <c r="K158" s="34" t="str">
        <f>VLOOKUP(R_Gâteau_SavoieV[[#This Row],[Ingrédients]],T_ingrédients[],3,0)</f>
        <v>g</v>
      </c>
      <c r="L158" s="44"/>
      <c r="M158" s="44"/>
      <c r="N158" s="45"/>
    </row>
    <row r="159" spans="2:14" ht="16.5" thickBot="1" x14ac:dyDescent="0.3">
      <c r="C159" s="19" t="s">
        <v>0</v>
      </c>
      <c r="D159" s="33" t="s">
        <v>1</v>
      </c>
      <c r="E159" s="21" t="s">
        <v>42</v>
      </c>
      <c r="F159" s="21" t="s">
        <v>43</v>
      </c>
      <c r="G159" s="21" t="s">
        <v>44</v>
      </c>
      <c r="J159" s="35" t="s">
        <v>228</v>
      </c>
      <c r="K159" s="34" t="str">
        <f>VLOOKUP(R_Gâteau_SavoieV[[#This Row],[Ingrédients]],T_ingrédients[],3,0)</f>
        <v>g</v>
      </c>
      <c r="L159" s="46"/>
      <c r="M159" s="46"/>
      <c r="N159" s="47"/>
    </row>
    <row r="160" spans="2:14" x14ac:dyDescent="0.25">
      <c r="C160" s="32" t="s">
        <v>4</v>
      </c>
      <c r="D160" s="34" t="str">
        <f>VLOOKUP(R_Gâteau_SavoieFT[[#This Row],[Ingrédients]],T_ingrédients[],3,0)</f>
        <v>g</v>
      </c>
      <c r="E160" s="44"/>
      <c r="F160" s="44"/>
      <c r="G160" s="45"/>
      <c r="J160" s="35" t="s">
        <v>6</v>
      </c>
      <c r="K160" s="34" t="str">
        <f>VLOOKUP(R_Gâteau_SavoieV[[#This Row],[Ingrédients]],T_ingrédients[],3,0)</f>
        <v>g</v>
      </c>
      <c r="L160" s="46"/>
      <c r="M160" s="46"/>
      <c r="N160" s="47"/>
    </row>
    <row r="161" spans="2:14" x14ac:dyDescent="0.25">
      <c r="C161" s="35" t="s">
        <v>228</v>
      </c>
      <c r="D161" s="34" t="str">
        <f>VLOOKUP(R_Gâteau_SavoieFT[[#This Row],[Ingrédients]],T_ingrédients[],3,0)</f>
        <v>g</v>
      </c>
      <c r="E161" s="46"/>
      <c r="F161" s="46"/>
      <c r="G161" s="47"/>
      <c r="J161" s="35" t="s">
        <v>21</v>
      </c>
      <c r="K161" s="34" t="str">
        <f>VLOOKUP(R_Gâteau_SavoieV[[#This Row],[Ingrédients]],T_ingrédients[],3,0)</f>
        <v>g</v>
      </c>
      <c r="L161" s="46"/>
      <c r="M161" s="46"/>
      <c r="N161" s="47"/>
    </row>
    <row r="162" spans="2:14" x14ac:dyDescent="0.25">
      <c r="C162" s="35" t="s">
        <v>6</v>
      </c>
      <c r="D162" s="34" t="str">
        <f>VLOOKUP(R_Gâteau_SavoieFT[[#This Row],[Ingrédients]],T_ingrédients[],3,0)</f>
        <v>g</v>
      </c>
      <c r="E162" s="46"/>
      <c r="F162" s="46"/>
      <c r="G162" s="47"/>
      <c r="J162" s="35" t="s">
        <v>6</v>
      </c>
      <c r="K162" s="34" t="str">
        <f>VLOOKUP(R_Gâteau_SavoieV[[#This Row],[Ingrédients]],T_ingrédients[],3,0)</f>
        <v>g</v>
      </c>
      <c r="L162" s="46"/>
      <c r="M162" s="46"/>
      <c r="N162" s="47"/>
    </row>
    <row r="163" spans="2:14" x14ac:dyDescent="0.25">
      <c r="C163" s="35" t="s">
        <v>21</v>
      </c>
      <c r="D163" s="34" t="str">
        <f>VLOOKUP(R_Gâteau_SavoieFT[[#This Row],[Ingrédients]],T_ingrédients[],3,0)</f>
        <v>g</v>
      </c>
      <c r="E163" s="46"/>
      <c r="F163" s="46"/>
      <c r="G163" s="47"/>
      <c r="J163" s="35" t="s">
        <v>6</v>
      </c>
      <c r="K163" s="34" t="str">
        <f>VLOOKUP(R_Gâteau_SavoieV[[#This Row],[Ingrédients]],T_ingrédients[],3,0)</f>
        <v>g</v>
      </c>
      <c r="L163" s="46"/>
      <c r="M163" s="46"/>
      <c r="N163" s="47"/>
    </row>
    <row r="164" spans="2:14" x14ac:dyDescent="0.25">
      <c r="C164" s="35" t="s">
        <v>6</v>
      </c>
      <c r="D164" s="34" t="str">
        <f>VLOOKUP(R_Gâteau_SavoieFT[[#This Row],[Ingrédients]],T_ingrédients[],3,0)</f>
        <v>g</v>
      </c>
      <c r="E164" s="46"/>
      <c r="F164" s="46"/>
      <c r="G164" s="47"/>
      <c r="J164" s="35" t="s">
        <v>233</v>
      </c>
      <c r="K164" s="34" t="str">
        <f>VLOOKUP(R_Gâteau_SavoieV[[#This Row],[Ingrédients]],T_ingrédients[],3,0)</f>
        <v>gousse</v>
      </c>
      <c r="L164" s="146"/>
      <c r="M164" s="146"/>
      <c r="N164" s="147"/>
    </row>
    <row r="165" spans="2:14" ht="15.75" thickBot="1" x14ac:dyDescent="0.3">
      <c r="C165" s="35" t="s">
        <v>6</v>
      </c>
      <c r="D165" s="34" t="str">
        <f>VLOOKUP(R_Gâteau_SavoieFT[[#This Row],[Ingrédients]],T_ingrédients[],3,0)</f>
        <v>g</v>
      </c>
      <c r="E165" s="46"/>
      <c r="F165" s="46"/>
      <c r="G165" s="47"/>
      <c r="J165" s="35" t="s">
        <v>184</v>
      </c>
      <c r="K165" s="34" t="str">
        <f>VLOOKUP(R_Gâteau_SavoieV[[#This Row],[Ingrédients]],T_ingrédients[],3,0)</f>
        <v>g</v>
      </c>
      <c r="L165" s="146"/>
      <c r="M165" s="146"/>
      <c r="N165" s="147"/>
    </row>
    <row r="166" spans="2:14" ht="16.5" thickBot="1" x14ac:dyDescent="0.3">
      <c r="C166" s="35" t="s">
        <v>163</v>
      </c>
      <c r="D166" s="34" t="str">
        <f>VLOOKUP(R_Gâteau_SavoieFT[[#This Row],[Ingrédients]],T_ingrédients[],3,0)</f>
        <v>g</v>
      </c>
      <c r="E166" s="146"/>
      <c r="F166" s="146"/>
      <c r="G166" s="147"/>
      <c r="J166" s="150" t="s">
        <v>39</v>
      </c>
      <c r="K166" s="27" t="s">
        <v>12</v>
      </c>
      <c r="L166" s="28">
        <f>SUBTOTAL(109,R_Gâteau_SavoieV[16])</f>
        <v>0</v>
      </c>
      <c r="M166" s="28">
        <f>SUBTOTAL(109,R_Gâteau_SavoieV[18])</f>
        <v>0</v>
      </c>
      <c r="N166" s="29">
        <f>SUBTOTAL(109,R_Gâteau_SavoieV[26])</f>
        <v>0</v>
      </c>
    </row>
    <row r="167" spans="2:14" ht="15.75" thickBot="1" x14ac:dyDescent="0.3">
      <c r="B167" s="123" t="s">
        <v>259</v>
      </c>
      <c r="C167" s="35" t="s">
        <v>184</v>
      </c>
      <c r="D167" s="34" t="str">
        <f>VLOOKUP(R_Gâteau_SavoieFT[[#This Row],[Ingrédients]],T_ingrédients[],3,0)</f>
        <v>g</v>
      </c>
      <c r="E167" s="146"/>
      <c r="F167" s="146"/>
      <c r="G167" s="147"/>
      <c r="I167" s="123" t="s">
        <v>259</v>
      </c>
    </row>
    <row r="168" spans="2:14" ht="16.5" thickBot="1" x14ac:dyDescent="0.3">
      <c r="C168" s="150" t="s">
        <v>39</v>
      </c>
      <c r="D168" s="27" t="s">
        <v>12</v>
      </c>
      <c r="E168" s="28">
        <f>SUBTOTAL(109,R_Gâteau_SavoieFT[16])</f>
        <v>0</v>
      </c>
      <c r="F168" s="28">
        <f>SUBTOTAL(109,R_Gâteau_SavoieFT[18])</f>
        <v>0</v>
      </c>
      <c r="G168" s="29">
        <f>SUBTOTAL(109,R_Gâteau_SavoieFT[26])</f>
        <v>0</v>
      </c>
    </row>
  </sheetData>
  <mergeCells count="45">
    <mergeCell ref="C2:G2"/>
    <mergeCell ref="C3:D3"/>
    <mergeCell ref="E3:G3"/>
    <mergeCell ref="J2:N2"/>
    <mergeCell ref="J3:K3"/>
    <mergeCell ref="L3:N3"/>
    <mergeCell ref="C16:G16"/>
    <mergeCell ref="C17:D17"/>
    <mergeCell ref="E17:G17"/>
    <mergeCell ref="J16:N16"/>
    <mergeCell ref="J17:K17"/>
    <mergeCell ref="L17:N17"/>
    <mergeCell ref="B65:B69"/>
    <mergeCell ref="C30:G30"/>
    <mergeCell ref="C31:D31"/>
    <mergeCell ref="E31:G31"/>
    <mergeCell ref="C46:G46"/>
    <mergeCell ref="C47:D47"/>
    <mergeCell ref="E47:G47"/>
    <mergeCell ref="B113:B117"/>
    <mergeCell ref="B111:B112"/>
    <mergeCell ref="C86:G86"/>
    <mergeCell ref="C87:D87"/>
    <mergeCell ref="E87:G87"/>
    <mergeCell ref="C101:G101"/>
    <mergeCell ref="B133:B135"/>
    <mergeCell ref="C141:G141"/>
    <mergeCell ref="C142:D142"/>
    <mergeCell ref="E142:G142"/>
    <mergeCell ref="C121:G121"/>
    <mergeCell ref="C122:D122"/>
    <mergeCell ref="E122:G122"/>
    <mergeCell ref="B153:B154"/>
    <mergeCell ref="C157:G157"/>
    <mergeCell ref="C158:D158"/>
    <mergeCell ref="E158:G158"/>
    <mergeCell ref="B136:B137"/>
    <mergeCell ref="J155:N155"/>
    <mergeCell ref="J156:K156"/>
    <mergeCell ref="L156:N156"/>
    <mergeCell ref="C73:G73"/>
    <mergeCell ref="C74:D74"/>
    <mergeCell ref="E74:G74"/>
    <mergeCell ref="C102:D102"/>
    <mergeCell ref="E102:G102"/>
  </mergeCells>
  <dataValidations count="1">
    <dataValidation type="list" allowBlank="1" showInputMessage="1" sqref="C5:C12 J5:J11 C19:C26 J19:J26 C33:C42 C49:C69 C89:C97 C104:C117 C124:C137 C144:C154 C160:C167 J158:J165 C76:C82" xr:uid="{00000000-0002-0000-0500-000000000000}">
      <formula1>L_ingrédients</formula1>
    </dataValidation>
  </dataValidations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1:G334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3" max="3" width="40.7109375" customWidth="1"/>
    <col min="4" max="7" width="11.7109375" customWidth="1"/>
    <col min="10" max="10" width="40.7109375" customWidth="1"/>
    <col min="11" max="14" width="11.7109375" customWidth="1"/>
  </cols>
  <sheetData>
    <row r="1" spans="3:7" ht="16.149999999999999" customHeight="1" thickBot="1" x14ac:dyDescent="0.3"/>
    <row r="2" spans="3:7" ht="18" thickBot="1" x14ac:dyDescent="0.3">
      <c r="C2" s="176" t="s">
        <v>141</v>
      </c>
      <c r="D2" s="177"/>
      <c r="E2" s="177"/>
      <c r="F2" s="177"/>
      <c r="G2" s="178"/>
    </row>
    <row r="3" spans="3:7" ht="15.75" thickBot="1" x14ac:dyDescent="0.3">
      <c r="C3" s="181"/>
      <c r="D3" s="182"/>
      <c r="E3" s="183" t="s">
        <v>13</v>
      </c>
      <c r="F3" s="184"/>
      <c r="G3" s="185"/>
    </row>
    <row r="4" spans="3:7" ht="16.5" thickBot="1" x14ac:dyDescent="0.3">
      <c r="C4" s="19" t="s">
        <v>0</v>
      </c>
      <c r="D4" s="33" t="s">
        <v>1</v>
      </c>
      <c r="E4" s="21" t="s">
        <v>40</v>
      </c>
      <c r="F4" s="21" t="s">
        <v>41</v>
      </c>
      <c r="G4" s="21" t="s">
        <v>240</v>
      </c>
    </row>
    <row r="5" spans="3:7" x14ac:dyDescent="0.25">
      <c r="C5" s="32" t="s">
        <v>5</v>
      </c>
      <c r="D5" s="34" t="str">
        <f>VLOOKUP(R_Brownies_Fruits_Coque[[#This Row],[Ingrédients]],T_ingrédients[],3,0)</f>
        <v>g</v>
      </c>
      <c r="E5" s="40"/>
      <c r="F5" s="41"/>
      <c r="G5" s="40"/>
    </row>
    <row r="6" spans="3:7" x14ac:dyDescent="0.25">
      <c r="C6" s="2" t="s">
        <v>15</v>
      </c>
      <c r="D6" s="34" t="str">
        <f>VLOOKUP(R_Brownies_Fruits_Coque[[#This Row],[Ingrédients]],T_ingrédients[],3,0)</f>
        <v>g</v>
      </c>
      <c r="E6" s="40"/>
      <c r="F6" s="41"/>
      <c r="G6" s="40"/>
    </row>
    <row r="7" spans="3:7" x14ac:dyDescent="0.25">
      <c r="C7" s="2" t="s">
        <v>8</v>
      </c>
      <c r="D7" s="34" t="str">
        <f>VLOOKUP(R_Brownies_Fruits_Coque[[#This Row],[Ingrédients]],T_ingrédients[],3,0)</f>
        <v>g</v>
      </c>
      <c r="E7" s="40"/>
      <c r="F7" s="41"/>
      <c r="G7" s="40"/>
    </row>
    <row r="8" spans="3:7" x14ac:dyDescent="0.25">
      <c r="C8" s="2" t="s">
        <v>16</v>
      </c>
      <c r="D8" s="34" t="str">
        <f>VLOOKUP(R_Brownies_Fruits_Coque[[#This Row],[Ingrédients]],T_ingrédients[],3,0)</f>
        <v>g</v>
      </c>
      <c r="E8" s="40"/>
      <c r="F8" s="41"/>
      <c r="G8" s="40"/>
    </row>
    <row r="9" spans="3:7" x14ac:dyDescent="0.25">
      <c r="C9" s="2" t="s">
        <v>277</v>
      </c>
      <c r="D9" s="34" t="str">
        <f>VLOOKUP(R_Brownies_Fruits_Coque[[#This Row],[Ingrédients]],T_ingrédients[],3,0)</f>
        <v>g</v>
      </c>
      <c r="E9" s="40"/>
      <c r="F9" s="41"/>
      <c r="G9" s="40"/>
    </row>
    <row r="10" spans="3:7" ht="30" x14ac:dyDescent="0.25">
      <c r="C10" s="2" t="s">
        <v>198</v>
      </c>
      <c r="D10" s="34" t="str">
        <f>VLOOKUP(R_Brownies_Fruits_Coque[[#This Row],[Ingrédients]],T_ingrédients[],3,0)</f>
        <v>g</v>
      </c>
      <c r="E10" s="40"/>
      <c r="F10" s="41"/>
      <c r="G10" s="40"/>
    </row>
    <row r="11" spans="3:7" x14ac:dyDescent="0.25">
      <c r="C11" s="2" t="s">
        <v>19</v>
      </c>
      <c r="D11" s="34" t="str">
        <f>VLOOKUP(R_Brownies_Fruits_Coque[[#This Row],[Ingrédients]],T_ingrédients[],3,0)</f>
        <v>g</v>
      </c>
      <c r="E11" s="40"/>
      <c r="F11" s="41"/>
      <c r="G11" s="40"/>
    </row>
    <row r="12" spans="3:7" x14ac:dyDescent="0.25">
      <c r="C12" s="2" t="s">
        <v>219</v>
      </c>
      <c r="D12" s="34" t="str">
        <f>VLOOKUP(R_Brownies_Fruits_Coque[[#This Row],[Ingrédients]],T_ingrédients[],3,0)</f>
        <v>g</v>
      </c>
      <c r="E12" s="40"/>
      <c r="F12" s="41"/>
      <c r="G12" s="40"/>
    </row>
    <row r="13" spans="3:7" x14ac:dyDescent="0.25">
      <c r="C13" s="2" t="s">
        <v>174</v>
      </c>
      <c r="D13" s="34" t="str">
        <f>VLOOKUP(R_Brownies_Fruits_Coque[[#This Row],[Ingrédients]],T_ingrédients[],3,0)</f>
        <v>g</v>
      </c>
      <c r="E13" s="40"/>
      <c r="F13" s="41"/>
      <c r="G13" s="40"/>
    </row>
    <row r="14" spans="3:7" x14ac:dyDescent="0.25">
      <c r="C14" s="2" t="s">
        <v>219</v>
      </c>
      <c r="D14" s="34" t="str">
        <f>VLOOKUP(R_Brownies_Fruits_Coque[[#This Row],[Ingrédients]],T_ingrédients[],3,0)</f>
        <v>g</v>
      </c>
      <c r="E14" s="40"/>
      <c r="F14" s="41"/>
      <c r="G14" s="40"/>
    </row>
    <row r="15" spans="3:7" ht="15.75" thickBot="1" x14ac:dyDescent="0.3">
      <c r="C15" s="2" t="s">
        <v>174</v>
      </c>
      <c r="D15" s="34" t="str">
        <f>VLOOKUP(R_Brownies_Fruits_Coque[[#This Row],[Ingrédients]],T_ingrédients[],3,0)</f>
        <v>g</v>
      </c>
      <c r="E15" s="40"/>
      <c r="F15" s="41"/>
      <c r="G15" s="40"/>
    </row>
    <row r="16" spans="3:7" ht="16.5" thickBot="1" x14ac:dyDescent="0.3">
      <c r="C16" s="26" t="s">
        <v>39</v>
      </c>
      <c r="D16" s="27" t="s">
        <v>12</v>
      </c>
      <c r="E16" s="28">
        <f>SUBTOTAL(109,R_Brownies_Fruits_Coque[6])</f>
        <v>0</v>
      </c>
      <c r="F16" s="28">
        <f>SUBTOTAL(109,R_Brownies_Fruits_Coque[12])</f>
        <v>0</v>
      </c>
      <c r="G16" s="29">
        <f>SUBTOTAL(109,R_Brownies_Fruits_Coque[24])</f>
        <v>0</v>
      </c>
    </row>
    <row r="17" spans="3:7" ht="15.75" x14ac:dyDescent="0.25">
      <c r="C17" s="100"/>
      <c r="D17" s="101"/>
      <c r="E17" s="102"/>
      <c r="F17" s="102"/>
      <c r="G17" s="102"/>
    </row>
    <row r="18" spans="3:7" ht="16.5" thickBot="1" x14ac:dyDescent="0.3">
      <c r="C18" s="100"/>
      <c r="D18" s="101"/>
      <c r="E18" s="102"/>
      <c r="F18" s="102"/>
      <c r="G18" s="102"/>
    </row>
    <row r="19" spans="3:7" ht="18" thickBot="1" x14ac:dyDescent="0.3">
      <c r="C19" s="176" t="s">
        <v>296</v>
      </c>
      <c r="D19" s="177"/>
      <c r="E19" s="177"/>
      <c r="F19" s="177"/>
      <c r="G19" s="178"/>
    </row>
    <row r="20" spans="3:7" ht="15.75" thickBot="1" x14ac:dyDescent="0.3">
      <c r="C20" s="181"/>
      <c r="D20" s="182"/>
      <c r="E20" s="183" t="s">
        <v>13</v>
      </c>
      <c r="F20" s="184"/>
      <c r="G20" s="185"/>
    </row>
    <row r="21" spans="3:7" ht="16.5" thickBot="1" x14ac:dyDescent="0.3">
      <c r="C21" s="19" t="s">
        <v>0</v>
      </c>
      <c r="D21" s="33" t="s">
        <v>1</v>
      </c>
      <c r="E21" s="21" t="s">
        <v>40</v>
      </c>
      <c r="F21" s="21" t="s">
        <v>41</v>
      </c>
      <c r="G21" s="21" t="s">
        <v>240</v>
      </c>
    </row>
    <row r="22" spans="3:7" x14ac:dyDescent="0.25">
      <c r="C22" s="32" t="s">
        <v>184</v>
      </c>
      <c r="D22" s="34" t="str">
        <f>VLOOKUP(R_FinanciersNC[[#This Row],[Ingrédients]],T_ingrédients[],3,0)</f>
        <v>g</v>
      </c>
      <c r="E22" s="40"/>
      <c r="F22" s="41"/>
      <c r="G22" s="40"/>
    </row>
    <row r="23" spans="3:7" x14ac:dyDescent="0.25">
      <c r="C23" s="2" t="s">
        <v>21</v>
      </c>
      <c r="D23" s="34" t="str">
        <f>VLOOKUP(R_FinanciersNC[[#This Row],[Ingrédients]],T_ingrédients[],3,0)</f>
        <v>g</v>
      </c>
      <c r="E23" s="40"/>
      <c r="F23" s="41"/>
      <c r="G23" s="40"/>
    </row>
    <row r="24" spans="3:7" x14ac:dyDescent="0.25">
      <c r="C24" s="2" t="s">
        <v>10</v>
      </c>
      <c r="D24" s="34" t="str">
        <f>VLOOKUP(R_FinanciersNC[[#This Row],[Ingrédients]],T_ingrédients[],3,0)</f>
        <v>g</v>
      </c>
      <c r="E24" s="40"/>
      <c r="F24" s="41"/>
      <c r="G24" s="40"/>
    </row>
    <row r="25" spans="3:7" x14ac:dyDescent="0.25">
      <c r="C25" s="2" t="s">
        <v>16</v>
      </c>
      <c r="D25" s="34" t="str">
        <f>VLOOKUP(R_FinanciersNC[[#This Row],[Ingrédients]],T_ingrédients[],3,0)</f>
        <v>g</v>
      </c>
      <c r="E25" s="40"/>
      <c r="F25" s="41"/>
      <c r="G25" s="40"/>
    </row>
    <row r="26" spans="3:7" x14ac:dyDescent="0.25">
      <c r="C26" s="2" t="s">
        <v>189</v>
      </c>
      <c r="D26" s="34" t="str">
        <f>VLOOKUP(R_FinanciersNC[[#This Row],[Ingrédients]],T_ingrédients[],3,0)</f>
        <v>g</v>
      </c>
      <c r="E26" s="40"/>
      <c r="F26" s="41"/>
      <c r="G26" s="40"/>
    </row>
    <row r="27" spans="3:7" x14ac:dyDescent="0.25">
      <c r="C27" s="2" t="s">
        <v>152</v>
      </c>
      <c r="D27" s="34" t="str">
        <f>VLOOKUP(R_FinanciersNC[[#This Row],[Ingrédients]],T_ingrédients[],3,0)</f>
        <v>g</v>
      </c>
      <c r="E27" s="40"/>
      <c r="F27" s="41"/>
      <c r="G27" s="40"/>
    </row>
    <row r="28" spans="3:7" x14ac:dyDescent="0.25">
      <c r="C28" s="2" t="s">
        <v>228</v>
      </c>
      <c r="D28" s="34" t="str">
        <f>VLOOKUP(R_FinanciersNC[[#This Row],[Ingrédients]],T_ingrédients[],3,0)</f>
        <v>g</v>
      </c>
      <c r="E28" s="40"/>
      <c r="F28" s="41"/>
      <c r="G28" s="40"/>
    </row>
    <row r="29" spans="3:7" x14ac:dyDescent="0.25">
      <c r="C29" s="2" t="s">
        <v>4</v>
      </c>
      <c r="D29" s="34" t="str">
        <f>VLOOKUP(R_FinanciersNC[[#This Row],[Ingrédients]],T_ingrédients[],3,0)</f>
        <v>g</v>
      </c>
      <c r="E29" s="40"/>
      <c r="F29" s="41"/>
      <c r="G29" s="40"/>
    </row>
    <row r="30" spans="3:7" x14ac:dyDescent="0.25">
      <c r="C30" s="2" t="s">
        <v>298</v>
      </c>
      <c r="D30" s="34" t="str">
        <f>VLOOKUP(R_FinanciersNC[[#This Row],[Ingrédients]],T_ingrédients[],3,0)</f>
        <v>g</v>
      </c>
      <c r="E30" s="40"/>
      <c r="F30" s="41"/>
      <c r="G30" s="40"/>
    </row>
    <row r="31" spans="3:7" ht="15.75" thickBot="1" x14ac:dyDescent="0.3">
      <c r="C31" s="2" t="s">
        <v>174</v>
      </c>
      <c r="D31" s="34" t="str">
        <f>VLOOKUP(R_FinanciersNC[[#This Row],[Ingrédients]],T_ingrédients[],3,0)</f>
        <v>g</v>
      </c>
      <c r="E31" s="40"/>
      <c r="F31" s="41"/>
      <c r="G31" s="40"/>
    </row>
    <row r="32" spans="3:7" ht="16.5" thickBot="1" x14ac:dyDescent="0.3">
      <c r="C32" s="26" t="s">
        <v>39</v>
      </c>
      <c r="D32" s="27" t="s">
        <v>12</v>
      </c>
      <c r="E32" s="28">
        <f>SUBTOTAL(109,R_FinanciersNC[6])</f>
        <v>0</v>
      </c>
      <c r="F32" s="28">
        <f>SUBTOTAL(109,R_FinanciersNC[12])</f>
        <v>0</v>
      </c>
      <c r="G32" s="29">
        <f>SUBTOTAL(109,R_FinanciersNC[24])</f>
        <v>0</v>
      </c>
    </row>
    <row r="34" spans="2:7" ht="15.75" thickBot="1" x14ac:dyDescent="0.3"/>
    <row r="35" spans="2:7" ht="18" thickBot="1" x14ac:dyDescent="0.3">
      <c r="C35" s="176" t="s">
        <v>279</v>
      </c>
      <c r="D35" s="177"/>
      <c r="E35" s="177"/>
      <c r="F35" s="177"/>
      <c r="G35" s="178"/>
    </row>
    <row r="36" spans="2:7" ht="15.75" thickBot="1" x14ac:dyDescent="0.3">
      <c r="C36" s="181"/>
      <c r="D36" s="182"/>
      <c r="E36" s="183" t="s">
        <v>13</v>
      </c>
      <c r="F36" s="184"/>
      <c r="G36" s="185"/>
    </row>
    <row r="37" spans="2:7" ht="16.5" thickBot="1" x14ac:dyDescent="0.3">
      <c r="C37" s="19" t="s">
        <v>0</v>
      </c>
      <c r="D37" s="33" t="s">
        <v>1</v>
      </c>
      <c r="E37" s="21" t="s">
        <v>40</v>
      </c>
      <c r="F37" s="21" t="s">
        <v>41</v>
      </c>
      <c r="G37" s="21" t="s">
        <v>240</v>
      </c>
    </row>
    <row r="38" spans="2:7" x14ac:dyDescent="0.25">
      <c r="C38" s="32" t="s">
        <v>5</v>
      </c>
      <c r="D38" s="34" t="str">
        <f>IFERROR(VLOOKUP(R_Fondants_SarrasinCN[[#This Row],[Ingrédients]],T_ingrédients[],3,0),"")</f>
        <v>g</v>
      </c>
      <c r="E38" s="40"/>
      <c r="F38" s="41"/>
      <c r="G38" s="40"/>
    </row>
    <row r="39" spans="2:7" x14ac:dyDescent="0.25">
      <c r="C39" s="2" t="s">
        <v>6</v>
      </c>
      <c r="D39" s="34" t="str">
        <f>IFERROR(VLOOKUP(R_Fondants_SarrasinCN[[#This Row],[Ingrédients]],T_ingrédients[],3,0),"")</f>
        <v>g</v>
      </c>
      <c r="E39" s="40"/>
      <c r="F39" s="41"/>
      <c r="G39" s="40"/>
    </row>
    <row r="40" spans="2:7" x14ac:dyDescent="0.25">
      <c r="C40" s="2" t="s">
        <v>15</v>
      </c>
      <c r="D40" s="34" t="str">
        <f>IFERROR(VLOOKUP(R_Fondants_SarrasinCN[[#This Row],[Ingrédients]],T_ingrédients[],3,0),"")</f>
        <v>g</v>
      </c>
      <c r="E40" s="40"/>
      <c r="F40" s="41"/>
      <c r="G40" s="40"/>
    </row>
    <row r="41" spans="2:7" x14ac:dyDescent="0.25">
      <c r="C41" s="2" t="s">
        <v>8</v>
      </c>
      <c r="D41" s="34" t="str">
        <f>IFERROR(VLOOKUP(R_Fondants_SarrasinCN[[#This Row],[Ingrédients]],T_ingrédients[],3,0),"")</f>
        <v>g</v>
      </c>
      <c r="E41" s="40"/>
      <c r="F41" s="41"/>
      <c r="G41" s="40"/>
    </row>
    <row r="42" spans="2:7" ht="30" x14ac:dyDescent="0.25">
      <c r="C42" s="2" t="s">
        <v>198</v>
      </c>
      <c r="D42" s="34" t="str">
        <f>IFERROR(VLOOKUP(R_Fondants_SarrasinCN[[#This Row],[Ingrédients]],T_ingrédients[],3,0),"")</f>
        <v>g</v>
      </c>
      <c r="E42" s="40"/>
      <c r="F42" s="41"/>
      <c r="G42" s="40"/>
    </row>
    <row r="43" spans="2:7" x14ac:dyDescent="0.25">
      <c r="C43" s="2" t="s">
        <v>162</v>
      </c>
      <c r="D43" s="34" t="str">
        <f>IFERROR(VLOOKUP(R_Fondants_SarrasinCN[[#This Row],[Ingrédients]],T_ingrédients[],3,0),"")</f>
        <v>g</v>
      </c>
      <c r="E43" s="40"/>
      <c r="F43" s="41"/>
      <c r="G43" s="40"/>
    </row>
    <row r="44" spans="2:7" x14ac:dyDescent="0.25">
      <c r="C44" s="2" t="s">
        <v>19</v>
      </c>
      <c r="D44" s="34" t="str">
        <f>IFERROR(VLOOKUP(R_Fondants_SarrasinCN[[#This Row],[Ingrédients]],T_ingrédients[],3,0),"")</f>
        <v>g</v>
      </c>
      <c r="E44" s="40"/>
      <c r="F44" s="41"/>
      <c r="G44" s="40"/>
    </row>
    <row r="45" spans="2:7" ht="15.75" thickBot="1" x14ac:dyDescent="0.3">
      <c r="C45" s="2" t="s">
        <v>16</v>
      </c>
      <c r="D45" s="34" t="str">
        <f>IFERROR(VLOOKUP(R_Fondants_SarrasinCN[[#This Row],[Ingrédients]],T_ingrédients[],3,0),"")</f>
        <v>g</v>
      </c>
      <c r="E45" s="40"/>
      <c r="F45" s="41"/>
      <c r="G45" s="40"/>
    </row>
    <row r="46" spans="2:7" x14ac:dyDescent="0.25">
      <c r="B46" s="179" t="s">
        <v>259</v>
      </c>
      <c r="C46" s="2" t="s">
        <v>241</v>
      </c>
      <c r="D46" s="34" t="str">
        <f>IFERROR(VLOOKUP(R_Fondants_SarrasinCN[[#This Row],[Ingrédients]],T_ingrédients[],3,0),"")</f>
        <v/>
      </c>
      <c r="E46" s="40"/>
      <c r="F46" s="41"/>
      <c r="G46" s="40"/>
    </row>
    <row r="47" spans="2:7" x14ac:dyDescent="0.25">
      <c r="B47" s="188"/>
      <c r="C47" s="2" t="s">
        <v>180</v>
      </c>
      <c r="D47" s="34" t="str">
        <f>IFERROR(VLOOKUP(R_Fondants_SarrasinCN[[#This Row],[Ingrédients]],T_ingrédients[],3,0),"")</f>
        <v>g</v>
      </c>
      <c r="E47" s="40"/>
      <c r="F47" s="41"/>
      <c r="G47" s="40"/>
    </row>
    <row r="48" spans="2:7" ht="15.75" thickBot="1" x14ac:dyDescent="0.3">
      <c r="B48" s="180"/>
      <c r="C48" s="2" t="s">
        <v>16</v>
      </c>
      <c r="D48" s="34" t="str">
        <f>IFERROR(VLOOKUP(R_Fondants_SarrasinCN[[#This Row],[Ingrédients]],T_ingrédients[],3,0),"")</f>
        <v>g</v>
      </c>
      <c r="E48" s="40"/>
      <c r="F48" s="41"/>
      <c r="G48" s="40"/>
    </row>
    <row r="49" spans="3:7" ht="16.5" thickBot="1" x14ac:dyDescent="0.3">
      <c r="C49" s="26" t="s">
        <v>39</v>
      </c>
      <c r="D49" s="27" t="s">
        <v>12</v>
      </c>
      <c r="E49" s="28">
        <f>SUBTOTAL(109,R_Fondants_SarrasinCN[6])</f>
        <v>0</v>
      </c>
      <c r="F49" s="28">
        <f>SUBTOTAL(109,R_Fondants_SarrasinCN[12])</f>
        <v>0</v>
      </c>
      <c r="G49" s="29">
        <f>SUBTOTAL(109,R_Fondants_SarrasinCN[24])</f>
        <v>0</v>
      </c>
    </row>
    <row r="51" spans="3:7" ht="15.75" thickBot="1" x14ac:dyDescent="0.3"/>
    <row r="52" spans="3:7" ht="18" thickBot="1" x14ac:dyDescent="0.3">
      <c r="C52" s="176" t="s">
        <v>88</v>
      </c>
      <c r="D52" s="177"/>
      <c r="E52" s="177"/>
      <c r="F52" s="177"/>
      <c r="G52" s="178"/>
    </row>
    <row r="53" spans="3:7" ht="15.75" thickBot="1" x14ac:dyDescent="0.3">
      <c r="C53" s="181"/>
      <c r="D53" s="182"/>
      <c r="E53" s="183" t="s">
        <v>13</v>
      </c>
      <c r="F53" s="184"/>
      <c r="G53" s="185"/>
    </row>
    <row r="54" spans="3:7" ht="16.5" thickBot="1" x14ac:dyDescent="0.3">
      <c r="C54" s="19" t="s">
        <v>0</v>
      </c>
      <c r="D54" s="33" t="s">
        <v>1</v>
      </c>
      <c r="E54" s="21" t="s">
        <v>40</v>
      </c>
      <c r="F54" s="21" t="s">
        <v>41</v>
      </c>
      <c r="G54" s="21" t="s">
        <v>240</v>
      </c>
    </row>
    <row r="55" spans="3:7" x14ac:dyDescent="0.25">
      <c r="C55" s="32" t="s">
        <v>8</v>
      </c>
      <c r="D55" s="34" t="str">
        <f>VLOOKUP(R_Moelleux_Marrons[[#This Row],[Ingrédients]],T_ingrédients[],3,0)</f>
        <v>g</v>
      </c>
      <c r="E55" s="40"/>
      <c r="F55" s="41"/>
      <c r="G55" s="40"/>
    </row>
    <row r="56" spans="3:7" x14ac:dyDescent="0.25">
      <c r="C56" s="2" t="s">
        <v>6</v>
      </c>
      <c r="D56" s="34" t="str">
        <f>VLOOKUP(R_Moelleux_Marrons[[#This Row],[Ingrédients]],T_ingrédients[],3,0)</f>
        <v>g</v>
      </c>
      <c r="E56" s="40"/>
      <c r="F56" s="41"/>
      <c r="G56" s="40"/>
    </row>
    <row r="57" spans="3:7" x14ac:dyDescent="0.25">
      <c r="C57" s="2" t="s">
        <v>5</v>
      </c>
      <c r="D57" s="34" t="str">
        <f>VLOOKUP(R_Moelleux_Marrons[[#This Row],[Ingrédients]],T_ingrédients[],3,0)</f>
        <v>g</v>
      </c>
      <c r="E57" s="40"/>
      <c r="F57" s="41"/>
      <c r="G57" s="40"/>
    </row>
    <row r="58" spans="3:7" x14ac:dyDescent="0.25">
      <c r="C58" s="2" t="s">
        <v>202</v>
      </c>
      <c r="D58" s="34" t="str">
        <f>VLOOKUP(R_Moelleux_Marrons[[#This Row],[Ingrédients]],T_ingrédients[],3,0)</f>
        <v>g</v>
      </c>
      <c r="E58" s="40"/>
      <c r="F58" s="41"/>
      <c r="G58" s="40"/>
    </row>
    <row r="59" spans="3:7" x14ac:dyDescent="0.25">
      <c r="C59" s="2" t="s">
        <v>21</v>
      </c>
      <c r="D59" s="34" t="str">
        <f>VLOOKUP(R_Moelleux_Marrons[[#This Row],[Ingrédients]],T_ingrédients[],3,0)</f>
        <v>g</v>
      </c>
      <c r="E59" s="40"/>
      <c r="F59" s="41"/>
      <c r="G59" s="40"/>
    </row>
    <row r="60" spans="3:7" x14ac:dyDescent="0.25">
      <c r="C60" s="2" t="s">
        <v>19</v>
      </c>
      <c r="D60" s="34" t="str">
        <f>VLOOKUP(R_Moelleux_Marrons[[#This Row],[Ingrédients]],T_ingrédients[],3,0)</f>
        <v>g</v>
      </c>
      <c r="E60" s="40"/>
      <c r="F60" s="41"/>
      <c r="G60" s="40"/>
    </row>
    <row r="61" spans="3:7" ht="15.75" thickBot="1" x14ac:dyDescent="0.3">
      <c r="C61" s="2" t="s">
        <v>10</v>
      </c>
      <c r="D61" s="34" t="str">
        <f>VLOOKUP(R_Moelleux_Marrons[[#This Row],[Ingrédients]],T_ingrédients[],3,0)</f>
        <v>g</v>
      </c>
      <c r="E61" s="40"/>
      <c r="F61" s="41"/>
      <c r="G61" s="40"/>
    </row>
    <row r="62" spans="3:7" ht="16.5" thickBot="1" x14ac:dyDescent="0.3">
      <c r="C62" s="26" t="s">
        <v>39</v>
      </c>
      <c r="D62" s="27" t="s">
        <v>12</v>
      </c>
      <c r="E62" s="28">
        <f>SUBTOTAL(109,R_Moelleux_Marrons[6])</f>
        <v>0</v>
      </c>
      <c r="F62" s="28">
        <f>SUBTOTAL(109,R_Moelleux_Marrons[12])</f>
        <v>0</v>
      </c>
      <c r="G62" s="29">
        <f>SUBTOTAL(109,R_Moelleux_Marrons[24])</f>
        <v>0</v>
      </c>
    </row>
    <row r="64" spans="3:7" ht="15.75" thickBot="1" x14ac:dyDescent="0.3"/>
    <row r="65" spans="3:7" ht="18" thickBot="1" x14ac:dyDescent="0.3">
      <c r="C65" s="176" t="s">
        <v>60</v>
      </c>
      <c r="D65" s="177"/>
      <c r="E65" s="177"/>
      <c r="F65" s="177"/>
      <c r="G65" s="178"/>
    </row>
    <row r="66" spans="3:7" ht="15.75" thickBot="1" x14ac:dyDescent="0.3">
      <c r="C66" s="181"/>
      <c r="D66" s="182"/>
      <c r="E66" s="183" t="s">
        <v>13</v>
      </c>
      <c r="F66" s="184"/>
      <c r="G66" s="185"/>
    </row>
    <row r="67" spans="3:7" ht="16.5" thickBot="1" x14ac:dyDescent="0.3">
      <c r="C67" s="19" t="s">
        <v>0</v>
      </c>
      <c r="D67" s="33" t="s">
        <v>1</v>
      </c>
      <c r="E67" s="21" t="s">
        <v>40</v>
      </c>
      <c r="F67" s="21" t="s">
        <v>41</v>
      </c>
      <c r="G67" s="21" t="s">
        <v>240</v>
      </c>
    </row>
    <row r="68" spans="3:7" x14ac:dyDescent="0.25">
      <c r="C68" s="32"/>
      <c r="D68" s="34" t="e">
        <f>VLOOKUP(TR_Modèle91639[[#This Row],[Ingrédients]],T_ingrédients[],3,0)</f>
        <v>#N/A</v>
      </c>
      <c r="E68" s="40"/>
      <c r="F68" s="41"/>
      <c r="G68" s="40"/>
    </row>
    <row r="69" spans="3:7" x14ac:dyDescent="0.25">
      <c r="C69" s="2"/>
      <c r="D69" s="34" t="e">
        <f>VLOOKUP(TR_Modèle91639[[#This Row],[Ingrédients]],T_ingrédients[],3,0)</f>
        <v>#N/A</v>
      </c>
      <c r="E69" s="40"/>
      <c r="F69" s="41"/>
      <c r="G69" s="40"/>
    </row>
    <row r="70" spans="3:7" x14ac:dyDescent="0.25">
      <c r="C70" s="2"/>
      <c r="D70" s="34" t="e">
        <f>VLOOKUP(TR_Modèle91639[[#This Row],[Ingrédients]],T_ingrédients[],3,0)</f>
        <v>#N/A</v>
      </c>
      <c r="E70" s="40"/>
      <c r="F70" s="41"/>
      <c r="G70" s="40"/>
    </row>
    <row r="71" spans="3:7" x14ac:dyDescent="0.25">
      <c r="C71" s="2"/>
      <c r="D71" s="34" t="e">
        <f>VLOOKUP(TR_Modèle91639[[#This Row],[Ingrédients]],T_ingrédients[],3,0)</f>
        <v>#N/A</v>
      </c>
      <c r="E71" s="40"/>
      <c r="F71" s="41"/>
      <c r="G71" s="40"/>
    </row>
    <row r="72" spans="3:7" x14ac:dyDescent="0.25">
      <c r="C72" s="2"/>
      <c r="D72" s="34" t="e">
        <f>VLOOKUP(TR_Modèle91639[[#This Row],[Ingrédients]],T_ingrédients[],3,0)</f>
        <v>#N/A</v>
      </c>
      <c r="E72" s="40"/>
      <c r="F72" s="41"/>
      <c r="G72" s="40"/>
    </row>
    <row r="73" spans="3:7" x14ac:dyDescent="0.25">
      <c r="C73" s="2"/>
      <c r="D73" s="34" t="e">
        <f>VLOOKUP(TR_Modèle91639[[#This Row],[Ingrédients]],T_ingrédients[],3,0)</f>
        <v>#N/A</v>
      </c>
      <c r="E73" s="40"/>
      <c r="F73" s="41"/>
      <c r="G73" s="40"/>
    </row>
    <row r="74" spans="3:7" x14ac:dyDescent="0.25">
      <c r="C74" s="2"/>
      <c r="D74" s="34" t="e">
        <f>VLOOKUP(TR_Modèle91639[[#This Row],[Ingrédients]],T_ingrédients[],3,0)</f>
        <v>#N/A</v>
      </c>
      <c r="E74" s="40"/>
      <c r="F74" s="41"/>
      <c r="G74" s="40"/>
    </row>
    <row r="75" spans="3:7" x14ac:dyDescent="0.25">
      <c r="C75" s="2"/>
      <c r="D75" s="34" t="e">
        <f>VLOOKUP(TR_Modèle91639[[#This Row],[Ingrédients]],T_ingrédients[],3,0)</f>
        <v>#N/A</v>
      </c>
      <c r="E75" s="40"/>
      <c r="F75" s="41"/>
      <c r="G75" s="40"/>
    </row>
    <row r="76" spans="3:7" x14ac:dyDescent="0.25">
      <c r="C76" s="2"/>
      <c r="D76" s="34" t="e">
        <f>VLOOKUP(TR_Modèle91639[[#This Row],[Ingrédients]],T_ingrédients[],3,0)</f>
        <v>#N/A</v>
      </c>
      <c r="E76" s="40"/>
      <c r="F76" s="41"/>
      <c r="G76" s="40"/>
    </row>
    <row r="77" spans="3:7" x14ac:dyDescent="0.25">
      <c r="C77" s="2"/>
      <c r="D77" s="34" t="e">
        <f>VLOOKUP(TR_Modèle91639[[#This Row],[Ingrédients]],T_ingrédients[],3,0)</f>
        <v>#N/A</v>
      </c>
      <c r="E77" s="40"/>
      <c r="F77" s="41"/>
      <c r="G77" s="40"/>
    </row>
    <row r="78" spans="3:7" x14ac:dyDescent="0.25">
      <c r="C78" s="2"/>
      <c r="D78" s="34" t="e">
        <f>VLOOKUP(TR_Modèle91639[[#This Row],[Ingrédients]],T_ingrédients[],3,0)</f>
        <v>#N/A</v>
      </c>
      <c r="E78" s="40"/>
      <c r="F78" s="41"/>
      <c r="G78" s="40"/>
    </row>
    <row r="79" spans="3:7" x14ac:dyDescent="0.25">
      <c r="C79" s="2"/>
      <c r="D79" s="34" t="e">
        <f>VLOOKUP(TR_Modèle91639[[#This Row],[Ingrédients]],T_ingrédients[],3,0)</f>
        <v>#N/A</v>
      </c>
      <c r="E79" s="40"/>
      <c r="F79" s="41"/>
      <c r="G79" s="40"/>
    </row>
    <row r="80" spans="3:7" x14ac:dyDescent="0.25">
      <c r="C80" s="2"/>
      <c r="D80" s="34" t="e">
        <f>VLOOKUP(TR_Modèle91639[[#This Row],[Ingrédients]],T_ingrédients[],3,0)</f>
        <v>#N/A</v>
      </c>
      <c r="E80" s="40"/>
      <c r="F80" s="41"/>
      <c r="G80" s="40"/>
    </row>
    <row r="81" spans="3:7" x14ac:dyDescent="0.25">
      <c r="C81" s="2"/>
      <c r="D81" s="34" t="e">
        <f>VLOOKUP(TR_Modèle91639[[#This Row],[Ingrédients]],T_ingrédients[],3,0)</f>
        <v>#N/A</v>
      </c>
      <c r="E81" s="40"/>
      <c r="F81" s="41"/>
      <c r="G81" s="40"/>
    </row>
    <row r="82" spans="3:7" x14ac:dyDescent="0.25">
      <c r="C82" s="2"/>
      <c r="D82" s="34" t="e">
        <f>VLOOKUP(TR_Modèle91639[[#This Row],[Ingrédients]],T_ingrédients[],3,0)</f>
        <v>#N/A</v>
      </c>
      <c r="E82" s="40"/>
      <c r="F82" s="41"/>
      <c r="G82" s="40"/>
    </row>
    <row r="83" spans="3:7" x14ac:dyDescent="0.25">
      <c r="C83" s="2"/>
      <c r="D83" s="34" t="e">
        <f>VLOOKUP(TR_Modèle91639[[#This Row],[Ingrédients]],T_ingrédients[],3,0)</f>
        <v>#N/A</v>
      </c>
      <c r="E83" s="40"/>
      <c r="F83" s="41"/>
      <c r="G83" s="40"/>
    </row>
    <row r="84" spans="3:7" x14ac:dyDescent="0.25">
      <c r="C84" s="2"/>
      <c r="D84" s="34" t="e">
        <f>VLOOKUP(TR_Modèle91639[[#This Row],[Ingrédients]],T_ingrédients[],3,0)</f>
        <v>#N/A</v>
      </c>
      <c r="E84" s="40"/>
      <c r="F84" s="41"/>
      <c r="G84" s="40"/>
    </row>
    <row r="85" spans="3:7" x14ac:dyDescent="0.25">
      <c r="C85" s="2"/>
      <c r="D85" s="34" t="e">
        <f>VLOOKUP(TR_Modèle91639[[#This Row],[Ingrédients]],T_ingrédients[],3,0)</f>
        <v>#N/A</v>
      </c>
      <c r="E85" s="40"/>
      <c r="F85" s="41"/>
      <c r="G85" s="40"/>
    </row>
    <row r="86" spans="3:7" x14ac:dyDescent="0.25">
      <c r="C86" s="2"/>
      <c r="D86" s="34" t="e">
        <f>VLOOKUP(TR_Modèle91639[[#This Row],[Ingrédients]],T_ingrédients[],3,0)</f>
        <v>#N/A</v>
      </c>
      <c r="E86" s="40"/>
      <c r="F86" s="41"/>
      <c r="G86" s="40"/>
    </row>
    <row r="87" spans="3:7" x14ac:dyDescent="0.25">
      <c r="C87" s="2"/>
      <c r="D87" s="34" t="e">
        <f>VLOOKUP(TR_Modèle91639[[#This Row],[Ingrédients]],T_ingrédients[],3,0)</f>
        <v>#N/A</v>
      </c>
      <c r="E87" s="40"/>
      <c r="F87" s="41"/>
      <c r="G87" s="40"/>
    </row>
    <row r="88" spans="3:7" x14ac:dyDescent="0.25">
      <c r="C88" s="2"/>
      <c r="D88" s="34" t="e">
        <f>VLOOKUP(TR_Modèle91639[[#This Row],[Ingrédients]],T_ingrédients[],3,0)</f>
        <v>#N/A</v>
      </c>
      <c r="E88" s="40"/>
      <c r="F88" s="41"/>
      <c r="G88" s="40"/>
    </row>
    <row r="89" spans="3:7" x14ac:dyDescent="0.25">
      <c r="C89" s="2"/>
      <c r="D89" s="34" t="e">
        <f>VLOOKUP(TR_Modèle91639[[#This Row],[Ingrédients]],T_ingrédients[],3,0)</f>
        <v>#N/A</v>
      </c>
      <c r="E89" s="40"/>
      <c r="F89" s="41"/>
      <c r="G89" s="40"/>
    </row>
    <row r="90" spans="3:7" x14ac:dyDescent="0.25">
      <c r="C90" s="2"/>
      <c r="D90" s="34" t="e">
        <f>VLOOKUP(TR_Modèle91639[[#This Row],[Ingrédients]],T_ingrédients[],3,0)</f>
        <v>#N/A</v>
      </c>
      <c r="E90" s="40"/>
      <c r="F90" s="41"/>
      <c r="G90" s="40"/>
    </row>
    <row r="91" spans="3:7" x14ac:dyDescent="0.25">
      <c r="C91" s="2"/>
      <c r="D91" s="34" t="e">
        <f>VLOOKUP(TR_Modèle91639[[#This Row],[Ingrédients]],T_ingrédients[],3,0)</f>
        <v>#N/A</v>
      </c>
      <c r="E91" s="40"/>
      <c r="F91" s="41"/>
      <c r="G91" s="40"/>
    </row>
    <row r="92" spans="3:7" x14ac:dyDescent="0.25">
      <c r="C92" s="2"/>
      <c r="D92" s="34" t="e">
        <f>VLOOKUP(TR_Modèle91639[[#This Row],[Ingrédients]],T_ingrédients[],3,0)</f>
        <v>#N/A</v>
      </c>
      <c r="E92" s="40"/>
      <c r="F92" s="41"/>
      <c r="G92" s="40"/>
    </row>
    <row r="93" spans="3:7" x14ac:dyDescent="0.25">
      <c r="C93" s="2"/>
      <c r="D93" s="34" t="e">
        <f>VLOOKUP(TR_Modèle91639[[#This Row],[Ingrédients]],T_ingrédients[],3,0)</f>
        <v>#N/A</v>
      </c>
      <c r="E93" s="40"/>
      <c r="F93" s="41"/>
      <c r="G93" s="40"/>
    </row>
    <row r="94" spans="3:7" x14ac:dyDescent="0.25">
      <c r="C94" s="2"/>
      <c r="D94" s="34" t="e">
        <f>VLOOKUP(TR_Modèle91639[[#This Row],[Ingrédients]],T_ingrédients[],3,0)</f>
        <v>#N/A</v>
      </c>
      <c r="E94" s="40"/>
      <c r="F94" s="41"/>
      <c r="G94" s="40"/>
    </row>
    <row r="95" spans="3:7" ht="15.75" thickBot="1" x14ac:dyDescent="0.3">
      <c r="C95" s="2"/>
      <c r="D95" s="34" t="e">
        <f>VLOOKUP(TR_Modèle91639[[#This Row],[Ingrédients]],T_ingrédients[],3,0)</f>
        <v>#N/A</v>
      </c>
      <c r="E95" s="40"/>
      <c r="F95" s="41"/>
      <c r="G95" s="40"/>
    </row>
    <row r="96" spans="3:7" ht="16.5" thickBot="1" x14ac:dyDescent="0.3">
      <c r="C96" s="26" t="s">
        <v>39</v>
      </c>
      <c r="D96" s="27" t="s">
        <v>12</v>
      </c>
      <c r="E96" s="28">
        <f>SUBTOTAL(109,TR_Modèle91639[6])</f>
        <v>0</v>
      </c>
      <c r="F96" s="28">
        <f>SUBTOTAL(109,TR_Modèle91639[12])</f>
        <v>0</v>
      </c>
      <c r="G96" s="29">
        <f>SUBTOTAL(109,TR_Modèle91639[24])</f>
        <v>0</v>
      </c>
    </row>
    <row r="98" spans="3:7" ht="15.75" thickBot="1" x14ac:dyDescent="0.3"/>
    <row r="99" spans="3:7" ht="18" thickBot="1" x14ac:dyDescent="0.3">
      <c r="C99" s="176" t="s">
        <v>60</v>
      </c>
      <c r="D99" s="177"/>
      <c r="E99" s="177"/>
      <c r="F99" s="177"/>
      <c r="G99" s="178"/>
    </row>
    <row r="100" spans="3:7" ht="15.75" thickBot="1" x14ac:dyDescent="0.3">
      <c r="C100" s="181"/>
      <c r="D100" s="182"/>
      <c r="E100" s="183" t="s">
        <v>13</v>
      </c>
      <c r="F100" s="184"/>
      <c r="G100" s="185"/>
    </row>
    <row r="101" spans="3:7" ht="16.5" thickBot="1" x14ac:dyDescent="0.3">
      <c r="C101" s="19" t="s">
        <v>0</v>
      </c>
      <c r="D101" s="33" t="s">
        <v>1</v>
      </c>
      <c r="E101" s="21" t="s">
        <v>40</v>
      </c>
      <c r="F101" s="21" t="s">
        <v>41</v>
      </c>
      <c r="G101" s="21" t="s">
        <v>240</v>
      </c>
    </row>
    <row r="102" spans="3:7" x14ac:dyDescent="0.25">
      <c r="C102" s="32"/>
      <c r="D102" s="34" t="e">
        <f>VLOOKUP(TR_Modèle91740[[#This Row],[Ingrédients]],T_ingrédients[],3,0)</f>
        <v>#N/A</v>
      </c>
      <c r="E102" s="40"/>
      <c r="F102" s="41"/>
      <c r="G102" s="40"/>
    </row>
    <row r="103" spans="3:7" x14ac:dyDescent="0.25">
      <c r="C103" s="2"/>
      <c r="D103" s="34" t="e">
        <f>VLOOKUP(TR_Modèle91740[[#This Row],[Ingrédients]],T_ingrédients[],3,0)</f>
        <v>#N/A</v>
      </c>
      <c r="E103" s="40"/>
      <c r="F103" s="41"/>
      <c r="G103" s="40"/>
    </row>
    <row r="104" spans="3:7" x14ac:dyDescent="0.25">
      <c r="C104" s="2"/>
      <c r="D104" s="34" t="e">
        <f>VLOOKUP(TR_Modèle91740[[#This Row],[Ingrédients]],T_ingrédients[],3,0)</f>
        <v>#N/A</v>
      </c>
      <c r="E104" s="40"/>
      <c r="F104" s="41"/>
      <c r="G104" s="40"/>
    </row>
    <row r="105" spans="3:7" x14ac:dyDescent="0.25">
      <c r="C105" s="2"/>
      <c r="D105" s="34" t="e">
        <f>VLOOKUP(TR_Modèle91740[[#This Row],[Ingrédients]],T_ingrédients[],3,0)</f>
        <v>#N/A</v>
      </c>
      <c r="E105" s="40"/>
      <c r="F105" s="41"/>
      <c r="G105" s="40"/>
    </row>
    <row r="106" spans="3:7" x14ac:dyDescent="0.25">
      <c r="C106" s="2"/>
      <c r="D106" s="34" t="e">
        <f>VLOOKUP(TR_Modèle91740[[#This Row],[Ingrédients]],T_ingrédients[],3,0)</f>
        <v>#N/A</v>
      </c>
      <c r="E106" s="40"/>
      <c r="F106" s="41"/>
      <c r="G106" s="40"/>
    </row>
    <row r="107" spans="3:7" x14ac:dyDescent="0.25">
      <c r="C107" s="2"/>
      <c r="D107" s="34" t="e">
        <f>VLOOKUP(TR_Modèle91740[[#This Row],[Ingrédients]],T_ingrédients[],3,0)</f>
        <v>#N/A</v>
      </c>
      <c r="E107" s="40"/>
      <c r="F107" s="41"/>
      <c r="G107" s="40"/>
    </row>
    <row r="108" spans="3:7" x14ac:dyDescent="0.25">
      <c r="C108" s="2"/>
      <c r="D108" s="34" t="e">
        <f>VLOOKUP(TR_Modèle91740[[#This Row],[Ingrédients]],T_ingrédients[],3,0)</f>
        <v>#N/A</v>
      </c>
      <c r="E108" s="40"/>
      <c r="F108" s="41"/>
      <c r="G108" s="40"/>
    </row>
    <row r="109" spans="3:7" x14ac:dyDescent="0.25">
      <c r="C109" s="2"/>
      <c r="D109" s="34" t="e">
        <f>VLOOKUP(TR_Modèle91740[[#This Row],[Ingrédients]],T_ingrédients[],3,0)</f>
        <v>#N/A</v>
      </c>
      <c r="E109" s="40"/>
      <c r="F109" s="41"/>
      <c r="G109" s="40"/>
    </row>
    <row r="110" spans="3:7" x14ac:dyDescent="0.25">
      <c r="C110" s="2"/>
      <c r="D110" s="34" t="e">
        <f>VLOOKUP(TR_Modèle91740[[#This Row],[Ingrédients]],T_ingrédients[],3,0)</f>
        <v>#N/A</v>
      </c>
      <c r="E110" s="40"/>
      <c r="F110" s="41"/>
      <c r="G110" s="40"/>
    </row>
    <row r="111" spans="3:7" x14ac:dyDescent="0.25">
      <c r="C111" s="2"/>
      <c r="D111" s="34" t="e">
        <f>VLOOKUP(TR_Modèle91740[[#This Row],[Ingrédients]],T_ingrédients[],3,0)</f>
        <v>#N/A</v>
      </c>
      <c r="E111" s="40"/>
      <c r="F111" s="41"/>
      <c r="G111" s="40"/>
    </row>
    <row r="112" spans="3:7" x14ac:dyDescent="0.25">
      <c r="C112" s="2"/>
      <c r="D112" s="34" t="e">
        <f>VLOOKUP(TR_Modèle91740[[#This Row],[Ingrédients]],T_ingrédients[],3,0)</f>
        <v>#N/A</v>
      </c>
      <c r="E112" s="40"/>
      <c r="F112" s="41"/>
      <c r="G112" s="40"/>
    </row>
    <row r="113" spans="3:7" x14ac:dyDescent="0.25">
      <c r="C113" s="2"/>
      <c r="D113" s="34" t="e">
        <f>VLOOKUP(TR_Modèle91740[[#This Row],[Ingrédients]],T_ingrédients[],3,0)</f>
        <v>#N/A</v>
      </c>
      <c r="E113" s="40"/>
      <c r="F113" s="41"/>
      <c r="G113" s="40"/>
    </row>
    <row r="114" spans="3:7" x14ac:dyDescent="0.25">
      <c r="C114" s="2"/>
      <c r="D114" s="34" t="e">
        <f>VLOOKUP(TR_Modèle91740[[#This Row],[Ingrédients]],T_ingrédients[],3,0)</f>
        <v>#N/A</v>
      </c>
      <c r="E114" s="40"/>
      <c r="F114" s="41"/>
      <c r="G114" s="40"/>
    </row>
    <row r="115" spans="3:7" x14ac:dyDescent="0.25">
      <c r="C115" s="2"/>
      <c r="D115" s="34" t="e">
        <f>VLOOKUP(TR_Modèle91740[[#This Row],[Ingrédients]],T_ingrédients[],3,0)</f>
        <v>#N/A</v>
      </c>
      <c r="E115" s="40"/>
      <c r="F115" s="41"/>
      <c r="G115" s="40"/>
    </row>
    <row r="116" spans="3:7" x14ac:dyDescent="0.25">
      <c r="C116" s="2"/>
      <c r="D116" s="34" t="e">
        <f>VLOOKUP(TR_Modèle91740[[#This Row],[Ingrédients]],T_ingrédients[],3,0)</f>
        <v>#N/A</v>
      </c>
      <c r="E116" s="40"/>
      <c r="F116" s="41"/>
      <c r="G116" s="40"/>
    </row>
    <row r="117" spans="3:7" x14ac:dyDescent="0.25">
      <c r="C117" s="2"/>
      <c r="D117" s="34" t="e">
        <f>VLOOKUP(TR_Modèle91740[[#This Row],[Ingrédients]],T_ingrédients[],3,0)</f>
        <v>#N/A</v>
      </c>
      <c r="E117" s="40"/>
      <c r="F117" s="41"/>
      <c r="G117" s="40"/>
    </row>
    <row r="118" spans="3:7" x14ac:dyDescent="0.25">
      <c r="C118" s="2"/>
      <c r="D118" s="34" t="e">
        <f>VLOOKUP(TR_Modèle91740[[#This Row],[Ingrédients]],T_ingrédients[],3,0)</f>
        <v>#N/A</v>
      </c>
      <c r="E118" s="40"/>
      <c r="F118" s="41"/>
      <c r="G118" s="40"/>
    </row>
    <row r="119" spans="3:7" x14ac:dyDescent="0.25">
      <c r="C119" s="2"/>
      <c r="D119" s="34" t="e">
        <f>VLOOKUP(TR_Modèle91740[[#This Row],[Ingrédients]],T_ingrédients[],3,0)</f>
        <v>#N/A</v>
      </c>
      <c r="E119" s="40"/>
      <c r="F119" s="41"/>
      <c r="G119" s="40"/>
    </row>
    <row r="120" spans="3:7" x14ac:dyDescent="0.25">
      <c r="C120" s="2"/>
      <c r="D120" s="34" t="e">
        <f>VLOOKUP(TR_Modèle91740[[#This Row],[Ingrédients]],T_ingrédients[],3,0)</f>
        <v>#N/A</v>
      </c>
      <c r="E120" s="40"/>
      <c r="F120" s="41"/>
      <c r="G120" s="40"/>
    </row>
    <row r="121" spans="3:7" x14ac:dyDescent="0.25">
      <c r="C121" s="2"/>
      <c r="D121" s="34" t="e">
        <f>VLOOKUP(TR_Modèle91740[[#This Row],[Ingrédients]],T_ingrédients[],3,0)</f>
        <v>#N/A</v>
      </c>
      <c r="E121" s="40"/>
      <c r="F121" s="41"/>
      <c r="G121" s="40"/>
    </row>
    <row r="122" spans="3:7" x14ac:dyDescent="0.25">
      <c r="C122" s="2"/>
      <c r="D122" s="34" t="e">
        <f>VLOOKUP(TR_Modèle91740[[#This Row],[Ingrédients]],T_ingrédients[],3,0)</f>
        <v>#N/A</v>
      </c>
      <c r="E122" s="40"/>
      <c r="F122" s="41"/>
      <c r="G122" s="40"/>
    </row>
    <row r="123" spans="3:7" x14ac:dyDescent="0.25">
      <c r="C123" s="2"/>
      <c r="D123" s="34" t="e">
        <f>VLOOKUP(TR_Modèle91740[[#This Row],[Ingrédients]],T_ingrédients[],3,0)</f>
        <v>#N/A</v>
      </c>
      <c r="E123" s="40"/>
      <c r="F123" s="41"/>
      <c r="G123" s="40"/>
    </row>
    <row r="124" spans="3:7" x14ac:dyDescent="0.25">
      <c r="C124" s="2"/>
      <c r="D124" s="34" t="e">
        <f>VLOOKUP(TR_Modèle91740[[#This Row],[Ingrédients]],T_ingrédients[],3,0)</f>
        <v>#N/A</v>
      </c>
      <c r="E124" s="40"/>
      <c r="F124" s="41"/>
      <c r="G124" s="40"/>
    </row>
    <row r="125" spans="3:7" x14ac:dyDescent="0.25">
      <c r="C125" s="2"/>
      <c r="D125" s="34" t="e">
        <f>VLOOKUP(TR_Modèle91740[[#This Row],[Ingrédients]],T_ingrédients[],3,0)</f>
        <v>#N/A</v>
      </c>
      <c r="E125" s="40"/>
      <c r="F125" s="41"/>
      <c r="G125" s="40"/>
    </row>
    <row r="126" spans="3:7" x14ac:dyDescent="0.25">
      <c r="C126" s="2"/>
      <c r="D126" s="34" t="e">
        <f>VLOOKUP(TR_Modèle91740[[#This Row],[Ingrédients]],T_ingrédients[],3,0)</f>
        <v>#N/A</v>
      </c>
      <c r="E126" s="40"/>
      <c r="F126" s="41"/>
      <c r="G126" s="40"/>
    </row>
    <row r="127" spans="3:7" x14ac:dyDescent="0.25">
      <c r="C127" s="2"/>
      <c r="D127" s="34" t="e">
        <f>VLOOKUP(TR_Modèle91740[[#This Row],[Ingrédients]],T_ingrédients[],3,0)</f>
        <v>#N/A</v>
      </c>
      <c r="E127" s="40"/>
      <c r="F127" s="41"/>
      <c r="G127" s="40"/>
    </row>
    <row r="128" spans="3:7" x14ac:dyDescent="0.25">
      <c r="C128" s="2"/>
      <c r="D128" s="34" t="e">
        <f>VLOOKUP(TR_Modèle91740[[#This Row],[Ingrédients]],T_ingrédients[],3,0)</f>
        <v>#N/A</v>
      </c>
      <c r="E128" s="40"/>
      <c r="F128" s="41"/>
      <c r="G128" s="40"/>
    </row>
    <row r="129" spans="3:7" ht="15.75" thickBot="1" x14ac:dyDescent="0.3">
      <c r="C129" s="2"/>
      <c r="D129" s="34" t="e">
        <f>VLOOKUP(TR_Modèle91740[[#This Row],[Ingrédients]],T_ingrédients[],3,0)</f>
        <v>#N/A</v>
      </c>
      <c r="E129" s="40"/>
      <c r="F129" s="41"/>
      <c r="G129" s="40"/>
    </row>
    <row r="130" spans="3:7" ht="16.5" thickBot="1" x14ac:dyDescent="0.3">
      <c r="C130" s="26" t="s">
        <v>39</v>
      </c>
      <c r="D130" s="27" t="s">
        <v>12</v>
      </c>
      <c r="E130" s="28">
        <f>SUBTOTAL(109,TR_Modèle91740[6])</f>
        <v>0</v>
      </c>
      <c r="F130" s="28">
        <f>SUBTOTAL(109,TR_Modèle91740[12])</f>
        <v>0</v>
      </c>
      <c r="G130" s="29">
        <f>SUBTOTAL(109,TR_Modèle91740[24])</f>
        <v>0</v>
      </c>
    </row>
    <row r="132" spans="3:7" ht="15.75" thickBot="1" x14ac:dyDescent="0.3"/>
    <row r="133" spans="3:7" ht="18" thickBot="1" x14ac:dyDescent="0.3">
      <c r="C133" s="176" t="s">
        <v>60</v>
      </c>
      <c r="D133" s="177"/>
      <c r="E133" s="177"/>
      <c r="F133" s="177"/>
      <c r="G133" s="178"/>
    </row>
    <row r="134" spans="3:7" ht="15.75" thickBot="1" x14ac:dyDescent="0.3">
      <c r="C134" s="181"/>
      <c r="D134" s="182"/>
      <c r="E134" s="183" t="s">
        <v>13</v>
      </c>
      <c r="F134" s="184"/>
      <c r="G134" s="185"/>
    </row>
    <row r="135" spans="3:7" ht="16.5" thickBot="1" x14ac:dyDescent="0.3">
      <c r="C135" s="19" t="s">
        <v>0</v>
      </c>
      <c r="D135" s="33" t="s">
        <v>1</v>
      </c>
      <c r="E135" s="21" t="s">
        <v>40</v>
      </c>
      <c r="F135" s="21" t="s">
        <v>41</v>
      </c>
      <c r="G135" s="21" t="s">
        <v>240</v>
      </c>
    </row>
    <row r="136" spans="3:7" x14ac:dyDescent="0.25">
      <c r="C136" s="32"/>
      <c r="D136" s="34" t="e">
        <f>VLOOKUP(TR_Modèle91841[[#This Row],[Ingrédients]],T_ingrédients[],3,0)</f>
        <v>#N/A</v>
      </c>
      <c r="E136" s="40"/>
      <c r="F136" s="41"/>
      <c r="G136" s="40"/>
    </row>
    <row r="137" spans="3:7" x14ac:dyDescent="0.25">
      <c r="C137" s="2"/>
      <c r="D137" s="34" t="e">
        <f>VLOOKUP(TR_Modèle91841[[#This Row],[Ingrédients]],T_ingrédients[],3,0)</f>
        <v>#N/A</v>
      </c>
      <c r="E137" s="40"/>
      <c r="F137" s="41"/>
      <c r="G137" s="40"/>
    </row>
    <row r="138" spans="3:7" x14ac:dyDescent="0.25">
      <c r="C138" s="2"/>
      <c r="D138" s="34" t="e">
        <f>VLOOKUP(TR_Modèle91841[[#This Row],[Ingrédients]],T_ingrédients[],3,0)</f>
        <v>#N/A</v>
      </c>
      <c r="E138" s="40"/>
      <c r="F138" s="41"/>
      <c r="G138" s="40"/>
    </row>
    <row r="139" spans="3:7" x14ac:dyDescent="0.25">
      <c r="C139" s="2"/>
      <c r="D139" s="34" t="e">
        <f>VLOOKUP(TR_Modèle91841[[#This Row],[Ingrédients]],T_ingrédients[],3,0)</f>
        <v>#N/A</v>
      </c>
      <c r="E139" s="40"/>
      <c r="F139" s="41"/>
      <c r="G139" s="40"/>
    </row>
    <row r="140" spans="3:7" x14ac:dyDescent="0.25">
      <c r="C140" s="2"/>
      <c r="D140" s="34" t="e">
        <f>VLOOKUP(TR_Modèle91841[[#This Row],[Ingrédients]],T_ingrédients[],3,0)</f>
        <v>#N/A</v>
      </c>
      <c r="E140" s="40"/>
      <c r="F140" s="41"/>
      <c r="G140" s="40"/>
    </row>
    <row r="141" spans="3:7" x14ac:dyDescent="0.25">
      <c r="C141" s="2"/>
      <c r="D141" s="34" t="e">
        <f>VLOOKUP(TR_Modèle91841[[#This Row],[Ingrédients]],T_ingrédients[],3,0)</f>
        <v>#N/A</v>
      </c>
      <c r="E141" s="40"/>
      <c r="F141" s="41"/>
      <c r="G141" s="40"/>
    </row>
    <row r="142" spans="3:7" x14ac:dyDescent="0.25">
      <c r="C142" s="2"/>
      <c r="D142" s="34" t="e">
        <f>VLOOKUP(TR_Modèle91841[[#This Row],[Ingrédients]],T_ingrédients[],3,0)</f>
        <v>#N/A</v>
      </c>
      <c r="E142" s="40"/>
      <c r="F142" s="41"/>
      <c r="G142" s="40"/>
    </row>
    <row r="143" spans="3:7" x14ac:dyDescent="0.25">
      <c r="C143" s="2"/>
      <c r="D143" s="34" t="e">
        <f>VLOOKUP(TR_Modèle91841[[#This Row],[Ingrédients]],T_ingrédients[],3,0)</f>
        <v>#N/A</v>
      </c>
      <c r="E143" s="40"/>
      <c r="F143" s="41"/>
      <c r="G143" s="40"/>
    </row>
    <row r="144" spans="3:7" x14ac:dyDescent="0.25">
      <c r="C144" s="2"/>
      <c r="D144" s="34" t="e">
        <f>VLOOKUP(TR_Modèle91841[[#This Row],[Ingrédients]],T_ingrédients[],3,0)</f>
        <v>#N/A</v>
      </c>
      <c r="E144" s="40"/>
      <c r="F144" s="41"/>
      <c r="G144" s="40"/>
    </row>
    <row r="145" spans="3:7" x14ac:dyDescent="0.25">
      <c r="C145" s="2"/>
      <c r="D145" s="34" t="e">
        <f>VLOOKUP(TR_Modèle91841[[#This Row],[Ingrédients]],T_ingrédients[],3,0)</f>
        <v>#N/A</v>
      </c>
      <c r="E145" s="40"/>
      <c r="F145" s="41"/>
      <c r="G145" s="40"/>
    </row>
    <row r="146" spans="3:7" x14ac:dyDescent="0.25">
      <c r="C146" s="2"/>
      <c r="D146" s="34" t="e">
        <f>VLOOKUP(TR_Modèle91841[[#This Row],[Ingrédients]],T_ingrédients[],3,0)</f>
        <v>#N/A</v>
      </c>
      <c r="E146" s="40"/>
      <c r="F146" s="41"/>
      <c r="G146" s="40"/>
    </row>
    <row r="147" spans="3:7" x14ac:dyDescent="0.25">
      <c r="C147" s="2"/>
      <c r="D147" s="34" t="e">
        <f>VLOOKUP(TR_Modèle91841[[#This Row],[Ingrédients]],T_ingrédients[],3,0)</f>
        <v>#N/A</v>
      </c>
      <c r="E147" s="40"/>
      <c r="F147" s="41"/>
      <c r="G147" s="40"/>
    </row>
    <row r="148" spans="3:7" x14ac:dyDescent="0.25">
      <c r="C148" s="2"/>
      <c r="D148" s="34" t="e">
        <f>VLOOKUP(TR_Modèle91841[[#This Row],[Ingrédients]],T_ingrédients[],3,0)</f>
        <v>#N/A</v>
      </c>
      <c r="E148" s="40"/>
      <c r="F148" s="41"/>
      <c r="G148" s="40"/>
    </row>
    <row r="149" spans="3:7" x14ac:dyDescent="0.25">
      <c r="C149" s="2"/>
      <c r="D149" s="34" t="e">
        <f>VLOOKUP(TR_Modèle91841[[#This Row],[Ingrédients]],T_ingrédients[],3,0)</f>
        <v>#N/A</v>
      </c>
      <c r="E149" s="40"/>
      <c r="F149" s="41"/>
      <c r="G149" s="40"/>
    </row>
    <row r="150" spans="3:7" x14ac:dyDescent="0.25">
      <c r="C150" s="2"/>
      <c r="D150" s="34" t="e">
        <f>VLOOKUP(TR_Modèle91841[[#This Row],[Ingrédients]],T_ingrédients[],3,0)</f>
        <v>#N/A</v>
      </c>
      <c r="E150" s="40"/>
      <c r="F150" s="41"/>
      <c r="G150" s="40"/>
    </row>
    <row r="151" spans="3:7" x14ac:dyDescent="0.25">
      <c r="C151" s="2"/>
      <c r="D151" s="34" t="e">
        <f>VLOOKUP(TR_Modèle91841[[#This Row],[Ingrédients]],T_ingrédients[],3,0)</f>
        <v>#N/A</v>
      </c>
      <c r="E151" s="40"/>
      <c r="F151" s="41"/>
      <c r="G151" s="40"/>
    </row>
    <row r="152" spans="3:7" x14ac:dyDescent="0.25">
      <c r="C152" s="2"/>
      <c r="D152" s="34" t="e">
        <f>VLOOKUP(TR_Modèle91841[[#This Row],[Ingrédients]],T_ingrédients[],3,0)</f>
        <v>#N/A</v>
      </c>
      <c r="E152" s="40"/>
      <c r="F152" s="41"/>
      <c r="G152" s="40"/>
    </row>
    <row r="153" spans="3:7" x14ac:dyDescent="0.25">
      <c r="C153" s="2"/>
      <c r="D153" s="34" t="e">
        <f>VLOOKUP(TR_Modèle91841[[#This Row],[Ingrédients]],T_ingrédients[],3,0)</f>
        <v>#N/A</v>
      </c>
      <c r="E153" s="40"/>
      <c r="F153" s="41"/>
      <c r="G153" s="40"/>
    </row>
    <row r="154" spans="3:7" x14ac:dyDescent="0.25">
      <c r="C154" s="2"/>
      <c r="D154" s="34" t="e">
        <f>VLOOKUP(TR_Modèle91841[[#This Row],[Ingrédients]],T_ingrédients[],3,0)</f>
        <v>#N/A</v>
      </c>
      <c r="E154" s="40"/>
      <c r="F154" s="41"/>
      <c r="G154" s="40"/>
    </row>
    <row r="155" spans="3:7" x14ac:dyDescent="0.25">
      <c r="C155" s="2"/>
      <c r="D155" s="34" t="e">
        <f>VLOOKUP(TR_Modèle91841[[#This Row],[Ingrédients]],T_ingrédients[],3,0)</f>
        <v>#N/A</v>
      </c>
      <c r="E155" s="40"/>
      <c r="F155" s="41"/>
      <c r="G155" s="40"/>
    </row>
    <row r="156" spans="3:7" x14ac:dyDescent="0.25">
      <c r="C156" s="2"/>
      <c r="D156" s="34" t="e">
        <f>VLOOKUP(TR_Modèle91841[[#This Row],[Ingrédients]],T_ingrédients[],3,0)</f>
        <v>#N/A</v>
      </c>
      <c r="E156" s="40"/>
      <c r="F156" s="41"/>
      <c r="G156" s="40"/>
    </row>
    <row r="157" spans="3:7" x14ac:dyDescent="0.25">
      <c r="C157" s="2"/>
      <c r="D157" s="34" t="e">
        <f>VLOOKUP(TR_Modèle91841[[#This Row],[Ingrédients]],T_ingrédients[],3,0)</f>
        <v>#N/A</v>
      </c>
      <c r="E157" s="40"/>
      <c r="F157" s="41"/>
      <c r="G157" s="40"/>
    </row>
    <row r="158" spans="3:7" x14ac:dyDescent="0.25">
      <c r="C158" s="2"/>
      <c r="D158" s="34" t="e">
        <f>VLOOKUP(TR_Modèle91841[[#This Row],[Ingrédients]],T_ingrédients[],3,0)</f>
        <v>#N/A</v>
      </c>
      <c r="E158" s="40"/>
      <c r="F158" s="41"/>
      <c r="G158" s="40"/>
    </row>
    <row r="159" spans="3:7" x14ac:dyDescent="0.25">
      <c r="C159" s="2"/>
      <c r="D159" s="34" t="e">
        <f>VLOOKUP(TR_Modèle91841[[#This Row],[Ingrédients]],T_ingrédients[],3,0)</f>
        <v>#N/A</v>
      </c>
      <c r="E159" s="40"/>
      <c r="F159" s="41"/>
      <c r="G159" s="40"/>
    </row>
    <row r="160" spans="3:7" x14ac:dyDescent="0.25">
      <c r="C160" s="2"/>
      <c r="D160" s="34" t="e">
        <f>VLOOKUP(TR_Modèle91841[[#This Row],[Ingrédients]],T_ingrédients[],3,0)</f>
        <v>#N/A</v>
      </c>
      <c r="E160" s="40"/>
      <c r="F160" s="41"/>
      <c r="G160" s="40"/>
    </row>
    <row r="161" spans="3:7" x14ac:dyDescent="0.25">
      <c r="C161" s="2"/>
      <c r="D161" s="34" t="e">
        <f>VLOOKUP(TR_Modèle91841[[#This Row],[Ingrédients]],T_ingrédients[],3,0)</f>
        <v>#N/A</v>
      </c>
      <c r="E161" s="40"/>
      <c r="F161" s="41"/>
      <c r="G161" s="40"/>
    </row>
    <row r="162" spans="3:7" x14ac:dyDescent="0.25">
      <c r="C162" s="2"/>
      <c r="D162" s="34" t="e">
        <f>VLOOKUP(TR_Modèle91841[[#This Row],[Ingrédients]],T_ingrédients[],3,0)</f>
        <v>#N/A</v>
      </c>
      <c r="E162" s="40"/>
      <c r="F162" s="41"/>
      <c r="G162" s="40"/>
    </row>
    <row r="163" spans="3:7" ht="15.75" thickBot="1" x14ac:dyDescent="0.3">
      <c r="C163" s="2"/>
      <c r="D163" s="34" t="e">
        <f>VLOOKUP(TR_Modèle91841[[#This Row],[Ingrédients]],T_ingrédients[],3,0)</f>
        <v>#N/A</v>
      </c>
      <c r="E163" s="40"/>
      <c r="F163" s="41"/>
      <c r="G163" s="40"/>
    </row>
    <row r="164" spans="3:7" ht="16.5" thickBot="1" x14ac:dyDescent="0.3">
      <c r="C164" s="26" t="s">
        <v>39</v>
      </c>
      <c r="D164" s="27" t="s">
        <v>12</v>
      </c>
      <c r="E164" s="28">
        <f>SUBTOTAL(109,TR_Modèle91841[6])</f>
        <v>0</v>
      </c>
      <c r="F164" s="28">
        <f>SUBTOTAL(109,TR_Modèle91841[12])</f>
        <v>0</v>
      </c>
      <c r="G164" s="29">
        <f>SUBTOTAL(109,TR_Modèle91841[24])</f>
        <v>0</v>
      </c>
    </row>
    <row r="166" spans="3:7" ht="15.75" thickBot="1" x14ac:dyDescent="0.3"/>
    <row r="167" spans="3:7" ht="18" thickBot="1" x14ac:dyDescent="0.3">
      <c r="C167" s="176" t="s">
        <v>60</v>
      </c>
      <c r="D167" s="177"/>
      <c r="E167" s="177"/>
      <c r="F167" s="177"/>
      <c r="G167" s="178"/>
    </row>
    <row r="168" spans="3:7" ht="15.75" thickBot="1" x14ac:dyDescent="0.3">
      <c r="C168" s="181"/>
      <c r="D168" s="182"/>
      <c r="E168" s="183" t="s">
        <v>13</v>
      </c>
      <c r="F168" s="184"/>
      <c r="G168" s="185"/>
    </row>
    <row r="169" spans="3:7" ht="16.5" thickBot="1" x14ac:dyDescent="0.3">
      <c r="C169" s="19" t="s">
        <v>0</v>
      </c>
      <c r="D169" s="33" t="s">
        <v>1</v>
      </c>
      <c r="E169" s="21" t="s">
        <v>40</v>
      </c>
      <c r="F169" s="21" t="s">
        <v>41</v>
      </c>
      <c r="G169" s="21" t="s">
        <v>240</v>
      </c>
    </row>
    <row r="170" spans="3:7" x14ac:dyDescent="0.25">
      <c r="C170" s="32"/>
      <c r="D170" s="34" t="e">
        <f>VLOOKUP(TR_Modèle91942[[#This Row],[Ingrédients]],T_ingrédients[],3,0)</f>
        <v>#N/A</v>
      </c>
      <c r="E170" s="40"/>
      <c r="F170" s="41"/>
      <c r="G170" s="40"/>
    </row>
    <row r="171" spans="3:7" x14ac:dyDescent="0.25">
      <c r="C171" s="2"/>
      <c r="D171" s="34" t="e">
        <f>VLOOKUP(TR_Modèle91942[[#This Row],[Ingrédients]],T_ingrédients[],3,0)</f>
        <v>#N/A</v>
      </c>
      <c r="E171" s="40"/>
      <c r="F171" s="41"/>
      <c r="G171" s="40"/>
    </row>
    <row r="172" spans="3:7" x14ac:dyDescent="0.25">
      <c r="C172" s="2"/>
      <c r="D172" s="34" t="e">
        <f>VLOOKUP(TR_Modèle91942[[#This Row],[Ingrédients]],T_ingrédients[],3,0)</f>
        <v>#N/A</v>
      </c>
      <c r="E172" s="40"/>
      <c r="F172" s="41"/>
      <c r="G172" s="40"/>
    </row>
    <row r="173" spans="3:7" x14ac:dyDescent="0.25">
      <c r="C173" s="2"/>
      <c r="D173" s="34" t="e">
        <f>VLOOKUP(TR_Modèle91942[[#This Row],[Ingrédients]],T_ingrédients[],3,0)</f>
        <v>#N/A</v>
      </c>
      <c r="E173" s="40"/>
      <c r="F173" s="41"/>
      <c r="G173" s="40"/>
    </row>
    <row r="174" spans="3:7" x14ac:dyDescent="0.25">
      <c r="C174" s="2"/>
      <c r="D174" s="34" t="e">
        <f>VLOOKUP(TR_Modèle91942[[#This Row],[Ingrédients]],T_ingrédients[],3,0)</f>
        <v>#N/A</v>
      </c>
      <c r="E174" s="40"/>
      <c r="F174" s="41"/>
      <c r="G174" s="40"/>
    </row>
    <row r="175" spans="3:7" x14ac:dyDescent="0.25">
      <c r="C175" s="2"/>
      <c r="D175" s="34" t="e">
        <f>VLOOKUP(TR_Modèle91942[[#This Row],[Ingrédients]],T_ingrédients[],3,0)</f>
        <v>#N/A</v>
      </c>
      <c r="E175" s="40"/>
      <c r="F175" s="41"/>
      <c r="G175" s="40"/>
    </row>
    <row r="176" spans="3:7" x14ac:dyDescent="0.25">
      <c r="C176" s="2"/>
      <c r="D176" s="34" t="e">
        <f>VLOOKUP(TR_Modèle91942[[#This Row],[Ingrédients]],T_ingrédients[],3,0)</f>
        <v>#N/A</v>
      </c>
      <c r="E176" s="40"/>
      <c r="F176" s="41"/>
      <c r="G176" s="40"/>
    </row>
    <row r="177" spans="3:7" x14ac:dyDescent="0.25">
      <c r="C177" s="2"/>
      <c r="D177" s="34" t="e">
        <f>VLOOKUP(TR_Modèle91942[[#This Row],[Ingrédients]],T_ingrédients[],3,0)</f>
        <v>#N/A</v>
      </c>
      <c r="E177" s="40"/>
      <c r="F177" s="41"/>
      <c r="G177" s="40"/>
    </row>
    <row r="178" spans="3:7" x14ac:dyDescent="0.25">
      <c r="C178" s="2"/>
      <c r="D178" s="34" t="e">
        <f>VLOOKUP(TR_Modèle91942[[#This Row],[Ingrédients]],T_ingrédients[],3,0)</f>
        <v>#N/A</v>
      </c>
      <c r="E178" s="40"/>
      <c r="F178" s="41"/>
      <c r="G178" s="40"/>
    </row>
    <row r="179" spans="3:7" x14ac:dyDescent="0.25">
      <c r="C179" s="2"/>
      <c r="D179" s="34" t="e">
        <f>VLOOKUP(TR_Modèle91942[[#This Row],[Ingrédients]],T_ingrédients[],3,0)</f>
        <v>#N/A</v>
      </c>
      <c r="E179" s="40"/>
      <c r="F179" s="41"/>
      <c r="G179" s="40"/>
    </row>
    <row r="180" spans="3:7" x14ac:dyDescent="0.25">
      <c r="C180" s="2"/>
      <c r="D180" s="34" t="e">
        <f>VLOOKUP(TR_Modèle91942[[#This Row],[Ingrédients]],T_ingrédients[],3,0)</f>
        <v>#N/A</v>
      </c>
      <c r="E180" s="40"/>
      <c r="F180" s="41"/>
      <c r="G180" s="40"/>
    </row>
    <row r="181" spans="3:7" x14ac:dyDescent="0.25">
      <c r="C181" s="2"/>
      <c r="D181" s="34" t="e">
        <f>VLOOKUP(TR_Modèle91942[[#This Row],[Ingrédients]],T_ingrédients[],3,0)</f>
        <v>#N/A</v>
      </c>
      <c r="E181" s="40"/>
      <c r="F181" s="41"/>
      <c r="G181" s="40"/>
    </row>
    <row r="182" spans="3:7" x14ac:dyDescent="0.25">
      <c r="C182" s="2"/>
      <c r="D182" s="34" t="e">
        <f>VLOOKUP(TR_Modèle91942[[#This Row],[Ingrédients]],T_ingrédients[],3,0)</f>
        <v>#N/A</v>
      </c>
      <c r="E182" s="40"/>
      <c r="F182" s="41"/>
      <c r="G182" s="40"/>
    </row>
    <row r="183" spans="3:7" x14ac:dyDescent="0.25">
      <c r="C183" s="2"/>
      <c r="D183" s="34" t="e">
        <f>VLOOKUP(TR_Modèle91942[[#This Row],[Ingrédients]],T_ingrédients[],3,0)</f>
        <v>#N/A</v>
      </c>
      <c r="E183" s="40"/>
      <c r="F183" s="41"/>
      <c r="G183" s="40"/>
    </row>
    <row r="184" spans="3:7" x14ac:dyDescent="0.25">
      <c r="C184" s="2"/>
      <c r="D184" s="34" t="e">
        <f>VLOOKUP(TR_Modèle91942[[#This Row],[Ingrédients]],T_ingrédients[],3,0)</f>
        <v>#N/A</v>
      </c>
      <c r="E184" s="40"/>
      <c r="F184" s="41"/>
      <c r="G184" s="40"/>
    </row>
    <row r="185" spans="3:7" x14ac:dyDescent="0.25">
      <c r="C185" s="2"/>
      <c r="D185" s="34" t="e">
        <f>VLOOKUP(TR_Modèle91942[[#This Row],[Ingrédients]],T_ingrédients[],3,0)</f>
        <v>#N/A</v>
      </c>
      <c r="E185" s="40"/>
      <c r="F185" s="41"/>
      <c r="G185" s="40"/>
    </row>
    <row r="186" spans="3:7" x14ac:dyDescent="0.25">
      <c r="C186" s="2"/>
      <c r="D186" s="34" t="e">
        <f>VLOOKUP(TR_Modèle91942[[#This Row],[Ingrédients]],T_ingrédients[],3,0)</f>
        <v>#N/A</v>
      </c>
      <c r="E186" s="40"/>
      <c r="F186" s="41"/>
      <c r="G186" s="40"/>
    </row>
    <row r="187" spans="3:7" x14ac:dyDescent="0.25">
      <c r="C187" s="2"/>
      <c r="D187" s="34" t="e">
        <f>VLOOKUP(TR_Modèle91942[[#This Row],[Ingrédients]],T_ingrédients[],3,0)</f>
        <v>#N/A</v>
      </c>
      <c r="E187" s="40"/>
      <c r="F187" s="41"/>
      <c r="G187" s="40"/>
    </row>
    <row r="188" spans="3:7" x14ac:dyDescent="0.25">
      <c r="C188" s="2"/>
      <c r="D188" s="34" t="e">
        <f>VLOOKUP(TR_Modèle91942[[#This Row],[Ingrédients]],T_ingrédients[],3,0)</f>
        <v>#N/A</v>
      </c>
      <c r="E188" s="40"/>
      <c r="F188" s="41"/>
      <c r="G188" s="40"/>
    </row>
    <row r="189" spans="3:7" x14ac:dyDescent="0.25">
      <c r="C189" s="2"/>
      <c r="D189" s="34" t="e">
        <f>VLOOKUP(TR_Modèle91942[[#This Row],[Ingrédients]],T_ingrédients[],3,0)</f>
        <v>#N/A</v>
      </c>
      <c r="E189" s="40"/>
      <c r="F189" s="41"/>
      <c r="G189" s="40"/>
    </row>
    <row r="190" spans="3:7" x14ac:dyDescent="0.25">
      <c r="C190" s="2"/>
      <c r="D190" s="34" t="e">
        <f>VLOOKUP(TR_Modèle91942[[#This Row],[Ingrédients]],T_ingrédients[],3,0)</f>
        <v>#N/A</v>
      </c>
      <c r="E190" s="40"/>
      <c r="F190" s="41"/>
      <c r="G190" s="40"/>
    </row>
    <row r="191" spans="3:7" x14ac:dyDescent="0.25">
      <c r="C191" s="2"/>
      <c r="D191" s="34" t="e">
        <f>VLOOKUP(TR_Modèle91942[[#This Row],[Ingrédients]],T_ingrédients[],3,0)</f>
        <v>#N/A</v>
      </c>
      <c r="E191" s="40"/>
      <c r="F191" s="41"/>
      <c r="G191" s="40"/>
    </row>
    <row r="192" spans="3:7" x14ac:dyDescent="0.25">
      <c r="C192" s="2"/>
      <c r="D192" s="34" t="e">
        <f>VLOOKUP(TR_Modèle91942[[#This Row],[Ingrédients]],T_ingrédients[],3,0)</f>
        <v>#N/A</v>
      </c>
      <c r="E192" s="40"/>
      <c r="F192" s="41"/>
      <c r="G192" s="40"/>
    </row>
    <row r="193" spans="3:7" x14ac:dyDescent="0.25">
      <c r="C193" s="2"/>
      <c r="D193" s="34" t="e">
        <f>VLOOKUP(TR_Modèle91942[[#This Row],[Ingrédients]],T_ingrédients[],3,0)</f>
        <v>#N/A</v>
      </c>
      <c r="E193" s="40"/>
      <c r="F193" s="41"/>
      <c r="G193" s="40"/>
    </row>
    <row r="194" spans="3:7" x14ac:dyDescent="0.25">
      <c r="C194" s="2"/>
      <c r="D194" s="34" t="e">
        <f>VLOOKUP(TR_Modèle91942[[#This Row],[Ingrédients]],T_ingrédients[],3,0)</f>
        <v>#N/A</v>
      </c>
      <c r="E194" s="40"/>
      <c r="F194" s="41"/>
      <c r="G194" s="40"/>
    </row>
    <row r="195" spans="3:7" x14ac:dyDescent="0.25">
      <c r="C195" s="2"/>
      <c r="D195" s="34" t="e">
        <f>VLOOKUP(TR_Modèle91942[[#This Row],[Ingrédients]],T_ingrédients[],3,0)</f>
        <v>#N/A</v>
      </c>
      <c r="E195" s="40"/>
      <c r="F195" s="41"/>
      <c r="G195" s="40"/>
    </row>
    <row r="196" spans="3:7" x14ac:dyDescent="0.25">
      <c r="C196" s="2"/>
      <c r="D196" s="34" t="e">
        <f>VLOOKUP(TR_Modèle91942[[#This Row],[Ingrédients]],T_ingrédients[],3,0)</f>
        <v>#N/A</v>
      </c>
      <c r="E196" s="40"/>
      <c r="F196" s="41"/>
      <c r="G196" s="40"/>
    </row>
    <row r="197" spans="3:7" ht="15.75" thickBot="1" x14ac:dyDescent="0.3">
      <c r="C197" s="2"/>
      <c r="D197" s="34" t="e">
        <f>VLOOKUP(TR_Modèle91942[[#This Row],[Ingrédients]],T_ingrédients[],3,0)</f>
        <v>#N/A</v>
      </c>
      <c r="E197" s="40"/>
      <c r="F197" s="41"/>
      <c r="G197" s="40"/>
    </row>
    <row r="198" spans="3:7" ht="16.5" thickBot="1" x14ac:dyDescent="0.3">
      <c r="C198" s="26" t="s">
        <v>39</v>
      </c>
      <c r="D198" s="27" t="s">
        <v>12</v>
      </c>
      <c r="E198" s="28">
        <f>SUBTOTAL(109,TR_Modèle91942[6])</f>
        <v>0</v>
      </c>
      <c r="F198" s="28">
        <f>SUBTOTAL(109,TR_Modèle91942[12])</f>
        <v>0</v>
      </c>
      <c r="G198" s="29">
        <f>SUBTOTAL(109,TR_Modèle91942[24])</f>
        <v>0</v>
      </c>
    </row>
    <row r="200" spans="3:7" ht="15.75" thickBot="1" x14ac:dyDescent="0.3"/>
    <row r="201" spans="3:7" ht="18" thickBot="1" x14ac:dyDescent="0.3">
      <c r="C201" s="176" t="s">
        <v>60</v>
      </c>
      <c r="D201" s="177"/>
      <c r="E201" s="177"/>
      <c r="F201" s="177"/>
      <c r="G201" s="178"/>
    </row>
    <row r="202" spans="3:7" ht="15.75" thickBot="1" x14ac:dyDescent="0.3">
      <c r="C202" s="181"/>
      <c r="D202" s="182"/>
      <c r="E202" s="183" t="s">
        <v>13</v>
      </c>
      <c r="F202" s="184"/>
      <c r="G202" s="185"/>
    </row>
    <row r="203" spans="3:7" ht="16.5" thickBot="1" x14ac:dyDescent="0.3">
      <c r="C203" s="19" t="s">
        <v>0</v>
      </c>
      <c r="D203" s="33" t="s">
        <v>1</v>
      </c>
      <c r="E203" s="21" t="s">
        <v>40</v>
      </c>
      <c r="F203" s="21" t="s">
        <v>41</v>
      </c>
      <c r="G203" s="21" t="s">
        <v>240</v>
      </c>
    </row>
    <row r="204" spans="3:7" x14ac:dyDescent="0.25">
      <c r="C204" s="32"/>
      <c r="D204" s="34" t="e">
        <f>VLOOKUP(TR_Modèle92043[[#This Row],[Ingrédients]],T_ingrédients[],3,0)</f>
        <v>#N/A</v>
      </c>
      <c r="E204" s="40"/>
      <c r="F204" s="41"/>
      <c r="G204" s="40"/>
    </row>
    <row r="205" spans="3:7" x14ac:dyDescent="0.25">
      <c r="C205" s="2"/>
      <c r="D205" s="34" t="e">
        <f>VLOOKUP(TR_Modèle92043[[#This Row],[Ingrédients]],T_ingrédients[],3,0)</f>
        <v>#N/A</v>
      </c>
      <c r="E205" s="40"/>
      <c r="F205" s="41"/>
      <c r="G205" s="40"/>
    </row>
    <row r="206" spans="3:7" x14ac:dyDescent="0.25">
      <c r="C206" s="2"/>
      <c r="D206" s="34" t="e">
        <f>VLOOKUP(TR_Modèle92043[[#This Row],[Ingrédients]],T_ingrédients[],3,0)</f>
        <v>#N/A</v>
      </c>
      <c r="E206" s="40"/>
      <c r="F206" s="41"/>
      <c r="G206" s="40"/>
    </row>
    <row r="207" spans="3:7" x14ac:dyDescent="0.25">
      <c r="C207" s="2"/>
      <c r="D207" s="34" t="e">
        <f>VLOOKUP(TR_Modèle92043[[#This Row],[Ingrédients]],T_ingrédients[],3,0)</f>
        <v>#N/A</v>
      </c>
      <c r="E207" s="40"/>
      <c r="F207" s="41"/>
      <c r="G207" s="40"/>
    </row>
    <row r="208" spans="3:7" x14ac:dyDescent="0.25">
      <c r="C208" s="2"/>
      <c r="D208" s="34" t="e">
        <f>VLOOKUP(TR_Modèle92043[[#This Row],[Ingrédients]],T_ingrédients[],3,0)</f>
        <v>#N/A</v>
      </c>
      <c r="E208" s="40"/>
      <c r="F208" s="41"/>
      <c r="G208" s="40"/>
    </row>
    <row r="209" spans="3:7" x14ac:dyDescent="0.25">
      <c r="C209" s="2"/>
      <c r="D209" s="34" t="e">
        <f>VLOOKUP(TR_Modèle92043[[#This Row],[Ingrédients]],T_ingrédients[],3,0)</f>
        <v>#N/A</v>
      </c>
      <c r="E209" s="40"/>
      <c r="F209" s="41"/>
      <c r="G209" s="40"/>
    </row>
    <row r="210" spans="3:7" x14ac:dyDescent="0.25">
      <c r="C210" s="2"/>
      <c r="D210" s="34" t="e">
        <f>VLOOKUP(TR_Modèle92043[[#This Row],[Ingrédients]],T_ingrédients[],3,0)</f>
        <v>#N/A</v>
      </c>
      <c r="E210" s="40"/>
      <c r="F210" s="41"/>
      <c r="G210" s="40"/>
    </row>
    <row r="211" spans="3:7" x14ac:dyDescent="0.25">
      <c r="C211" s="2"/>
      <c r="D211" s="34" t="e">
        <f>VLOOKUP(TR_Modèle92043[[#This Row],[Ingrédients]],T_ingrédients[],3,0)</f>
        <v>#N/A</v>
      </c>
      <c r="E211" s="40"/>
      <c r="F211" s="41"/>
      <c r="G211" s="40"/>
    </row>
    <row r="212" spans="3:7" x14ac:dyDescent="0.25">
      <c r="C212" s="2"/>
      <c r="D212" s="34" t="e">
        <f>VLOOKUP(TR_Modèle92043[[#This Row],[Ingrédients]],T_ingrédients[],3,0)</f>
        <v>#N/A</v>
      </c>
      <c r="E212" s="40"/>
      <c r="F212" s="41"/>
      <c r="G212" s="40"/>
    </row>
    <row r="213" spans="3:7" x14ac:dyDescent="0.25">
      <c r="C213" s="2"/>
      <c r="D213" s="34" t="e">
        <f>VLOOKUP(TR_Modèle92043[[#This Row],[Ingrédients]],T_ingrédients[],3,0)</f>
        <v>#N/A</v>
      </c>
      <c r="E213" s="40"/>
      <c r="F213" s="41"/>
      <c r="G213" s="40"/>
    </row>
    <row r="214" spans="3:7" x14ac:dyDescent="0.25">
      <c r="C214" s="2"/>
      <c r="D214" s="34" t="e">
        <f>VLOOKUP(TR_Modèle92043[[#This Row],[Ingrédients]],T_ingrédients[],3,0)</f>
        <v>#N/A</v>
      </c>
      <c r="E214" s="40"/>
      <c r="F214" s="41"/>
      <c r="G214" s="40"/>
    </row>
    <row r="215" spans="3:7" x14ac:dyDescent="0.25">
      <c r="C215" s="2"/>
      <c r="D215" s="34" t="e">
        <f>VLOOKUP(TR_Modèle92043[[#This Row],[Ingrédients]],T_ingrédients[],3,0)</f>
        <v>#N/A</v>
      </c>
      <c r="E215" s="40"/>
      <c r="F215" s="41"/>
      <c r="G215" s="40"/>
    </row>
    <row r="216" spans="3:7" x14ac:dyDescent="0.25">
      <c r="C216" s="2"/>
      <c r="D216" s="34" t="e">
        <f>VLOOKUP(TR_Modèle92043[[#This Row],[Ingrédients]],T_ingrédients[],3,0)</f>
        <v>#N/A</v>
      </c>
      <c r="E216" s="40"/>
      <c r="F216" s="41"/>
      <c r="G216" s="40"/>
    </row>
    <row r="217" spans="3:7" x14ac:dyDescent="0.25">
      <c r="C217" s="2"/>
      <c r="D217" s="34" t="e">
        <f>VLOOKUP(TR_Modèle92043[[#This Row],[Ingrédients]],T_ingrédients[],3,0)</f>
        <v>#N/A</v>
      </c>
      <c r="E217" s="40"/>
      <c r="F217" s="41"/>
      <c r="G217" s="40"/>
    </row>
    <row r="218" spans="3:7" x14ac:dyDescent="0.25">
      <c r="C218" s="2"/>
      <c r="D218" s="34" t="e">
        <f>VLOOKUP(TR_Modèle92043[[#This Row],[Ingrédients]],T_ingrédients[],3,0)</f>
        <v>#N/A</v>
      </c>
      <c r="E218" s="40"/>
      <c r="F218" s="41"/>
      <c r="G218" s="40"/>
    </row>
    <row r="219" spans="3:7" x14ac:dyDescent="0.25">
      <c r="C219" s="2"/>
      <c r="D219" s="34" t="e">
        <f>VLOOKUP(TR_Modèle92043[[#This Row],[Ingrédients]],T_ingrédients[],3,0)</f>
        <v>#N/A</v>
      </c>
      <c r="E219" s="40"/>
      <c r="F219" s="41"/>
      <c r="G219" s="40"/>
    </row>
    <row r="220" spans="3:7" x14ac:dyDescent="0.25">
      <c r="C220" s="2"/>
      <c r="D220" s="34" t="e">
        <f>VLOOKUP(TR_Modèle92043[[#This Row],[Ingrédients]],T_ingrédients[],3,0)</f>
        <v>#N/A</v>
      </c>
      <c r="E220" s="40"/>
      <c r="F220" s="41"/>
      <c r="G220" s="40"/>
    </row>
    <row r="221" spans="3:7" x14ac:dyDescent="0.25">
      <c r="C221" s="2"/>
      <c r="D221" s="34" t="e">
        <f>VLOOKUP(TR_Modèle92043[[#This Row],[Ingrédients]],T_ingrédients[],3,0)</f>
        <v>#N/A</v>
      </c>
      <c r="E221" s="40"/>
      <c r="F221" s="41"/>
      <c r="G221" s="40"/>
    </row>
    <row r="222" spans="3:7" x14ac:dyDescent="0.25">
      <c r="C222" s="2"/>
      <c r="D222" s="34" t="e">
        <f>VLOOKUP(TR_Modèle92043[[#This Row],[Ingrédients]],T_ingrédients[],3,0)</f>
        <v>#N/A</v>
      </c>
      <c r="E222" s="40"/>
      <c r="F222" s="41"/>
      <c r="G222" s="40"/>
    </row>
    <row r="223" spans="3:7" x14ac:dyDescent="0.25">
      <c r="C223" s="2"/>
      <c r="D223" s="34" t="e">
        <f>VLOOKUP(TR_Modèle92043[[#This Row],[Ingrédients]],T_ingrédients[],3,0)</f>
        <v>#N/A</v>
      </c>
      <c r="E223" s="40"/>
      <c r="F223" s="41"/>
      <c r="G223" s="40"/>
    </row>
    <row r="224" spans="3:7" x14ac:dyDescent="0.25">
      <c r="C224" s="2"/>
      <c r="D224" s="34" t="e">
        <f>VLOOKUP(TR_Modèle92043[[#This Row],[Ingrédients]],T_ingrédients[],3,0)</f>
        <v>#N/A</v>
      </c>
      <c r="E224" s="40"/>
      <c r="F224" s="41"/>
      <c r="G224" s="40"/>
    </row>
    <row r="225" spans="3:7" x14ac:dyDescent="0.25">
      <c r="C225" s="2"/>
      <c r="D225" s="34" t="e">
        <f>VLOOKUP(TR_Modèle92043[[#This Row],[Ingrédients]],T_ingrédients[],3,0)</f>
        <v>#N/A</v>
      </c>
      <c r="E225" s="40"/>
      <c r="F225" s="41"/>
      <c r="G225" s="40"/>
    </row>
    <row r="226" spans="3:7" x14ac:dyDescent="0.25">
      <c r="C226" s="2"/>
      <c r="D226" s="34" t="e">
        <f>VLOOKUP(TR_Modèle92043[[#This Row],[Ingrédients]],T_ingrédients[],3,0)</f>
        <v>#N/A</v>
      </c>
      <c r="E226" s="40"/>
      <c r="F226" s="41"/>
      <c r="G226" s="40"/>
    </row>
    <row r="227" spans="3:7" x14ac:dyDescent="0.25">
      <c r="C227" s="2"/>
      <c r="D227" s="34" t="e">
        <f>VLOOKUP(TR_Modèle92043[[#This Row],[Ingrédients]],T_ingrédients[],3,0)</f>
        <v>#N/A</v>
      </c>
      <c r="E227" s="40"/>
      <c r="F227" s="41"/>
      <c r="G227" s="40"/>
    </row>
    <row r="228" spans="3:7" x14ac:dyDescent="0.25">
      <c r="C228" s="2"/>
      <c r="D228" s="34" t="e">
        <f>VLOOKUP(TR_Modèle92043[[#This Row],[Ingrédients]],T_ingrédients[],3,0)</f>
        <v>#N/A</v>
      </c>
      <c r="E228" s="40"/>
      <c r="F228" s="41"/>
      <c r="G228" s="40"/>
    </row>
    <row r="229" spans="3:7" x14ac:dyDescent="0.25">
      <c r="C229" s="2"/>
      <c r="D229" s="34" t="e">
        <f>VLOOKUP(TR_Modèle92043[[#This Row],[Ingrédients]],T_ingrédients[],3,0)</f>
        <v>#N/A</v>
      </c>
      <c r="E229" s="40"/>
      <c r="F229" s="41"/>
      <c r="G229" s="40"/>
    </row>
    <row r="230" spans="3:7" x14ac:dyDescent="0.25">
      <c r="C230" s="2"/>
      <c r="D230" s="34" t="e">
        <f>VLOOKUP(TR_Modèle92043[[#This Row],[Ingrédients]],T_ingrédients[],3,0)</f>
        <v>#N/A</v>
      </c>
      <c r="E230" s="40"/>
      <c r="F230" s="41"/>
      <c r="G230" s="40"/>
    </row>
    <row r="231" spans="3:7" ht="15.75" thickBot="1" x14ac:dyDescent="0.3">
      <c r="C231" s="2"/>
      <c r="D231" s="34" t="e">
        <f>VLOOKUP(TR_Modèle92043[[#This Row],[Ingrédients]],T_ingrédients[],3,0)</f>
        <v>#N/A</v>
      </c>
      <c r="E231" s="40"/>
      <c r="F231" s="41"/>
      <c r="G231" s="40"/>
    </row>
    <row r="232" spans="3:7" ht="16.5" thickBot="1" x14ac:dyDescent="0.3">
      <c r="C232" s="26" t="s">
        <v>39</v>
      </c>
      <c r="D232" s="27" t="s">
        <v>12</v>
      </c>
      <c r="E232" s="28">
        <f>SUBTOTAL(109,TR_Modèle92043[6])</f>
        <v>0</v>
      </c>
      <c r="F232" s="28">
        <f>SUBTOTAL(109,TR_Modèle92043[12])</f>
        <v>0</v>
      </c>
      <c r="G232" s="29">
        <f>SUBTOTAL(109,TR_Modèle92043[24])</f>
        <v>0</v>
      </c>
    </row>
    <row r="234" spans="3:7" ht="15.75" thickBot="1" x14ac:dyDescent="0.3"/>
    <row r="235" spans="3:7" ht="18" thickBot="1" x14ac:dyDescent="0.3">
      <c r="C235" s="176" t="s">
        <v>60</v>
      </c>
      <c r="D235" s="177"/>
      <c r="E235" s="177"/>
      <c r="F235" s="177"/>
      <c r="G235" s="178"/>
    </row>
    <row r="236" spans="3:7" ht="15.75" thickBot="1" x14ac:dyDescent="0.3">
      <c r="C236" s="181"/>
      <c r="D236" s="182"/>
      <c r="E236" s="183" t="s">
        <v>13</v>
      </c>
      <c r="F236" s="184"/>
      <c r="G236" s="185"/>
    </row>
    <row r="237" spans="3:7" ht="16.5" thickBot="1" x14ac:dyDescent="0.3">
      <c r="C237" s="19" t="s">
        <v>0</v>
      </c>
      <c r="D237" s="33" t="s">
        <v>1</v>
      </c>
      <c r="E237" s="21" t="s">
        <v>40</v>
      </c>
      <c r="F237" s="21" t="s">
        <v>41</v>
      </c>
      <c r="G237" s="21" t="s">
        <v>240</v>
      </c>
    </row>
    <row r="238" spans="3:7" x14ac:dyDescent="0.25">
      <c r="C238" s="32"/>
      <c r="D238" s="34" t="e">
        <f>VLOOKUP(TR_Modèle92144[[#This Row],[Ingrédients]],T_ingrédients[],3,0)</f>
        <v>#N/A</v>
      </c>
      <c r="E238" s="40"/>
      <c r="F238" s="41"/>
      <c r="G238" s="40"/>
    </row>
    <row r="239" spans="3:7" x14ac:dyDescent="0.25">
      <c r="C239" s="2"/>
      <c r="D239" s="34" t="e">
        <f>VLOOKUP(TR_Modèle92144[[#This Row],[Ingrédients]],T_ingrédients[],3,0)</f>
        <v>#N/A</v>
      </c>
      <c r="E239" s="40"/>
      <c r="F239" s="41"/>
      <c r="G239" s="40"/>
    </row>
    <row r="240" spans="3:7" x14ac:dyDescent="0.25">
      <c r="C240" s="2"/>
      <c r="D240" s="34" t="e">
        <f>VLOOKUP(TR_Modèle92144[[#This Row],[Ingrédients]],T_ingrédients[],3,0)</f>
        <v>#N/A</v>
      </c>
      <c r="E240" s="40"/>
      <c r="F240" s="41"/>
      <c r="G240" s="40"/>
    </row>
    <row r="241" spans="3:7" x14ac:dyDescent="0.25">
      <c r="C241" s="2"/>
      <c r="D241" s="34" t="e">
        <f>VLOOKUP(TR_Modèle92144[[#This Row],[Ingrédients]],T_ingrédients[],3,0)</f>
        <v>#N/A</v>
      </c>
      <c r="E241" s="40"/>
      <c r="F241" s="41"/>
      <c r="G241" s="40"/>
    </row>
    <row r="242" spans="3:7" x14ac:dyDescent="0.25">
      <c r="C242" s="2"/>
      <c r="D242" s="34" t="e">
        <f>VLOOKUP(TR_Modèle92144[[#This Row],[Ingrédients]],T_ingrédients[],3,0)</f>
        <v>#N/A</v>
      </c>
      <c r="E242" s="40"/>
      <c r="F242" s="41"/>
      <c r="G242" s="40"/>
    </row>
    <row r="243" spans="3:7" x14ac:dyDescent="0.25">
      <c r="C243" s="2"/>
      <c r="D243" s="34" t="e">
        <f>VLOOKUP(TR_Modèle92144[[#This Row],[Ingrédients]],T_ingrédients[],3,0)</f>
        <v>#N/A</v>
      </c>
      <c r="E243" s="40"/>
      <c r="F243" s="41"/>
      <c r="G243" s="40"/>
    </row>
    <row r="244" spans="3:7" x14ac:dyDescent="0.25">
      <c r="C244" s="2"/>
      <c r="D244" s="34" t="e">
        <f>VLOOKUP(TR_Modèle92144[[#This Row],[Ingrédients]],T_ingrédients[],3,0)</f>
        <v>#N/A</v>
      </c>
      <c r="E244" s="40"/>
      <c r="F244" s="41"/>
      <c r="G244" s="40"/>
    </row>
    <row r="245" spans="3:7" x14ac:dyDescent="0.25">
      <c r="C245" s="2"/>
      <c r="D245" s="34" t="e">
        <f>VLOOKUP(TR_Modèle92144[[#This Row],[Ingrédients]],T_ingrédients[],3,0)</f>
        <v>#N/A</v>
      </c>
      <c r="E245" s="40"/>
      <c r="F245" s="41"/>
      <c r="G245" s="40"/>
    </row>
    <row r="246" spans="3:7" x14ac:dyDescent="0.25">
      <c r="C246" s="2"/>
      <c r="D246" s="34" t="e">
        <f>VLOOKUP(TR_Modèle92144[[#This Row],[Ingrédients]],T_ingrédients[],3,0)</f>
        <v>#N/A</v>
      </c>
      <c r="E246" s="40"/>
      <c r="F246" s="41"/>
      <c r="G246" s="40"/>
    </row>
    <row r="247" spans="3:7" x14ac:dyDescent="0.25">
      <c r="C247" s="2"/>
      <c r="D247" s="34" t="e">
        <f>VLOOKUP(TR_Modèle92144[[#This Row],[Ingrédients]],T_ingrédients[],3,0)</f>
        <v>#N/A</v>
      </c>
      <c r="E247" s="40"/>
      <c r="F247" s="41"/>
      <c r="G247" s="40"/>
    </row>
    <row r="248" spans="3:7" x14ac:dyDescent="0.25">
      <c r="C248" s="2"/>
      <c r="D248" s="34" t="e">
        <f>VLOOKUP(TR_Modèle92144[[#This Row],[Ingrédients]],T_ingrédients[],3,0)</f>
        <v>#N/A</v>
      </c>
      <c r="E248" s="40"/>
      <c r="F248" s="41"/>
      <c r="G248" s="40"/>
    </row>
    <row r="249" spans="3:7" x14ac:dyDescent="0.25">
      <c r="C249" s="2"/>
      <c r="D249" s="34" t="e">
        <f>VLOOKUP(TR_Modèle92144[[#This Row],[Ingrédients]],T_ingrédients[],3,0)</f>
        <v>#N/A</v>
      </c>
      <c r="E249" s="40"/>
      <c r="F249" s="41"/>
      <c r="G249" s="40"/>
    </row>
    <row r="250" spans="3:7" x14ac:dyDescent="0.25">
      <c r="C250" s="2"/>
      <c r="D250" s="34" t="e">
        <f>VLOOKUP(TR_Modèle92144[[#This Row],[Ingrédients]],T_ingrédients[],3,0)</f>
        <v>#N/A</v>
      </c>
      <c r="E250" s="40"/>
      <c r="F250" s="41"/>
      <c r="G250" s="40"/>
    </row>
    <row r="251" spans="3:7" x14ac:dyDescent="0.25">
      <c r="C251" s="2"/>
      <c r="D251" s="34" t="e">
        <f>VLOOKUP(TR_Modèle92144[[#This Row],[Ingrédients]],T_ingrédients[],3,0)</f>
        <v>#N/A</v>
      </c>
      <c r="E251" s="40"/>
      <c r="F251" s="41"/>
      <c r="G251" s="40"/>
    </row>
    <row r="252" spans="3:7" x14ac:dyDescent="0.25">
      <c r="C252" s="2"/>
      <c r="D252" s="34" t="e">
        <f>VLOOKUP(TR_Modèle92144[[#This Row],[Ingrédients]],T_ingrédients[],3,0)</f>
        <v>#N/A</v>
      </c>
      <c r="E252" s="40"/>
      <c r="F252" s="41"/>
      <c r="G252" s="40"/>
    </row>
    <row r="253" spans="3:7" x14ac:dyDescent="0.25">
      <c r="C253" s="2"/>
      <c r="D253" s="34" t="e">
        <f>VLOOKUP(TR_Modèle92144[[#This Row],[Ingrédients]],T_ingrédients[],3,0)</f>
        <v>#N/A</v>
      </c>
      <c r="E253" s="40"/>
      <c r="F253" s="41"/>
      <c r="G253" s="40"/>
    </row>
    <row r="254" spans="3:7" x14ac:dyDescent="0.25">
      <c r="C254" s="2"/>
      <c r="D254" s="34" t="e">
        <f>VLOOKUP(TR_Modèle92144[[#This Row],[Ingrédients]],T_ingrédients[],3,0)</f>
        <v>#N/A</v>
      </c>
      <c r="E254" s="40"/>
      <c r="F254" s="41"/>
      <c r="G254" s="40"/>
    </row>
    <row r="255" spans="3:7" x14ac:dyDescent="0.25">
      <c r="C255" s="2"/>
      <c r="D255" s="34" t="e">
        <f>VLOOKUP(TR_Modèle92144[[#This Row],[Ingrédients]],T_ingrédients[],3,0)</f>
        <v>#N/A</v>
      </c>
      <c r="E255" s="40"/>
      <c r="F255" s="41"/>
      <c r="G255" s="40"/>
    </row>
    <row r="256" spans="3:7" x14ac:dyDescent="0.25">
      <c r="C256" s="2"/>
      <c r="D256" s="34" t="e">
        <f>VLOOKUP(TR_Modèle92144[[#This Row],[Ingrédients]],T_ingrédients[],3,0)</f>
        <v>#N/A</v>
      </c>
      <c r="E256" s="40"/>
      <c r="F256" s="41"/>
      <c r="G256" s="40"/>
    </row>
    <row r="257" spans="3:7" x14ac:dyDescent="0.25">
      <c r="C257" s="2"/>
      <c r="D257" s="34" t="e">
        <f>VLOOKUP(TR_Modèle92144[[#This Row],[Ingrédients]],T_ingrédients[],3,0)</f>
        <v>#N/A</v>
      </c>
      <c r="E257" s="40"/>
      <c r="F257" s="41"/>
      <c r="G257" s="40"/>
    </row>
    <row r="258" spans="3:7" x14ac:dyDescent="0.25">
      <c r="C258" s="2"/>
      <c r="D258" s="34" t="e">
        <f>VLOOKUP(TR_Modèle92144[[#This Row],[Ingrédients]],T_ingrédients[],3,0)</f>
        <v>#N/A</v>
      </c>
      <c r="E258" s="40"/>
      <c r="F258" s="41"/>
      <c r="G258" s="40"/>
    </row>
    <row r="259" spans="3:7" x14ac:dyDescent="0.25">
      <c r="C259" s="2"/>
      <c r="D259" s="34" t="e">
        <f>VLOOKUP(TR_Modèle92144[[#This Row],[Ingrédients]],T_ingrédients[],3,0)</f>
        <v>#N/A</v>
      </c>
      <c r="E259" s="40"/>
      <c r="F259" s="41"/>
      <c r="G259" s="40"/>
    </row>
    <row r="260" spans="3:7" x14ac:dyDescent="0.25">
      <c r="C260" s="2"/>
      <c r="D260" s="34" t="e">
        <f>VLOOKUP(TR_Modèle92144[[#This Row],[Ingrédients]],T_ingrédients[],3,0)</f>
        <v>#N/A</v>
      </c>
      <c r="E260" s="40"/>
      <c r="F260" s="41"/>
      <c r="G260" s="40"/>
    </row>
    <row r="261" spans="3:7" x14ac:dyDescent="0.25">
      <c r="C261" s="2"/>
      <c r="D261" s="34" t="e">
        <f>VLOOKUP(TR_Modèle92144[[#This Row],[Ingrédients]],T_ingrédients[],3,0)</f>
        <v>#N/A</v>
      </c>
      <c r="E261" s="40"/>
      <c r="F261" s="41"/>
      <c r="G261" s="40"/>
    </row>
    <row r="262" spans="3:7" x14ac:dyDescent="0.25">
      <c r="C262" s="2"/>
      <c r="D262" s="34" t="e">
        <f>VLOOKUP(TR_Modèle92144[[#This Row],[Ingrédients]],T_ingrédients[],3,0)</f>
        <v>#N/A</v>
      </c>
      <c r="E262" s="40"/>
      <c r="F262" s="41"/>
      <c r="G262" s="40"/>
    </row>
    <row r="263" spans="3:7" x14ac:dyDescent="0.25">
      <c r="C263" s="2"/>
      <c r="D263" s="34" t="e">
        <f>VLOOKUP(TR_Modèle92144[[#This Row],[Ingrédients]],T_ingrédients[],3,0)</f>
        <v>#N/A</v>
      </c>
      <c r="E263" s="40"/>
      <c r="F263" s="41"/>
      <c r="G263" s="40"/>
    </row>
    <row r="264" spans="3:7" x14ac:dyDescent="0.25">
      <c r="C264" s="2"/>
      <c r="D264" s="34" t="e">
        <f>VLOOKUP(TR_Modèle92144[[#This Row],[Ingrédients]],T_ingrédients[],3,0)</f>
        <v>#N/A</v>
      </c>
      <c r="E264" s="40"/>
      <c r="F264" s="41"/>
      <c r="G264" s="40"/>
    </row>
    <row r="265" spans="3:7" ht="15.75" thickBot="1" x14ac:dyDescent="0.3">
      <c r="C265" s="2"/>
      <c r="D265" s="34" t="e">
        <f>VLOOKUP(TR_Modèle92144[[#This Row],[Ingrédients]],T_ingrédients[],3,0)</f>
        <v>#N/A</v>
      </c>
      <c r="E265" s="40"/>
      <c r="F265" s="41"/>
      <c r="G265" s="40"/>
    </row>
    <row r="266" spans="3:7" ht="16.5" thickBot="1" x14ac:dyDescent="0.3">
      <c r="C266" s="26" t="s">
        <v>39</v>
      </c>
      <c r="D266" s="27" t="s">
        <v>12</v>
      </c>
      <c r="E266" s="28">
        <f>SUBTOTAL(109,TR_Modèle92144[6])</f>
        <v>0</v>
      </c>
      <c r="F266" s="28">
        <f>SUBTOTAL(109,TR_Modèle92144[12])</f>
        <v>0</v>
      </c>
      <c r="G266" s="29">
        <f>SUBTOTAL(109,TR_Modèle92144[24])</f>
        <v>0</v>
      </c>
    </row>
    <row r="268" spans="3:7" ht="15.75" thickBot="1" x14ac:dyDescent="0.3"/>
    <row r="269" spans="3:7" ht="18" thickBot="1" x14ac:dyDescent="0.3">
      <c r="C269" s="176" t="s">
        <v>60</v>
      </c>
      <c r="D269" s="177"/>
      <c r="E269" s="177"/>
      <c r="F269" s="177"/>
      <c r="G269" s="178"/>
    </row>
    <row r="270" spans="3:7" ht="15.75" thickBot="1" x14ac:dyDescent="0.3">
      <c r="C270" s="181"/>
      <c r="D270" s="182"/>
      <c r="E270" s="183" t="s">
        <v>13</v>
      </c>
      <c r="F270" s="184"/>
      <c r="G270" s="185"/>
    </row>
    <row r="271" spans="3:7" ht="16.5" thickBot="1" x14ac:dyDescent="0.3">
      <c r="C271" s="19" t="s">
        <v>0</v>
      </c>
      <c r="D271" s="33" t="s">
        <v>1</v>
      </c>
      <c r="E271" s="21" t="s">
        <v>40</v>
      </c>
      <c r="F271" s="21" t="s">
        <v>41</v>
      </c>
      <c r="G271" s="21" t="s">
        <v>240</v>
      </c>
    </row>
    <row r="272" spans="3:7" x14ac:dyDescent="0.25">
      <c r="C272" s="32"/>
      <c r="D272" s="34" t="e">
        <f>VLOOKUP(TR_Modèle92245[[#This Row],[Ingrédients]],T_ingrédients[],3,0)</f>
        <v>#N/A</v>
      </c>
      <c r="E272" s="40"/>
      <c r="F272" s="41"/>
      <c r="G272" s="40"/>
    </row>
    <row r="273" spans="3:7" x14ac:dyDescent="0.25">
      <c r="C273" s="2"/>
      <c r="D273" s="34" t="e">
        <f>VLOOKUP(TR_Modèle92245[[#This Row],[Ingrédients]],T_ingrédients[],3,0)</f>
        <v>#N/A</v>
      </c>
      <c r="E273" s="40"/>
      <c r="F273" s="41"/>
      <c r="G273" s="40"/>
    </row>
    <row r="274" spans="3:7" x14ac:dyDescent="0.25">
      <c r="C274" s="2"/>
      <c r="D274" s="34" t="e">
        <f>VLOOKUP(TR_Modèle92245[[#This Row],[Ingrédients]],T_ingrédients[],3,0)</f>
        <v>#N/A</v>
      </c>
      <c r="E274" s="40"/>
      <c r="F274" s="41"/>
      <c r="G274" s="40"/>
    </row>
    <row r="275" spans="3:7" x14ac:dyDescent="0.25">
      <c r="C275" s="2"/>
      <c r="D275" s="34" t="e">
        <f>VLOOKUP(TR_Modèle92245[[#This Row],[Ingrédients]],T_ingrédients[],3,0)</f>
        <v>#N/A</v>
      </c>
      <c r="E275" s="40"/>
      <c r="F275" s="41"/>
      <c r="G275" s="40"/>
    </row>
    <row r="276" spans="3:7" x14ac:dyDescent="0.25">
      <c r="C276" s="2"/>
      <c r="D276" s="34" t="e">
        <f>VLOOKUP(TR_Modèle92245[[#This Row],[Ingrédients]],T_ingrédients[],3,0)</f>
        <v>#N/A</v>
      </c>
      <c r="E276" s="40"/>
      <c r="F276" s="41"/>
      <c r="G276" s="40"/>
    </row>
    <row r="277" spans="3:7" x14ac:dyDescent="0.25">
      <c r="C277" s="2"/>
      <c r="D277" s="34" t="e">
        <f>VLOOKUP(TR_Modèle92245[[#This Row],[Ingrédients]],T_ingrédients[],3,0)</f>
        <v>#N/A</v>
      </c>
      <c r="E277" s="40"/>
      <c r="F277" s="41"/>
      <c r="G277" s="40"/>
    </row>
    <row r="278" spans="3:7" x14ac:dyDescent="0.25">
      <c r="C278" s="2"/>
      <c r="D278" s="34" t="e">
        <f>VLOOKUP(TR_Modèle92245[[#This Row],[Ingrédients]],T_ingrédients[],3,0)</f>
        <v>#N/A</v>
      </c>
      <c r="E278" s="40"/>
      <c r="F278" s="41"/>
      <c r="G278" s="40"/>
    </row>
    <row r="279" spans="3:7" x14ac:dyDescent="0.25">
      <c r="C279" s="2"/>
      <c r="D279" s="34" t="e">
        <f>VLOOKUP(TR_Modèle92245[[#This Row],[Ingrédients]],T_ingrédients[],3,0)</f>
        <v>#N/A</v>
      </c>
      <c r="E279" s="40"/>
      <c r="F279" s="41"/>
      <c r="G279" s="40"/>
    </row>
    <row r="280" spans="3:7" x14ac:dyDescent="0.25">
      <c r="C280" s="2"/>
      <c r="D280" s="34" t="e">
        <f>VLOOKUP(TR_Modèle92245[[#This Row],[Ingrédients]],T_ingrédients[],3,0)</f>
        <v>#N/A</v>
      </c>
      <c r="E280" s="40"/>
      <c r="F280" s="41"/>
      <c r="G280" s="40"/>
    </row>
    <row r="281" spans="3:7" x14ac:dyDescent="0.25">
      <c r="C281" s="2"/>
      <c r="D281" s="34" t="e">
        <f>VLOOKUP(TR_Modèle92245[[#This Row],[Ingrédients]],T_ingrédients[],3,0)</f>
        <v>#N/A</v>
      </c>
      <c r="E281" s="40"/>
      <c r="F281" s="41"/>
      <c r="G281" s="40"/>
    </row>
    <row r="282" spans="3:7" x14ac:dyDescent="0.25">
      <c r="C282" s="2"/>
      <c r="D282" s="34" t="e">
        <f>VLOOKUP(TR_Modèle92245[[#This Row],[Ingrédients]],T_ingrédients[],3,0)</f>
        <v>#N/A</v>
      </c>
      <c r="E282" s="40"/>
      <c r="F282" s="41"/>
      <c r="G282" s="40"/>
    </row>
    <row r="283" spans="3:7" x14ac:dyDescent="0.25">
      <c r="C283" s="2"/>
      <c r="D283" s="34" t="e">
        <f>VLOOKUP(TR_Modèle92245[[#This Row],[Ingrédients]],T_ingrédients[],3,0)</f>
        <v>#N/A</v>
      </c>
      <c r="E283" s="40"/>
      <c r="F283" s="41"/>
      <c r="G283" s="40"/>
    </row>
    <row r="284" spans="3:7" x14ac:dyDescent="0.25">
      <c r="C284" s="2"/>
      <c r="D284" s="34" t="e">
        <f>VLOOKUP(TR_Modèle92245[[#This Row],[Ingrédients]],T_ingrédients[],3,0)</f>
        <v>#N/A</v>
      </c>
      <c r="E284" s="40"/>
      <c r="F284" s="41"/>
      <c r="G284" s="40"/>
    </row>
    <row r="285" spans="3:7" x14ac:dyDescent="0.25">
      <c r="C285" s="2"/>
      <c r="D285" s="34" t="e">
        <f>VLOOKUP(TR_Modèle92245[[#This Row],[Ingrédients]],T_ingrédients[],3,0)</f>
        <v>#N/A</v>
      </c>
      <c r="E285" s="40"/>
      <c r="F285" s="41"/>
      <c r="G285" s="40"/>
    </row>
    <row r="286" spans="3:7" x14ac:dyDescent="0.25">
      <c r="C286" s="2"/>
      <c r="D286" s="34" t="e">
        <f>VLOOKUP(TR_Modèle92245[[#This Row],[Ingrédients]],T_ingrédients[],3,0)</f>
        <v>#N/A</v>
      </c>
      <c r="E286" s="40"/>
      <c r="F286" s="41"/>
      <c r="G286" s="40"/>
    </row>
    <row r="287" spans="3:7" x14ac:dyDescent="0.25">
      <c r="C287" s="2"/>
      <c r="D287" s="34" t="e">
        <f>VLOOKUP(TR_Modèle92245[[#This Row],[Ingrédients]],T_ingrédients[],3,0)</f>
        <v>#N/A</v>
      </c>
      <c r="E287" s="40"/>
      <c r="F287" s="41"/>
      <c r="G287" s="40"/>
    </row>
    <row r="288" spans="3:7" x14ac:dyDescent="0.25">
      <c r="C288" s="2"/>
      <c r="D288" s="34" t="e">
        <f>VLOOKUP(TR_Modèle92245[[#This Row],[Ingrédients]],T_ingrédients[],3,0)</f>
        <v>#N/A</v>
      </c>
      <c r="E288" s="40"/>
      <c r="F288" s="41"/>
      <c r="G288" s="40"/>
    </row>
    <row r="289" spans="3:7" x14ac:dyDescent="0.25">
      <c r="C289" s="2"/>
      <c r="D289" s="34" t="e">
        <f>VLOOKUP(TR_Modèle92245[[#This Row],[Ingrédients]],T_ingrédients[],3,0)</f>
        <v>#N/A</v>
      </c>
      <c r="E289" s="40"/>
      <c r="F289" s="41"/>
      <c r="G289" s="40"/>
    </row>
    <row r="290" spans="3:7" x14ac:dyDescent="0.25">
      <c r="C290" s="2"/>
      <c r="D290" s="34" t="e">
        <f>VLOOKUP(TR_Modèle92245[[#This Row],[Ingrédients]],T_ingrédients[],3,0)</f>
        <v>#N/A</v>
      </c>
      <c r="E290" s="40"/>
      <c r="F290" s="41"/>
      <c r="G290" s="40"/>
    </row>
    <row r="291" spans="3:7" x14ac:dyDescent="0.25">
      <c r="C291" s="2"/>
      <c r="D291" s="34" t="e">
        <f>VLOOKUP(TR_Modèle92245[[#This Row],[Ingrédients]],T_ingrédients[],3,0)</f>
        <v>#N/A</v>
      </c>
      <c r="E291" s="40"/>
      <c r="F291" s="41"/>
      <c r="G291" s="40"/>
    </row>
    <row r="292" spans="3:7" x14ac:dyDescent="0.25">
      <c r="C292" s="2"/>
      <c r="D292" s="34" t="e">
        <f>VLOOKUP(TR_Modèle92245[[#This Row],[Ingrédients]],T_ingrédients[],3,0)</f>
        <v>#N/A</v>
      </c>
      <c r="E292" s="40"/>
      <c r="F292" s="41"/>
      <c r="G292" s="40"/>
    </row>
    <row r="293" spans="3:7" x14ac:dyDescent="0.25">
      <c r="C293" s="2"/>
      <c r="D293" s="34" t="e">
        <f>VLOOKUP(TR_Modèle92245[[#This Row],[Ingrédients]],T_ingrédients[],3,0)</f>
        <v>#N/A</v>
      </c>
      <c r="E293" s="40"/>
      <c r="F293" s="41"/>
      <c r="G293" s="40"/>
    </row>
    <row r="294" spans="3:7" x14ac:dyDescent="0.25">
      <c r="C294" s="2"/>
      <c r="D294" s="34" t="e">
        <f>VLOOKUP(TR_Modèle92245[[#This Row],[Ingrédients]],T_ingrédients[],3,0)</f>
        <v>#N/A</v>
      </c>
      <c r="E294" s="40"/>
      <c r="F294" s="41"/>
      <c r="G294" s="40"/>
    </row>
    <row r="295" spans="3:7" x14ac:dyDescent="0.25">
      <c r="C295" s="2"/>
      <c r="D295" s="34" t="e">
        <f>VLOOKUP(TR_Modèle92245[[#This Row],[Ingrédients]],T_ingrédients[],3,0)</f>
        <v>#N/A</v>
      </c>
      <c r="E295" s="40"/>
      <c r="F295" s="41"/>
      <c r="G295" s="40"/>
    </row>
    <row r="296" spans="3:7" x14ac:dyDescent="0.25">
      <c r="C296" s="2"/>
      <c r="D296" s="34" t="e">
        <f>VLOOKUP(TR_Modèle92245[[#This Row],[Ingrédients]],T_ingrédients[],3,0)</f>
        <v>#N/A</v>
      </c>
      <c r="E296" s="40"/>
      <c r="F296" s="41"/>
      <c r="G296" s="40"/>
    </row>
    <row r="297" spans="3:7" x14ac:dyDescent="0.25">
      <c r="C297" s="2"/>
      <c r="D297" s="34" t="e">
        <f>VLOOKUP(TR_Modèle92245[[#This Row],[Ingrédients]],T_ingrédients[],3,0)</f>
        <v>#N/A</v>
      </c>
      <c r="E297" s="40"/>
      <c r="F297" s="41"/>
      <c r="G297" s="40"/>
    </row>
    <row r="298" spans="3:7" x14ac:dyDescent="0.25">
      <c r="C298" s="2"/>
      <c r="D298" s="34" t="e">
        <f>VLOOKUP(TR_Modèle92245[[#This Row],[Ingrédients]],T_ingrédients[],3,0)</f>
        <v>#N/A</v>
      </c>
      <c r="E298" s="40"/>
      <c r="F298" s="41"/>
      <c r="G298" s="40"/>
    </row>
    <row r="299" spans="3:7" ht="15.75" thickBot="1" x14ac:dyDescent="0.3">
      <c r="C299" s="2"/>
      <c r="D299" s="34" t="e">
        <f>VLOOKUP(TR_Modèle92245[[#This Row],[Ingrédients]],T_ingrédients[],3,0)</f>
        <v>#N/A</v>
      </c>
      <c r="E299" s="40"/>
      <c r="F299" s="41"/>
      <c r="G299" s="40"/>
    </row>
    <row r="300" spans="3:7" ht="16.5" thickBot="1" x14ac:dyDescent="0.3">
      <c r="C300" s="26" t="s">
        <v>39</v>
      </c>
      <c r="D300" s="27" t="s">
        <v>12</v>
      </c>
      <c r="E300" s="28">
        <f>SUBTOTAL(109,TR_Modèle92245[6])</f>
        <v>0</v>
      </c>
      <c r="F300" s="28">
        <f>SUBTOTAL(109,TR_Modèle92245[12])</f>
        <v>0</v>
      </c>
      <c r="G300" s="29">
        <f>SUBTOTAL(109,TR_Modèle92245[24])</f>
        <v>0</v>
      </c>
    </row>
    <row r="302" spans="3:7" ht="15.75" thickBot="1" x14ac:dyDescent="0.3"/>
    <row r="303" spans="3:7" ht="18" thickBot="1" x14ac:dyDescent="0.3">
      <c r="C303" s="176" t="s">
        <v>60</v>
      </c>
      <c r="D303" s="177"/>
      <c r="E303" s="177"/>
      <c r="F303" s="177"/>
      <c r="G303" s="178"/>
    </row>
    <row r="304" spans="3:7" ht="15.75" thickBot="1" x14ac:dyDescent="0.3">
      <c r="C304" s="181"/>
      <c r="D304" s="182"/>
      <c r="E304" s="183" t="s">
        <v>13</v>
      </c>
      <c r="F304" s="184"/>
      <c r="G304" s="185"/>
    </row>
    <row r="305" spans="3:7" ht="16.5" thickBot="1" x14ac:dyDescent="0.3">
      <c r="C305" s="19" t="s">
        <v>0</v>
      </c>
      <c r="D305" s="33" t="s">
        <v>1</v>
      </c>
      <c r="E305" s="21" t="s">
        <v>40</v>
      </c>
      <c r="F305" s="21" t="s">
        <v>41</v>
      </c>
      <c r="G305" s="21" t="s">
        <v>240</v>
      </c>
    </row>
    <row r="306" spans="3:7" x14ac:dyDescent="0.25">
      <c r="C306" s="32"/>
      <c r="D306" s="34" t="e">
        <f>VLOOKUP(TR_Modèle92346[[#This Row],[Ingrédients]],T_ingrédients[],3,0)</f>
        <v>#N/A</v>
      </c>
      <c r="E306" s="40"/>
      <c r="F306" s="41"/>
      <c r="G306" s="40"/>
    </row>
    <row r="307" spans="3:7" x14ac:dyDescent="0.25">
      <c r="C307" s="2"/>
      <c r="D307" s="34" t="e">
        <f>VLOOKUP(TR_Modèle92346[[#This Row],[Ingrédients]],T_ingrédients[],3,0)</f>
        <v>#N/A</v>
      </c>
      <c r="E307" s="40"/>
      <c r="F307" s="41"/>
      <c r="G307" s="40"/>
    </row>
    <row r="308" spans="3:7" x14ac:dyDescent="0.25">
      <c r="C308" s="2"/>
      <c r="D308" s="34" t="e">
        <f>VLOOKUP(TR_Modèle92346[[#This Row],[Ingrédients]],T_ingrédients[],3,0)</f>
        <v>#N/A</v>
      </c>
      <c r="E308" s="40"/>
      <c r="F308" s="41"/>
      <c r="G308" s="40"/>
    </row>
    <row r="309" spans="3:7" x14ac:dyDescent="0.25">
      <c r="C309" s="2"/>
      <c r="D309" s="34" t="e">
        <f>VLOOKUP(TR_Modèle92346[[#This Row],[Ingrédients]],T_ingrédients[],3,0)</f>
        <v>#N/A</v>
      </c>
      <c r="E309" s="40"/>
      <c r="F309" s="41"/>
      <c r="G309" s="40"/>
    </row>
    <row r="310" spans="3:7" x14ac:dyDescent="0.25">
      <c r="C310" s="2"/>
      <c r="D310" s="34" t="e">
        <f>VLOOKUP(TR_Modèle92346[[#This Row],[Ingrédients]],T_ingrédients[],3,0)</f>
        <v>#N/A</v>
      </c>
      <c r="E310" s="40"/>
      <c r="F310" s="41"/>
      <c r="G310" s="40"/>
    </row>
    <row r="311" spans="3:7" x14ac:dyDescent="0.25">
      <c r="C311" s="2"/>
      <c r="D311" s="34" t="e">
        <f>VLOOKUP(TR_Modèle92346[[#This Row],[Ingrédients]],T_ingrédients[],3,0)</f>
        <v>#N/A</v>
      </c>
      <c r="E311" s="40"/>
      <c r="F311" s="41"/>
      <c r="G311" s="40"/>
    </row>
    <row r="312" spans="3:7" x14ac:dyDescent="0.25">
      <c r="C312" s="2"/>
      <c r="D312" s="34" t="e">
        <f>VLOOKUP(TR_Modèle92346[[#This Row],[Ingrédients]],T_ingrédients[],3,0)</f>
        <v>#N/A</v>
      </c>
      <c r="E312" s="40"/>
      <c r="F312" s="41"/>
      <c r="G312" s="40"/>
    </row>
    <row r="313" spans="3:7" x14ac:dyDescent="0.25">
      <c r="C313" s="2"/>
      <c r="D313" s="34" t="e">
        <f>VLOOKUP(TR_Modèle92346[[#This Row],[Ingrédients]],T_ingrédients[],3,0)</f>
        <v>#N/A</v>
      </c>
      <c r="E313" s="40"/>
      <c r="F313" s="41"/>
      <c r="G313" s="40"/>
    </row>
    <row r="314" spans="3:7" x14ac:dyDescent="0.25">
      <c r="C314" s="2"/>
      <c r="D314" s="34" t="e">
        <f>VLOOKUP(TR_Modèle92346[[#This Row],[Ingrédients]],T_ingrédients[],3,0)</f>
        <v>#N/A</v>
      </c>
      <c r="E314" s="40"/>
      <c r="F314" s="41"/>
      <c r="G314" s="40"/>
    </row>
    <row r="315" spans="3:7" x14ac:dyDescent="0.25">
      <c r="C315" s="2"/>
      <c r="D315" s="34" t="e">
        <f>VLOOKUP(TR_Modèle92346[[#This Row],[Ingrédients]],T_ingrédients[],3,0)</f>
        <v>#N/A</v>
      </c>
      <c r="E315" s="40"/>
      <c r="F315" s="41"/>
      <c r="G315" s="40"/>
    </row>
    <row r="316" spans="3:7" x14ac:dyDescent="0.25">
      <c r="C316" s="2"/>
      <c r="D316" s="34" t="e">
        <f>VLOOKUP(TR_Modèle92346[[#This Row],[Ingrédients]],T_ingrédients[],3,0)</f>
        <v>#N/A</v>
      </c>
      <c r="E316" s="40"/>
      <c r="F316" s="41"/>
      <c r="G316" s="40"/>
    </row>
    <row r="317" spans="3:7" x14ac:dyDescent="0.25">
      <c r="C317" s="2"/>
      <c r="D317" s="34" t="e">
        <f>VLOOKUP(TR_Modèle92346[[#This Row],[Ingrédients]],T_ingrédients[],3,0)</f>
        <v>#N/A</v>
      </c>
      <c r="E317" s="40"/>
      <c r="F317" s="41"/>
      <c r="G317" s="40"/>
    </row>
    <row r="318" spans="3:7" x14ac:dyDescent="0.25">
      <c r="C318" s="2"/>
      <c r="D318" s="34" t="e">
        <f>VLOOKUP(TR_Modèle92346[[#This Row],[Ingrédients]],T_ingrédients[],3,0)</f>
        <v>#N/A</v>
      </c>
      <c r="E318" s="40"/>
      <c r="F318" s="41"/>
      <c r="G318" s="40"/>
    </row>
    <row r="319" spans="3:7" x14ac:dyDescent="0.25">
      <c r="C319" s="2"/>
      <c r="D319" s="34" t="e">
        <f>VLOOKUP(TR_Modèle92346[[#This Row],[Ingrédients]],T_ingrédients[],3,0)</f>
        <v>#N/A</v>
      </c>
      <c r="E319" s="40"/>
      <c r="F319" s="41"/>
      <c r="G319" s="40"/>
    </row>
    <row r="320" spans="3:7" x14ac:dyDescent="0.25">
      <c r="C320" s="2"/>
      <c r="D320" s="34" t="e">
        <f>VLOOKUP(TR_Modèle92346[[#This Row],[Ingrédients]],T_ingrédients[],3,0)</f>
        <v>#N/A</v>
      </c>
      <c r="E320" s="40"/>
      <c r="F320" s="41"/>
      <c r="G320" s="40"/>
    </row>
    <row r="321" spans="3:7" x14ac:dyDescent="0.25">
      <c r="C321" s="2"/>
      <c r="D321" s="34" t="e">
        <f>VLOOKUP(TR_Modèle92346[[#This Row],[Ingrédients]],T_ingrédients[],3,0)</f>
        <v>#N/A</v>
      </c>
      <c r="E321" s="40"/>
      <c r="F321" s="41"/>
      <c r="G321" s="40"/>
    </row>
    <row r="322" spans="3:7" x14ac:dyDescent="0.25">
      <c r="C322" s="2"/>
      <c r="D322" s="34" t="e">
        <f>VLOOKUP(TR_Modèle92346[[#This Row],[Ingrédients]],T_ingrédients[],3,0)</f>
        <v>#N/A</v>
      </c>
      <c r="E322" s="40"/>
      <c r="F322" s="41"/>
      <c r="G322" s="40"/>
    </row>
    <row r="323" spans="3:7" x14ac:dyDescent="0.25">
      <c r="C323" s="2"/>
      <c r="D323" s="34" t="e">
        <f>VLOOKUP(TR_Modèle92346[[#This Row],[Ingrédients]],T_ingrédients[],3,0)</f>
        <v>#N/A</v>
      </c>
      <c r="E323" s="40"/>
      <c r="F323" s="41"/>
      <c r="G323" s="40"/>
    </row>
    <row r="324" spans="3:7" x14ac:dyDescent="0.25">
      <c r="C324" s="2"/>
      <c r="D324" s="34" t="e">
        <f>VLOOKUP(TR_Modèle92346[[#This Row],[Ingrédients]],T_ingrédients[],3,0)</f>
        <v>#N/A</v>
      </c>
      <c r="E324" s="40"/>
      <c r="F324" s="41"/>
      <c r="G324" s="40"/>
    </row>
    <row r="325" spans="3:7" x14ac:dyDescent="0.25">
      <c r="C325" s="2"/>
      <c r="D325" s="34" t="e">
        <f>VLOOKUP(TR_Modèle92346[[#This Row],[Ingrédients]],T_ingrédients[],3,0)</f>
        <v>#N/A</v>
      </c>
      <c r="E325" s="40"/>
      <c r="F325" s="41"/>
      <c r="G325" s="40"/>
    </row>
    <row r="326" spans="3:7" x14ac:dyDescent="0.25">
      <c r="C326" s="2"/>
      <c r="D326" s="34" t="e">
        <f>VLOOKUP(TR_Modèle92346[[#This Row],[Ingrédients]],T_ingrédients[],3,0)</f>
        <v>#N/A</v>
      </c>
      <c r="E326" s="40"/>
      <c r="F326" s="41"/>
      <c r="G326" s="40"/>
    </row>
    <row r="327" spans="3:7" x14ac:dyDescent="0.25">
      <c r="C327" s="2"/>
      <c r="D327" s="34" t="e">
        <f>VLOOKUP(TR_Modèle92346[[#This Row],[Ingrédients]],T_ingrédients[],3,0)</f>
        <v>#N/A</v>
      </c>
      <c r="E327" s="40"/>
      <c r="F327" s="41"/>
      <c r="G327" s="40"/>
    </row>
    <row r="328" spans="3:7" x14ac:dyDescent="0.25">
      <c r="C328" s="2"/>
      <c r="D328" s="34" t="e">
        <f>VLOOKUP(TR_Modèle92346[[#This Row],[Ingrédients]],T_ingrédients[],3,0)</f>
        <v>#N/A</v>
      </c>
      <c r="E328" s="40"/>
      <c r="F328" s="41"/>
      <c r="G328" s="40"/>
    </row>
    <row r="329" spans="3:7" x14ac:dyDescent="0.25">
      <c r="C329" s="2"/>
      <c r="D329" s="34" t="e">
        <f>VLOOKUP(TR_Modèle92346[[#This Row],[Ingrédients]],T_ingrédients[],3,0)</f>
        <v>#N/A</v>
      </c>
      <c r="E329" s="40"/>
      <c r="F329" s="41"/>
      <c r="G329" s="40"/>
    </row>
    <row r="330" spans="3:7" x14ac:dyDescent="0.25">
      <c r="C330" s="2"/>
      <c r="D330" s="34" t="e">
        <f>VLOOKUP(TR_Modèle92346[[#This Row],[Ingrédients]],T_ingrédients[],3,0)</f>
        <v>#N/A</v>
      </c>
      <c r="E330" s="40"/>
      <c r="F330" s="41"/>
      <c r="G330" s="40"/>
    </row>
    <row r="331" spans="3:7" x14ac:dyDescent="0.25">
      <c r="C331" s="2"/>
      <c r="D331" s="34" t="e">
        <f>VLOOKUP(TR_Modèle92346[[#This Row],[Ingrédients]],T_ingrédients[],3,0)</f>
        <v>#N/A</v>
      </c>
      <c r="E331" s="40"/>
      <c r="F331" s="41"/>
      <c r="G331" s="40"/>
    </row>
    <row r="332" spans="3:7" x14ac:dyDescent="0.25">
      <c r="C332" s="2"/>
      <c r="D332" s="34" t="e">
        <f>VLOOKUP(TR_Modèle92346[[#This Row],[Ingrédients]],T_ingrédients[],3,0)</f>
        <v>#N/A</v>
      </c>
      <c r="E332" s="40"/>
      <c r="F332" s="41"/>
      <c r="G332" s="40"/>
    </row>
    <row r="333" spans="3:7" ht="15.75" thickBot="1" x14ac:dyDescent="0.3">
      <c r="C333" s="2"/>
      <c r="D333" s="34" t="e">
        <f>VLOOKUP(TR_Modèle92346[[#This Row],[Ingrédients]],T_ingrédients[],3,0)</f>
        <v>#N/A</v>
      </c>
      <c r="E333" s="40"/>
      <c r="F333" s="41"/>
      <c r="G333" s="40"/>
    </row>
    <row r="334" spans="3:7" ht="16.5" thickBot="1" x14ac:dyDescent="0.3">
      <c r="C334" s="26" t="s">
        <v>39</v>
      </c>
      <c r="D334" s="27" t="s">
        <v>12</v>
      </c>
      <c r="E334" s="28">
        <f>SUBTOTAL(109,TR_Modèle92346[6])</f>
        <v>0</v>
      </c>
      <c r="F334" s="28">
        <f>SUBTOTAL(109,TR_Modèle92346[12])</f>
        <v>0</v>
      </c>
      <c r="G334" s="29">
        <f>SUBTOTAL(109,TR_Modèle92346[24])</f>
        <v>0</v>
      </c>
    </row>
  </sheetData>
  <mergeCells count="37">
    <mergeCell ref="C2:G2"/>
    <mergeCell ref="C3:D3"/>
    <mergeCell ref="E3:G3"/>
    <mergeCell ref="C35:G35"/>
    <mergeCell ref="C36:D36"/>
    <mergeCell ref="E36:G36"/>
    <mergeCell ref="C52:G52"/>
    <mergeCell ref="C53:D53"/>
    <mergeCell ref="E53:G53"/>
    <mergeCell ref="C65:G65"/>
    <mergeCell ref="C66:D66"/>
    <mergeCell ref="E66:G66"/>
    <mergeCell ref="C201:G201"/>
    <mergeCell ref="C202:D202"/>
    <mergeCell ref="E202:G202"/>
    <mergeCell ref="C99:G99"/>
    <mergeCell ref="C100:D100"/>
    <mergeCell ref="E100:G100"/>
    <mergeCell ref="C133:G133"/>
    <mergeCell ref="C134:D134"/>
    <mergeCell ref="E134:G134"/>
    <mergeCell ref="C303:G303"/>
    <mergeCell ref="C304:D304"/>
    <mergeCell ref="E304:G304"/>
    <mergeCell ref="B46:B48"/>
    <mergeCell ref="C19:G19"/>
    <mergeCell ref="C20:D20"/>
    <mergeCell ref="E20:G20"/>
    <mergeCell ref="C235:G235"/>
    <mergeCell ref="C236:D236"/>
    <mergeCell ref="E236:G236"/>
    <mergeCell ref="C269:G269"/>
    <mergeCell ref="C270:D270"/>
    <mergeCell ref="E270:G270"/>
    <mergeCell ref="C167:G167"/>
    <mergeCell ref="C168:D168"/>
    <mergeCell ref="E168:G168"/>
  </mergeCells>
  <dataValidations count="1">
    <dataValidation type="list" allowBlank="1" showInputMessage="1" sqref="C5:C15 C38:C48 C55:C61 C68:C95 C102:C129 C136:C163 C170:C197 C204:C231 C238:C265 C272:C299 C306:C333 C22:C31" xr:uid="{00000000-0002-0000-0600-000000000000}">
      <formula1>L_ingrédients</formula1>
    </dataValidation>
  </dataValidation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1:G285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2" max="2" width="11.7109375" customWidth="1"/>
    <col min="3" max="3" width="40.7109375" customWidth="1"/>
    <col min="4" max="7" width="11.7109375" customWidth="1"/>
    <col min="10" max="10" width="40.7109375" customWidth="1"/>
    <col min="11" max="14" width="11.7109375" customWidth="1"/>
  </cols>
  <sheetData>
    <row r="1" spans="2:7" ht="16.149999999999999" customHeight="1" thickBot="1" x14ac:dyDescent="0.3"/>
    <row r="2" spans="2:7" ht="18" thickBot="1" x14ac:dyDescent="0.3">
      <c r="C2" s="176" t="s">
        <v>286</v>
      </c>
      <c r="D2" s="177"/>
      <c r="E2" s="177"/>
      <c r="F2" s="177"/>
      <c r="G2" s="178"/>
    </row>
    <row r="3" spans="2:7" ht="15.75" thickBot="1" x14ac:dyDescent="0.3">
      <c r="C3" s="181"/>
      <c r="D3" s="182"/>
      <c r="E3" s="183" t="s">
        <v>13</v>
      </c>
      <c r="F3" s="184"/>
      <c r="G3" s="185"/>
    </row>
    <row r="4" spans="2:7" ht="16.5" thickBot="1" x14ac:dyDescent="0.3">
      <c r="C4" s="19" t="s">
        <v>0</v>
      </c>
      <c r="D4" s="33" t="s">
        <v>1</v>
      </c>
      <c r="E4" s="21" t="s">
        <v>251</v>
      </c>
      <c r="F4" s="21" t="s">
        <v>291</v>
      </c>
      <c r="G4" s="21" t="s">
        <v>292</v>
      </c>
    </row>
    <row r="5" spans="2:7" x14ac:dyDescent="0.25">
      <c r="B5" s="179" t="s">
        <v>289</v>
      </c>
      <c r="C5" s="32" t="s">
        <v>18</v>
      </c>
      <c r="D5" s="34" t="str">
        <f>VLOOKUP(R_Babkas_CannelleP79[[#This Row],[Ingrédients]],T_ingrédients[],3,0)</f>
        <v>g</v>
      </c>
      <c r="E5" s="40"/>
      <c r="F5" s="41"/>
      <c r="G5" s="40"/>
    </row>
    <row r="6" spans="2:7" x14ac:dyDescent="0.25">
      <c r="B6" s="188"/>
      <c r="C6" s="2" t="s">
        <v>167</v>
      </c>
      <c r="D6" s="34" t="str">
        <f>VLOOKUP(R_Babkas_CannelleP79[[#This Row],[Ingrédients]],T_ingrédients[],3,0)</f>
        <v>g</v>
      </c>
      <c r="E6" s="40"/>
      <c r="F6" s="41"/>
      <c r="G6" s="40"/>
    </row>
    <row r="7" spans="2:7" x14ac:dyDescent="0.25">
      <c r="B7" s="188"/>
      <c r="C7" s="2" t="s">
        <v>182</v>
      </c>
      <c r="D7" s="34" t="str">
        <f>VLOOKUP(R_Babkas_CannelleP79[[#This Row],[Ingrédients]],T_ingrédients[],3,0)</f>
        <v>g</v>
      </c>
      <c r="E7" s="40"/>
      <c r="F7" s="41"/>
      <c r="G7" s="40"/>
    </row>
    <row r="8" spans="2:7" x14ac:dyDescent="0.25">
      <c r="B8" s="188"/>
      <c r="C8" s="2" t="s">
        <v>233</v>
      </c>
      <c r="D8" s="34" t="str">
        <f>VLOOKUP(R_Babkas_CannelleP79[[#This Row],[Ingrédients]],T_ingrédients[],3,0)</f>
        <v>gousse</v>
      </c>
      <c r="E8" s="40"/>
      <c r="F8" s="41"/>
      <c r="G8" s="40"/>
    </row>
    <row r="9" spans="2:7" ht="15.75" thickBot="1" x14ac:dyDescent="0.3">
      <c r="B9" s="188"/>
      <c r="C9" s="2" t="s">
        <v>16</v>
      </c>
      <c r="D9" s="34" t="str">
        <f>VLOOKUP(R_Babkas_CannelleP79[[#This Row],[Ingrédients]],T_ingrédients[],3,0)</f>
        <v>g</v>
      </c>
      <c r="E9" s="40"/>
      <c r="F9" s="41"/>
      <c r="G9" s="40"/>
    </row>
    <row r="10" spans="2:7" x14ac:dyDescent="0.25">
      <c r="B10" s="179" t="s">
        <v>290</v>
      </c>
      <c r="C10" s="161" t="s">
        <v>15</v>
      </c>
      <c r="D10" s="34" t="str">
        <f>VLOOKUP(R_Babkas_CannelleP79[[#This Row],[Ingrédients]],T_ingrédients[],3,0)</f>
        <v>g</v>
      </c>
      <c r="E10" s="40"/>
      <c r="F10" s="41"/>
      <c r="G10" s="40"/>
    </row>
    <row r="11" spans="2:7" x14ac:dyDescent="0.25">
      <c r="B11" s="188"/>
      <c r="C11" s="161" t="s">
        <v>182</v>
      </c>
      <c r="D11" s="34" t="str">
        <f>VLOOKUP(R_Babkas_CannelleP79[[#This Row],[Ingrédients]],T_ingrédients[],3,0)</f>
        <v>g</v>
      </c>
      <c r="E11" s="40"/>
      <c r="F11" s="41"/>
      <c r="G11" s="40"/>
    </row>
    <row r="12" spans="2:7" ht="15.75" thickBot="1" x14ac:dyDescent="0.3">
      <c r="B12" s="180"/>
      <c r="C12" s="161" t="s">
        <v>4</v>
      </c>
      <c r="D12" s="34" t="str">
        <f>VLOOKUP(R_Babkas_CannelleP79[[#This Row],[Ingrédients]],T_ingrédients[],3,0)</f>
        <v>g</v>
      </c>
      <c r="E12" s="40"/>
      <c r="F12" s="41"/>
      <c r="G12" s="40"/>
    </row>
    <row r="13" spans="2:7" ht="16.5" thickBot="1" x14ac:dyDescent="0.3">
      <c r="B13" s="162"/>
      <c r="C13" s="150" t="s">
        <v>39</v>
      </c>
      <c r="D13" s="27" t="s">
        <v>12</v>
      </c>
      <c r="E13" s="28">
        <f>SUBTOTAL(109,R_Babkas_CannelleP79[1000])</f>
        <v>0</v>
      </c>
      <c r="F13" s="28">
        <f>SUBTOTAL(109,R_Babkas_CannelleP79[2856])</f>
        <v>0</v>
      </c>
      <c r="G13" s="29">
        <f>SUBTOTAL(109,R_Babkas_CannelleP79[3500])</f>
        <v>0</v>
      </c>
    </row>
    <row r="14" spans="2:7" x14ac:dyDescent="0.25">
      <c r="B14" s="165"/>
      <c r="C14" s="163"/>
    </row>
    <row r="15" spans="2:7" ht="15.75" thickBot="1" x14ac:dyDescent="0.3">
      <c r="B15" s="166"/>
      <c r="C15" s="164"/>
    </row>
    <row r="16" spans="2:7" ht="18" thickBot="1" x14ac:dyDescent="0.3">
      <c r="B16" s="167"/>
      <c r="C16" s="177" t="s">
        <v>60</v>
      </c>
      <c r="D16" s="177"/>
      <c r="E16" s="177"/>
      <c r="F16" s="177"/>
      <c r="G16" s="178"/>
    </row>
    <row r="17" spans="2:7" ht="15.75" thickBot="1" x14ac:dyDescent="0.3">
      <c r="B17" s="167"/>
      <c r="C17" s="195"/>
      <c r="D17" s="182"/>
      <c r="E17" s="183" t="s">
        <v>13</v>
      </c>
      <c r="F17" s="184"/>
      <c r="G17" s="185"/>
    </row>
    <row r="18" spans="2:7" ht="16.5" thickBot="1" x14ac:dyDescent="0.3">
      <c r="B18" s="167"/>
      <c r="C18" s="160" t="s">
        <v>0</v>
      </c>
      <c r="D18" s="33" t="s">
        <v>1</v>
      </c>
      <c r="E18" s="21" t="s">
        <v>57</v>
      </c>
      <c r="F18" s="21" t="s">
        <v>58</v>
      </c>
      <c r="G18" s="21" t="s">
        <v>59</v>
      </c>
    </row>
    <row r="19" spans="2:7" x14ac:dyDescent="0.25">
      <c r="B19" s="168"/>
      <c r="C19" s="70"/>
      <c r="D19" s="34" t="e">
        <f>VLOOKUP(TR_Modèle9162881[[#This Row],[Ingrédients]],T_ingrédients[],3,0)</f>
        <v>#N/A</v>
      </c>
      <c r="E19" s="40"/>
      <c r="F19" s="41"/>
      <c r="G19" s="40"/>
    </row>
    <row r="20" spans="2:7" x14ac:dyDescent="0.25">
      <c r="B20" s="167"/>
      <c r="C20" s="161"/>
      <c r="D20" s="34" t="e">
        <f>VLOOKUP(TR_Modèle9162881[[#This Row],[Ingrédients]],T_ingrédients[],3,0)</f>
        <v>#N/A</v>
      </c>
      <c r="E20" s="40"/>
      <c r="F20" s="41"/>
      <c r="G20" s="40"/>
    </row>
    <row r="21" spans="2:7" x14ac:dyDescent="0.25">
      <c r="B21" s="167"/>
      <c r="C21" s="161"/>
      <c r="D21" s="34" t="e">
        <f>VLOOKUP(TR_Modèle9162881[[#This Row],[Ingrédients]],T_ingrédients[],3,0)</f>
        <v>#N/A</v>
      </c>
      <c r="E21" s="40"/>
      <c r="F21" s="41"/>
      <c r="G21" s="40"/>
    </row>
    <row r="22" spans="2:7" x14ac:dyDescent="0.25">
      <c r="B22" s="169"/>
      <c r="C22" s="161"/>
      <c r="D22" s="34" t="e">
        <f>VLOOKUP(TR_Modèle9162881[[#This Row],[Ingrédients]],T_ingrédients[],3,0)</f>
        <v>#N/A</v>
      </c>
      <c r="E22" s="40"/>
      <c r="F22" s="41"/>
      <c r="G22" s="40"/>
    </row>
    <row r="23" spans="2:7" x14ac:dyDescent="0.25">
      <c r="B23" s="170"/>
      <c r="C23" s="2"/>
      <c r="D23" s="34" t="e">
        <f>VLOOKUP(TR_Modèle9162881[[#This Row],[Ingrédients]],T_ingrédients[],3,0)</f>
        <v>#N/A</v>
      </c>
      <c r="E23" s="40"/>
      <c r="F23" s="41"/>
      <c r="G23" s="40"/>
    </row>
    <row r="24" spans="2:7" x14ac:dyDescent="0.25">
      <c r="B24" s="170"/>
      <c r="C24" s="2"/>
      <c r="D24" s="34" t="e">
        <f>VLOOKUP(TR_Modèle9162881[[#This Row],[Ingrédients]],T_ingrédients[],3,0)</f>
        <v>#N/A</v>
      </c>
      <c r="E24" s="40"/>
      <c r="F24" s="41"/>
      <c r="G24" s="40"/>
    </row>
    <row r="25" spans="2:7" x14ac:dyDescent="0.25">
      <c r="C25" s="2"/>
      <c r="D25" s="34" t="e">
        <f>VLOOKUP(TR_Modèle9162881[[#This Row],[Ingrédients]],T_ingrédients[],3,0)</f>
        <v>#N/A</v>
      </c>
      <c r="E25" s="40"/>
      <c r="F25" s="41"/>
      <c r="G25" s="40"/>
    </row>
    <row r="26" spans="2:7" x14ac:dyDescent="0.25">
      <c r="C26" s="2"/>
      <c r="D26" s="34" t="e">
        <f>VLOOKUP(TR_Modèle9162881[[#This Row],[Ingrédients]],T_ingrédients[],3,0)</f>
        <v>#N/A</v>
      </c>
      <c r="E26" s="40"/>
      <c r="F26" s="41"/>
      <c r="G26" s="40"/>
    </row>
    <row r="27" spans="2:7" x14ac:dyDescent="0.25">
      <c r="C27" s="2"/>
      <c r="D27" s="34" t="e">
        <f>VLOOKUP(TR_Modèle9162881[[#This Row],[Ingrédients]],T_ingrédients[],3,0)</f>
        <v>#N/A</v>
      </c>
      <c r="E27" s="40"/>
      <c r="F27" s="41"/>
      <c r="G27" s="40"/>
    </row>
    <row r="28" spans="2:7" x14ac:dyDescent="0.25">
      <c r="C28" s="2"/>
      <c r="D28" s="34" t="e">
        <f>VLOOKUP(TR_Modèle9162881[[#This Row],[Ingrédients]],T_ingrédients[],3,0)</f>
        <v>#N/A</v>
      </c>
      <c r="E28" s="40"/>
      <c r="F28" s="41"/>
      <c r="G28" s="40"/>
    </row>
    <row r="29" spans="2:7" x14ac:dyDescent="0.25">
      <c r="C29" s="2"/>
      <c r="D29" s="34" t="e">
        <f>VLOOKUP(TR_Modèle9162881[[#This Row],[Ingrédients]],T_ingrédients[],3,0)</f>
        <v>#N/A</v>
      </c>
      <c r="E29" s="40"/>
      <c r="F29" s="41"/>
      <c r="G29" s="40"/>
    </row>
    <row r="30" spans="2:7" x14ac:dyDescent="0.25">
      <c r="C30" s="2"/>
      <c r="D30" s="34" t="e">
        <f>VLOOKUP(TR_Modèle9162881[[#This Row],[Ingrédients]],T_ingrédients[],3,0)</f>
        <v>#N/A</v>
      </c>
      <c r="E30" s="40"/>
      <c r="F30" s="41"/>
      <c r="G30" s="40"/>
    </row>
    <row r="31" spans="2:7" x14ac:dyDescent="0.25">
      <c r="C31" s="2"/>
      <c r="D31" s="34" t="e">
        <f>VLOOKUP(TR_Modèle9162881[[#This Row],[Ingrédients]],T_ingrédients[],3,0)</f>
        <v>#N/A</v>
      </c>
      <c r="E31" s="40"/>
      <c r="F31" s="41"/>
      <c r="G31" s="40"/>
    </row>
    <row r="32" spans="2:7" x14ac:dyDescent="0.25">
      <c r="C32" s="2"/>
      <c r="D32" s="34" t="e">
        <f>VLOOKUP(TR_Modèle9162881[[#This Row],[Ingrédients]],T_ingrédients[],3,0)</f>
        <v>#N/A</v>
      </c>
      <c r="E32" s="40"/>
      <c r="F32" s="41"/>
      <c r="G32" s="40"/>
    </row>
    <row r="33" spans="3:7" x14ac:dyDescent="0.25">
      <c r="C33" s="2"/>
      <c r="D33" s="34" t="e">
        <f>VLOOKUP(TR_Modèle9162881[[#This Row],[Ingrédients]],T_ingrédients[],3,0)</f>
        <v>#N/A</v>
      </c>
      <c r="E33" s="40"/>
      <c r="F33" s="41"/>
      <c r="G33" s="40"/>
    </row>
    <row r="34" spans="3:7" x14ac:dyDescent="0.25">
      <c r="C34" s="2"/>
      <c r="D34" s="34" t="e">
        <f>VLOOKUP(TR_Modèle9162881[[#This Row],[Ingrédients]],T_ingrédients[],3,0)</f>
        <v>#N/A</v>
      </c>
      <c r="E34" s="40"/>
      <c r="F34" s="41"/>
      <c r="G34" s="40"/>
    </row>
    <row r="35" spans="3:7" x14ac:dyDescent="0.25">
      <c r="C35" s="2"/>
      <c r="D35" s="34" t="e">
        <f>VLOOKUP(TR_Modèle9162881[[#This Row],[Ingrédients]],T_ingrédients[],3,0)</f>
        <v>#N/A</v>
      </c>
      <c r="E35" s="40"/>
      <c r="F35" s="41"/>
      <c r="G35" s="40"/>
    </row>
    <row r="36" spans="3:7" x14ac:dyDescent="0.25">
      <c r="C36" s="2"/>
      <c r="D36" s="34" t="e">
        <f>VLOOKUP(TR_Modèle9162881[[#This Row],[Ingrédients]],T_ingrédients[],3,0)</f>
        <v>#N/A</v>
      </c>
      <c r="E36" s="40"/>
      <c r="F36" s="41"/>
      <c r="G36" s="40"/>
    </row>
    <row r="37" spans="3:7" x14ac:dyDescent="0.25">
      <c r="C37" s="2"/>
      <c r="D37" s="34" t="e">
        <f>VLOOKUP(TR_Modèle9162881[[#This Row],[Ingrédients]],T_ingrédients[],3,0)</f>
        <v>#N/A</v>
      </c>
      <c r="E37" s="40"/>
      <c r="F37" s="41"/>
      <c r="G37" s="40"/>
    </row>
    <row r="38" spans="3:7" x14ac:dyDescent="0.25">
      <c r="C38" s="2"/>
      <c r="D38" s="34" t="e">
        <f>VLOOKUP(TR_Modèle9162881[[#This Row],[Ingrédients]],T_ingrédients[],3,0)</f>
        <v>#N/A</v>
      </c>
      <c r="E38" s="40"/>
      <c r="F38" s="41"/>
      <c r="G38" s="40"/>
    </row>
    <row r="39" spans="3:7" x14ac:dyDescent="0.25">
      <c r="C39" s="2"/>
      <c r="D39" s="34" t="e">
        <f>VLOOKUP(TR_Modèle9162881[[#This Row],[Ingrédients]],T_ingrédients[],3,0)</f>
        <v>#N/A</v>
      </c>
      <c r="E39" s="40"/>
      <c r="F39" s="41"/>
      <c r="G39" s="40"/>
    </row>
    <row r="40" spans="3:7" x14ac:dyDescent="0.25">
      <c r="C40" s="2"/>
      <c r="D40" s="34" t="e">
        <f>VLOOKUP(TR_Modèle9162881[[#This Row],[Ingrédients]],T_ingrédients[],3,0)</f>
        <v>#N/A</v>
      </c>
      <c r="E40" s="40"/>
      <c r="F40" s="41"/>
      <c r="G40" s="40"/>
    </row>
    <row r="41" spans="3:7" x14ac:dyDescent="0.25">
      <c r="C41" s="2"/>
      <c r="D41" s="34" t="e">
        <f>VLOOKUP(TR_Modèle9162881[[#This Row],[Ingrédients]],T_ingrédients[],3,0)</f>
        <v>#N/A</v>
      </c>
      <c r="E41" s="40"/>
      <c r="F41" s="41"/>
      <c r="G41" s="40"/>
    </row>
    <row r="42" spans="3:7" x14ac:dyDescent="0.25">
      <c r="C42" s="2"/>
      <c r="D42" s="34" t="e">
        <f>VLOOKUP(TR_Modèle9162881[[#This Row],[Ingrédients]],T_ingrédients[],3,0)</f>
        <v>#N/A</v>
      </c>
      <c r="E42" s="40"/>
      <c r="F42" s="41"/>
      <c r="G42" s="40"/>
    </row>
    <row r="43" spans="3:7" x14ac:dyDescent="0.25">
      <c r="C43" s="2"/>
      <c r="D43" s="34" t="e">
        <f>VLOOKUP(TR_Modèle9162881[[#This Row],[Ingrédients]],T_ingrédients[],3,0)</f>
        <v>#N/A</v>
      </c>
      <c r="E43" s="40"/>
      <c r="F43" s="41"/>
      <c r="G43" s="40"/>
    </row>
    <row r="44" spans="3:7" x14ac:dyDescent="0.25">
      <c r="C44" s="2"/>
      <c r="D44" s="34" t="e">
        <f>VLOOKUP(TR_Modèle9162881[[#This Row],[Ingrédients]],T_ingrédients[],3,0)</f>
        <v>#N/A</v>
      </c>
      <c r="E44" s="40"/>
      <c r="F44" s="41"/>
      <c r="G44" s="40"/>
    </row>
    <row r="45" spans="3:7" x14ac:dyDescent="0.25">
      <c r="C45" s="2"/>
      <c r="D45" s="34" t="e">
        <f>VLOOKUP(TR_Modèle9162881[[#This Row],[Ingrédients]],T_ingrédients[],3,0)</f>
        <v>#N/A</v>
      </c>
      <c r="E45" s="40"/>
      <c r="F45" s="41"/>
      <c r="G45" s="40"/>
    </row>
    <row r="46" spans="3:7" ht="15.75" thickBot="1" x14ac:dyDescent="0.3">
      <c r="C46" s="2"/>
      <c r="D46" s="34" t="e">
        <f>VLOOKUP(TR_Modèle9162881[[#This Row],[Ingrédients]],T_ingrédients[],3,0)</f>
        <v>#N/A</v>
      </c>
      <c r="E46" s="40"/>
      <c r="F46" s="41"/>
      <c r="G46" s="40"/>
    </row>
    <row r="47" spans="3:7" ht="16.5" thickBot="1" x14ac:dyDescent="0.3">
      <c r="C47" s="26" t="s">
        <v>39</v>
      </c>
      <c r="D47" s="27" t="s">
        <v>12</v>
      </c>
      <c r="E47" s="28">
        <f>SUBTOTAL(109,TR_Modèle9162881[Colonne1])</f>
        <v>0</v>
      </c>
      <c r="F47" s="28">
        <f>SUBTOTAL(109,TR_Modèle9162881[Colonne2])</f>
        <v>0</v>
      </c>
      <c r="G47" s="29">
        <f>SUBTOTAL(109,TR_Modèle9162881[Colonne3])</f>
        <v>0</v>
      </c>
    </row>
    <row r="49" spans="3:7" ht="15.75" thickBot="1" x14ac:dyDescent="0.3"/>
    <row r="50" spans="3:7" ht="18" thickBot="1" x14ac:dyDescent="0.3">
      <c r="C50" s="176" t="s">
        <v>60</v>
      </c>
      <c r="D50" s="177"/>
      <c r="E50" s="177"/>
      <c r="F50" s="177"/>
      <c r="G50" s="178"/>
    </row>
    <row r="51" spans="3:7" ht="15.75" thickBot="1" x14ac:dyDescent="0.3">
      <c r="C51" s="181"/>
      <c r="D51" s="182"/>
      <c r="E51" s="183" t="s">
        <v>13</v>
      </c>
      <c r="F51" s="184"/>
      <c r="G51" s="185"/>
    </row>
    <row r="52" spans="3:7" ht="16.5" thickBot="1" x14ac:dyDescent="0.3">
      <c r="C52" s="19" t="s">
        <v>0</v>
      </c>
      <c r="D52" s="33" t="s">
        <v>1</v>
      </c>
      <c r="E52" s="21" t="s">
        <v>57</v>
      </c>
      <c r="F52" s="21" t="s">
        <v>58</v>
      </c>
      <c r="G52" s="21" t="s">
        <v>59</v>
      </c>
    </row>
    <row r="53" spans="3:7" x14ac:dyDescent="0.25">
      <c r="C53" s="32"/>
      <c r="D53" s="34" t="e">
        <f>VLOOKUP(TR_Modèle9172982[[#This Row],[Ingrédients]],T_ingrédients[],3,0)</f>
        <v>#N/A</v>
      </c>
      <c r="E53" s="40"/>
      <c r="F53" s="41"/>
      <c r="G53" s="40"/>
    </row>
    <row r="54" spans="3:7" x14ac:dyDescent="0.25">
      <c r="C54" s="2"/>
      <c r="D54" s="34" t="e">
        <f>VLOOKUP(TR_Modèle9172982[[#This Row],[Ingrédients]],T_ingrédients[],3,0)</f>
        <v>#N/A</v>
      </c>
      <c r="E54" s="40"/>
      <c r="F54" s="41"/>
      <c r="G54" s="40"/>
    </row>
    <row r="55" spans="3:7" x14ac:dyDescent="0.25">
      <c r="C55" s="2"/>
      <c r="D55" s="34" t="e">
        <f>VLOOKUP(TR_Modèle9172982[[#This Row],[Ingrédients]],T_ingrédients[],3,0)</f>
        <v>#N/A</v>
      </c>
      <c r="E55" s="40"/>
      <c r="F55" s="41"/>
      <c r="G55" s="40"/>
    </row>
    <row r="56" spans="3:7" x14ac:dyDescent="0.25">
      <c r="C56" s="2"/>
      <c r="D56" s="34" t="e">
        <f>VLOOKUP(TR_Modèle9172982[[#This Row],[Ingrédients]],T_ingrédients[],3,0)</f>
        <v>#N/A</v>
      </c>
      <c r="E56" s="40"/>
      <c r="F56" s="41"/>
      <c r="G56" s="40"/>
    </row>
    <row r="57" spans="3:7" x14ac:dyDescent="0.25">
      <c r="C57" s="2"/>
      <c r="D57" s="34" t="e">
        <f>VLOOKUP(TR_Modèle9172982[[#This Row],[Ingrédients]],T_ingrédients[],3,0)</f>
        <v>#N/A</v>
      </c>
      <c r="E57" s="40"/>
      <c r="F57" s="41"/>
      <c r="G57" s="40"/>
    </row>
    <row r="58" spans="3:7" x14ac:dyDescent="0.25">
      <c r="C58" s="2"/>
      <c r="D58" s="34" t="e">
        <f>VLOOKUP(TR_Modèle9172982[[#This Row],[Ingrédients]],T_ingrédients[],3,0)</f>
        <v>#N/A</v>
      </c>
      <c r="E58" s="40"/>
      <c r="F58" s="41"/>
      <c r="G58" s="40"/>
    </row>
    <row r="59" spans="3:7" x14ac:dyDescent="0.25">
      <c r="C59" s="2"/>
      <c r="D59" s="34" t="e">
        <f>VLOOKUP(TR_Modèle9172982[[#This Row],[Ingrédients]],T_ingrédients[],3,0)</f>
        <v>#N/A</v>
      </c>
      <c r="E59" s="40"/>
      <c r="F59" s="41"/>
      <c r="G59" s="40"/>
    </row>
    <row r="60" spans="3:7" x14ac:dyDescent="0.25">
      <c r="C60" s="2"/>
      <c r="D60" s="34" t="e">
        <f>VLOOKUP(TR_Modèle9172982[[#This Row],[Ingrédients]],T_ingrédients[],3,0)</f>
        <v>#N/A</v>
      </c>
      <c r="E60" s="40"/>
      <c r="F60" s="41"/>
      <c r="G60" s="40"/>
    </row>
    <row r="61" spans="3:7" x14ac:dyDescent="0.25">
      <c r="C61" s="2"/>
      <c r="D61" s="34" t="e">
        <f>VLOOKUP(TR_Modèle9172982[[#This Row],[Ingrédients]],T_ingrédients[],3,0)</f>
        <v>#N/A</v>
      </c>
      <c r="E61" s="40"/>
      <c r="F61" s="41"/>
      <c r="G61" s="40"/>
    </row>
    <row r="62" spans="3:7" x14ac:dyDescent="0.25">
      <c r="C62" s="2"/>
      <c r="D62" s="34" t="e">
        <f>VLOOKUP(TR_Modèle9172982[[#This Row],[Ingrédients]],T_ingrédients[],3,0)</f>
        <v>#N/A</v>
      </c>
      <c r="E62" s="40"/>
      <c r="F62" s="41"/>
      <c r="G62" s="40"/>
    </row>
    <row r="63" spans="3:7" x14ac:dyDescent="0.25">
      <c r="C63" s="2"/>
      <c r="D63" s="34" t="e">
        <f>VLOOKUP(TR_Modèle9172982[[#This Row],[Ingrédients]],T_ingrédients[],3,0)</f>
        <v>#N/A</v>
      </c>
      <c r="E63" s="40"/>
      <c r="F63" s="41"/>
      <c r="G63" s="40"/>
    </row>
    <row r="64" spans="3:7" x14ac:dyDescent="0.25">
      <c r="C64" s="2"/>
      <c r="D64" s="34" t="e">
        <f>VLOOKUP(TR_Modèle9172982[[#This Row],[Ingrédients]],T_ingrédients[],3,0)</f>
        <v>#N/A</v>
      </c>
      <c r="E64" s="40"/>
      <c r="F64" s="41"/>
      <c r="G64" s="40"/>
    </row>
    <row r="65" spans="3:7" x14ac:dyDescent="0.25">
      <c r="C65" s="2"/>
      <c r="D65" s="34" t="e">
        <f>VLOOKUP(TR_Modèle9172982[[#This Row],[Ingrédients]],T_ingrédients[],3,0)</f>
        <v>#N/A</v>
      </c>
      <c r="E65" s="40"/>
      <c r="F65" s="41"/>
      <c r="G65" s="40"/>
    </row>
    <row r="66" spans="3:7" x14ac:dyDescent="0.25">
      <c r="C66" s="2"/>
      <c r="D66" s="34" t="e">
        <f>VLOOKUP(TR_Modèle9172982[[#This Row],[Ingrédients]],T_ingrédients[],3,0)</f>
        <v>#N/A</v>
      </c>
      <c r="E66" s="40"/>
      <c r="F66" s="41"/>
      <c r="G66" s="40"/>
    </row>
    <row r="67" spans="3:7" x14ac:dyDescent="0.25">
      <c r="C67" s="2"/>
      <c r="D67" s="34" t="e">
        <f>VLOOKUP(TR_Modèle9172982[[#This Row],[Ingrédients]],T_ingrédients[],3,0)</f>
        <v>#N/A</v>
      </c>
      <c r="E67" s="40"/>
      <c r="F67" s="41"/>
      <c r="G67" s="40"/>
    </row>
    <row r="68" spans="3:7" x14ac:dyDescent="0.25">
      <c r="C68" s="2"/>
      <c r="D68" s="34" t="e">
        <f>VLOOKUP(TR_Modèle9172982[[#This Row],[Ingrédients]],T_ingrédients[],3,0)</f>
        <v>#N/A</v>
      </c>
      <c r="E68" s="40"/>
      <c r="F68" s="41"/>
      <c r="G68" s="40"/>
    </row>
    <row r="69" spans="3:7" x14ac:dyDescent="0.25">
      <c r="C69" s="2"/>
      <c r="D69" s="34" t="e">
        <f>VLOOKUP(TR_Modèle9172982[[#This Row],[Ingrédients]],T_ingrédients[],3,0)</f>
        <v>#N/A</v>
      </c>
      <c r="E69" s="40"/>
      <c r="F69" s="41"/>
      <c r="G69" s="40"/>
    </row>
    <row r="70" spans="3:7" x14ac:dyDescent="0.25">
      <c r="C70" s="2"/>
      <c r="D70" s="34" t="e">
        <f>VLOOKUP(TR_Modèle9172982[[#This Row],[Ingrédients]],T_ingrédients[],3,0)</f>
        <v>#N/A</v>
      </c>
      <c r="E70" s="40"/>
      <c r="F70" s="41"/>
      <c r="G70" s="40"/>
    </row>
    <row r="71" spans="3:7" x14ac:dyDescent="0.25">
      <c r="C71" s="2"/>
      <c r="D71" s="34" t="e">
        <f>VLOOKUP(TR_Modèle9172982[[#This Row],[Ingrédients]],T_ingrédients[],3,0)</f>
        <v>#N/A</v>
      </c>
      <c r="E71" s="40"/>
      <c r="F71" s="41"/>
      <c r="G71" s="40"/>
    </row>
    <row r="72" spans="3:7" x14ac:dyDescent="0.25">
      <c r="C72" s="2"/>
      <c r="D72" s="34" t="e">
        <f>VLOOKUP(TR_Modèle9172982[[#This Row],[Ingrédients]],T_ingrédients[],3,0)</f>
        <v>#N/A</v>
      </c>
      <c r="E72" s="40"/>
      <c r="F72" s="41"/>
      <c r="G72" s="40"/>
    </row>
    <row r="73" spans="3:7" x14ac:dyDescent="0.25">
      <c r="C73" s="2"/>
      <c r="D73" s="34" t="e">
        <f>VLOOKUP(TR_Modèle9172982[[#This Row],[Ingrédients]],T_ingrédients[],3,0)</f>
        <v>#N/A</v>
      </c>
      <c r="E73" s="40"/>
      <c r="F73" s="41"/>
      <c r="G73" s="40"/>
    </row>
    <row r="74" spans="3:7" x14ac:dyDescent="0.25">
      <c r="C74" s="2"/>
      <c r="D74" s="34" t="e">
        <f>VLOOKUP(TR_Modèle9172982[[#This Row],[Ingrédients]],T_ingrédients[],3,0)</f>
        <v>#N/A</v>
      </c>
      <c r="E74" s="40"/>
      <c r="F74" s="41"/>
      <c r="G74" s="40"/>
    </row>
    <row r="75" spans="3:7" x14ac:dyDescent="0.25">
      <c r="C75" s="2"/>
      <c r="D75" s="34" t="e">
        <f>VLOOKUP(TR_Modèle9172982[[#This Row],[Ingrédients]],T_ingrédients[],3,0)</f>
        <v>#N/A</v>
      </c>
      <c r="E75" s="40"/>
      <c r="F75" s="41"/>
      <c r="G75" s="40"/>
    </row>
    <row r="76" spans="3:7" x14ac:dyDescent="0.25">
      <c r="C76" s="2"/>
      <c r="D76" s="34" t="e">
        <f>VLOOKUP(TR_Modèle9172982[[#This Row],[Ingrédients]],T_ingrédients[],3,0)</f>
        <v>#N/A</v>
      </c>
      <c r="E76" s="40"/>
      <c r="F76" s="41"/>
      <c r="G76" s="40"/>
    </row>
    <row r="77" spans="3:7" x14ac:dyDescent="0.25">
      <c r="C77" s="2"/>
      <c r="D77" s="34" t="e">
        <f>VLOOKUP(TR_Modèle9172982[[#This Row],[Ingrédients]],T_ingrédients[],3,0)</f>
        <v>#N/A</v>
      </c>
      <c r="E77" s="40"/>
      <c r="F77" s="41"/>
      <c r="G77" s="40"/>
    </row>
    <row r="78" spans="3:7" x14ac:dyDescent="0.25">
      <c r="C78" s="2"/>
      <c r="D78" s="34" t="e">
        <f>VLOOKUP(TR_Modèle9172982[[#This Row],[Ingrédients]],T_ingrédients[],3,0)</f>
        <v>#N/A</v>
      </c>
      <c r="E78" s="40"/>
      <c r="F78" s="41"/>
      <c r="G78" s="40"/>
    </row>
    <row r="79" spans="3:7" x14ac:dyDescent="0.25">
      <c r="C79" s="2"/>
      <c r="D79" s="34" t="e">
        <f>VLOOKUP(TR_Modèle9172982[[#This Row],[Ingrédients]],T_ingrédients[],3,0)</f>
        <v>#N/A</v>
      </c>
      <c r="E79" s="40"/>
      <c r="F79" s="41"/>
      <c r="G79" s="40"/>
    </row>
    <row r="80" spans="3:7" ht="15.75" thickBot="1" x14ac:dyDescent="0.3">
      <c r="C80" s="2"/>
      <c r="D80" s="34" t="e">
        <f>VLOOKUP(TR_Modèle9172982[[#This Row],[Ingrédients]],T_ingrédients[],3,0)</f>
        <v>#N/A</v>
      </c>
      <c r="E80" s="40"/>
      <c r="F80" s="41"/>
      <c r="G80" s="40"/>
    </row>
    <row r="81" spans="3:7" ht="16.5" thickBot="1" x14ac:dyDescent="0.3">
      <c r="C81" s="26" t="s">
        <v>39</v>
      </c>
      <c r="D81" s="27" t="s">
        <v>12</v>
      </c>
      <c r="E81" s="28">
        <f>SUBTOTAL(109,TR_Modèle9172982[Colonne1])</f>
        <v>0</v>
      </c>
      <c r="F81" s="28">
        <f>SUBTOTAL(109,TR_Modèle9172982[Colonne2])</f>
        <v>0</v>
      </c>
      <c r="G81" s="29">
        <f>SUBTOTAL(109,TR_Modèle9172982[Colonne3])</f>
        <v>0</v>
      </c>
    </row>
    <row r="83" spans="3:7" ht="15.75" thickBot="1" x14ac:dyDescent="0.3"/>
    <row r="84" spans="3:7" ht="18" thickBot="1" x14ac:dyDescent="0.3">
      <c r="C84" s="176" t="s">
        <v>60</v>
      </c>
      <c r="D84" s="177"/>
      <c r="E84" s="177"/>
      <c r="F84" s="177"/>
      <c r="G84" s="178"/>
    </row>
    <row r="85" spans="3:7" ht="15.75" thickBot="1" x14ac:dyDescent="0.3">
      <c r="C85" s="181"/>
      <c r="D85" s="182"/>
      <c r="E85" s="183" t="s">
        <v>13</v>
      </c>
      <c r="F85" s="184"/>
      <c r="G85" s="185"/>
    </row>
    <row r="86" spans="3:7" ht="16.5" thickBot="1" x14ac:dyDescent="0.3">
      <c r="C86" s="19" t="s">
        <v>0</v>
      </c>
      <c r="D86" s="33" t="s">
        <v>1</v>
      </c>
      <c r="E86" s="21" t="s">
        <v>57</v>
      </c>
      <c r="F86" s="21" t="s">
        <v>58</v>
      </c>
      <c r="G86" s="21" t="s">
        <v>59</v>
      </c>
    </row>
    <row r="87" spans="3:7" x14ac:dyDescent="0.25">
      <c r="C87" s="32"/>
      <c r="D87" s="34" t="e">
        <f>VLOOKUP(TR_Modèle9183083[[#This Row],[Ingrédients]],T_ingrédients[],3,0)</f>
        <v>#N/A</v>
      </c>
      <c r="E87" s="40"/>
      <c r="F87" s="41"/>
      <c r="G87" s="40"/>
    </row>
    <row r="88" spans="3:7" x14ac:dyDescent="0.25">
      <c r="C88" s="2"/>
      <c r="D88" s="34" t="e">
        <f>VLOOKUP(TR_Modèle9183083[[#This Row],[Ingrédients]],T_ingrédients[],3,0)</f>
        <v>#N/A</v>
      </c>
      <c r="E88" s="40"/>
      <c r="F88" s="41"/>
      <c r="G88" s="40"/>
    </row>
    <row r="89" spans="3:7" x14ac:dyDescent="0.25">
      <c r="C89" s="2"/>
      <c r="D89" s="34" t="e">
        <f>VLOOKUP(TR_Modèle9183083[[#This Row],[Ingrédients]],T_ingrédients[],3,0)</f>
        <v>#N/A</v>
      </c>
      <c r="E89" s="40"/>
      <c r="F89" s="41"/>
      <c r="G89" s="40"/>
    </row>
    <row r="90" spans="3:7" x14ac:dyDescent="0.25">
      <c r="C90" s="2"/>
      <c r="D90" s="34" t="e">
        <f>VLOOKUP(TR_Modèle9183083[[#This Row],[Ingrédients]],T_ingrédients[],3,0)</f>
        <v>#N/A</v>
      </c>
      <c r="E90" s="40"/>
      <c r="F90" s="41"/>
      <c r="G90" s="40"/>
    </row>
    <row r="91" spans="3:7" x14ac:dyDescent="0.25">
      <c r="C91" s="2"/>
      <c r="D91" s="34" t="e">
        <f>VLOOKUP(TR_Modèle9183083[[#This Row],[Ingrédients]],T_ingrédients[],3,0)</f>
        <v>#N/A</v>
      </c>
      <c r="E91" s="40"/>
      <c r="F91" s="41"/>
      <c r="G91" s="40"/>
    </row>
    <row r="92" spans="3:7" x14ac:dyDescent="0.25">
      <c r="C92" s="2"/>
      <c r="D92" s="34" t="e">
        <f>VLOOKUP(TR_Modèle9183083[[#This Row],[Ingrédients]],T_ingrédients[],3,0)</f>
        <v>#N/A</v>
      </c>
      <c r="E92" s="40"/>
      <c r="F92" s="41"/>
      <c r="G92" s="40"/>
    </row>
    <row r="93" spans="3:7" x14ac:dyDescent="0.25">
      <c r="C93" s="2"/>
      <c r="D93" s="34" t="e">
        <f>VLOOKUP(TR_Modèle9183083[[#This Row],[Ingrédients]],T_ingrédients[],3,0)</f>
        <v>#N/A</v>
      </c>
      <c r="E93" s="40"/>
      <c r="F93" s="41"/>
      <c r="G93" s="40"/>
    </row>
    <row r="94" spans="3:7" x14ac:dyDescent="0.25">
      <c r="C94" s="2"/>
      <c r="D94" s="34" t="e">
        <f>VLOOKUP(TR_Modèle9183083[[#This Row],[Ingrédients]],T_ingrédients[],3,0)</f>
        <v>#N/A</v>
      </c>
      <c r="E94" s="40"/>
      <c r="F94" s="41"/>
      <c r="G94" s="40"/>
    </row>
    <row r="95" spans="3:7" x14ac:dyDescent="0.25">
      <c r="C95" s="2"/>
      <c r="D95" s="34" t="e">
        <f>VLOOKUP(TR_Modèle9183083[[#This Row],[Ingrédients]],T_ingrédients[],3,0)</f>
        <v>#N/A</v>
      </c>
      <c r="E95" s="40"/>
      <c r="F95" s="41"/>
      <c r="G95" s="40"/>
    </row>
    <row r="96" spans="3:7" x14ac:dyDescent="0.25">
      <c r="C96" s="2"/>
      <c r="D96" s="34" t="e">
        <f>VLOOKUP(TR_Modèle9183083[[#This Row],[Ingrédients]],T_ingrédients[],3,0)</f>
        <v>#N/A</v>
      </c>
      <c r="E96" s="40"/>
      <c r="F96" s="41"/>
      <c r="G96" s="40"/>
    </row>
    <row r="97" spans="3:7" x14ac:dyDescent="0.25">
      <c r="C97" s="2"/>
      <c r="D97" s="34" t="e">
        <f>VLOOKUP(TR_Modèle9183083[[#This Row],[Ingrédients]],T_ingrédients[],3,0)</f>
        <v>#N/A</v>
      </c>
      <c r="E97" s="40"/>
      <c r="F97" s="41"/>
      <c r="G97" s="40"/>
    </row>
    <row r="98" spans="3:7" x14ac:dyDescent="0.25">
      <c r="C98" s="2"/>
      <c r="D98" s="34" t="e">
        <f>VLOOKUP(TR_Modèle9183083[[#This Row],[Ingrédients]],T_ingrédients[],3,0)</f>
        <v>#N/A</v>
      </c>
      <c r="E98" s="40"/>
      <c r="F98" s="41"/>
      <c r="G98" s="40"/>
    </row>
    <row r="99" spans="3:7" x14ac:dyDescent="0.25">
      <c r="C99" s="2"/>
      <c r="D99" s="34" t="e">
        <f>VLOOKUP(TR_Modèle9183083[[#This Row],[Ingrédients]],T_ingrédients[],3,0)</f>
        <v>#N/A</v>
      </c>
      <c r="E99" s="40"/>
      <c r="F99" s="41"/>
      <c r="G99" s="40"/>
    </row>
    <row r="100" spans="3:7" x14ac:dyDescent="0.25">
      <c r="C100" s="2"/>
      <c r="D100" s="34" t="e">
        <f>VLOOKUP(TR_Modèle9183083[[#This Row],[Ingrédients]],T_ingrédients[],3,0)</f>
        <v>#N/A</v>
      </c>
      <c r="E100" s="40"/>
      <c r="F100" s="41"/>
      <c r="G100" s="40"/>
    </row>
    <row r="101" spans="3:7" x14ac:dyDescent="0.25">
      <c r="C101" s="2"/>
      <c r="D101" s="34" t="e">
        <f>VLOOKUP(TR_Modèle9183083[[#This Row],[Ingrédients]],T_ingrédients[],3,0)</f>
        <v>#N/A</v>
      </c>
      <c r="E101" s="40"/>
      <c r="F101" s="41"/>
      <c r="G101" s="40"/>
    </row>
    <row r="102" spans="3:7" x14ac:dyDescent="0.25">
      <c r="C102" s="2"/>
      <c r="D102" s="34" t="e">
        <f>VLOOKUP(TR_Modèle9183083[[#This Row],[Ingrédients]],T_ingrédients[],3,0)</f>
        <v>#N/A</v>
      </c>
      <c r="E102" s="40"/>
      <c r="F102" s="41"/>
      <c r="G102" s="40"/>
    </row>
    <row r="103" spans="3:7" x14ac:dyDescent="0.25">
      <c r="C103" s="2"/>
      <c r="D103" s="34" t="e">
        <f>VLOOKUP(TR_Modèle9183083[[#This Row],[Ingrédients]],T_ingrédients[],3,0)</f>
        <v>#N/A</v>
      </c>
      <c r="E103" s="40"/>
      <c r="F103" s="41"/>
      <c r="G103" s="40"/>
    </row>
    <row r="104" spans="3:7" x14ac:dyDescent="0.25">
      <c r="C104" s="2"/>
      <c r="D104" s="34" t="e">
        <f>VLOOKUP(TR_Modèle9183083[[#This Row],[Ingrédients]],T_ingrédients[],3,0)</f>
        <v>#N/A</v>
      </c>
      <c r="E104" s="40"/>
      <c r="F104" s="41"/>
      <c r="G104" s="40"/>
    </row>
    <row r="105" spans="3:7" x14ac:dyDescent="0.25">
      <c r="C105" s="2"/>
      <c r="D105" s="34" t="e">
        <f>VLOOKUP(TR_Modèle9183083[[#This Row],[Ingrédients]],T_ingrédients[],3,0)</f>
        <v>#N/A</v>
      </c>
      <c r="E105" s="40"/>
      <c r="F105" s="41"/>
      <c r="G105" s="40"/>
    </row>
    <row r="106" spans="3:7" x14ac:dyDescent="0.25">
      <c r="C106" s="2"/>
      <c r="D106" s="34" t="e">
        <f>VLOOKUP(TR_Modèle9183083[[#This Row],[Ingrédients]],T_ingrédients[],3,0)</f>
        <v>#N/A</v>
      </c>
      <c r="E106" s="40"/>
      <c r="F106" s="41"/>
      <c r="G106" s="40"/>
    </row>
    <row r="107" spans="3:7" x14ac:dyDescent="0.25">
      <c r="C107" s="2"/>
      <c r="D107" s="34" t="e">
        <f>VLOOKUP(TR_Modèle9183083[[#This Row],[Ingrédients]],T_ingrédients[],3,0)</f>
        <v>#N/A</v>
      </c>
      <c r="E107" s="40"/>
      <c r="F107" s="41"/>
      <c r="G107" s="40"/>
    </row>
    <row r="108" spans="3:7" x14ac:dyDescent="0.25">
      <c r="C108" s="2"/>
      <c r="D108" s="34" t="e">
        <f>VLOOKUP(TR_Modèle9183083[[#This Row],[Ingrédients]],T_ingrédients[],3,0)</f>
        <v>#N/A</v>
      </c>
      <c r="E108" s="40"/>
      <c r="F108" s="41"/>
      <c r="G108" s="40"/>
    </row>
    <row r="109" spans="3:7" x14ac:dyDescent="0.25">
      <c r="C109" s="2"/>
      <c r="D109" s="34" t="e">
        <f>VLOOKUP(TR_Modèle9183083[[#This Row],[Ingrédients]],T_ingrédients[],3,0)</f>
        <v>#N/A</v>
      </c>
      <c r="E109" s="40"/>
      <c r="F109" s="41"/>
      <c r="G109" s="40"/>
    </row>
    <row r="110" spans="3:7" x14ac:dyDescent="0.25">
      <c r="C110" s="2"/>
      <c r="D110" s="34" t="e">
        <f>VLOOKUP(TR_Modèle9183083[[#This Row],[Ingrédients]],T_ingrédients[],3,0)</f>
        <v>#N/A</v>
      </c>
      <c r="E110" s="40"/>
      <c r="F110" s="41"/>
      <c r="G110" s="40"/>
    </row>
    <row r="111" spans="3:7" x14ac:dyDescent="0.25">
      <c r="C111" s="2"/>
      <c r="D111" s="34" t="e">
        <f>VLOOKUP(TR_Modèle9183083[[#This Row],[Ingrédients]],T_ingrédients[],3,0)</f>
        <v>#N/A</v>
      </c>
      <c r="E111" s="40"/>
      <c r="F111" s="41"/>
      <c r="G111" s="40"/>
    </row>
    <row r="112" spans="3:7" x14ac:dyDescent="0.25">
      <c r="C112" s="2"/>
      <c r="D112" s="34" t="e">
        <f>VLOOKUP(TR_Modèle9183083[[#This Row],[Ingrédients]],T_ingrédients[],3,0)</f>
        <v>#N/A</v>
      </c>
      <c r="E112" s="40"/>
      <c r="F112" s="41"/>
      <c r="G112" s="40"/>
    </row>
    <row r="113" spans="3:7" x14ac:dyDescent="0.25">
      <c r="C113" s="2"/>
      <c r="D113" s="34" t="e">
        <f>VLOOKUP(TR_Modèle9183083[[#This Row],[Ingrédients]],T_ingrédients[],3,0)</f>
        <v>#N/A</v>
      </c>
      <c r="E113" s="40"/>
      <c r="F113" s="41"/>
      <c r="G113" s="40"/>
    </row>
    <row r="114" spans="3:7" ht="15.75" thickBot="1" x14ac:dyDescent="0.3">
      <c r="C114" s="2"/>
      <c r="D114" s="34" t="e">
        <f>VLOOKUP(TR_Modèle9183083[[#This Row],[Ingrédients]],T_ingrédients[],3,0)</f>
        <v>#N/A</v>
      </c>
      <c r="E114" s="40"/>
      <c r="F114" s="41"/>
      <c r="G114" s="40"/>
    </row>
    <row r="115" spans="3:7" ht="16.5" thickBot="1" x14ac:dyDescent="0.3">
      <c r="C115" s="26" t="s">
        <v>39</v>
      </c>
      <c r="D115" s="27" t="s">
        <v>12</v>
      </c>
      <c r="E115" s="28">
        <f>SUBTOTAL(109,TR_Modèle9183083[Colonne1])</f>
        <v>0</v>
      </c>
      <c r="F115" s="28">
        <f>SUBTOTAL(109,TR_Modèle9183083[Colonne2])</f>
        <v>0</v>
      </c>
      <c r="G115" s="29">
        <f>SUBTOTAL(109,TR_Modèle9183083[Colonne3])</f>
        <v>0</v>
      </c>
    </row>
    <row r="117" spans="3:7" ht="15.75" thickBot="1" x14ac:dyDescent="0.3"/>
    <row r="118" spans="3:7" ht="18" thickBot="1" x14ac:dyDescent="0.3">
      <c r="C118" s="176" t="s">
        <v>60</v>
      </c>
      <c r="D118" s="177"/>
      <c r="E118" s="177"/>
      <c r="F118" s="177"/>
      <c r="G118" s="178"/>
    </row>
    <row r="119" spans="3:7" ht="15.75" thickBot="1" x14ac:dyDescent="0.3">
      <c r="C119" s="181"/>
      <c r="D119" s="182"/>
      <c r="E119" s="183" t="s">
        <v>13</v>
      </c>
      <c r="F119" s="184"/>
      <c r="G119" s="185"/>
    </row>
    <row r="120" spans="3:7" ht="16.5" thickBot="1" x14ac:dyDescent="0.3">
      <c r="C120" s="19" t="s">
        <v>0</v>
      </c>
      <c r="D120" s="33" t="s">
        <v>1</v>
      </c>
      <c r="E120" s="21" t="s">
        <v>57</v>
      </c>
      <c r="F120" s="21" t="s">
        <v>58</v>
      </c>
      <c r="G120" s="21" t="s">
        <v>59</v>
      </c>
    </row>
    <row r="121" spans="3:7" x14ac:dyDescent="0.25">
      <c r="C121" s="32"/>
      <c r="D121" s="34" t="e">
        <f>VLOOKUP(TR_Modèle9193184[[#This Row],[Ingrédients]],T_ingrédients[],3,0)</f>
        <v>#N/A</v>
      </c>
      <c r="E121" s="40"/>
      <c r="F121" s="41"/>
      <c r="G121" s="40"/>
    </row>
    <row r="122" spans="3:7" x14ac:dyDescent="0.25">
      <c r="C122" s="2"/>
      <c r="D122" s="34" t="e">
        <f>VLOOKUP(TR_Modèle9193184[[#This Row],[Ingrédients]],T_ingrédients[],3,0)</f>
        <v>#N/A</v>
      </c>
      <c r="E122" s="40"/>
      <c r="F122" s="41"/>
      <c r="G122" s="40"/>
    </row>
    <row r="123" spans="3:7" x14ac:dyDescent="0.25">
      <c r="C123" s="2"/>
      <c r="D123" s="34" t="e">
        <f>VLOOKUP(TR_Modèle9193184[[#This Row],[Ingrédients]],T_ingrédients[],3,0)</f>
        <v>#N/A</v>
      </c>
      <c r="E123" s="40"/>
      <c r="F123" s="41"/>
      <c r="G123" s="40"/>
    </row>
    <row r="124" spans="3:7" x14ac:dyDescent="0.25">
      <c r="C124" s="2"/>
      <c r="D124" s="34" t="e">
        <f>VLOOKUP(TR_Modèle9193184[[#This Row],[Ingrédients]],T_ingrédients[],3,0)</f>
        <v>#N/A</v>
      </c>
      <c r="E124" s="40"/>
      <c r="F124" s="41"/>
      <c r="G124" s="40"/>
    </row>
    <row r="125" spans="3:7" x14ac:dyDescent="0.25">
      <c r="C125" s="2"/>
      <c r="D125" s="34" t="e">
        <f>VLOOKUP(TR_Modèle9193184[[#This Row],[Ingrédients]],T_ingrédients[],3,0)</f>
        <v>#N/A</v>
      </c>
      <c r="E125" s="40"/>
      <c r="F125" s="41"/>
      <c r="G125" s="40"/>
    </row>
    <row r="126" spans="3:7" x14ac:dyDescent="0.25">
      <c r="C126" s="2"/>
      <c r="D126" s="34" t="e">
        <f>VLOOKUP(TR_Modèle9193184[[#This Row],[Ingrédients]],T_ingrédients[],3,0)</f>
        <v>#N/A</v>
      </c>
      <c r="E126" s="40"/>
      <c r="F126" s="41"/>
      <c r="G126" s="40"/>
    </row>
    <row r="127" spans="3:7" x14ac:dyDescent="0.25">
      <c r="C127" s="2"/>
      <c r="D127" s="34" t="e">
        <f>VLOOKUP(TR_Modèle9193184[[#This Row],[Ingrédients]],T_ingrédients[],3,0)</f>
        <v>#N/A</v>
      </c>
      <c r="E127" s="40"/>
      <c r="F127" s="41"/>
      <c r="G127" s="40"/>
    </row>
    <row r="128" spans="3:7" x14ac:dyDescent="0.25">
      <c r="C128" s="2"/>
      <c r="D128" s="34" t="e">
        <f>VLOOKUP(TR_Modèle9193184[[#This Row],[Ingrédients]],T_ingrédients[],3,0)</f>
        <v>#N/A</v>
      </c>
      <c r="E128" s="40"/>
      <c r="F128" s="41"/>
      <c r="G128" s="40"/>
    </row>
    <row r="129" spans="3:7" x14ac:dyDescent="0.25">
      <c r="C129" s="2"/>
      <c r="D129" s="34" t="e">
        <f>VLOOKUP(TR_Modèle9193184[[#This Row],[Ingrédients]],T_ingrédients[],3,0)</f>
        <v>#N/A</v>
      </c>
      <c r="E129" s="40"/>
      <c r="F129" s="41"/>
      <c r="G129" s="40"/>
    </row>
    <row r="130" spans="3:7" x14ac:dyDescent="0.25">
      <c r="C130" s="2"/>
      <c r="D130" s="34" t="e">
        <f>VLOOKUP(TR_Modèle9193184[[#This Row],[Ingrédients]],T_ingrédients[],3,0)</f>
        <v>#N/A</v>
      </c>
      <c r="E130" s="40"/>
      <c r="F130" s="41"/>
      <c r="G130" s="40"/>
    </row>
    <row r="131" spans="3:7" x14ac:dyDescent="0.25">
      <c r="C131" s="2"/>
      <c r="D131" s="34" t="e">
        <f>VLOOKUP(TR_Modèle9193184[[#This Row],[Ingrédients]],T_ingrédients[],3,0)</f>
        <v>#N/A</v>
      </c>
      <c r="E131" s="40"/>
      <c r="F131" s="41"/>
      <c r="G131" s="40"/>
    </row>
    <row r="132" spans="3:7" x14ac:dyDescent="0.25">
      <c r="C132" s="2"/>
      <c r="D132" s="34" t="e">
        <f>VLOOKUP(TR_Modèle9193184[[#This Row],[Ingrédients]],T_ingrédients[],3,0)</f>
        <v>#N/A</v>
      </c>
      <c r="E132" s="40"/>
      <c r="F132" s="41"/>
      <c r="G132" s="40"/>
    </row>
    <row r="133" spans="3:7" x14ac:dyDescent="0.25">
      <c r="C133" s="2"/>
      <c r="D133" s="34" t="e">
        <f>VLOOKUP(TR_Modèle9193184[[#This Row],[Ingrédients]],T_ingrédients[],3,0)</f>
        <v>#N/A</v>
      </c>
      <c r="E133" s="40"/>
      <c r="F133" s="41"/>
      <c r="G133" s="40"/>
    </row>
    <row r="134" spans="3:7" x14ac:dyDescent="0.25">
      <c r="C134" s="2"/>
      <c r="D134" s="34" t="e">
        <f>VLOOKUP(TR_Modèle9193184[[#This Row],[Ingrédients]],T_ingrédients[],3,0)</f>
        <v>#N/A</v>
      </c>
      <c r="E134" s="40"/>
      <c r="F134" s="41"/>
      <c r="G134" s="40"/>
    </row>
    <row r="135" spans="3:7" x14ac:dyDescent="0.25">
      <c r="C135" s="2"/>
      <c r="D135" s="34" t="e">
        <f>VLOOKUP(TR_Modèle9193184[[#This Row],[Ingrédients]],T_ingrédients[],3,0)</f>
        <v>#N/A</v>
      </c>
      <c r="E135" s="40"/>
      <c r="F135" s="41"/>
      <c r="G135" s="40"/>
    </row>
    <row r="136" spans="3:7" x14ac:dyDescent="0.25">
      <c r="C136" s="2"/>
      <c r="D136" s="34" t="e">
        <f>VLOOKUP(TR_Modèle9193184[[#This Row],[Ingrédients]],T_ingrédients[],3,0)</f>
        <v>#N/A</v>
      </c>
      <c r="E136" s="40"/>
      <c r="F136" s="41"/>
      <c r="G136" s="40"/>
    </row>
    <row r="137" spans="3:7" x14ac:dyDescent="0.25">
      <c r="C137" s="2"/>
      <c r="D137" s="34" t="e">
        <f>VLOOKUP(TR_Modèle9193184[[#This Row],[Ingrédients]],T_ingrédients[],3,0)</f>
        <v>#N/A</v>
      </c>
      <c r="E137" s="40"/>
      <c r="F137" s="41"/>
      <c r="G137" s="40"/>
    </row>
    <row r="138" spans="3:7" x14ac:dyDescent="0.25">
      <c r="C138" s="2"/>
      <c r="D138" s="34" t="e">
        <f>VLOOKUP(TR_Modèle9193184[[#This Row],[Ingrédients]],T_ingrédients[],3,0)</f>
        <v>#N/A</v>
      </c>
      <c r="E138" s="40"/>
      <c r="F138" s="41"/>
      <c r="G138" s="40"/>
    </row>
    <row r="139" spans="3:7" x14ac:dyDescent="0.25">
      <c r="C139" s="2"/>
      <c r="D139" s="34" t="e">
        <f>VLOOKUP(TR_Modèle9193184[[#This Row],[Ingrédients]],T_ingrédients[],3,0)</f>
        <v>#N/A</v>
      </c>
      <c r="E139" s="40"/>
      <c r="F139" s="41"/>
      <c r="G139" s="40"/>
    </row>
    <row r="140" spans="3:7" x14ac:dyDescent="0.25">
      <c r="C140" s="2"/>
      <c r="D140" s="34" t="e">
        <f>VLOOKUP(TR_Modèle9193184[[#This Row],[Ingrédients]],T_ingrédients[],3,0)</f>
        <v>#N/A</v>
      </c>
      <c r="E140" s="40"/>
      <c r="F140" s="41"/>
      <c r="G140" s="40"/>
    </row>
    <row r="141" spans="3:7" x14ac:dyDescent="0.25">
      <c r="C141" s="2"/>
      <c r="D141" s="34" t="e">
        <f>VLOOKUP(TR_Modèle9193184[[#This Row],[Ingrédients]],T_ingrédients[],3,0)</f>
        <v>#N/A</v>
      </c>
      <c r="E141" s="40"/>
      <c r="F141" s="41"/>
      <c r="G141" s="40"/>
    </row>
    <row r="142" spans="3:7" x14ac:dyDescent="0.25">
      <c r="C142" s="2"/>
      <c r="D142" s="34" t="e">
        <f>VLOOKUP(TR_Modèle9193184[[#This Row],[Ingrédients]],T_ingrédients[],3,0)</f>
        <v>#N/A</v>
      </c>
      <c r="E142" s="40"/>
      <c r="F142" s="41"/>
      <c r="G142" s="40"/>
    </row>
    <row r="143" spans="3:7" x14ac:dyDescent="0.25">
      <c r="C143" s="2"/>
      <c r="D143" s="34" t="e">
        <f>VLOOKUP(TR_Modèle9193184[[#This Row],[Ingrédients]],T_ingrédients[],3,0)</f>
        <v>#N/A</v>
      </c>
      <c r="E143" s="40"/>
      <c r="F143" s="41"/>
      <c r="G143" s="40"/>
    </row>
    <row r="144" spans="3:7" x14ac:dyDescent="0.25">
      <c r="C144" s="2"/>
      <c r="D144" s="34" t="e">
        <f>VLOOKUP(TR_Modèle9193184[[#This Row],[Ingrédients]],T_ingrédients[],3,0)</f>
        <v>#N/A</v>
      </c>
      <c r="E144" s="40"/>
      <c r="F144" s="41"/>
      <c r="G144" s="40"/>
    </row>
    <row r="145" spans="3:7" x14ac:dyDescent="0.25">
      <c r="C145" s="2"/>
      <c r="D145" s="34" t="e">
        <f>VLOOKUP(TR_Modèle9193184[[#This Row],[Ingrédients]],T_ingrédients[],3,0)</f>
        <v>#N/A</v>
      </c>
      <c r="E145" s="40"/>
      <c r="F145" s="41"/>
      <c r="G145" s="40"/>
    </row>
    <row r="146" spans="3:7" x14ac:dyDescent="0.25">
      <c r="C146" s="2"/>
      <c r="D146" s="34" t="e">
        <f>VLOOKUP(TR_Modèle9193184[[#This Row],[Ingrédients]],T_ingrédients[],3,0)</f>
        <v>#N/A</v>
      </c>
      <c r="E146" s="40"/>
      <c r="F146" s="41"/>
      <c r="G146" s="40"/>
    </row>
    <row r="147" spans="3:7" x14ac:dyDescent="0.25">
      <c r="C147" s="2"/>
      <c r="D147" s="34" t="e">
        <f>VLOOKUP(TR_Modèle9193184[[#This Row],[Ingrédients]],T_ingrédients[],3,0)</f>
        <v>#N/A</v>
      </c>
      <c r="E147" s="40"/>
      <c r="F147" s="41"/>
      <c r="G147" s="40"/>
    </row>
    <row r="148" spans="3:7" ht="15.75" thickBot="1" x14ac:dyDescent="0.3">
      <c r="C148" s="2"/>
      <c r="D148" s="34" t="e">
        <f>VLOOKUP(TR_Modèle9193184[[#This Row],[Ingrédients]],T_ingrédients[],3,0)</f>
        <v>#N/A</v>
      </c>
      <c r="E148" s="40"/>
      <c r="F148" s="41"/>
      <c r="G148" s="40"/>
    </row>
    <row r="149" spans="3:7" ht="16.5" thickBot="1" x14ac:dyDescent="0.3">
      <c r="C149" s="26" t="s">
        <v>39</v>
      </c>
      <c r="D149" s="27" t="s">
        <v>12</v>
      </c>
      <c r="E149" s="28">
        <f>SUBTOTAL(109,TR_Modèle9193184[Colonne1])</f>
        <v>0</v>
      </c>
      <c r="F149" s="28">
        <f>SUBTOTAL(109,TR_Modèle9193184[Colonne2])</f>
        <v>0</v>
      </c>
      <c r="G149" s="29">
        <f>SUBTOTAL(109,TR_Modèle9193184[Colonne3])</f>
        <v>0</v>
      </c>
    </row>
    <row r="151" spans="3:7" ht="15.75" thickBot="1" x14ac:dyDescent="0.3"/>
    <row r="152" spans="3:7" ht="18" thickBot="1" x14ac:dyDescent="0.3">
      <c r="C152" s="176" t="s">
        <v>60</v>
      </c>
      <c r="D152" s="177"/>
      <c r="E152" s="177"/>
      <c r="F152" s="177"/>
      <c r="G152" s="178"/>
    </row>
    <row r="153" spans="3:7" ht="15.75" thickBot="1" x14ac:dyDescent="0.3">
      <c r="C153" s="181"/>
      <c r="D153" s="182"/>
      <c r="E153" s="183" t="s">
        <v>13</v>
      </c>
      <c r="F153" s="184"/>
      <c r="G153" s="185"/>
    </row>
    <row r="154" spans="3:7" ht="16.5" thickBot="1" x14ac:dyDescent="0.3">
      <c r="C154" s="19" t="s">
        <v>0</v>
      </c>
      <c r="D154" s="33" t="s">
        <v>1</v>
      </c>
      <c r="E154" s="21" t="s">
        <v>57</v>
      </c>
      <c r="F154" s="21" t="s">
        <v>58</v>
      </c>
      <c r="G154" s="21" t="s">
        <v>59</v>
      </c>
    </row>
    <row r="155" spans="3:7" x14ac:dyDescent="0.25">
      <c r="C155" s="32"/>
      <c r="D155" s="34" t="e">
        <f>VLOOKUP(TR_Modèle9203285[[#This Row],[Ingrédients]],T_ingrédients[],3,0)</f>
        <v>#N/A</v>
      </c>
      <c r="E155" s="40"/>
      <c r="F155" s="41"/>
      <c r="G155" s="40"/>
    </row>
    <row r="156" spans="3:7" x14ac:dyDescent="0.25">
      <c r="C156" s="2"/>
      <c r="D156" s="34" t="e">
        <f>VLOOKUP(TR_Modèle9203285[[#This Row],[Ingrédients]],T_ingrédients[],3,0)</f>
        <v>#N/A</v>
      </c>
      <c r="E156" s="40"/>
      <c r="F156" s="41"/>
      <c r="G156" s="40"/>
    </row>
    <row r="157" spans="3:7" x14ac:dyDescent="0.25">
      <c r="C157" s="2"/>
      <c r="D157" s="34" t="e">
        <f>VLOOKUP(TR_Modèle9203285[[#This Row],[Ingrédients]],T_ingrédients[],3,0)</f>
        <v>#N/A</v>
      </c>
      <c r="E157" s="40"/>
      <c r="F157" s="41"/>
      <c r="G157" s="40"/>
    </row>
    <row r="158" spans="3:7" x14ac:dyDescent="0.25">
      <c r="C158" s="2"/>
      <c r="D158" s="34" t="e">
        <f>VLOOKUP(TR_Modèle9203285[[#This Row],[Ingrédients]],T_ingrédients[],3,0)</f>
        <v>#N/A</v>
      </c>
      <c r="E158" s="40"/>
      <c r="F158" s="41"/>
      <c r="G158" s="40"/>
    </row>
    <row r="159" spans="3:7" x14ac:dyDescent="0.25">
      <c r="C159" s="2"/>
      <c r="D159" s="34" t="e">
        <f>VLOOKUP(TR_Modèle9203285[[#This Row],[Ingrédients]],T_ingrédients[],3,0)</f>
        <v>#N/A</v>
      </c>
      <c r="E159" s="40"/>
      <c r="F159" s="41"/>
      <c r="G159" s="40"/>
    </row>
    <row r="160" spans="3:7" x14ac:dyDescent="0.25">
      <c r="C160" s="2"/>
      <c r="D160" s="34" t="e">
        <f>VLOOKUP(TR_Modèle9203285[[#This Row],[Ingrédients]],T_ingrédients[],3,0)</f>
        <v>#N/A</v>
      </c>
      <c r="E160" s="40"/>
      <c r="F160" s="41"/>
      <c r="G160" s="40"/>
    </row>
    <row r="161" spans="3:7" x14ac:dyDescent="0.25">
      <c r="C161" s="2"/>
      <c r="D161" s="34" t="e">
        <f>VLOOKUP(TR_Modèle9203285[[#This Row],[Ingrédients]],T_ingrédients[],3,0)</f>
        <v>#N/A</v>
      </c>
      <c r="E161" s="40"/>
      <c r="F161" s="41"/>
      <c r="G161" s="40"/>
    </row>
    <row r="162" spans="3:7" x14ac:dyDescent="0.25">
      <c r="C162" s="2"/>
      <c r="D162" s="34" t="e">
        <f>VLOOKUP(TR_Modèle9203285[[#This Row],[Ingrédients]],T_ingrédients[],3,0)</f>
        <v>#N/A</v>
      </c>
      <c r="E162" s="40"/>
      <c r="F162" s="41"/>
      <c r="G162" s="40"/>
    </row>
    <row r="163" spans="3:7" x14ac:dyDescent="0.25">
      <c r="C163" s="2"/>
      <c r="D163" s="34" t="e">
        <f>VLOOKUP(TR_Modèle9203285[[#This Row],[Ingrédients]],T_ingrédients[],3,0)</f>
        <v>#N/A</v>
      </c>
      <c r="E163" s="40"/>
      <c r="F163" s="41"/>
      <c r="G163" s="40"/>
    </row>
    <row r="164" spans="3:7" x14ac:dyDescent="0.25">
      <c r="C164" s="2"/>
      <c r="D164" s="34" t="e">
        <f>VLOOKUP(TR_Modèle9203285[[#This Row],[Ingrédients]],T_ingrédients[],3,0)</f>
        <v>#N/A</v>
      </c>
      <c r="E164" s="40"/>
      <c r="F164" s="41"/>
      <c r="G164" s="40"/>
    </row>
    <row r="165" spans="3:7" x14ac:dyDescent="0.25">
      <c r="C165" s="2"/>
      <c r="D165" s="34" t="e">
        <f>VLOOKUP(TR_Modèle9203285[[#This Row],[Ingrédients]],T_ingrédients[],3,0)</f>
        <v>#N/A</v>
      </c>
      <c r="E165" s="40"/>
      <c r="F165" s="41"/>
      <c r="G165" s="40"/>
    </row>
    <row r="166" spans="3:7" x14ac:dyDescent="0.25">
      <c r="C166" s="2"/>
      <c r="D166" s="34" t="e">
        <f>VLOOKUP(TR_Modèle9203285[[#This Row],[Ingrédients]],T_ingrédients[],3,0)</f>
        <v>#N/A</v>
      </c>
      <c r="E166" s="40"/>
      <c r="F166" s="41"/>
      <c r="G166" s="40"/>
    </row>
    <row r="167" spans="3:7" x14ac:dyDescent="0.25">
      <c r="C167" s="2"/>
      <c r="D167" s="34" t="e">
        <f>VLOOKUP(TR_Modèle9203285[[#This Row],[Ingrédients]],T_ingrédients[],3,0)</f>
        <v>#N/A</v>
      </c>
      <c r="E167" s="40"/>
      <c r="F167" s="41"/>
      <c r="G167" s="40"/>
    </row>
    <row r="168" spans="3:7" x14ac:dyDescent="0.25">
      <c r="C168" s="2"/>
      <c r="D168" s="34" t="e">
        <f>VLOOKUP(TR_Modèle9203285[[#This Row],[Ingrédients]],T_ingrédients[],3,0)</f>
        <v>#N/A</v>
      </c>
      <c r="E168" s="40"/>
      <c r="F168" s="41"/>
      <c r="G168" s="40"/>
    </row>
    <row r="169" spans="3:7" x14ac:dyDescent="0.25">
      <c r="C169" s="2"/>
      <c r="D169" s="34" t="e">
        <f>VLOOKUP(TR_Modèle9203285[[#This Row],[Ingrédients]],T_ingrédients[],3,0)</f>
        <v>#N/A</v>
      </c>
      <c r="E169" s="40"/>
      <c r="F169" s="41"/>
      <c r="G169" s="40"/>
    </row>
    <row r="170" spans="3:7" x14ac:dyDescent="0.25">
      <c r="C170" s="2"/>
      <c r="D170" s="34" t="e">
        <f>VLOOKUP(TR_Modèle9203285[[#This Row],[Ingrédients]],T_ingrédients[],3,0)</f>
        <v>#N/A</v>
      </c>
      <c r="E170" s="40"/>
      <c r="F170" s="41"/>
      <c r="G170" s="40"/>
    </row>
    <row r="171" spans="3:7" x14ac:dyDescent="0.25">
      <c r="C171" s="2"/>
      <c r="D171" s="34" t="e">
        <f>VLOOKUP(TR_Modèle9203285[[#This Row],[Ingrédients]],T_ingrédients[],3,0)</f>
        <v>#N/A</v>
      </c>
      <c r="E171" s="40"/>
      <c r="F171" s="41"/>
      <c r="G171" s="40"/>
    </row>
    <row r="172" spans="3:7" x14ac:dyDescent="0.25">
      <c r="C172" s="2"/>
      <c r="D172" s="34" t="e">
        <f>VLOOKUP(TR_Modèle9203285[[#This Row],[Ingrédients]],T_ingrédients[],3,0)</f>
        <v>#N/A</v>
      </c>
      <c r="E172" s="40"/>
      <c r="F172" s="41"/>
      <c r="G172" s="40"/>
    </row>
    <row r="173" spans="3:7" x14ac:dyDescent="0.25">
      <c r="C173" s="2"/>
      <c r="D173" s="34" t="e">
        <f>VLOOKUP(TR_Modèle9203285[[#This Row],[Ingrédients]],T_ingrédients[],3,0)</f>
        <v>#N/A</v>
      </c>
      <c r="E173" s="40"/>
      <c r="F173" s="41"/>
      <c r="G173" s="40"/>
    </row>
    <row r="174" spans="3:7" x14ac:dyDescent="0.25">
      <c r="C174" s="2"/>
      <c r="D174" s="34" t="e">
        <f>VLOOKUP(TR_Modèle9203285[[#This Row],[Ingrédients]],T_ingrédients[],3,0)</f>
        <v>#N/A</v>
      </c>
      <c r="E174" s="40"/>
      <c r="F174" s="41"/>
      <c r="G174" s="40"/>
    </row>
    <row r="175" spans="3:7" x14ac:dyDescent="0.25">
      <c r="C175" s="2"/>
      <c r="D175" s="34" t="e">
        <f>VLOOKUP(TR_Modèle9203285[[#This Row],[Ingrédients]],T_ingrédients[],3,0)</f>
        <v>#N/A</v>
      </c>
      <c r="E175" s="40"/>
      <c r="F175" s="41"/>
      <c r="G175" s="40"/>
    </row>
    <row r="176" spans="3:7" x14ac:dyDescent="0.25">
      <c r="C176" s="2"/>
      <c r="D176" s="34" t="e">
        <f>VLOOKUP(TR_Modèle9203285[[#This Row],[Ingrédients]],T_ingrédients[],3,0)</f>
        <v>#N/A</v>
      </c>
      <c r="E176" s="40"/>
      <c r="F176" s="41"/>
      <c r="G176" s="40"/>
    </row>
    <row r="177" spans="3:7" x14ac:dyDescent="0.25">
      <c r="C177" s="2"/>
      <c r="D177" s="34" t="e">
        <f>VLOOKUP(TR_Modèle9203285[[#This Row],[Ingrédients]],T_ingrédients[],3,0)</f>
        <v>#N/A</v>
      </c>
      <c r="E177" s="40"/>
      <c r="F177" s="41"/>
      <c r="G177" s="40"/>
    </row>
    <row r="178" spans="3:7" x14ac:dyDescent="0.25">
      <c r="C178" s="2"/>
      <c r="D178" s="34" t="e">
        <f>VLOOKUP(TR_Modèle9203285[[#This Row],[Ingrédients]],T_ingrédients[],3,0)</f>
        <v>#N/A</v>
      </c>
      <c r="E178" s="40"/>
      <c r="F178" s="41"/>
      <c r="G178" s="40"/>
    </row>
    <row r="179" spans="3:7" x14ac:dyDescent="0.25">
      <c r="C179" s="2"/>
      <c r="D179" s="34" t="e">
        <f>VLOOKUP(TR_Modèle9203285[[#This Row],[Ingrédients]],T_ingrédients[],3,0)</f>
        <v>#N/A</v>
      </c>
      <c r="E179" s="40"/>
      <c r="F179" s="41"/>
      <c r="G179" s="40"/>
    </row>
    <row r="180" spans="3:7" x14ac:dyDescent="0.25">
      <c r="C180" s="2"/>
      <c r="D180" s="34" t="e">
        <f>VLOOKUP(TR_Modèle9203285[[#This Row],[Ingrédients]],T_ingrédients[],3,0)</f>
        <v>#N/A</v>
      </c>
      <c r="E180" s="40"/>
      <c r="F180" s="41"/>
      <c r="G180" s="40"/>
    </row>
    <row r="181" spans="3:7" x14ac:dyDescent="0.25">
      <c r="C181" s="2"/>
      <c r="D181" s="34" t="e">
        <f>VLOOKUP(TR_Modèle9203285[[#This Row],[Ingrédients]],T_ingrédients[],3,0)</f>
        <v>#N/A</v>
      </c>
      <c r="E181" s="40"/>
      <c r="F181" s="41"/>
      <c r="G181" s="40"/>
    </row>
    <row r="182" spans="3:7" ht="15.75" thickBot="1" x14ac:dyDescent="0.3">
      <c r="C182" s="2"/>
      <c r="D182" s="34" t="e">
        <f>VLOOKUP(TR_Modèle9203285[[#This Row],[Ingrédients]],T_ingrédients[],3,0)</f>
        <v>#N/A</v>
      </c>
      <c r="E182" s="40"/>
      <c r="F182" s="41"/>
      <c r="G182" s="40"/>
    </row>
    <row r="183" spans="3:7" ht="16.5" thickBot="1" x14ac:dyDescent="0.3">
      <c r="C183" s="26" t="s">
        <v>39</v>
      </c>
      <c r="D183" s="27" t="s">
        <v>12</v>
      </c>
      <c r="E183" s="28">
        <f>SUBTOTAL(109,TR_Modèle9203285[Colonne1])</f>
        <v>0</v>
      </c>
      <c r="F183" s="28">
        <f>SUBTOTAL(109,TR_Modèle9203285[Colonne2])</f>
        <v>0</v>
      </c>
      <c r="G183" s="29">
        <f>SUBTOTAL(109,TR_Modèle9203285[Colonne3])</f>
        <v>0</v>
      </c>
    </row>
    <row r="185" spans="3:7" ht="15.75" thickBot="1" x14ac:dyDescent="0.3"/>
    <row r="186" spans="3:7" ht="18" thickBot="1" x14ac:dyDescent="0.3">
      <c r="C186" s="176" t="s">
        <v>60</v>
      </c>
      <c r="D186" s="177"/>
      <c r="E186" s="177"/>
      <c r="F186" s="177"/>
      <c r="G186" s="178"/>
    </row>
    <row r="187" spans="3:7" ht="15.75" thickBot="1" x14ac:dyDescent="0.3">
      <c r="C187" s="181"/>
      <c r="D187" s="182"/>
      <c r="E187" s="183" t="s">
        <v>13</v>
      </c>
      <c r="F187" s="184"/>
      <c r="G187" s="185"/>
    </row>
    <row r="188" spans="3:7" ht="16.5" thickBot="1" x14ac:dyDescent="0.3">
      <c r="C188" s="19" t="s">
        <v>0</v>
      </c>
      <c r="D188" s="33" t="s">
        <v>1</v>
      </c>
      <c r="E188" s="21" t="s">
        <v>57</v>
      </c>
      <c r="F188" s="21" t="s">
        <v>58</v>
      </c>
      <c r="G188" s="21" t="s">
        <v>59</v>
      </c>
    </row>
    <row r="189" spans="3:7" x14ac:dyDescent="0.25">
      <c r="C189" s="32"/>
      <c r="D189" s="34" t="e">
        <f>VLOOKUP(TR_Modèle9213386[[#This Row],[Ingrédients]],T_ingrédients[],3,0)</f>
        <v>#N/A</v>
      </c>
      <c r="E189" s="40"/>
      <c r="F189" s="41"/>
      <c r="G189" s="40"/>
    </row>
    <row r="190" spans="3:7" x14ac:dyDescent="0.25">
      <c r="C190" s="2"/>
      <c r="D190" s="34" t="e">
        <f>VLOOKUP(TR_Modèle9213386[[#This Row],[Ingrédients]],T_ingrédients[],3,0)</f>
        <v>#N/A</v>
      </c>
      <c r="E190" s="40"/>
      <c r="F190" s="41"/>
      <c r="G190" s="40"/>
    </row>
    <row r="191" spans="3:7" x14ac:dyDescent="0.25">
      <c r="C191" s="2"/>
      <c r="D191" s="34" t="e">
        <f>VLOOKUP(TR_Modèle9213386[[#This Row],[Ingrédients]],T_ingrédients[],3,0)</f>
        <v>#N/A</v>
      </c>
      <c r="E191" s="40"/>
      <c r="F191" s="41"/>
      <c r="G191" s="40"/>
    </row>
    <row r="192" spans="3:7" x14ac:dyDescent="0.25">
      <c r="C192" s="2"/>
      <c r="D192" s="34" t="e">
        <f>VLOOKUP(TR_Modèle9213386[[#This Row],[Ingrédients]],T_ingrédients[],3,0)</f>
        <v>#N/A</v>
      </c>
      <c r="E192" s="40"/>
      <c r="F192" s="41"/>
      <c r="G192" s="40"/>
    </row>
    <row r="193" spans="3:7" x14ac:dyDescent="0.25">
      <c r="C193" s="2"/>
      <c r="D193" s="34" t="e">
        <f>VLOOKUP(TR_Modèle9213386[[#This Row],[Ingrédients]],T_ingrédients[],3,0)</f>
        <v>#N/A</v>
      </c>
      <c r="E193" s="40"/>
      <c r="F193" s="41"/>
      <c r="G193" s="40"/>
    </row>
    <row r="194" spans="3:7" x14ac:dyDescent="0.25">
      <c r="C194" s="2"/>
      <c r="D194" s="34" t="e">
        <f>VLOOKUP(TR_Modèle9213386[[#This Row],[Ingrédients]],T_ingrédients[],3,0)</f>
        <v>#N/A</v>
      </c>
      <c r="E194" s="40"/>
      <c r="F194" s="41"/>
      <c r="G194" s="40"/>
    </row>
    <row r="195" spans="3:7" x14ac:dyDescent="0.25">
      <c r="C195" s="2"/>
      <c r="D195" s="34" t="e">
        <f>VLOOKUP(TR_Modèle9213386[[#This Row],[Ingrédients]],T_ingrédients[],3,0)</f>
        <v>#N/A</v>
      </c>
      <c r="E195" s="40"/>
      <c r="F195" s="41"/>
      <c r="G195" s="40"/>
    </row>
    <row r="196" spans="3:7" x14ac:dyDescent="0.25">
      <c r="C196" s="2"/>
      <c r="D196" s="34" t="e">
        <f>VLOOKUP(TR_Modèle9213386[[#This Row],[Ingrédients]],T_ingrédients[],3,0)</f>
        <v>#N/A</v>
      </c>
      <c r="E196" s="40"/>
      <c r="F196" s="41"/>
      <c r="G196" s="40"/>
    </row>
    <row r="197" spans="3:7" x14ac:dyDescent="0.25">
      <c r="C197" s="2"/>
      <c r="D197" s="34" t="e">
        <f>VLOOKUP(TR_Modèle9213386[[#This Row],[Ingrédients]],T_ingrédients[],3,0)</f>
        <v>#N/A</v>
      </c>
      <c r="E197" s="40"/>
      <c r="F197" s="41"/>
      <c r="G197" s="40"/>
    </row>
    <row r="198" spans="3:7" x14ac:dyDescent="0.25">
      <c r="C198" s="2"/>
      <c r="D198" s="34" t="e">
        <f>VLOOKUP(TR_Modèle9213386[[#This Row],[Ingrédients]],T_ingrédients[],3,0)</f>
        <v>#N/A</v>
      </c>
      <c r="E198" s="40"/>
      <c r="F198" s="41"/>
      <c r="G198" s="40"/>
    </row>
    <row r="199" spans="3:7" x14ac:dyDescent="0.25">
      <c r="C199" s="2"/>
      <c r="D199" s="34" t="e">
        <f>VLOOKUP(TR_Modèle9213386[[#This Row],[Ingrédients]],T_ingrédients[],3,0)</f>
        <v>#N/A</v>
      </c>
      <c r="E199" s="40"/>
      <c r="F199" s="41"/>
      <c r="G199" s="40"/>
    </row>
    <row r="200" spans="3:7" x14ac:dyDescent="0.25">
      <c r="C200" s="2"/>
      <c r="D200" s="34" t="e">
        <f>VLOOKUP(TR_Modèle9213386[[#This Row],[Ingrédients]],T_ingrédients[],3,0)</f>
        <v>#N/A</v>
      </c>
      <c r="E200" s="40"/>
      <c r="F200" s="41"/>
      <c r="G200" s="40"/>
    </row>
    <row r="201" spans="3:7" x14ac:dyDescent="0.25">
      <c r="C201" s="2"/>
      <c r="D201" s="34" t="e">
        <f>VLOOKUP(TR_Modèle9213386[[#This Row],[Ingrédients]],T_ingrédients[],3,0)</f>
        <v>#N/A</v>
      </c>
      <c r="E201" s="40"/>
      <c r="F201" s="41"/>
      <c r="G201" s="40"/>
    </row>
    <row r="202" spans="3:7" x14ac:dyDescent="0.25">
      <c r="C202" s="2"/>
      <c r="D202" s="34" t="e">
        <f>VLOOKUP(TR_Modèle9213386[[#This Row],[Ingrédients]],T_ingrédients[],3,0)</f>
        <v>#N/A</v>
      </c>
      <c r="E202" s="40"/>
      <c r="F202" s="41"/>
      <c r="G202" s="40"/>
    </row>
    <row r="203" spans="3:7" x14ac:dyDescent="0.25">
      <c r="C203" s="2"/>
      <c r="D203" s="34" t="e">
        <f>VLOOKUP(TR_Modèle9213386[[#This Row],[Ingrédients]],T_ingrédients[],3,0)</f>
        <v>#N/A</v>
      </c>
      <c r="E203" s="40"/>
      <c r="F203" s="41"/>
      <c r="G203" s="40"/>
    </row>
    <row r="204" spans="3:7" x14ac:dyDescent="0.25">
      <c r="C204" s="2"/>
      <c r="D204" s="34" t="e">
        <f>VLOOKUP(TR_Modèle9213386[[#This Row],[Ingrédients]],T_ingrédients[],3,0)</f>
        <v>#N/A</v>
      </c>
      <c r="E204" s="40"/>
      <c r="F204" s="41"/>
      <c r="G204" s="40"/>
    </row>
    <row r="205" spans="3:7" x14ac:dyDescent="0.25">
      <c r="C205" s="2"/>
      <c r="D205" s="34" t="e">
        <f>VLOOKUP(TR_Modèle9213386[[#This Row],[Ingrédients]],T_ingrédients[],3,0)</f>
        <v>#N/A</v>
      </c>
      <c r="E205" s="40"/>
      <c r="F205" s="41"/>
      <c r="G205" s="40"/>
    </row>
    <row r="206" spans="3:7" x14ac:dyDescent="0.25">
      <c r="C206" s="2"/>
      <c r="D206" s="34" t="e">
        <f>VLOOKUP(TR_Modèle9213386[[#This Row],[Ingrédients]],T_ingrédients[],3,0)</f>
        <v>#N/A</v>
      </c>
      <c r="E206" s="40"/>
      <c r="F206" s="41"/>
      <c r="G206" s="40"/>
    </row>
    <row r="207" spans="3:7" x14ac:dyDescent="0.25">
      <c r="C207" s="2"/>
      <c r="D207" s="34" t="e">
        <f>VLOOKUP(TR_Modèle9213386[[#This Row],[Ingrédients]],T_ingrédients[],3,0)</f>
        <v>#N/A</v>
      </c>
      <c r="E207" s="40"/>
      <c r="F207" s="41"/>
      <c r="G207" s="40"/>
    </row>
    <row r="208" spans="3:7" x14ac:dyDescent="0.25">
      <c r="C208" s="2"/>
      <c r="D208" s="34" t="e">
        <f>VLOOKUP(TR_Modèle9213386[[#This Row],[Ingrédients]],T_ingrédients[],3,0)</f>
        <v>#N/A</v>
      </c>
      <c r="E208" s="40"/>
      <c r="F208" s="41"/>
      <c r="G208" s="40"/>
    </row>
    <row r="209" spans="3:7" x14ac:dyDescent="0.25">
      <c r="C209" s="2"/>
      <c r="D209" s="34" t="e">
        <f>VLOOKUP(TR_Modèle9213386[[#This Row],[Ingrédients]],T_ingrédients[],3,0)</f>
        <v>#N/A</v>
      </c>
      <c r="E209" s="40"/>
      <c r="F209" s="41"/>
      <c r="G209" s="40"/>
    </row>
    <row r="210" spans="3:7" x14ac:dyDescent="0.25">
      <c r="C210" s="2"/>
      <c r="D210" s="34" t="e">
        <f>VLOOKUP(TR_Modèle9213386[[#This Row],[Ingrédients]],T_ingrédients[],3,0)</f>
        <v>#N/A</v>
      </c>
      <c r="E210" s="40"/>
      <c r="F210" s="41"/>
      <c r="G210" s="40"/>
    </row>
    <row r="211" spans="3:7" x14ac:dyDescent="0.25">
      <c r="C211" s="2"/>
      <c r="D211" s="34" t="e">
        <f>VLOOKUP(TR_Modèle9213386[[#This Row],[Ingrédients]],T_ingrédients[],3,0)</f>
        <v>#N/A</v>
      </c>
      <c r="E211" s="40"/>
      <c r="F211" s="41"/>
      <c r="G211" s="40"/>
    </row>
    <row r="212" spans="3:7" x14ac:dyDescent="0.25">
      <c r="C212" s="2"/>
      <c r="D212" s="34" t="e">
        <f>VLOOKUP(TR_Modèle9213386[[#This Row],[Ingrédients]],T_ingrédients[],3,0)</f>
        <v>#N/A</v>
      </c>
      <c r="E212" s="40"/>
      <c r="F212" s="41"/>
      <c r="G212" s="40"/>
    </row>
    <row r="213" spans="3:7" x14ac:dyDescent="0.25">
      <c r="C213" s="2"/>
      <c r="D213" s="34" t="e">
        <f>VLOOKUP(TR_Modèle9213386[[#This Row],[Ingrédients]],T_ingrédients[],3,0)</f>
        <v>#N/A</v>
      </c>
      <c r="E213" s="40"/>
      <c r="F213" s="41"/>
      <c r="G213" s="40"/>
    </row>
    <row r="214" spans="3:7" x14ac:dyDescent="0.25">
      <c r="C214" s="2"/>
      <c r="D214" s="34" t="e">
        <f>VLOOKUP(TR_Modèle9213386[[#This Row],[Ingrédients]],T_ingrédients[],3,0)</f>
        <v>#N/A</v>
      </c>
      <c r="E214" s="40"/>
      <c r="F214" s="41"/>
      <c r="G214" s="40"/>
    </row>
    <row r="215" spans="3:7" x14ac:dyDescent="0.25">
      <c r="C215" s="2"/>
      <c r="D215" s="34" t="e">
        <f>VLOOKUP(TR_Modèle9213386[[#This Row],[Ingrédients]],T_ingrédients[],3,0)</f>
        <v>#N/A</v>
      </c>
      <c r="E215" s="40"/>
      <c r="F215" s="41"/>
      <c r="G215" s="40"/>
    </row>
    <row r="216" spans="3:7" ht="15.75" thickBot="1" x14ac:dyDescent="0.3">
      <c r="C216" s="2"/>
      <c r="D216" s="34" t="e">
        <f>VLOOKUP(TR_Modèle9213386[[#This Row],[Ingrédients]],T_ingrédients[],3,0)</f>
        <v>#N/A</v>
      </c>
      <c r="E216" s="40"/>
      <c r="F216" s="41"/>
      <c r="G216" s="40"/>
    </row>
    <row r="217" spans="3:7" ht="16.5" thickBot="1" x14ac:dyDescent="0.3">
      <c r="C217" s="26" t="s">
        <v>39</v>
      </c>
      <c r="D217" s="27" t="s">
        <v>12</v>
      </c>
      <c r="E217" s="28">
        <f>SUBTOTAL(109,TR_Modèle9213386[Colonne1])</f>
        <v>0</v>
      </c>
      <c r="F217" s="28">
        <f>SUBTOTAL(109,TR_Modèle9213386[Colonne2])</f>
        <v>0</v>
      </c>
      <c r="G217" s="29">
        <f>SUBTOTAL(109,TR_Modèle9213386[Colonne3])</f>
        <v>0</v>
      </c>
    </row>
    <row r="219" spans="3:7" ht="15.75" thickBot="1" x14ac:dyDescent="0.3"/>
    <row r="220" spans="3:7" ht="18" thickBot="1" x14ac:dyDescent="0.3">
      <c r="C220" s="176" t="s">
        <v>60</v>
      </c>
      <c r="D220" s="177"/>
      <c r="E220" s="177"/>
      <c r="F220" s="177"/>
      <c r="G220" s="178"/>
    </row>
    <row r="221" spans="3:7" ht="15.75" thickBot="1" x14ac:dyDescent="0.3">
      <c r="C221" s="181"/>
      <c r="D221" s="182"/>
      <c r="E221" s="183" t="s">
        <v>13</v>
      </c>
      <c r="F221" s="184"/>
      <c r="G221" s="185"/>
    </row>
    <row r="222" spans="3:7" ht="16.5" thickBot="1" x14ac:dyDescent="0.3">
      <c r="C222" s="19" t="s">
        <v>0</v>
      </c>
      <c r="D222" s="33" t="s">
        <v>1</v>
      </c>
      <c r="E222" s="21" t="s">
        <v>57</v>
      </c>
      <c r="F222" s="21" t="s">
        <v>58</v>
      </c>
      <c r="G222" s="21" t="s">
        <v>59</v>
      </c>
    </row>
    <row r="223" spans="3:7" x14ac:dyDescent="0.25">
      <c r="C223" s="32"/>
      <c r="D223" s="34" t="e">
        <f>VLOOKUP(TR_Modèle9223487[[#This Row],[Ingrédients]],T_ingrédients[],3,0)</f>
        <v>#N/A</v>
      </c>
      <c r="E223" s="40"/>
      <c r="F223" s="41"/>
      <c r="G223" s="40"/>
    </row>
    <row r="224" spans="3:7" x14ac:dyDescent="0.25">
      <c r="C224" s="2"/>
      <c r="D224" s="34" t="e">
        <f>VLOOKUP(TR_Modèle9223487[[#This Row],[Ingrédients]],T_ingrédients[],3,0)</f>
        <v>#N/A</v>
      </c>
      <c r="E224" s="40"/>
      <c r="F224" s="41"/>
      <c r="G224" s="40"/>
    </row>
    <row r="225" spans="3:7" x14ac:dyDescent="0.25">
      <c r="C225" s="2"/>
      <c r="D225" s="34" t="e">
        <f>VLOOKUP(TR_Modèle9223487[[#This Row],[Ingrédients]],T_ingrédients[],3,0)</f>
        <v>#N/A</v>
      </c>
      <c r="E225" s="40"/>
      <c r="F225" s="41"/>
      <c r="G225" s="40"/>
    </row>
    <row r="226" spans="3:7" x14ac:dyDescent="0.25">
      <c r="C226" s="2"/>
      <c r="D226" s="34" t="e">
        <f>VLOOKUP(TR_Modèle9223487[[#This Row],[Ingrédients]],T_ingrédients[],3,0)</f>
        <v>#N/A</v>
      </c>
      <c r="E226" s="40"/>
      <c r="F226" s="41"/>
      <c r="G226" s="40"/>
    </row>
    <row r="227" spans="3:7" x14ac:dyDescent="0.25">
      <c r="C227" s="2"/>
      <c r="D227" s="34" t="e">
        <f>VLOOKUP(TR_Modèle9223487[[#This Row],[Ingrédients]],T_ingrédients[],3,0)</f>
        <v>#N/A</v>
      </c>
      <c r="E227" s="40"/>
      <c r="F227" s="41"/>
      <c r="G227" s="40"/>
    </row>
    <row r="228" spans="3:7" x14ac:dyDescent="0.25">
      <c r="C228" s="2"/>
      <c r="D228" s="34" t="e">
        <f>VLOOKUP(TR_Modèle9223487[[#This Row],[Ingrédients]],T_ingrédients[],3,0)</f>
        <v>#N/A</v>
      </c>
      <c r="E228" s="40"/>
      <c r="F228" s="41"/>
      <c r="G228" s="40"/>
    </row>
    <row r="229" spans="3:7" x14ac:dyDescent="0.25">
      <c r="C229" s="2"/>
      <c r="D229" s="34" t="e">
        <f>VLOOKUP(TR_Modèle9223487[[#This Row],[Ingrédients]],T_ingrédients[],3,0)</f>
        <v>#N/A</v>
      </c>
      <c r="E229" s="40"/>
      <c r="F229" s="41"/>
      <c r="G229" s="40"/>
    </row>
    <row r="230" spans="3:7" x14ac:dyDescent="0.25">
      <c r="C230" s="2"/>
      <c r="D230" s="34" t="e">
        <f>VLOOKUP(TR_Modèle9223487[[#This Row],[Ingrédients]],T_ingrédients[],3,0)</f>
        <v>#N/A</v>
      </c>
      <c r="E230" s="40"/>
      <c r="F230" s="41"/>
      <c r="G230" s="40"/>
    </row>
    <row r="231" spans="3:7" x14ac:dyDescent="0.25">
      <c r="C231" s="2"/>
      <c r="D231" s="34" t="e">
        <f>VLOOKUP(TR_Modèle9223487[[#This Row],[Ingrédients]],T_ingrédients[],3,0)</f>
        <v>#N/A</v>
      </c>
      <c r="E231" s="40"/>
      <c r="F231" s="41"/>
      <c r="G231" s="40"/>
    </row>
    <row r="232" spans="3:7" x14ac:dyDescent="0.25">
      <c r="C232" s="2"/>
      <c r="D232" s="34" t="e">
        <f>VLOOKUP(TR_Modèle9223487[[#This Row],[Ingrédients]],T_ingrédients[],3,0)</f>
        <v>#N/A</v>
      </c>
      <c r="E232" s="40"/>
      <c r="F232" s="41"/>
      <c r="G232" s="40"/>
    </row>
    <row r="233" spans="3:7" x14ac:dyDescent="0.25">
      <c r="C233" s="2"/>
      <c r="D233" s="34" t="e">
        <f>VLOOKUP(TR_Modèle9223487[[#This Row],[Ingrédients]],T_ingrédients[],3,0)</f>
        <v>#N/A</v>
      </c>
      <c r="E233" s="40"/>
      <c r="F233" s="41"/>
      <c r="G233" s="40"/>
    </row>
    <row r="234" spans="3:7" x14ac:dyDescent="0.25">
      <c r="C234" s="2"/>
      <c r="D234" s="34" t="e">
        <f>VLOOKUP(TR_Modèle9223487[[#This Row],[Ingrédients]],T_ingrédients[],3,0)</f>
        <v>#N/A</v>
      </c>
      <c r="E234" s="40"/>
      <c r="F234" s="41"/>
      <c r="G234" s="40"/>
    </row>
    <row r="235" spans="3:7" x14ac:dyDescent="0.25">
      <c r="C235" s="2"/>
      <c r="D235" s="34" t="e">
        <f>VLOOKUP(TR_Modèle9223487[[#This Row],[Ingrédients]],T_ingrédients[],3,0)</f>
        <v>#N/A</v>
      </c>
      <c r="E235" s="40"/>
      <c r="F235" s="41"/>
      <c r="G235" s="40"/>
    </row>
    <row r="236" spans="3:7" x14ac:dyDescent="0.25">
      <c r="C236" s="2"/>
      <c r="D236" s="34" t="e">
        <f>VLOOKUP(TR_Modèle9223487[[#This Row],[Ingrédients]],T_ingrédients[],3,0)</f>
        <v>#N/A</v>
      </c>
      <c r="E236" s="40"/>
      <c r="F236" s="41"/>
      <c r="G236" s="40"/>
    </row>
    <row r="237" spans="3:7" x14ac:dyDescent="0.25">
      <c r="C237" s="2"/>
      <c r="D237" s="34" t="e">
        <f>VLOOKUP(TR_Modèle9223487[[#This Row],[Ingrédients]],T_ingrédients[],3,0)</f>
        <v>#N/A</v>
      </c>
      <c r="E237" s="40"/>
      <c r="F237" s="41"/>
      <c r="G237" s="40"/>
    </row>
    <row r="238" spans="3:7" x14ac:dyDescent="0.25">
      <c r="C238" s="2"/>
      <c r="D238" s="34" t="e">
        <f>VLOOKUP(TR_Modèle9223487[[#This Row],[Ingrédients]],T_ingrédients[],3,0)</f>
        <v>#N/A</v>
      </c>
      <c r="E238" s="40"/>
      <c r="F238" s="41"/>
      <c r="G238" s="40"/>
    </row>
    <row r="239" spans="3:7" x14ac:dyDescent="0.25">
      <c r="C239" s="2"/>
      <c r="D239" s="34" t="e">
        <f>VLOOKUP(TR_Modèle9223487[[#This Row],[Ingrédients]],T_ingrédients[],3,0)</f>
        <v>#N/A</v>
      </c>
      <c r="E239" s="40"/>
      <c r="F239" s="41"/>
      <c r="G239" s="40"/>
    </row>
    <row r="240" spans="3:7" x14ac:dyDescent="0.25">
      <c r="C240" s="2"/>
      <c r="D240" s="34" t="e">
        <f>VLOOKUP(TR_Modèle9223487[[#This Row],[Ingrédients]],T_ingrédients[],3,0)</f>
        <v>#N/A</v>
      </c>
      <c r="E240" s="40"/>
      <c r="F240" s="41"/>
      <c r="G240" s="40"/>
    </row>
    <row r="241" spans="3:7" x14ac:dyDescent="0.25">
      <c r="C241" s="2"/>
      <c r="D241" s="34" t="e">
        <f>VLOOKUP(TR_Modèle9223487[[#This Row],[Ingrédients]],T_ingrédients[],3,0)</f>
        <v>#N/A</v>
      </c>
      <c r="E241" s="40"/>
      <c r="F241" s="41"/>
      <c r="G241" s="40"/>
    </row>
    <row r="242" spans="3:7" x14ac:dyDescent="0.25">
      <c r="C242" s="2"/>
      <c r="D242" s="34" t="e">
        <f>VLOOKUP(TR_Modèle9223487[[#This Row],[Ingrédients]],T_ingrédients[],3,0)</f>
        <v>#N/A</v>
      </c>
      <c r="E242" s="40"/>
      <c r="F242" s="41"/>
      <c r="G242" s="40"/>
    </row>
    <row r="243" spans="3:7" x14ac:dyDescent="0.25">
      <c r="C243" s="2"/>
      <c r="D243" s="34" t="e">
        <f>VLOOKUP(TR_Modèle9223487[[#This Row],[Ingrédients]],T_ingrédients[],3,0)</f>
        <v>#N/A</v>
      </c>
      <c r="E243" s="40"/>
      <c r="F243" s="41"/>
      <c r="G243" s="40"/>
    </row>
    <row r="244" spans="3:7" x14ac:dyDescent="0.25">
      <c r="C244" s="2"/>
      <c r="D244" s="34" t="e">
        <f>VLOOKUP(TR_Modèle9223487[[#This Row],[Ingrédients]],T_ingrédients[],3,0)</f>
        <v>#N/A</v>
      </c>
      <c r="E244" s="40"/>
      <c r="F244" s="41"/>
      <c r="G244" s="40"/>
    </row>
    <row r="245" spans="3:7" x14ac:dyDescent="0.25">
      <c r="C245" s="2"/>
      <c r="D245" s="34" t="e">
        <f>VLOOKUP(TR_Modèle9223487[[#This Row],[Ingrédients]],T_ingrédients[],3,0)</f>
        <v>#N/A</v>
      </c>
      <c r="E245" s="40"/>
      <c r="F245" s="41"/>
      <c r="G245" s="40"/>
    </row>
    <row r="246" spans="3:7" x14ac:dyDescent="0.25">
      <c r="C246" s="2"/>
      <c r="D246" s="34" t="e">
        <f>VLOOKUP(TR_Modèle9223487[[#This Row],[Ingrédients]],T_ingrédients[],3,0)</f>
        <v>#N/A</v>
      </c>
      <c r="E246" s="40"/>
      <c r="F246" s="41"/>
      <c r="G246" s="40"/>
    </row>
    <row r="247" spans="3:7" x14ac:dyDescent="0.25">
      <c r="C247" s="2"/>
      <c r="D247" s="34" t="e">
        <f>VLOOKUP(TR_Modèle9223487[[#This Row],[Ingrédients]],T_ingrédients[],3,0)</f>
        <v>#N/A</v>
      </c>
      <c r="E247" s="40"/>
      <c r="F247" s="41"/>
      <c r="G247" s="40"/>
    </row>
    <row r="248" spans="3:7" x14ac:dyDescent="0.25">
      <c r="C248" s="2"/>
      <c r="D248" s="34" t="e">
        <f>VLOOKUP(TR_Modèle9223487[[#This Row],[Ingrédients]],T_ingrédients[],3,0)</f>
        <v>#N/A</v>
      </c>
      <c r="E248" s="40"/>
      <c r="F248" s="41"/>
      <c r="G248" s="40"/>
    </row>
    <row r="249" spans="3:7" x14ac:dyDescent="0.25">
      <c r="C249" s="2"/>
      <c r="D249" s="34" t="e">
        <f>VLOOKUP(TR_Modèle9223487[[#This Row],[Ingrédients]],T_ingrédients[],3,0)</f>
        <v>#N/A</v>
      </c>
      <c r="E249" s="40"/>
      <c r="F249" s="41"/>
      <c r="G249" s="40"/>
    </row>
    <row r="250" spans="3:7" ht="15.75" thickBot="1" x14ac:dyDescent="0.3">
      <c r="C250" s="2"/>
      <c r="D250" s="34" t="e">
        <f>VLOOKUP(TR_Modèle9223487[[#This Row],[Ingrédients]],T_ingrédients[],3,0)</f>
        <v>#N/A</v>
      </c>
      <c r="E250" s="40"/>
      <c r="F250" s="41"/>
      <c r="G250" s="40"/>
    </row>
    <row r="251" spans="3:7" ht="16.5" thickBot="1" x14ac:dyDescent="0.3">
      <c r="C251" s="26" t="s">
        <v>39</v>
      </c>
      <c r="D251" s="27" t="s">
        <v>12</v>
      </c>
      <c r="E251" s="28">
        <f>SUBTOTAL(109,TR_Modèle9223487[Colonne1])</f>
        <v>0</v>
      </c>
      <c r="F251" s="28">
        <f>SUBTOTAL(109,TR_Modèle9223487[Colonne2])</f>
        <v>0</v>
      </c>
      <c r="G251" s="29">
        <f>SUBTOTAL(109,TR_Modèle9223487[Colonne3])</f>
        <v>0</v>
      </c>
    </row>
    <row r="253" spans="3:7" ht="15.75" thickBot="1" x14ac:dyDescent="0.3"/>
    <row r="254" spans="3:7" ht="18" thickBot="1" x14ac:dyDescent="0.3">
      <c r="C254" s="176" t="s">
        <v>60</v>
      </c>
      <c r="D254" s="177"/>
      <c r="E254" s="177"/>
      <c r="F254" s="177"/>
      <c r="G254" s="178"/>
    </row>
    <row r="255" spans="3:7" ht="15.75" thickBot="1" x14ac:dyDescent="0.3">
      <c r="C255" s="181"/>
      <c r="D255" s="182"/>
      <c r="E255" s="183" t="s">
        <v>13</v>
      </c>
      <c r="F255" s="184"/>
      <c r="G255" s="185"/>
    </row>
    <row r="256" spans="3:7" ht="16.5" thickBot="1" x14ac:dyDescent="0.3">
      <c r="C256" s="19" t="s">
        <v>0</v>
      </c>
      <c r="D256" s="33" t="s">
        <v>1</v>
      </c>
      <c r="E256" s="21" t="s">
        <v>57</v>
      </c>
      <c r="F256" s="21" t="s">
        <v>58</v>
      </c>
      <c r="G256" s="21" t="s">
        <v>59</v>
      </c>
    </row>
    <row r="257" spans="3:7" x14ac:dyDescent="0.25">
      <c r="C257" s="32"/>
      <c r="D257" s="34" t="e">
        <f>VLOOKUP(TR_Modèle9233588[[#This Row],[Ingrédients]],T_ingrédients[],3,0)</f>
        <v>#N/A</v>
      </c>
      <c r="E257" s="40"/>
      <c r="F257" s="41"/>
      <c r="G257" s="40"/>
    </row>
    <row r="258" spans="3:7" x14ac:dyDescent="0.25">
      <c r="C258" s="2"/>
      <c r="D258" s="34" t="e">
        <f>VLOOKUP(TR_Modèle9233588[[#This Row],[Ingrédients]],T_ingrédients[],3,0)</f>
        <v>#N/A</v>
      </c>
      <c r="E258" s="40"/>
      <c r="F258" s="41"/>
      <c r="G258" s="40"/>
    </row>
    <row r="259" spans="3:7" x14ac:dyDescent="0.25">
      <c r="C259" s="2"/>
      <c r="D259" s="34" t="e">
        <f>VLOOKUP(TR_Modèle9233588[[#This Row],[Ingrédients]],T_ingrédients[],3,0)</f>
        <v>#N/A</v>
      </c>
      <c r="E259" s="40"/>
      <c r="F259" s="41"/>
      <c r="G259" s="40"/>
    </row>
    <row r="260" spans="3:7" x14ac:dyDescent="0.25">
      <c r="C260" s="2"/>
      <c r="D260" s="34" t="e">
        <f>VLOOKUP(TR_Modèle9233588[[#This Row],[Ingrédients]],T_ingrédients[],3,0)</f>
        <v>#N/A</v>
      </c>
      <c r="E260" s="40"/>
      <c r="F260" s="41"/>
      <c r="G260" s="40"/>
    </row>
    <row r="261" spans="3:7" x14ac:dyDescent="0.25">
      <c r="C261" s="2"/>
      <c r="D261" s="34" t="e">
        <f>VLOOKUP(TR_Modèle9233588[[#This Row],[Ingrédients]],T_ingrédients[],3,0)</f>
        <v>#N/A</v>
      </c>
      <c r="E261" s="40"/>
      <c r="F261" s="41"/>
      <c r="G261" s="40"/>
    </row>
    <row r="262" spans="3:7" x14ac:dyDescent="0.25">
      <c r="C262" s="2"/>
      <c r="D262" s="34" t="e">
        <f>VLOOKUP(TR_Modèle9233588[[#This Row],[Ingrédients]],T_ingrédients[],3,0)</f>
        <v>#N/A</v>
      </c>
      <c r="E262" s="40"/>
      <c r="F262" s="41"/>
      <c r="G262" s="40"/>
    </row>
    <row r="263" spans="3:7" x14ac:dyDescent="0.25">
      <c r="C263" s="2"/>
      <c r="D263" s="34" t="e">
        <f>VLOOKUP(TR_Modèle9233588[[#This Row],[Ingrédients]],T_ingrédients[],3,0)</f>
        <v>#N/A</v>
      </c>
      <c r="E263" s="40"/>
      <c r="F263" s="41"/>
      <c r="G263" s="40"/>
    </row>
    <row r="264" spans="3:7" x14ac:dyDescent="0.25">
      <c r="C264" s="2"/>
      <c r="D264" s="34" t="e">
        <f>VLOOKUP(TR_Modèle9233588[[#This Row],[Ingrédients]],T_ingrédients[],3,0)</f>
        <v>#N/A</v>
      </c>
      <c r="E264" s="40"/>
      <c r="F264" s="41"/>
      <c r="G264" s="40"/>
    </row>
    <row r="265" spans="3:7" x14ac:dyDescent="0.25">
      <c r="C265" s="2"/>
      <c r="D265" s="34" t="e">
        <f>VLOOKUP(TR_Modèle9233588[[#This Row],[Ingrédients]],T_ingrédients[],3,0)</f>
        <v>#N/A</v>
      </c>
      <c r="E265" s="40"/>
      <c r="F265" s="41"/>
      <c r="G265" s="40"/>
    </row>
    <row r="266" spans="3:7" x14ac:dyDescent="0.25">
      <c r="C266" s="2"/>
      <c r="D266" s="34" t="e">
        <f>VLOOKUP(TR_Modèle9233588[[#This Row],[Ingrédients]],T_ingrédients[],3,0)</f>
        <v>#N/A</v>
      </c>
      <c r="E266" s="40"/>
      <c r="F266" s="41"/>
      <c r="G266" s="40"/>
    </row>
    <row r="267" spans="3:7" x14ac:dyDescent="0.25">
      <c r="C267" s="2"/>
      <c r="D267" s="34" t="e">
        <f>VLOOKUP(TR_Modèle9233588[[#This Row],[Ingrédients]],T_ingrédients[],3,0)</f>
        <v>#N/A</v>
      </c>
      <c r="E267" s="40"/>
      <c r="F267" s="41"/>
      <c r="G267" s="40"/>
    </row>
    <row r="268" spans="3:7" x14ac:dyDescent="0.25">
      <c r="C268" s="2"/>
      <c r="D268" s="34" t="e">
        <f>VLOOKUP(TR_Modèle9233588[[#This Row],[Ingrédients]],T_ingrédients[],3,0)</f>
        <v>#N/A</v>
      </c>
      <c r="E268" s="40"/>
      <c r="F268" s="41"/>
      <c r="G268" s="40"/>
    </row>
    <row r="269" spans="3:7" x14ac:dyDescent="0.25">
      <c r="C269" s="2"/>
      <c r="D269" s="34" t="e">
        <f>VLOOKUP(TR_Modèle9233588[[#This Row],[Ingrédients]],T_ingrédients[],3,0)</f>
        <v>#N/A</v>
      </c>
      <c r="E269" s="40"/>
      <c r="F269" s="41"/>
      <c r="G269" s="40"/>
    </row>
    <row r="270" spans="3:7" x14ac:dyDescent="0.25">
      <c r="C270" s="2"/>
      <c r="D270" s="34" t="e">
        <f>VLOOKUP(TR_Modèle9233588[[#This Row],[Ingrédients]],T_ingrédients[],3,0)</f>
        <v>#N/A</v>
      </c>
      <c r="E270" s="40"/>
      <c r="F270" s="41"/>
      <c r="G270" s="40"/>
    </row>
    <row r="271" spans="3:7" x14ac:dyDescent="0.25">
      <c r="C271" s="2"/>
      <c r="D271" s="34" t="e">
        <f>VLOOKUP(TR_Modèle9233588[[#This Row],[Ingrédients]],T_ingrédients[],3,0)</f>
        <v>#N/A</v>
      </c>
      <c r="E271" s="40"/>
      <c r="F271" s="41"/>
      <c r="G271" s="40"/>
    </row>
    <row r="272" spans="3:7" x14ac:dyDescent="0.25">
      <c r="C272" s="2"/>
      <c r="D272" s="34" t="e">
        <f>VLOOKUP(TR_Modèle9233588[[#This Row],[Ingrédients]],T_ingrédients[],3,0)</f>
        <v>#N/A</v>
      </c>
      <c r="E272" s="40"/>
      <c r="F272" s="41"/>
      <c r="G272" s="40"/>
    </row>
    <row r="273" spans="3:7" x14ac:dyDescent="0.25">
      <c r="C273" s="2"/>
      <c r="D273" s="34" t="e">
        <f>VLOOKUP(TR_Modèle9233588[[#This Row],[Ingrédients]],T_ingrédients[],3,0)</f>
        <v>#N/A</v>
      </c>
      <c r="E273" s="40"/>
      <c r="F273" s="41"/>
      <c r="G273" s="40"/>
    </row>
    <row r="274" spans="3:7" x14ac:dyDescent="0.25">
      <c r="C274" s="2"/>
      <c r="D274" s="34" t="e">
        <f>VLOOKUP(TR_Modèle9233588[[#This Row],[Ingrédients]],T_ingrédients[],3,0)</f>
        <v>#N/A</v>
      </c>
      <c r="E274" s="40"/>
      <c r="F274" s="41"/>
      <c r="G274" s="40"/>
    </row>
    <row r="275" spans="3:7" x14ac:dyDescent="0.25">
      <c r="C275" s="2"/>
      <c r="D275" s="34" t="e">
        <f>VLOOKUP(TR_Modèle9233588[[#This Row],[Ingrédients]],T_ingrédients[],3,0)</f>
        <v>#N/A</v>
      </c>
      <c r="E275" s="40"/>
      <c r="F275" s="41"/>
      <c r="G275" s="40"/>
    </row>
    <row r="276" spans="3:7" x14ac:dyDescent="0.25">
      <c r="C276" s="2"/>
      <c r="D276" s="34" t="e">
        <f>VLOOKUP(TR_Modèle9233588[[#This Row],[Ingrédients]],T_ingrédients[],3,0)</f>
        <v>#N/A</v>
      </c>
      <c r="E276" s="40"/>
      <c r="F276" s="41"/>
      <c r="G276" s="40"/>
    </row>
    <row r="277" spans="3:7" x14ac:dyDescent="0.25">
      <c r="C277" s="2"/>
      <c r="D277" s="34" t="e">
        <f>VLOOKUP(TR_Modèle9233588[[#This Row],[Ingrédients]],T_ingrédients[],3,0)</f>
        <v>#N/A</v>
      </c>
      <c r="E277" s="40"/>
      <c r="F277" s="41"/>
      <c r="G277" s="40"/>
    </row>
    <row r="278" spans="3:7" x14ac:dyDescent="0.25">
      <c r="C278" s="2"/>
      <c r="D278" s="34" t="e">
        <f>VLOOKUP(TR_Modèle9233588[[#This Row],[Ingrédients]],T_ingrédients[],3,0)</f>
        <v>#N/A</v>
      </c>
      <c r="E278" s="40"/>
      <c r="F278" s="41"/>
      <c r="G278" s="40"/>
    </row>
    <row r="279" spans="3:7" x14ac:dyDescent="0.25">
      <c r="C279" s="2"/>
      <c r="D279" s="34" t="e">
        <f>VLOOKUP(TR_Modèle9233588[[#This Row],[Ingrédients]],T_ingrédients[],3,0)</f>
        <v>#N/A</v>
      </c>
      <c r="E279" s="40"/>
      <c r="F279" s="41"/>
      <c r="G279" s="40"/>
    </row>
    <row r="280" spans="3:7" x14ac:dyDescent="0.25">
      <c r="C280" s="2"/>
      <c r="D280" s="34" t="e">
        <f>VLOOKUP(TR_Modèle9233588[[#This Row],[Ingrédients]],T_ingrédients[],3,0)</f>
        <v>#N/A</v>
      </c>
      <c r="E280" s="40"/>
      <c r="F280" s="41"/>
      <c r="G280" s="40"/>
    </row>
    <row r="281" spans="3:7" x14ac:dyDescent="0.25">
      <c r="C281" s="2"/>
      <c r="D281" s="34" t="e">
        <f>VLOOKUP(TR_Modèle9233588[[#This Row],[Ingrédients]],T_ingrédients[],3,0)</f>
        <v>#N/A</v>
      </c>
      <c r="E281" s="40"/>
      <c r="F281" s="41"/>
      <c r="G281" s="40"/>
    </row>
    <row r="282" spans="3:7" x14ac:dyDescent="0.25">
      <c r="C282" s="2"/>
      <c r="D282" s="34" t="e">
        <f>VLOOKUP(TR_Modèle9233588[[#This Row],[Ingrédients]],T_ingrédients[],3,0)</f>
        <v>#N/A</v>
      </c>
      <c r="E282" s="40"/>
      <c r="F282" s="41"/>
      <c r="G282" s="40"/>
    </row>
    <row r="283" spans="3:7" x14ac:dyDescent="0.25">
      <c r="C283" s="2"/>
      <c r="D283" s="34" t="e">
        <f>VLOOKUP(TR_Modèle9233588[[#This Row],[Ingrédients]],T_ingrédients[],3,0)</f>
        <v>#N/A</v>
      </c>
      <c r="E283" s="40"/>
      <c r="F283" s="41"/>
      <c r="G283" s="40"/>
    </row>
    <row r="284" spans="3:7" ht="15.75" thickBot="1" x14ac:dyDescent="0.3">
      <c r="C284" s="2"/>
      <c r="D284" s="34" t="e">
        <f>VLOOKUP(TR_Modèle9233588[[#This Row],[Ingrédients]],T_ingrédients[],3,0)</f>
        <v>#N/A</v>
      </c>
      <c r="E284" s="40"/>
      <c r="F284" s="41"/>
      <c r="G284" s="40"/>
    </row>
    <row r="285" spans="3:7" ht="16.5" thickBot="1" x14ac:dyDescent="0.3">
      <c r="C285" s="26" t="s">
        <v>39</v>
      </c>
      <c r="D285" s="27" t="s">
        <v>12</v>
      </c>
      <c r="E285" s="28">
        <f>SUBTOTAL(109,TR_Modèle9233588[Colonne1])</f>
        <v>0</v>
      </c>
      <c r="F285" s="28">
        <f>SUBTOTAL(109,TR_Modèle9233588[Colonne2])</f>
        <v>0</v>
      </c>
      <c r="G285" s="29">
        <f>SUBTOTAL(109,TR_Modèle9233588[Colonne3])</f>
        <v>0</v>
      </c>
    </row>
  </sheetData>
  <mergeCells count="29">
    <mergeCell ref="C2:G2"/>
    <mergeCell ref="C3:D3"/>
    <mergeCell ref="E3:G3"/>
    <mergeCell ref="C187:D187"/>
    <mergeCell ref="E187:G187"/>
    <mergeCell ref="C220:G220"/>
    <mergeCell ref="C85:D85"/>
    <mergeCell ref="E85:G85"/>
    <mergeCell ref="C118:G118"/>
    <mergeCell ref="C119:D119"/>
    <mergeCell ref="E119:G119"/>
    <mergeCell ref="C152:G152"/>
    <mergeCell ref="B5:B9"/>
    <mergeCell ref="B10:B12"/>
    <mergeCell ref="C153:D153"/>
    <mergeCell ref="E153:G153"/>
    <mergeCell ref="C186:G186"/>
    <mergeCell ref="C17:D17"/>
    <mergeCell ref="E17:G17"/>
    <mergeCell ref="C50:G50"/>
    <mergeCell ref="C51:D51"/>
    <mergeCell ref="E51:G51"/>
    <mergeCell ref="C84:G84"/>
    <mergeCell ref="C16:G16"/>
    <mergeCell ref="C221:D221"/>
    <mergeCell ref="E221:G221"/>
    <mergeCell ref="C254:G254"/>
    <mergeCell ref="C255:D255"/>
    <mergeCell ref="E255:G255"/>
  </mergeCells>
  <dataValidations count="1">
    <dataValidation type="list" allowBlank="1" showInputMessage="1" sqref="C5:C12 C257:C284 C19:C46 C53:C80 C87:C114 C121:C148 C155:C182 C189:C216 C223:C250" xr:uid="{00000000-0002-0000-0700-000000000000}">
      <formula1>L_ingrédients</formula1>
    </dataValidation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B1:L4"/>
  <sheetViews>
    <sheetView zoomScale="80" zoomScaleNormal="80" workbookViewId="0">
      <selection activeCell="D82" sqref="D82:D109 D116:D143 D150:D177 D184:D211 D218:D245 D252:D279"/>
    </sheetView>
  </sheetViews>
  <sheetFormatPr baseColWidth="10" defaultRowHeight="15" x14ac:dyDescent="0.25"/>
  <cols>
    <col min="1" max="1" width="3.7109375" customWidth="1"/>
    <col min="2" max="2" width="21.28515625" customWidth="1"/>
    <col min="3" max="3" width="20.7109375" customWidth="1"/>
    <col min="4" max="4" width="45.7109375" customWidth="1"/>
    <col min="5" max="6" width="23.7109375" customWidth="1"/>
    <col min="7" max="7" width="10.7109375" customWidth="1"/>
    <col min="8" max="8" width="20.7109375" customWidth="1"/>
    <col min="9" max="9" width="45.7109375" customWidth="1"/>
    <col min="10" max="10" width="20.7109375" customWidth="1"/>
    <col min="11" max="11" width="30.42578125" customWidth="1"/>
    <col min="12" max="12" width="9.140625" customWidth="1"/>
    <col min="13" max="14" width="24.28515625" bestFit="1" customWidth="1"/>
    <col min="15" max="15" width="12.28515625" bestFit="1" customWidth="1"/>
  </cols>
  <sheetData>
    <row r="1" spans="2:12" ht="16.149999999999999" customHeight="1" thickBot="1" x14ac:dyDescent="0.3">
      <c r="K1" s="48" t="s">
        <v>27</v>
      </c>
      <c r="L1" t="s">
        <v>68</v>
      </c>
    </row>
    <row r="2" spans="2:12" ht="19.899999999999999" customHeight="1" thickBot="1" x14ac:dyDescent="0.35">
      <c r="B2" s="196" t="s">
        <v>51</v>
      </c>
      <c r="C2" s="197"/>
      <c r="D2" s="197"/>
      <c r="E2" s="197"/>
      <c r="F2" s="198"/>
      <c r="H2" s="15"/>
      <c r="I2" s="15"/>
      <c r="J2" s="14"/>
      <c r="K2" s="48" t="s">
        <v>28</v>
      </c>
      <c r="L2" t="s">
        <v>68</v>
      </c>
    </row>
    <row r="3" spans="2:12" ht="31.15" customHeight="1" thickBot="1" x14ac:dyDescent="0.3">
      <c r="B3" s="50" t="s">
        <v>49</v>
      </c>
      <c r="C3" s="149" t="s">
        <v>27</v>
      </c>
      <c r="D3" s="154" t="s">
        <v>28</v>
      </c>
      <c r="E3" s="155" t="s">
        <v>295</v>
      </c>
      <c r="F3" s="148" t="s">
        <v>67</v>
      </c>
      <c r="G3" s="18"/>
      <c r="H3" s="15"/>
      <c r="I3" s="15"/>
      <c r="J3" s="15"/>
      <c r="K3" s="48" t="s">
        <v>50</v>
      </c>
      <c r="L3" t="s">
        <v>68</v>
      </c>
    </row>
    <row r="4" spans="2:12" x14ac:dyDescent="0.25">
      <c r="B4" s="42" t="s">
        <v>52</v>
      </c>
      <c r="C4" s="53" t="s">
        <v>31</v>
      </c>
      <c r="D4" s="73" t="s">
        <v>78</v>
      </c>
      <c r="E4" s="42">
        <v>26</v>
      </c>
      <c r="F4" s="42">
        <v>1</v>
      </c>
      <c r="H4" s="15"/>
      <c r="I4" s="15"/>
      <c r="J4" s="15"/>
    </row>
  </sheetData>
  <mergeCells count="1">
    <mergeCell ref="B2:F2"/>
  </mergeCells>
  <dataValidations count="3">
    <dataValidation type="list" allowBlank="1" showInputMessage="1" showErrorMessage="1" sqref="C4" xr:uid="{00000000-0002-0000-0900-000000000000}">
      <formula1>L_Catégories</formula1>
    </dataValidation>
    <dataValidation type="list" allowBlank="1" showInputMessage="1" showErrorMessage="1" sqref="D4" xr:uid="{00000000-0002-0000-0900-000001000000}">
      <formula1>L_Recettes</formula1>
    </dataValidation>
    <dataValidation type="list" allowBlank="1" showInputMessage="1" showErrorMessage="1" sqref="E4" xr:uid="{00000000-0002-0000-0900-000002000000}">
      <formula1>L_Q_C_D</formula1>
    </dataValidation>
  </dataValidations>
  <pageMargins left="0.7" right="0.7" top="0.75" bottom="0.75" header="0.3" footer="0.3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B1:L18"/>
  <sheetViews>
    <sheetView tabSelected="1" zoomScale="80" zoomScaleNormal="80" workbookViewId="0">
      <selection activeCell="K22" sqref="K22"/>
    </sheetView>
  </sheetViews>
  <sheetFormatPr baseColWidth="10" defaultRowHeight="15" x14ac:dyDescent="0.25"/>
  <cols>
    <col min="1" max="1" width="3.7109375" customWidth="1"/>
    <col min="2" max="2" width="19" customWidth="1"/>
    <col min="3" max="3" width="30.85546875" bestFit="1" customWidth="1"/>
    <col min="4" max="4" width="8.42578125" bestFit="1" customWidth="1"/>
    <col min="5" max="5" width="15.28515625" bestFit="1" customWidth="1"/>
    <col min="6" max="6" width="14.42578125" bestFit="1" customWidth="1"/>
    <col min="7" max="7" width="11.140625" bestFit="1" customWidth="1"/>
    <col min="8" max="8" width="3.7109375" customWidth="1"/>
    <col min="9" max="9" width="20.7109375" customWidth="1"/>
    <col min="10" max="10" width="45.7109375" customWidth="1"/>
    <col min="11" max="11" width="20.7109375" customWidth="1"/>
  </cols>
  <sheetData>
    <row r="1" spans="2:12" ht="16.149999999999999" customHeight="1" thickBot="1" x14ac:dyDescent="0.3"/>
    <row r="2" spans="2:12" ht="19.899999999999999" customHeight="1" x14ac:dyDescent="0.3">
      <c r="B2" s="199" t="s">
        <v>53</v>
      </c>
      <c r="C2" s="200"/>
      <c r="D2" s="200"/>
      <c r="E2" s="200"/>
      <c r="F2" s="200"/>
      <c r="G2" s="201"/>
      <c r="I2" s="14"/>
      <c r="J2" s="15"/>
      <c r="K2" s="14"/>
      <c r="L2" s="14"/>
    </row>
    <row r="3" spans="2:12" ht="14.45" customHeight="1" thickBot="1" x14ac:dyDescent="0.3">
      <c r="B3" s="202"/>
      <c r="C3" s="203"/>
      <c r="D3" s="203"/>
      <c r="E3" s="203"/>
      <c r="F3" s="203"/>
      <c r="G3" s="204"/>
      <c r="J3" s="15"/>
    </row>
    <row r="4" spans="2:12" ht="18" thickBot="1" x14ac:dyDescent="0.35">
      <c r="B4" s="63"/>
      <c r="C4" s="152" t="s">
        <v>66</v>
      </c>
      <c r="D4" s="122"/>
      <c r="E4" s="3"/>
      <c r="F4" s="15"/>
      <c r="G4" s="61"/>
      <c r="J4" s="15"/>
    </row>
    <row r="5" spans="2:12" ht="15.75" thickBot="1" x14ac:dyDescent="0.3">
      <c r="B5" s="63"/>
      <c r="C5" s="153" t="s">
        <v>49</v>
      </c>
      <c r="D5" s="122"/>
      <c r="E5" s="3"/>
      <c r="F5" s="15"/>
      <c r="G5" s="61"/>
      <c r="J5" s="15"/>
    </row>
    <row r="6" spans="2:12" ht="15.75" thickBot="1" x14ac:dyDescent="0.3">
      <c r="B6" s="63"/>
      <c r="C6" s="68" t="s">
        <v>52</v>
      </c>
      <c r="D6" s="122"/>
      <c r="E6" s="3"/>
      <c r="F6" s="15"/>
      <c r="G6" s="61"/>
      <c r="J6" s="15"/>
    </row>
    <row r="7" spans="2:12" ht="15.75" thickBot="1" x14ac:dyDescent="0.3">
      <c r="B7" s="64"/>
      <c r="C7" s="151"/>
      <c r="D7" s="55"/>
      <c r="E7" s="151"/>
      <c r="F7" s="104"/>
      <c r="G7" s="65"/>
      <c r="J7" s="15"/>
    </row>
    <row r="8" spans="2:12" x14ac:dyDescent="0.25">
      <c r="B8" s="156" t="s">
        <v>49</v>
      </c>
      <c r="C8" s="157" t="s">
        <v>0</v>
      </c>
      <c r="D8" s="157" t="s">
        <v>1</v>
      </c>
      <c r="E8" s="157" t="s">
        <v>2</v>
      </c>
      <c r="F8" s="157" t="s">
        <v>33</v>
      </c>
      <c r="G8" s="158" t="s">
        <v>13</v>
      </c>
      <c r="J8" s="15"/>
    </row>
    <row r="9" spans="2:12" x14ac:dyDescent="0.25">
      <c r="B9" t="s">
        <v>52</v>
      </c>
      <c r="C9" t="s">
        <v>14</v>
      </c>
      <c r="D9" t="s">
        <v>12</v>
      </c>
      <c r="E9" t="s">
        <v>23</v>
      </c>
      <c r="F9" t="s">
        <v>35</v>
      </c>
      <c r="G9">
        <v>1650</v>
      </c>
      <c r="J9" s="15"/>
    </row>
    <row r="10" spans="2:12" x14ac:dyDescent="0.25">
      <c r="B10" t="s">
        <v>52</v>
      </c>
      <c r="C10" t="s">
        <v>16</v>
      </c>
      <c r="D10" t="s">
        <v>12</v>
      </c>
      <c r="E10" t="s">
        <v>25</v>
      </c>
      <c r="F10" t="s">
        <v>35</v>
      </c>
      <c r="G10">
        <v>2</v>
      </c>
      <c r="J10" s="15"/>
    </row>
    <row r="11" spans="2:12" x14ac:dyDescent="0.25">
      <c r="B11" t="s">
        <v>52</v>
      </c>
      <c r="C11" t="s">
        <v>19</v>
      </c>
      <c r="D11" t="s">
        <v>12</v>
      </c>
      <c r="E11" t="s">
        <v>25</v>
      </c>
      <c r="F11" t="s">
        <v>35</v>
      </c>
      <c r="G11">
        <v>68</v>
      </c>
      <c r="J11" s="15"/>
    </row>
    <row r="12" spans="2:12" x14ac:dyDescent="0.25">
      <c r="B12" t="s">
        <v>52</v>
      </c>
      <c r="C12" t="s">
        <v>15</v>
      </c>
      <c r="D12" t="s">
        <v>12</v>
      </c>
      <c r="E12" t="s">
        <v>24</v>
      </c>
      <c r="F12" t="s">
        <v>35</v>
      </c>
      <c r="G12">
        <v>660</v>
      </c>
      <c r="J12" s="15"/>
    </row>
    <row r="13" spans="2:12" x14ac:dyDescent="0.25">
      <c r="B13" t="s">
        <v>52</v>
      </c>
      <c r="C13" t="s">
        <v>17</v>
      </c>
      <c r="D13" t="s">
        <v>12</v>
      </c>
      <c r="E13" t="s">
        <v>23</v>
      </c>
      <c r="F13" t="s">
        <v>34</v>
      </c>
      <c r="G13">
        <v>58</v>
      </c>
      <c r="J13" s="15"/>
    </row>
    <row r="14" spans="2:12" x14ac:dyDescent="0.25">
      <c r="B14" t="s">
        <v>52</v>
      </c>
      <c r="C14" t="s">
        <v>8</v>
      </c>
      <c r="D14" t="s">
        <v>12</v>
      </c>
      <c r="E14" t="s">
        <v>23</v>
      </c>
      <c r="F14" t="s">
        <v>34</v>
      </c>
      <c r="G14">
        <v>368</v>
      </c>
    </row>
    <row r="15" spans="2:12" x14ac:dyDescent="0.25">
      <c r="B15" t="s">
        <v>52</v>
      </c>
      <c r="C15" t="s">
        <v>18</v>
      </c>
      <c r="D15" t="s">
        <v>12</v>
      </c>
      <c r="E15" t="s">
        <v>23</v>
      </c>
      <c r="F15" t="s">
        <v>36</v>
      </c>
      <c r="G15">
        <v>990</v>
      </c>
    </row>
    <row r="16" spans="2:12" x14ac:dyDescent="0.25">
      <c r="C16" s="6"/>
      <c r="F16" s="1"/>
    </row>
    <row r="17" spans="3:6" x14ac:dyDescent="0.25">
      <c r="C17" s="6"/>
      <c r="F17" s="1"/>
    </row>
    <row r="18" spans="3:6" x14ac:dyDescent="0.25">
      <c r="C18" s="6"/>
      <c r="F18" s="1"/>
    </row>
  </sheetData>
  <mergeCells count="1">
    <mergeCell ref="B2:G3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661B49-FAFC-4EC7-A26D-022DB69301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Base</vt:lpstr>
      <vt:lpstr>Biscuits</vt:lpstr>
      <vt:lpstr>Brioches</vt:lpstr>
      <vt:lpstr>Cakes</vt:lpstr>
      <vt:lpstr>Cookies</vt:lpstr>
      <vt:lpstr>Gâteaux</vt:lpstr>
      <vt:lpstr>Indivs</vt:lpstr>
      <vt:lpstr>Divers</vt:lpstr>
      <vt:lpstr>Salé</vt:lpstr>
      <vt:lpstr>Planning</vt:lpstr>
      <vt:lpstr>Liste courses</vt:lpstr>
      <vt:lpstr>L_Catégories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ACG</dc:creator>
  <cp:lastModifiedBy>Chris_W10</cp:lastModifiedBy>
  <dcterms:created xsi:type="dcterms:W3CDTF">2023-03-13T12:32:37Z</dcterms:created>
  <dcterms:modified xsi:type="dcterms:W3CDTF">2023-03-16T07:49:51Z</dcterms:modified>
</cp:coreProperties>
</file>