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DFBF54C-069F-41BE-AD4F-E57346B4558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2" sheetId="2" r:id="rId1"/>
    <sheet name="Références" sheetId="1" r:id="rId2"/>
  </sheets>
  <definedNames>
    <definedName name="Loxo" localSheetId="1">Références!$A$101:$A$102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/>
  <c r="I5" i="2" s="1"/>
  <c r="M5" i="2" s="1"/>
  <c r="K5" i="2"/>
  <c r="L5" i="2" s="1"/>
  <c r="H6" i="2"/>
  <c r="K6" i="2"/>
  <c r="L6" i="2" s="1"/>
  <c r="H7" i="2"/>
  <c r="I7" i="2"/>
  <c r="J7" i="2" s="1"/>
  <c r="K7" i="2"/>
  <c r="L7" i="2" s="1"/>
  <c r="H8" i="2"/>
  <c r="I8" i="2" s="1"/>
  <c r="J8" i="2" s="1"/>
  <c r="K8" i="2"/>
  <c r="L8" i="2" s="1"/>
  <c r="H9" i="2"/>
  <c r="I9" i="2" s="1"/>
  <c r="J9" i="2" s="1"/>
  <c r="K9" i="2"/>
  <c r="L9" i="2" s="1"/>
  <c r="H10" i="2"/>
  <c r="K10" i="2"/>
  <c r="L10" i="2" s="1"/>
  <c r="H11" i="2"/>
  <c r="I11" i="2" s="1"/>
  <c r="K11" i="2"/>
  <c r="L11" i="2" s="1"/>
  <c r="H12" i="2"/>
  <c r="I12" i="2" s="1"/>
  <c r="K12" i="2"/>
  <c r="L12" i="2" s="1"/>
  <c r="H13" i="2"/>
  <c r="K13" i="2"/>
  <c r="L13" i="2" s="1"/>
  <c r="H14" i="2"/>
  <c r="I14" i="2" s="1"/>
  <c r="J14" i="2" s="1"/>
  <c r="K14" i="2"/>
  <c r="L14" i="2" s="1"/>
  <c r="H15" i="2"/>
  <c r="I15" i="2" s="1"/>
  <c r="K15" i="2"/>
  <c r="L15" i="2" s="1"/>
  <c r="H16" i="2"/>
  <c r="K16" i="2"/>
  <c r="L16" i="2" s="1"/>
  <c r="H17" i="2"/>
  <c r="I17" i="2" s="1"/>
  <c r="K17" i="2"/>
  <c r="L17" i="2" s="1"/>
  <c r="H18" i="2"/>
  <c r="I18" i="2" s="1"/>
  <c r="J18" i="2" s="1"/>
  <c r="K18" i="2"/>
  <c r="L18" i="2" s="1"/>
  <c r="H19" i="2"/>
  <c r="K19" i="2"/>
  <c r="L19" i="2" s="1"/>
  <c r="H20" i="2"/>
  <c r="I20" i="2" s="1"/>
  <c r="J20" i="2" s="1"/>
  <c r="K20" i="2"/>
  <c r="L20" i="2" s="1"/>
  <c r="H21" i="2"/>
  <c r="I21" i="2" s="1"/>
  <c r="J21" i="2" s="1"/>
  <c r="K21" i="2"/>
  <c r="L21" i="2" s="1"/>
  <c r="H22" i="2"/>
  <c r="K22" i="2"/>
  <c r="L22" i="2" s="1"/>
  <c r="H23" i="2"/>
  <c r="I23" i="2" s="1"/>
  <c r="K23" i="2"/>
  <c r="L23" i="2" s="1"/>
  <c r="H24" i="2"/>
  <c r="I24" i="2" s="1"/>
  <c r="J24" i="2" s="1"/>
  <c r="K24" i="2"/>
  <c r="L24" i="2" s="1"/>
  <c r="H25" i="2"/>
  <c r="I25" i="2" s="1"/>
  <c r="K25" i="2"/>
  <c r="L25" i="2" s="1"/>
  <c r="H26" i="2"/>
  <c r="I26" i="2" s="1"/>
  <c r="J26" i="2" s="1"/>
  <c r="K26" i="2"/>
  <c r="L26" i="2" s="1"/>
  <c r="H27" i="2"/>
  <c r="I27" i="2" s="1"/>
  <c r="K27" i="2"/>
  <c r="L27" i="2" s="1"/>
  <c r="H28" i="2"/>
  <c r="K28" i="2"/>
  <c r="L28" i="2" s="1"/>
  <c r="H29" i="2"/>
  <c r="K29" i="2"/>
  <c r="L29" i="2" s="1"/>
  <c r="H30" i="2"/>
  <c r="K30" i="2"/>
  <c r="L30" i="2"/>
  <c r="H31" i="2"/>
  <c r="I31" i="2" s="1"/>
  <c r="K31" i="2"/>
  <c r="L31" i="2" s="1"/>
  <c r="H32" i="2"/>
  <c r="I32" i="2" s="1"/>
  <c r="J32" i="2" s="1"/>
  <c r="K32" i="2"/>
  <c r="L32" i="2" s="1"/>
  <c r="H33" i="2"/>
  <c r="I33" i="2" s="1"/>
  <c r="K33" i="2"/>
  <c r="L33" i="2" s="1"/>
  <c r="H34" i="2"/>
  <c r="I34" i="2" s="1"/>
  <c r="J34" i="2" s="1"/>
  <c r="K34" i="2"/>
  <c r="L34" i="2" s="1"/>
  <c r="H35" i="2"/>
  <c r="K35" i="2"/>
  <c r="L35" i="2" s="1"/>
  <c r="H36" i="2"/>
  <c r="I36" i="2" s="1"/>
  <c r="J36" i="2" s="1"/>
  <c r="K36" i="2"/>
  <c r="L36" i="2" s="1"/>
  <c r="Q36" i="2" s="1"/>
  <c r="T36" i="2" s="1"/>
  <c r="BL5" i="2"/>
  <c r="BM5" i="2" s="1"/>
  <c r="BL6" i="2"/>
  <c r="BM6" i="2" s="1"/>
  <c r="BL7" i="2"/>
  <c r="BM7" i="2" s="1"/>
  <c r="BL8" i="2"/>
  <c r="BM8" i="2" s="1"/>
  <c r="BL9" i="2"/>
  <c r="BM9" i="2" s="1"/>
  <c r="BL10" i="2"/>
  <c r="BM10" i="2" s="1"/>
  <c r="BL11" i="2"/>
  <c r="BM11" i="2" s="1"/>
  <c r="BL12" i="2"/>
  <c r="BM12" i="2" s="1"/>
  <c r="BL13" i="2"/>
  <c r="BM13" i="2" s="1"/>
  <c r="BL14" i="2"/>
  <c r="BM14" i="2" s="1"/>
  <c r="BL15" i="2"/>
  <c r="BM15" i="2" s="1"/>
  <c r="BL16" i="2"/>
  <c r="BM16" i="2" s="1"/>
  <c r="BL17" i="2"/>
  <c r="BM17" i="2" s="1"/>
  <c r="BL18" i="2"/>
  <c r="BM18" i="2" s="1"/>
  <c r="BL19" i="2"/>
  <c r="BM19" i="2" s="1"/>
  <c r="BL20" i="2"/>
  <c r="BM20" i="2" s="1"/>
  <c r="BL21" i="2"/>
  <c r="BM21" i="2" s="1"/>
  <c r="BL22" i="2"/>
  <c r="BM22" i="2" s="1"/>
  <c r="BL23" i="2"/>
  <c r="BM23" i="2" s="1"/>
  <c r="BL24" i="2"/>
  <c r="BM24" i="2" s="1"/>
  <c r="BL25" i="2"/>
  <c r="BM25" i="2" s="1"/>
  <c r="BL26" i="2"/>
  <c r="BM26" i="2" s="1"/>
  <c r="BL27" i="2"/>
  <c r="BM27" i="2" s="1"/>
  <c r="BL28" i="2"/>
  <c r="BM28" i="2" s="1"/>
  <c r="BL29" i="2"/>
  <c r="BM29" i="2" s="1"/>
  <c r="BL30" i="2"/>
  <c r="BM30" i="2" s="1"/>
  <c r="BL31" i="2"/>
  <c r="BM31" i="2" s="1"/>
  <c r="BL32" i="2"/>
  <c r="BM32" i="2" s="1"/>
  <c r="BL33" i="2"/>
  <c r="BM33" i="2" s="1"/>
  <c r="BL34" i="2"/>
  <c r="BM34" i="2" s="1"/>
  <c r="BL35" i="2"/>
  <c r="BM35" i="2" s="1"/>
  <c r="BL36" i="2"/>
  <c r="BM36" i="2" s="1"/>
  <c r="X21" i="2" l="1"/>
  <c r="X36" i="2"/>
  <c r="Y36" i="2" s="1"/>
  <c r="X15" i="2"/>
  <c r="X27" i="2"/>
  <c r="X18" i="2"/>
  <c r="X34" i="2"/>
  <c r="I22" i="2"/>
  <c r="J22" i="2" s="1"/>
  <c r="X9" i="2"/>
  <c r="X12" i="2"/>
  <c r="X5" i="2"/>
  <c r="X29" i="2"/>
  <c r="I19" i="2"/>
  <c r="O18" i="2" s="1"/>
  <c r="S18" i="2" s="1"/>
  <c r="I16" i="2"/>
  <c r="J16" i="2" s="1"/>
  <c r="I13" i="2"/>
  <c r="O12" i="2" s="1"/>
  <c r="S12" i="2" s="1"/>
  <c r="I10" i="2"/>
  <c r="O9" i="2" s="1"/>
  <c r="S9" i="2" s="1"/>
  <c r="X28" i="2"/>
  <c r="O32" i="2"/>
  <c r="P32" i="2" s="1"/>
  <c r="O24" i="2"/>
  <c r="S24" i="2" s="1"/>
  <c r="I28" i="2"/>
  <c r="J28" i="2" s="1"/>
  <c r="X8" i="2"/>
  <c r="I6" i="2"/>
  <c r="O5" i="2" s="1"/>
  <c r="O26" i="2"/>
  <c r="P26" i="2" s="1"/>
  <c r="X19" i="2"/>
  <c r="X16" i="2"/>
  <c r="X13" i="2"/>
  <c r="I35" i="2"/>
  <c r="O34" i="2" s="1"/>
  <c r="S34" i="2" s="1"/>
  <c r="X31" i="2"/>
  <c r="O11" i="2"/>
  <c r="P11" i="2" s="1"/>
  <c r="X6" i="2"/>
  <c r="X17" i="2"/>
  <c r="X14" i="2"/>
  <c r="X11" i="2"/>
  <c r="O8" i="2"/>
  <c r="S8" i="2" s="1"/>
  <c r="X33" i="2"/>
  <c r="X23" i="2"/>
  <c r="O14" i="2"/>
  <c r="P14" i="2" s="1"/>
  <c r="I30" i="2"/>
  <c r="J30" i="2" s="1"/>
  <c r="O7" i="2"/>
  <c r="P7" i="2" s="1"/>
  <c r="X35" i="2"/>
  <c r="I29" i="2"/>
  <c r="X25" i="2"/>
  <c r="X7" i="2"/>
  <c r="J5" i="2"/>
  <c r="AE36" i="2"/>
  <c r="AC36" i="2" s="1"/>
  <c r="J12" i="2"/>
  <c r="R36" i="2" a="1"/>
  <c r="R36" i="2" s="1"/>
  <c r="M33" i="2"/>
  <c r="M31" i="2"/>
  <c r="N31" i="2" s="1" a="1"/>
  <c r="N31" i="2" s="1"/>
  <c r="M27" i="2"/>
  <c r="M25" i="2"/>
  <c r="N25" i="2" s="1" a="1"/>
  <c r="N25" i="2" s="1"/>
  <c r="M23" i="2"/>
  <c r="M21" i="2"/>
  <c r="M17" i="2"/>
  <c r="M15" i="2"/>
  <c r="M11" i="2"/>
  <c r="M9" i="2"/>
  <c r="M7" i="2"/>
  <c r="O33" i="2"/>
  <c r="P33" i="2" s="1"/>
  <c r="O25" i="2"/>
  <c r="S25" i="2" s="1"/>
  <c r="O17" i="2"/>
  <c r="P17" i="2" s="1"/>
  <c r="O31" i="2"/>
  <c r="S31" i="2" s="1"/>
  <c r="O23" i="2"/>
  <c r="S23" i="2" s="1"/>
  <c r="O36" i="2"/>
  <c r="J33" i="2"/>
  <c r="J31" i="2"/>
  <c r="J27" i="2"/>
  <c r="J25" i="2"/>
  <c r="J23" i="2"/>
  <c r="J17" i="2"/>
  <c r="J15" i="2"/>
  <c r="J11" i="2"/>
  <c r="X32" i="2"/>
  <c r="X30" i="2"/>
  <c r="X26" i="2"/>
  <c r="X24" i="2"/>
  <c r="X22" i="2"/>
  <c r="X10" i="2"/>
  <c r="M36" i="2"/>
  <c r="N36" i="2" s="1" a="1"/>
  <c r="N36" i="2" s="1"/>
  <c r="M34" i="2"/>
  <c r="M32" i="2"/>
  <c r="M26" i="2"/>
  <c r="M24" i="2"/>
  <c r="M20" i="2"/>
  <c r="M18" i="2"/>
  <c r="M16" i="2"/>
  <c r="M14" i="2"/>
  <c r="N14" i="2" s="1" a="1"/>
  <c r="N14" i="2" s="1"/>
  <c r="M12" i="2"/>
  <c r="M8" i="2"/>
  <c r="N8" i="2" s="1" a="1"/>
  <c r="N8" i="2" s="1"/>
  <c r="M6" i="2"/>
  <c r="N6" i="2" s="1" a="1"/>
  <c r="N6" i="2" s="1"/>
  <c r="O20" i="2"/>
  <c r="P20" i="2" s="1"/>
  <c r="X20" i="2"/>
  <c r="Q35" i="2"/>
  <c r="T35" i="2" s="1"/>
  <c r="Q34" i="2"/>
  <c r="T34" i="2" s="1"/>
  <c r="Q33" i="2"/>
  <c r="T33" i="2" s="1"/>
  <c r="Q32" i="2"/>
  <c r="T32" i="2" s="1"/>
  <c r="Q31" i="2"/>
  <c r="T31" i="2" s="1"/>
  <c r="Q30" i="2"/>
  <c r="T30" i="2" s="1"/>
  <c r="Q29" i="2"/>
  <c r="T29" i="2" s="1"/>
  <c r="Q28" i="2"/>
  <c r="T28" i="2" s="1"/>
  <c r="Q27" i="2"/>
  <c r="T27" i="2" s="1"/>
  <c r="Q26" i="2"/>
  <c r="T26" i="2" s="1"/>
  <c r="Q25" i="2"/>
  <c r="T25" i="2" s="1"/>
  <c r="Q24" i="2"/>
  <c r="T24" i="2" s="1"/>
  <c r="Q23" i="2"/>
  <c r="T23" i="2" s="1"/>
  <c r="Q22" i="2"/>
  <c r="T22" i="2" s="1"/>
  <c r="Q21" i="2"/>
  <c r="T21" i="2" s="1"/>
  <c r="AE21" i="2" s="1"/>
  <c r="AC21" i="2" s="1"/>
  <c r="Q20" i="2"/>
  <c r="T20" i="2" s="1"/>
  <c r="AE20" i="2" s="1"/>
  <c r="AC20" i="2" s="1"/>
  <c r="Q19" i="2"/>
  <c r="T19" i="2" s="1"/>
  <c r="Q18" i="2"/>
  <c r="T18" i="2" s="1"/>
  <c r="Q17" i="2"/>
  <c r="T17" i="2" s="1"/>
  <c r="Q16" i="2"/>
  <c r="T16" i="2" s="1"/>
  <c r="Q15" i="2"/>
  <c r="T15" i="2" s="1"/>
  <c r="Q14" i="2"/>
  <c r="T14" i="2" s="1"/>
  <c r="AE14" i="2" s="1"/>
  <c r="AC14" i="2" s="1"/>
  <c r="Q13" i="2"/>
  <c r="T13" i="2" s="1"/>
  <c r="Q12" i="2"/>
  <c r="T12" i="2" s="1"/>
  <c r="Q11" i="2"/>
  <c r="T11" i="2" s="1"/>
  <c r="S11" i="2"/>
  <c r="Q10" i="2"/>
  <c r="T10" i="2" s="1"/>
  <c r="Q9" i="2"/>
  <c r="T9" i="2" s="1"/>
  <c r="Q8" i="2"/>
  <c r="T8" i="2" s="1"/>
  <c r="AE8" i="2" s="1"/>
  <c r="AC8" i="2" s="1"/>
  <c r="P8" i="2"/>
  <c r="Q7" i="2"/>
  <c r="T7" i="2" s="1"/>
  <c r="AE7" i="2" s="1"/>
  <c r="AC7" i="2" s="1"/>
  <c r="S7" i="2"/>
  <c r="Q6" i="2"/>
  <c r="T6" i="2" s="1"/>
  <c r="Q5" i="2"/>
  <c r="T5" i="2" s="1"/>
  <c r="P5" i="2"/>
  <c r="S5" i="2"/>
  <c r="N11" i="2" l="1" a="1"/>
  <c r="N11" i="2" s="1"/>
  <c r="N16" i="2" a="1"/>
  <c r="N16" i="2" s="1"/>
  <c r="N23" i="2" a="1"/>
  <c r="N23" i="2" s="1"/>
  <c r="N33" i="2" a="1"/>
  <c r="N33" i="2" s="1"/>
  <c r="N20" i="2" a="1"/>
  <c r="N20" i="2" s="1"/>
  <c r="N24" i="2" a="1"/>
  <c r="N24" i="2" s="1"/>
  <c r="N26" i="2" a="1"/>
  <c r="N26" i="2" s="1"/>
  <c r="U26" i="2" s="1"/>
  <c r="N7" i="2" a="1"/>
  <c r="N7" i="2" s="1"/>
  <c r="U7" i="2" s="1"/>
  <c r="J10" i="2"/>
  <c r="AE10" i="2" s="1"/>
  <c r="AC10" i="2" s="1"/>
  <c r="P23" i="2"/>
  <c r="P24" i="2"/>
  <c r="N32" i="2" a="1"/>
  <c r="N32" i="2" s="1"/>
  <c r="U32" i="2" s="1"/>
  <c r="N15" i="2" a="1"/>
  <c r="N15" i="2" s="1"/>
  <c r="N5" i="2" a="1"/>
  <c r="N5" i="2" s="1"/>
  <c r="N17" i="2" a="1"/>
  <c r="N17" i="2" s="1"/>
  <c r="S17" i="2"/>
  <c r="P9" i="2"/>
  <c r="M10" i="2"/>
  <c r="N10" i="2" s="1" a="1"/>
  <c r="N10" i="2" s="1"/>
  <c r="R30" i="2" a="1"/>
  <c r="R30" i="2" s="1"/>
  <c r="M35" i="2"/>
  <c r="N35" i="2" s="1" a="1"/>
  <c r="N35" i="2" s="1"/>
  <c r="R10" i="2" a="1"/>
  <c r="R10" i="2" s="1"/>
  <c r="P18" i="2"/>
  <c r="O21" i="2"/>
  <c r="O28" i="2"/>
  <c r="P28" i="2" s="1"/>
  <c r="J19" i="2"/>
  <c r="AE19" i="2" s="1"/>
  <c r="AC19" i="2" s="1"/>
  <c r="O27" i="2"/>
  <c r="P27" i="2" s="1"/>
  <c r="J6" i="2"/>
  <c r="AE6" i="2" s="1"/>
  <c r="AC6" i="2" s="1"/>
  <c r="M22" i="2"/>
  <c r="N22" i="2" s="1" a="1"/>
  <c r="N22" i="2" s="1"/>
  <c r="S14" i="2"/>
  <c r="P31" i="2"/>
  <c r="S26" i="2"/>
  <c r="P34" i="2"/>
  <c r="P12" i="2"/>
  <c r="O13" i="2"/>
  <c r="P13" i="2" s="1"/>
  <c r="AE27" i="2"/>
  <c r="AC27" i="2" s="1"/>
  <c r="M29" i="2"/>
  <c r="AE33" i="2"/>
  <c r="AC33" i="2" s="1"/>
  <c r="AE5" i="2"/>
  <c r="AC5" i="2" s="1"/>
  <c r="J35" i="2"/>
  <c r="J13" i="2"/>
  <c r="AE12" i="2" s="1"/>
  <c r="AC12" i="2" s="1"/>
  <c r="M13" i="2"/>
  <c r="N13" i="2" s="1" a="1"/>
  <c r="N13" i="2" s="1"/>
  <c r="U13" i="2" s="1"/>
  <c r="AE17" i="2"/>
  <c r="AC17" i="2" s="1"/>
  <c r="R7" i="2" a="1"/>
  <c r="R7" i="2" s="1"/>
  <c r="M28" i="2"/>
  <c r="O35" i="2"/>
  <c r="O22" i="2"/>
  <c r="AE24" i="2"/>
  <c r="AC24" i="2" s="1"/>
  <c r="S32" i="2"/>
  <c r="AE25" i="2"/>
  <c r="AC25" i="2" s="1"/>
  <c r="O15" i="2"/>
  <c r="P15" i="2" s="1"/>
  <c r="R13" i="2" a="1"/>
  <c r="R13" i="2" s="1"/>
  <c r="R16" i="2" a="1"/>
  <c r="R16" i="2" s="1"/>
  <c r="U17" i="2"/>
  <c r="AE9" i="2"/>
  <c r="AC9" i="2" s="1"/>
  <c r="AE16" i="2"/>
  <c r="AC16" i="2" s="1"/>
  <c r="P25" i="2"/>
  <c r="R21" i="2" a="1"/>
  <c r="R21" i="2" s="1"/>
  <c r="R25" i="2" a="1"/>
  <c r="R25" i="2" s="1"/>
  <c r="O6" i="2"/>
  <c r="AE31" i="2"/>
  <c r="AC31" i="2" s="1"/>
  <c r="AE30" i="2"/>
  <c r="AC30" i="2" s="1"/>
  <c r="M19" i="2"/>
  <c r="AE15" i="2"/>
  <c r="AC15" i="2" s="1"/>
  <c r="R27" i="2" a="1"/>
  <c r="R27" i="2" s="1"/>
  <c r="U11" i="2"/>
  <c r="O19" i="2"/>
  <c r="O10" i="2"/>
  <c r="R19" i="2" a="1"/>
  <c r="R19" i="2" s="1"/>
  <c r="AE26" i="2"/>
  <c r="AC26" i="2" s="1"/>
  <c r="O16" i="2"/>
  <c r="S33" i="2"/>
  <c r="S20" i="2"/>
  <c r="AE23" i="2"/>
  <c r="AC23" i="2" s="1"/>
  <c r="M30" i="2"/>
  <c r="R33" i="2" a="1"/>
  <c r="R33" i="2" s="1"/>
  <c r="AE22" i="2"/>
  <c r="AC22" i="2" s="1"/>
  <c r="R24" i="2" a="1"/>
  <c r="R24" i="2" s="1"/>
  <c r="AD24" i="2" s="1"/>
  <c r="O30" i="2"/>
  <c r="AE18" i="2"/>
  <c r="AC18" i="2" s="1"/>
  <c r="AE11" i="2"/>
  <c r="AC11" i="2" s="1"/>
  <c r="R6" i="2" a="1"/>
  <c r="R6" i="2" s="1"/>
  <c r="R9" i="2" a="1"/>
  <c r="R9" i="2" s="1"/>
  <c r="R12" i="2" a="1"/>
  <c r="R12" i="2" s="1"/>
  <c r="R15" i="2" a="1"/>
  <c r="R15" i="2" s="1"/>
  <c r="R18" i="2" a="1"/>
  <c r="R18" i="2" s="1"/>
  <c r="R31" i="2" a="1"/>
  <c r="R31" i="2" s="1"/>
  <c r="J29" i="2"/>
  <c r="AE28" i="2" s="1"/>
  <c r="AC28" i="2" s="1"/>
  <c r="R28" i="2" a="1"/>
  <c r="R28" i="2" s="1"/>
  <c r="AE32" i="2"/>
  <c r="AC32" i="2" s="1"/>
  <c r="R22" i="2" a="1"/>
  <c r="R22" i="2" s="1"/>
  <c r="U23" i="2"/>
  <c r="AE35" i="2"/>
  <c r="AC35" i="2" s="1"/>
  <c r="O29" i="2"/>
  <c r="R14" i="2" a="1"/>
  <c r="R14" i="2" s="1"/>
  <c r="AD14" i="2" s="1"/>
  <c r="R26" i="2" a="1"/>
  <c r="R26" i="2" s="1"/>
  <c r="U25" i="2"/>
  <c r="P36" i="2"/>
  <c r="AD36" i="2" s="1"/>
  <c r="S36" i="2"/>
  <c r="Z36" i="2" s="1"/>
  <c r="U8" i="2"/>
  <c r="R5" i="2" a="1"/>
  <c r="R5" i="2" s="1"/>
  <c r="AD5" i="2" s="1"/>
  <c r="R17" i="2" a="1"/>
  <c r="R17" i="2" s="1"/>
  <c r="R29" i="2" a="1"/>
  <c r="R29" i="2" s="1"/>
  <c r="AE34" i="2"/>
  <c r="AC34" i="2" s="1"/>
  <c r="U31" i="2"/>
  <c r="U10" i="2"/>
  <c r="R34" i="2" a="1"/>
  <c r="R34" i="2" s="1"/>
  <c r="U35" i="2"/>
  <c r="U36" i="2"/>
  <c r="R8" i="2" a="1"/>
  <c r="R8" i="2" s="1"/>
  <c r="AD8" i="2" s="1"/>
  <c r="R20" i="2" a="1"/>
  <c r="R20" i="2" s="1"/>
  <c r="AD20" i="2" s="1"/>
  <c r="R32" i="2" a="1"/>
  <c r="R32" i="2" s="1"/>
  <c r="U16" i="2"/>
  <c r="R11" i="2" a="1"/>
  <c r="R11" i="2" s="1"/>
  <c r="R23" i="2" a="1"/>
  <c r="R23" i="2" s="1"/>
  <c r="R35" i="2" a="1"/>
  <c r="R35" i="2" s="1"/>
  <c r="U22" i="2"/>
  <c r="U5" i="2"/>
  <c r="Y5" i="2"/>
  <c r="Z5" i="2" s="1"/>
  <c r="U6" i="2"/>
  <c r="Y6" i="2"/>
  <c r="AD7" i="2"/>
  <c r="Y7" i="2"/>
  <c r="Z7" i="2" s="1"/>
  <c r="Y8" i="2"/>
  <c r="Z8" i="2" s="1"/>
  <c r="Y9" i="2"/>
  <c r="Z9" i="2" s="1"/>
  <c r="Y10" i="2"/>
  <c r="Y11" i="2"/>
  <c r="Z11" i="2" s="1"/>
  <c r="Y12" i="2"/>
  <c r="Z12" i="2" s="1"/>
  <c r="Y13" i="2"/>
  <c r="U14" i="2"/>
  <c r="Y14" i="2"/>
  <c r="Z14" i="2" s="1"/>
  <c r="U15" i="2"/>
  <c r="Y15" i="2"/>
  <c r="Y16" i="2"/>
  <c r="Y17" i="2"/>
  <c r="Y18" i="2"/>
  <c r="Z18" i="2" s="1"/>
  <c r="Y19" i="2"/>
  <c r="U20" i="2"/>
  <c r="Y20" i="2"/>
  <c r="Y21" i="2"/>
  <c r="Y22" i="2"/>
  <c r="Y23" i="2"/>
  <c r="Z23" i="2" s="1"/>
  <c r="U24" i="2"/>
  <c r="Y24" i="2"/>
  <c r="Z24" i="2" s="1"/>
  <c r="Y25" i="2"/>
  <c r="Z25" i="2" s="1"/>
  <c r="Y26" i="2"/>
  <c r="Z26" i="2" s="1"/>
  <c r="Y27" i="2"/>
  <c r="Y28" i="2"/>
  <c r="Y29" i="2"/>
  <c r="Y30" i="2"/>
  <c r="Y31" i="2"/>
  <c r="Z31" i="2" s="1"/>
  <c r="Y32" i="2"/>
  <c r="U33" i="2"/>
  <c r="Y33" i="2"/>
  <c r="Y34" i="2"/>
  <c r="Z34" i="2" s="1"/>
  <c r="Y35" i="2"/>
  <c r="AD26" i="2" l="1"/>
  <c r="N28" i="2" a="1"/>
  <c r="N28" i="2" s="1"/>
  <c r="Z32" i="2"/>
  <c r="Z20" i="2"/>
  <c r="N19" i="2" a="1"/>
  <c r="N19" i="2" s="1"/>
  <c r="U19" i="2" s="1"/>
  <c r="AD27" i="2"/>
  <c r="N30" i="2" a="1"/>
  <c r="N30" i="2" s="1"/>
  <c r="AE13" i="2"/>
  <c r="AC13" i="2" s="1"/>
  <c r="AD9" i="2"/>
  <c r="N34" i="2" a="1"/>
  <c r="N34" i="2" s="1"/>
  <c r="U34" i="2" s="1"/>
  <c r="W34" i="2" s="1"/>
  <c r="N18" i="2" a="1"/>
  <c r="N18" i="2" s="1"/>
  <c r="U18" i="2" s="1"/>
  <c r="W18" i="2" s="1"/>
  <c r="Z17" i="2"/>
  <c r="AB17" i="2" s="1"/>
  <c r="N29" i="2" a="1"/>
  <c r="N29" i="2" s="1"/>
  <c r="U29" i="2" s="1"/>
  <c r="N9" i="2" a="1"/>
  <c r="N9" i="2" s="1"/>
  <c r="U9" i="2" s="1"/>
  <c r="W9" i="2" s="1"/>
  <c r="N27" i="2" a="1"/>
  <c r="N27" i="2" s="1"/>
  <c r="U27" i="2" s="1"/>
  <c r="N12" i="2" a="1"/>
  <c r="N12" i="2" s="1"/>
  <c r="U12" i="2" s="1"/>
  <c r="V12" i="2" s="1"/>
  <c r="AD28" i="2"/>
  <c r="N21" i="2" a="1"/>
  <c r="N21" i="2" s="1"/>
  <c r="U21" i="2" s="1"/>
  <c r="S13" i="2"/>
  <c r="Z13" i="2" s="1"/>
  <c r="AD13" i="2"/>
  <c r="AD32" i="2"/>
  <c r="S27" i="2"/>
  <c r="Z27" i="2" s="1"/>
  <c r="AB27" i="2" s="1"/>
  <c r="AD33" i="2"/>
  <c r="P21" i="2"/>
  <c r="AD21" i="2" s="1"/>
  <c r="S21" i="2"/>
  <c r="Z21" i="2" s="1"/>
  <c r="AB21" i="2" s="1"/>
  <c r="AD31" i="2"/>
  <c r="S28" i="2"/>
  <c r="AD12" i="2"/>
  <c r="AD25" i="2"/>
  <c r="AD23" i="2"/>
  <c r="AD15" i="2"/>
  <c r="S35" i="2"/>
  <c r="Z35" i="2" s="1"/>
  <c r="P35" i="2"/>
  <c r="AD35" i="2" s="1"/>
  <c r="Z33" i="2"/>
  <c r="AB33" i="2" s="1"/>
  <c r="AD11" i="2"/>
  <c r="U28" i="2"/>
  <c r="W28" i="2" s="1"/>
  <c r="S22" i="2"/>
  <c r="Z22" i="2" s="1"/>
  <c r="AB22" i="2" s="1"/>
  <c r="P22" i="2"/>
  <c r="AD22" i="2" s="1"/>
  <c r="AD17" i="2"/>
  <c r="S15" i="2"/>
  <c r="W15" i="2" s="1"/>
  <c r="S16" i="2"/>
  <c r="Z16" i="2" s="1"/>
  <c r="P16" i="2"/>
  <c r="AD16" i="2" s="1"/>
  <c r="P6" i="2"/>
  <c r="AD6" i="2" s="1"/>
  <c r="S6" i="2"/>
  <c r="W6" i="2" s="1"/>
  <c r="P10" i="2"/>
  <c r="AD10" i="2" s="1"/>
  <c r="S10" i="2"/>
  <c r="Z10" i="2" s="1"/>
  <c r="P19" i="2"/>
  <c r="S19" i="2"/>
  <c r="Z19" i="2" s="1"/>
  <c r="AD18" i="2"/>
  <c r="AD34" i="2"/>
  <c r="S29" i="2"/>
  <c r="P29" i="2"/>
  <c r="AE29" i="2"/>
  <c r="AC29" i="2" s="1"/>
  <c r="U30" i="2"/>
  <c r="P30" i="2"/>
  <c r="AD30" i="2" s="1"/>
  <c r="S30" i="2"/>
  <c r="Z30" i="2" s="1"/>
  <c r="AB30" i="2" s="1"/>
  <c r="W36" i="2"/>
  <c r="AB36" i="2"/>
  <c r="AA36" i="2"/>
  <c r="V36" i="2"/>
  <c r="AB34" i="2"/>
  <c r="AA34" i="2"/>
  <c r="W33" i="2"/>
  <c r="V33" i="2"/>
  <c r="AB32" i="2"/>
  <c r="AA32" i="2"/>
  <c r="W32" i="2"/>
  <c r="V32" i="2"/>
  <c r="AB31" i="2"/>
  <c r="AA31" i="2"/>
  <c r="W31" i="2"/>
  <c r="V31" i="2"/>
  <c r="V27" i="2"/>
  <c r="AB26" i="2"/>
  <c r="AA26" i="2"/>
  <c r="W26" i="2"/>
  <c r="V26" i="2"/>
  <c r="AB25" i="2"/>
  <c r="AA25" i="2"/>
  <c r="W25" i="2"/>
  <c r="V25" i="2"/>
  <c r="AB24" i="2"/>
  <c r="AA24" i="2"/>
  <c r="W24" i="2"/>
  <c r="V24" i="2"/>
  <c r="AB23" i="2"/>
  <c r="AA23" i="2"/>
  <c r="W23" i="2"/>
  <c r="V23" i="2"/>
  <c r="W22" i="2"/>
  <c r="W21" i="2"/>
  <c r="AB20" i="2"/>
  <c r="AA20" i="2"/>
  <c r="W20" i="2"/>
  <c r="V20" i="2"/>
  <c r="AB18" i="2"/>
  <c r="AA18" i="2"/>
  <c r="V18" i="2"/>
  <c r="AA17" i="2"/>
  <c r="W17" i="2"/>
  <c r="V17" i="2"/>
  <c r="V15" i="2"/>
  <c r="AB14" i="2"/>
  <c r="AA14" i="2"/>
  <c r="W14" i="2"/>
  <c r="V14" i="2"/>
  <c r="W13" i="2"/>
  <c r="V13" i="2"/>
  <c r="AB12" i="2"/>
  <c r="AA12" i="2"/>
  <c r="W12" i="2"/>
  <c r="AB11" i="2"/>
  <c r="AA11" i="2"/>
  <c r="W11" i="2"/>
  <c r="V11" i="2"/>
  <c r="AB9" i="2"/>
  <c r="AA9" i="2"/>
  <c r="V9" i="2"/>
  <c r="AB8" i="2"/>
  <c r="AA8" i="2"/>
  <c r="W8" i="2"/>
  <c r="V8" i="2"/>
  <c r="AB7" i="2"/>
  <c r="AA7" i="2"/>
  <c r="W7" i="2"/>
  <c r="V7" i="2"/>
  <c r="AB5" i="2"/>
  <c r="AA5" i="2"/>
  <c r="W5" i="2"/>
  <c r="V5" i="2"/>
  <c r="V34" i="2" l="1"/>
  <c r="W27" i="2"/>
  <c r="V35" i="2"/>
  <c r="V21" i="2"/>
  <c r="AI21" i="2" s="1"/>
  <c r="AJ21" i="2" s="1"/>
  <c r="V19" i="2"/>
  <c r="AB13" i="2"/>
  <c r="AH13" i="2" s="1"/>
  <c r="AG13" i="2" s="1" a="1"/>
  <c r="AG13" i="2" s="1"/>
  <c r="AA13" i="2"/>
  <c r="W16" i="2"/>
  <c r="W10" i="2"/>
  <c r="AA22" i="2"/>
  <c r="Z28" i="2"/>
  <c r="AA28" i="2" s="1"/>
  <c r="AA21" i="2"/>
  <c r="V16" i="2"/>
  <c r="AD19" i="2"/>
  <c r="Z15" i="2"/>
  <c r="V28" i="2"/>
  <c r="AI28" i="2" s="1"/>
  <c r="AJ28" i="2" s="1"/>
  <c r="V10" i="2"/>
  <c r="AA35" i="2"/>
  <c r="AA19" i="2"/>
  <c r="AA16" i="2"/>
  <c r="AP16" i="2" s="1"/>
  <c r="AB16" i="2"/>
  <c r="W35" i="2"/>
  <c r="AA27" i="2"/>
  <c r="AB35" i="2"/>
  <c r="V22" i="2"/>
  <c r="AA33" i="2"/>
  <c r="AI33" i="2" s="1"/>
  <c r="AJ33" i="2" s="1"/>
  <c r="V6" i="2"/>
  <c r="W19" i="2"/>
  <c r="AH19" i="2" s="1"/>
  <c r="AA10" i="2"/>
  <c r="AP10" i="2" s="1"/>
  <c r="AB10" i="2"/>
  <c r="Z6" i="2"/>
  <c r="AA6" i="2" s="1"/>
  <c r="AB19" i="2"/>
  <c r="AD29" i="2"/>
  <c r="V29" i="2"/>
  <c r="Z29" i="2"/>
  <c r="AA29" i="2" s="1"/>
  <c r="W29" i="2"/>
  <c r="V30" i="2"/>
  <c r="W30" i="2"/>
  <c r="AH30" i="2" s="1"/>
  <c r="AA30" i="2"/>
  <c r="AP36" i="2"/>
  <c r="AI36" i="2"/>
  <c r="AJ36" i="2" s="1"/>
  <c r="AH36" i="2"/>
  <c r="AG36" i="2" s="1" a="1"/>
  <c r="AG36" i="2" s="1"/>
  <c r="AH5" i="2"/>
  <c r="AG5" i="2" s="1" a="1"/>
  <c r="AG5" i="2" s="1"/>
  <c r="AI5" i="2"/>
  <c r="AJ5" i="2" s="1"/>
  <c r="AP5" i="2"/>
  <c r="AH7" i="2"/>
  <c r="AG7" i="2" s="1" a="1"/>
  <c r="AG7" i="2" s="1"/>
  <c r="AI7" i="2"/>
  <c r="AJ7" i="2" s="1"/>
  <c r="AP7" i="2"/>
  <c r="AH8" i="2"/>
  <c r="AG8" i="2" s="1" a="1"/>
  <c r="AG8" i="2" s="1"/>
  <c r="AI8" i="2"/>
  <c r="AJ8" i="2" s="1"/>
  <c r="AP8" i="2"/>
  <c r="AH9" i="2"/>
  <c r="AG9" i="2" s="1" a="1"/>
  <c r="AG9" i="2" s="1"/>
  <c r="AI9" i="2"/>
  <c r="AJ9" i="2" s="1"/>
  <c r="AP9" i="2"/>
  <c r="AH11" i="2"/>
  <c r="AG11" i="2" s="1" a="1"/>
  <c r="AG11" i="2" s="1"/>
  <c r="AI11" i="2"/>
  <c r="AJ11" i="2" s="1"/>
  <c r="AP11" i="2"/>
  <c r="AH12" i="2"/>
  <c r="AG12" i="2" s="1" a="1"/>
  <c r="AG12" i="2" s="1"/>
  <c r="AI12" i="2"/>
  <c r="AJ12" i="2" s="1"/>
  <c r="AP12" i="2"/>
  <c r="AI13" i="2"/>
  <c r="AJ13" i="2" s="1"/>
  <c r="AP13" i="2"/>
  <c r="AH14" i="2"/>
  <c r="AG14" i="2" s="1" a="1"/>
  <c r="AG14" i="2" s="1"/>
  <c r="AI14" i="2"/>
  <c r="AJ14" i="2" s="1"/>
  <c r="AP14" i="2"/>
  <c r="AH16" i="2"/>
  <c r="AH17" i="2"/>
  <c r="AG17" i="2" s="1" a="1"/>
  <c r="AG17" i="2" s="1"/>
  <c r="AI17" i="2"/>
  <c r="AJ17" i="2" s="1"/>
  <c r="AP17" i="2"/>
  <c r="AH18" i="2"/>
  <c r="AG18" i="2" s="1" a="1"/>
  <c r="AG18" i="2" s="1"/>
  <c r="AI18" i="2"/>
  <c r="AJ18" i="2" s="1"/>
  <c r="AP18" i="2"/>
  <c r="AH20" i="2"/>
  <c r="AG20" i="2" s="1" a="1"/>
  <c r="AG20" i="2" s="1"/>
  <c r="AI20" i="2"/>
  <c r="AJ20" i="2" s="1"/>
  <c r="AP20" i="2"/>
  <c r="AH21" i="2"/>
  <c r="AG21" i="2" s="1" a="1"/>
  <c r="AG21" i="2" s="1"/>
  <c r="AH22" i="2"/>
  <c r="AH23" i="2"/>
  <c r="AG23" i="2" s="1" a="1"/>
  <c r="AG23" i="2" s="1"/>
  <c r="AI23" i="2"/>
  <c r="AJ23" i="2" s="1"/>
  <c r="AP23" i="2"/>
  <c r="AH24" i="2"/>
  <c r="AG24" i="2" s="1" a="1"/>
  <c r="AG24" i="2" s="1"/>
  <c r="AI24" i="2"/>
  <c r="AJ24" i="2" s="1"/>
  <c r="AP24" i="2"/>
  <c r="AH25" i="2"/>
  <c r="AG25" i="2" s="1" a="1"/>
  <c r="AG25" i="2" s="1"/>
  <c r="AI25" i="2"/>
  <c r="AJ25" i="2" s="1"/>
  <c r="AP25" i="2"/>
  <c r="AH26" i="2"/>
  <c r="AG26" i="2" s="1" a="1"/>
  <c r="AG26" i="2" s="1"/>
  <c r="AI26" i="2"/>
  <c r="AJ26" i="2" s="1"/>
  <c r="AP26" i="2"/>
  <c r="AH27" i="2"/>
  <c r="AG27" i="2" s="1" a="1"/>
  <c r="AG27" i="2" s="1"/>
  <c r="AI27" i="2"/>
  <c r="AJ27" i="2" s="1"/>
  <c r="AP27" i="2"/>
  <c r="AP28" i="2"/>
  <c r="AH31" i="2"/>
  <c r="AG31" i="2" s="1" a="1"/>
  <c r="AG31" i="2" s="1"/>
  <c r="AI31" i="2"/>
  <c r="AJ31" i="2" s="1"/>
  <c r="AP31" i="2"/>
  <c r="AH32" i="2"/>
  <c r="AG32" i="2" s="1" a="1"/>
  <c r="AG32" i="2" s="1"/>
  <c r="AI32" i="2"/>
  <c r="AJ32" i="2" s="1"/>
  <c r="AP32" i="2"/>
  <c r="AH33" i="2"/>
  <c r="AH34" i="2"/>
  <c r="AG34" i="2" s="1" a="1"/>
  <c r="AG34" i="2" s="1"/>
  <c r="AI34" i="2"/>
  <c r="AJ34" i="2" s="1"/>
  <c r="AP34" i="2"/>
  <c r="AH35" i="2"/>
  <c r="AP21" i="2" l="1"/>
  <c r="AI10" i="2"/>
  <c r="AJ10" i="2" s="1"/>
  <c r="AI22" i="2"/>
  <c r="AJ22" i="2" s="1"/>
  <c r="AP19" i="2"/>
  <c r="AH10" i="2"/>
  <c r="AG10" i="2" s="1" a="1"/>
  <c r="AG10" i="2" s="1"/>
  <c r="AP35" i="2"/>
  <c r="AG35" i="2" a="1"/>
  <c r="AG35" i="2" s="1"/>
  <c r="AI35" i="2"/>
  <c r="AJ35" i="2" s="1"/>
  <c r="AK35" i="2" s="1"/>
  <c r="AG33" i="2" a="1"/>
  <c r="AG33" i="2" s="1"/>
  <c r="AI6" i="2"/>
  <c r="AJ6" i="2" s="1"/>
  <c r="AI16" i="2"/>
  <c r="AJ16" i="2" s="1"/>
  <c r="AK16" i="2" s="1"/>
  <c r="AG16" i="2" a="1"/>
  <c r="AG16" i="2" s="1"/>
  <c r="AI19" i="2"/>
  <c r="AJ19" i="2" s="1"/>
  <c r="AK19" i="2" s="1"/>
  <c r="AG19" i="2" a="1"/>
  <c r="AG19" i="2" s="1"/>
  <c r="AP33" i="2"/>
  <c r="AB28" i="2"/>
  <c r="AH28" i="2" s="1"/>
  <c r="AG28" i="2" s="1" a="1"/>
  <c r="AG28" i="2" s="1"/>
  <c r="AP29" i="2"/>
  <c r="AG22" i="2" a="1"/>
  <c r="AG22" i="2" s="1"/>
  <c r="AB15" i="2"/>
  <c r="AH15" i="2" s="1"/>
  <c r="AA15" i="2"/>
  <c r="AG30" i="2" a="1"/>
  <c r="AG30" i="2" s="1"/>
  <c r="AI30" i="2"/>
  <c r="AJ30" i="2" s="1"/>
  <c r="AK30" i="2" s="1"/>
  <c r="AP22" i="2"/>
  <c r="AP30" i="2"/>
  <c r="AP6" i="2"/>
  <c r="AB6" i="2"/>
  <c r="AH6" i="2" s="1"/>
  <c r="AG6" i="2" s="1" a="1"/>
  <c r="AG6" i="2" s="1"/>
  <c r="AI29" i="2"/>
  <c r="AJ29" i="2" s="1"/>
  <c r="AK29" i="2" s="1"/>
  <c r="AB29" i="2"/>
  <c r="AH29" i="2" s="1"/>
  <c r="AG29" i="2" s="1" a="1"/>
  <c r="AG29" i="2" s="1"/>
  <c r="AK36" i="2"/>
  <c r="AK34" i="2"/>
  <c r="AK33" i="2"/>
  <c r="AK32" i="2"/>
  <c r="AK31" i="2"/>
  <c r="AK28" i="2"/>
  <c r="AK27" i="2"/>
  <c r="AK26" i="2"/>
  <c r="AK25" i="2"/>
  <c r="AK24" i="2"/>
  <c r="AK23" i="2"/>
  <c r="AK22" i="2"/>
  <c r="AK21" i="2"/>
  <c r="AK20" i="2"/>
  <c r="AK18" i="2"/>
  <c r="AK17" i="2"/>
  <c r="AK14" i="2"/>
  <c r="AK13" i="2"/>
  <c r="AK12" i="2"/>
  <c r="AK11" i="2"/>
  <c r="AK10" i="2"/>
  <c r="AK9" i="2"/>
  <c r="AK8" i="2"/>
  <c r="AK7" i="2"/>
  <c r="AK6" i="2"/>
  <c r="AK5" i="2"/>
  <c r="AP15" i="2" l="1"/>
  <c r="AI15" i="2"/>
  <c r="AJ15" i="2" s="1"/>
  <c r="AK15" i="2" s="1"/>
  <c r="AO15" i="2" s="1"/>
  <c r="AT15" i="2" s="1"/>
  <c r="AG15" i="2" a="1"/>
  <c r="AG15" i="2" s="1"/>
  <c r="AO36" i="2"/>
  <c r="AT36" i="2" s="1"/>
  <c r="AN36" i="2"/>
  <c r="AR36" i="2" s="1"/>
  <c r="AN5" i="2"/>
  <c r="AR5" i="2" s="1"/>
  <c r="AO5" i="2"/>
  <c r="AT5" i="2" s="1"/>
  <c r="AN6" i="2"/>
  <c r="AR6" i="2" s="1"/>
  <c r="AO6" i="2"/>
  <c r="AT6" i="2" s="1"/>
  <c r="AN7" i="2"/>
  <c r="AR7" i="2" s="1"/>
  <c r="AO7" i="2"/>
  <c r="AT7" i="2" s="1"/>
  <c r="AN8" i="2"/>
  <c r="AR8" i="2" s="1"/>
  <c r="AO8" i="2"/>
  <c r="AT8" i="2" s="1"/>
  <c r="AN9" i="2"/>
  <c r="AR9" i="2" s="1"/>
  <c r="AO9" i="2"/>
  <c r="AT9" i="2" s="1"/>
  <c r="AN10" i="2"/>
  <c r="AR10" i="2" s="1"/>
  <c r="AO10" i="2"/>
  <c r="AT10" i="2" s="1"/>
  <c r="AN11" i="2"/>
  <c r="AR11" i="2" s="1"/>
  <c r="AO11" i="2"/>
  <c r="AT11" i="2" s="1"/>
  <c r="AN12" i="2"/>
  <c r="AR12" i="2" s="1"/>
  <c r="AO12" i="2"/>
  <c r="AT12" i="2" s="1"/>
  <c r="AN13" i="2"/>
  <c r="AR13" i="2" s="1"/>
  <c r="AO13" i="2"/>
  <c r="AT13" i="2" s="1"/>
  <c r="AN14" i="2"/>
  <c r="AR14" i="2" s="1"/>
  <c r="AO14" i="2"/>
  <c r="AT14" i="2" s="1"/>
  <c r="AN16" i="2"/>
  <c r="AR16" i="2" s="1"/>
  <c r="AO16" i="2"/>
  <c r="AT16" i="2" s="1"/>
  <c r="AN17" i="2"/>
  <c r="AR17" i="2" s="1"/>
  <c r="AO17" i="2"/>
  <c r="AT17" i="2" s="1"/>
  <c r="AN18" i="2"/>
  <c r="AR18" i="2" s="1"/>
  <c r="AO18" i="2"/>
  <c r="AT18" i="2" s="1"/>
  <c r="AN19" i="2"/>
  <c r="AR19" i="2" s="1"/>
  <c r="AO19" i="2"/>
  <c r="AT19" i="2" s="1"/>
  <c r="AN20" i="2"/>
  <c r="AR20" i="2" s="1"/>
  <c r="AO20" i="2"/>
  <c r="AT20" i="2" s="1"/>
  <c r="AN21" i="2"/>
  <c r="AR21" i="2" s="1"/>
  <c r="AO21" i="2"/>
  <c r="AT21" i="2" s="1"/>
  <c r="AN22" i="2"/>
  <c r="AR22" i="2" s="1"/>
  <c r="AO22" i="2"/>
  <c r="AT22" i="2" s="1"/>
  <c r="AN23" i="2"/>
  <c r="AR23" i="2" s="1"/>
  <c r="AO23" i="2"/>
  <c r="AT23" i="2" s="1"/>
  <c r="AN24" i="2"/>
  <c r="AR24" i="2" s="1"/>
  <c r="AO24" i="2"/>
  <c r="AT24" i="2" s="1"/>
  <c r="AN25" i="2"/>
  <c r="AR25" i="2" s="1"/>
  <c r="AO25" i="2"/>
  <c r="AT25" i="2" s="1"/>
  <c r="AN26" i="2"/>
  <c r="AR26" i="2" s="1"/>
  <c r="AO26" i="2"/>
  <c r="AT26" i="2" s="1"/>
  <c r="AN27" i="2"/>
  <c r="AR27" i="2" s="1"/>
  <c r="AO27" i="2"/>
  <c r="AT27" i="2" s="1"/>
  <c r="AN28" i="2"/>
  <c r="AR28" i="2" s="1"/>
  <c r="AO28" i="2"/>
  <c r="AT28" i="2" s="1"/>
  <c r="AN29" i="2"/>
  <c r="AR29" i="2" s="1"/>
  <c r="AO29" i="2"/>
  <c r="AT29" i="2" s="1"/>
  <c r="AN30" i="2"/>
  <c r="AR30" i="2" s="1"/>
  <c r="AO30" i="2"/>
  <c r="AT30" i="2" s="1"/>
  <c r="AN31" i="2"/>
  <c r="AR31" i="2" s="1"/>
  <c r="AO31" i="2"/>
  <c r="AT31" i="2" s="1"/>
  <c r="AN32" i="2"/>
  <c r="AR32" i="2" s="1"/>
  <c r="AO32" i="2"/>
  <c r="AT32" i="2" s="1"/>
  <c r="AN33" i="2"/>
  <c r="AR33" i="2" s="1"/>
  <c r="AO33" i="2"/>
  <c r="AT33" i="2" s="1"/>
  <c r="AN34" i="2"/>
  <c r="AR34" i="2" s="1"/>
  <c r="AO34" i="2"/>
  <c r="AT34" i="2" s="1"/>
  <c r="AN35" i="2"/>
  <c r="AR35" i="2" s="1"/>
  <c r="AO35" i="2"/>
  <c r="AT35" i="2" s="1"/>
  <c r="AN15" i="2" l="1"/>
  <c r="AR15" i="2" s="1"/>
  <c r="BO4" i="2"/>
  <c r="BA5" i="2"/>
  <c r="BC5" i="2" s="1" a="1"/>
  <c r="BC5" i="2" s="1"/>
  <c r="BA6" i="2"/>
  <c r="BC6" i="2" s="1" a="1"/>
  <c r="BC6" i="2" s="1"/>
  <c r="BA7" i="2"/>
  <c r="BC7" i="2" s="1" a="1"/>
  <c r="BC7" i="2" s="1"/>
  <c r="BA8" i="2"/>
  <c r="BC8" i="2" s="1" a="1"/>
  <c r="BC8" i="2" s="1"/>
  <c r="BA9" i="2"/>
  <c r="BC9" i="2" s="1" a="1"/>
  <c r="BC9" i="2" s="1"/>
  <c r="BA10" i="2"/>
  <c r="BC10" i="2" s="1" a="1"/>
  <c r="BC10" i="2" s="1"/>
  <c r="BA11" i="2"/>
  <c r="BC11" i="2" s="1" a="1"/>
  <c r="BC11" i="2" s="1"/>
  <c r="BA12" i="2"/>
  <c r="BC12" i="2" s="1" a="1"/>
  <c r="BC12" i="2" s="1"/>
  <c r="BA13" i="2"/>
  <c r="BC13" i="2" s="1" a="1"/>
  <c r="BC13" i="2" s="1"/>
  <c r="BA14" i="2"/>
  <c r="BC14" i="2" s="1" a="1"/>
  <c r="BC14" i="2" s="1"/>
  <c r="BA15" i="2"/>
  <c r="BC15" i="2" s="1" a="1"/>
  <c r="BC15" i="2" s="1"/>
  <c r="BA16" i="2"/>
  <c r="BC16" i="2" s="1" a="1"/>
  <c r="BC16" i="2" s="1"/>
  <c r="BA17" i="2"/>
  <c r="BC17" i="2" s="1" a="1"/>
  <c r="BC17" i="2" s="1"/>
  <c r="BA18" i="2"/>
  <c r="BC18" i="2" s="1" a="1"/>
  <c r="BC18" i="2" s="1"/>
  <c r="BA19" i="2"/>
  <c r="BC19" i="2" s="1" a="1"/>
  <c r="BC19" i="2" s="1"/>
  <c r="BA20" i="2"/>
  <c r="BC20" i="2" s="1" a="1"/>
  <c r="BC20" i="2" s="1"/>
  <c r="BA21" i="2"/>
  <c r="BC21" i="2" s="1" a="1"/>
  <c r="BC21" i="2" s="1"/>
  <c r="BA22" i="2"/>
  <c r="BC22" i="2" s="1" a="1"/>
  <c r="BC22" i="2" s="1"/>
  <c r="BA23" i="2"/>
  <c r="BC23" i="2" s="1" a="1"/>
  <c r="BC23" i="2" s="1"/>
  <c r="BA24" i="2"/>
  <c r="BC24" i="2" s="1" a="1"/>
  <c r="BC24" i="2" s="1"/>
  <c r="BA25" i="2"/>
  <c r="BC25" i="2" s="1" a="1"/>
  <c r="BC25" i="2" s="1"/>
  <c r="BA26" i="2"/>
  <c r="BC26" i="2" s="1" a="1"/>
  <c r="BC26" i="2" s="1"/>
  <c r="BA27" i="2"/>
  <c r="BC27" i="2" s="1" a="1"/>
  <c r="BC27" i="2" s="1"/>
  <c r="BA28" i="2"/>
  <c r="BC28" i="2" s="1" a="1"/>
  <c r="BC28" i="2" s="1"/>
  <c r="BA29" i="2"/>
  <c r="BC29" i="2" s="1" a="1"/>
  <c r="BC29" i="2" s="1"/>
  <c r="BA30" i="2"/>
  <c r="BC30" i="2" s="1" a="1"/>
  <c r="BC30" i="2" s="1"/>
  <c r="BA31" i="2"/>
  <c r="BC31" i="2" s="1" a="1"/>
  <c r="BC31" i="2" s="1"/>
  <c r="BA32" i="2"/>
  <c r="BC32" i="2" s="1" a="1"/>
  <c r="BC32" i="2" s="1"/>
  <c r="BA33" i="2"/>
  <c r="BC33" i="2" s="1" a="1"/>
  <c r="BC33" i="2" s="1"/>
  <c r="BA34" i="2"/>
  <c r="BC34" i="2" s="1" a="1"/>
  <c r="BC34" i="2" s="1"/>
  <c r="BA35" i="2"/>
  <c r="BC35" i="2" s="1" a="1"/>
  <c r="BC35" i="2" s="1"/>
  <c r="BA36" i="2"/>
  <c r="BC36" i="2" s="1" a="1"/>
  <c r="BC36" i="2" s="1"/>
  <c r="K4" i="2"/>
  <c r="BL4" i="2"/>
  <c r="A95" i="1"/>
  <c r="BA4" i="2"/>
  <c r="BC4" i="2" s="1" a="1"/>
  <c r="BC4" i="2" s="1"/>
  <c r="D41" i="2"/>
  <c r="F41" i="2" s="1" a="1"/>
  <c r="F41" i="2" s="1"/>
  <c r="AL36" i="2" l="1"/>
  <c r="AS36" i="2" s="1"/>
  <c r="AV36" i="2" s="1"/>
  <c r="AM36" i="2"/>
  <c r="AQ36" i="2" s="1"/>
  <c r="AU36" i="2" s="1"/>
  <c r="AL35" i="2"/>
  <c r="AS35" i="2" s="1"/>
  <c r="AV35" i="2" s="1"/>
  <c r="AM35" i="2"/>
  <c r="AQ35" i="2" s="1"/>
  <c r="AU35" i="2" s="1"/>
  <c r="AL34" i="2"/>
  <c r="AS34" i="2" s="1"/>
  <c r="AV34" i="2" s="1"/>
  <c r="AM34" i="2"/>
  <c r="AQ34" i="2" s="1"/>
  <c r="AU34" i="2" s="1"/>
  <c r="AL33" i="2"/>
  <c r="AS33" i="2" s="1"/>
  <c r="AV33" i="2" s="1"/>
  <c r="AM33" i="2"/>
  <c r="AQ33" i="2" s="1"/>
  <c r="AU33" i="2" s="1"/>
  <c r="AL32" i="2"/>
  <c r="AS32" i="2" s="1"/>
  <c r="AV32" i="2" s="1"/>
  <c r="AM32" i="2"/>
  <c r="AQ32" i="2" s="1"/>
  <c r="AU32" i="2" s="1"/>
  <c r="AL31" i="2"/>
  <c r="AS31" i="2" s="1"/>
  <c r="AV31" i="2" s="1"/>
  <c r="AM31" i="2"/>
  <c r="AQ31" i="2" s="1"/>
  <c r="AU31" i="2" s="1"/>
  <c r="AL30" i="2"/>
  <c r="AS30" i="2" s="1"/>
  <c r="AV30" i="2" s="1"/>
  <c r="AM30" i="2"/>
  <c r="AQ30" i="2" s="1"/>
  <c r="AU30" i="2" s="1"/>
  <c r="AL29" i="2"/>
  <c r="AS29" i="2" s="1"/>
  <c r="AV29" i="2" s="1"/>
  <c r="AM29" i="2"/>
  <c r="AQ29" i="2" s="1"/>
  <c r="AU29" i="2" s="1"/>
  <c r="AL28" i="2"/>
  <c r="AS28" i="2" s="1"/>
  <c r="AV28" i="2" s="1"/>
  <c r="AM28" i="2"/>
  <c r="AQ28" i="2" s="1"/>
  <c r="AU28" i="2" s="1"/>
  <c r="AL27" i="2"/>
  <c r="AS27" i="2" s="1"/>
  <c r="AV27" i="2" s="1"/>
  <c r="AM27" i="2"/>
  <c r="AQ27" i="2" s="1"/>
  <c r="AU27" i="2" s="1"/>
  <c r="AL26" i="2"/>
  <c r="AS26" i="2" s="1"/>
  <c r="AV26" i="2" s="1"/>
  <c r="AM26" i="2"/>
  <c r="AQ26" i="2" s="1"/>
  <c r="AU26" i="2" s="1"/>
  <c r="AL25" i="2"/>
  <c r="AS25" i="2" s="1"/>
  <c r="AV25" i="2" s="1"/>
  <c r="AM25" i="2"/>
  <c r="AQ25" i="2" s="1"/>
  <c r="AU25" i="2" s="1"/>
  <c r="AL24" i="2"/>
  <c r="AS24" i="2" s="1"/>
  <c r="AV24" i="2" s="1"/>
  <c r="AM24" i="2"/>
  <c r="AQ24" i="2" s="1"/>
  <c r="AU24" i="2" s="1"/>
  <c r="AL23" i="2"/>
  <c r="AS23" i="2" s="1"/>
  <c r="AV23" i="2" s="1"/>
  <c r="AM23" i="2"/>
  <c r="AQ23" i="2" s="1"/>
  <c r="AU23" i="2" s="1"/>
  <c r="AL22" i="2"/>
  <c r="AS22" i="2" s="1"/>
  <c r="AV22" i="2" s="1"/>
  <c r="AM22" i="2"/>
  <c r="AQ22" i="2" s="1"/>
  <c r="AU22" i="2" s="1"/>
  <c r="AL21" i="2"/>
  <c r="AS21" i="2" s="1"/>
  <c r="AV21" i="2" s="1"/>
  <c r="AM21" i="2"/>
  <c r="AQ21" i="2" s="1"/>
  <c r="AU21" i="2" s="1"/>
  <c r="AL20" i="2"/>
  <c r="AS20" i="2" s="1"/>
  <c r="AV20" i="2" s="1"/>
  <c r="AM20" i="2"/>
  <c r="AQ20" i="2" s="1"/>
  <c r="AU20" i="2" s="1"/>
  <c r="AL19" i="2"/>
  <c r="AS19" i="2" s="1"/>
  <c r="AV19" i="2" s="1"/>
  <c r="AM19" i="2"/>
  <c r="AQ19" i="2" s="1"/>
  <c r="AU19" i="2" s="1"/>
  <c r="BG19" i="2" s="1"/>
  <c r="BK19" i="2" s="1"/>
  <c r="BN19" i="2" s="1"/>
  <c r="AL18" i="2"/>
  <c r="AS18" i="2" s="1"/>
  <c r="AV18" i="2" s="1"/>
  <c r="AM18" i="2"/>
  <c r="AQ18" i="2" s="1"/>
  <c r="AU18" i="2" s="1"/>
  <c r="AL17" i="2"/>
  <c r="AS17" i="2" s="1"/>
  <c r="AV17" i="2" s="1"/>
  <c r="AM17" i="2"/>
  <c r="AQ17" i="2" s="1"/>
  <c r="AU17" i="2" s="1"/>
  <c r="AL16" i="2"/>
  <c r="AS16" i="2" s="1"/>
  <c r="AV16" i="2" s="1"/>
  <c r="AM16" i="2"/>
  <c r="AQ16" i="2" s="1"/>
  <c r="AU16" i="2" s="1"/>
  <c r="AL15" i="2"/>
  <c r="AS15" i="2" s="1"/>
  <c r="AV15" i="2" s="1"/>
  <c r="AM15" i="2"/>
  <c r="AQ15" i="2" s="1"/>
  <c r="AU15" i="2" s="1"/>
  <c r="AL14" i="2"/>
  <c r="AS14" i="2" s="1"/>
  <c r="AV14" i="2" s="1"/>
  <c r="AM14" i="2"/>
  <c r="AQ14" i="2" s="1"/>
  <c r="AU14" i="2" s="1"/>
  <c r="AL13" i="2"/>
  <c r="AS13" i="2" s="1"/>
  <c r="AV13" i="2" s="1"/>
  <c r="AM13" i="2"/>
  <c r="AQ13" i="2" s="1"/>
  <c r="AU13" i="2" s="1"/>
  <c r="BG13" i="2" s="1"/>
  <c r="BK13" i="2" s="1"/>
  <c r="BN13" i="2" s="1"/>
  <c r="AL12" i="2"/>
  <c r="AS12" i="2" s="1"/>
  <c r="AV12" i="2" s="1"/>
  <c r="AM12" i="2"/>
  <c r="AQ12" i="2" s="1"/>
  <c r="AU12" i="2" s="1"/>
  <c r="AL11" i="2"/>
  <c r="AS11" i="2" s="1"/>
  <c r="AV11" i="2" s="1"/>
  <c r="AM11" i="2"/>
  <c r="AQ11" i="2" s="1"/>
  <c r="AU11" i="2" s="1"/>
  <c r="AL10" i="2"/>
  <c r="AS10" i="2" s="1"/>
  <c r="AV10" i="2" s="1"/>
  <c r="AM10" i="2"/>
  <c r="AQ10" i="2" s="1"/>
  <c r="AU10" i="2" s="1"/>
  <c r="AL9" i="2"/>
  <c r="AS9" i="2" s="1"/>
  <c r="AV9" i="2" s="1"/>
  <c r="AM9" i="2"/>
  <c r="AQ9" i="2" s="1"/>
  <c r="AU9" i="2" s="1"/>
  <c r="BG9" i="2" s="1"/>
  <c r="BK9" i="2" s="1"/>
  <c r="BN9" i="2" s="1"/>
  <c r="AL8" i="2"/>
  <c r="AS8" i="2" s="1"/>
  <c r="AV8" i="2" s="1"/>
  <c r="AM8" i="2"/>
  <c r="AQ8" i="2" s="1"/>
  <c r="AU8" i="2" s="1"/>
  <c r="AL7" i="2"/>
  <c r="AS7" i="2" s="1"/>
  <c r="AV7" i="2" s="1"/>
  <c r="AM7" i="2"/>
  <c r="AQ7" i="2" s="1"/>
  <c r="AU7" i="2" s="1"/>
  <c r="BG7" i="2" s="1"/>
  <c r="BK7" i="2" s="1"/>
  <c r="BN7" i="2" s="1"/>
  <c r="AL6" i="2"/>
  <c r="AS6" i="2" s="1"/>
  <c r="AV6" i="2" s="1"/>
  <c r="AM6" i="2"/>
  <c r="AQ6" i="2" s="1"/>
  <c r="AU6" i="2" s="1"/>
  <c r="AL5" i="2"/>
  <c r="AS5" i="2" s="1"/>
  <c r="AV5" i="2" s="1"/>
  <c r="AM5" i="2"/>
  <c r="AQ5" i="2" s="1"/>
  <c r="AU5" i="2" s="1"/>
  <c r="BM4" i="2"/>
  <c r="BP4" i="2" s="1"/>
  <c r="F46" i="2"/>
  <c r="B74" i="1"/>
  <c r="A74" i="1"/>
  <c r="F74" i="1" s="1"/>
  <c r="F68" i="1"/>
  <c r="BG15" i="2" l="1"/>
  <c r="BK15" i="2" s="1"/>
  <c r="BN15" i="2" s="1"/>
  <c r="BG21" i="2"/>
  <c r="BK21" i="2" s="1"/>
  <c r="BN21" i="2" s="1"/>
  <c r="BG27" i="2"/>
  <c r="BK27" i="2" s="1"/>
  <c r="BN27" i="2" s="1"/>
  <c r="BG5" i="2"/>
  <c r="BK5" i="2" s="1"/>
  <c r="BN5" i="2" s="1"/>
  <c r="BG11" i="2"/>
  <c r="BK11" i="2" s="1"/>
  <c r="BN11" i="2" s="1"/>
  <c r="BG17" i="2"/>
  <c r="BK17" i="2" s="1"/>
  <c r="BN17" i="2" s="1"/>
  <c r="BG23" i="2"/>
  <c r="BK23" i="2" s="1"/>
  <c r="BN23" i="2" s="1"/>
  <c r="BG29" i="2"/>
  <c r="BK29" i="2" s="1"/>
  <c r="BN29" i="2" s="1"/>
  <c r="BG6" i="2"/>
  <c r="BK6" i="2" s="1"/>
  <c r="BN6" i="2" s="1"/>
  <c r="BG12" i="2"/>
  <c r="BK12" i="2" s="1"/>
  <c r="BN12" i="2" s="1"/>
  <c r="BG18" i="2"/>
  <c r="BK18" i="2" s="1"/>
  <c r="BN18" i="2" s="1"/>
  <c r="BG24" i="2"/>
  <c r="BK24" i="2" s="1"/>
  <c r="BN24" i="2" s="1"/>
  <c r="BG10" i="2"/>
  <c r="BK10" i="2" s="1"/>
  <c r="BN10" i="2" s="1"/>
  <c r="BG16" i="2"/>
  <c r="BK16" i="2" s="1"/>
  <c r="BN16" i="2" s="1"/>
  <c r="BG22" i="2"/>
  <c r="BK22" i="2" s="1"/>
  <c r="BN22" i="2" s="1"/>
  <c r="BG28" i="2"/>
  <c r="BK28" i="2" s="1"/>
  <c r="BN28" i="2" s="1"/>
  <c r="BG30" i="2"/>
  <c r="BK30" i="2" s="1"/>
  <c r="BN30" i="2" s="1"/>
  <c r="BG35" i="2"/>
  <c r="BK35" i="2" s="1"/>
  <c r="BN35" i="2" s="1"/>
  <c r="BG33" i="2"/>
  <c r="BK33" i="2" s="1"/>
  <c r="BN33" i="2" s="1"/>
  <c r="BG31" i="2"/>
  <c r="BK31" i="2" s="1"/>
  <c r="BN31" i="2" s="1"/>
  <c r="BG36" i="2"/>
  <c r="BK36" i="2" s="1"/>
  <c r="BN36" i="2" s="1"/>
  <c r="BG34" i="2"/>
  <c r="BK34" i="2" s="1"/>
  <c r="BN34" i="2" s="1"/>
  <c r="BG8" i="2"/>
  <c r="BK8" i="2" s="1"/>
  <c r="BN8" i="2" s="1"/>
  <c r="BG14" i="2"/>
  <c r="BK14" i="2" s="1"/>
  <c r="BN14" i="2" s="1"/>
  <c r="BG20" i="2"/>
  <c r="BK20" i="2" s="1"/>
  <c r="BN20" i="2" s="1"/>
  <c r="BG26" i="2"/>
  <c r="BK26" i="2" s="1"/>
  <c r="BN26" i="2" s="1"/>
  <c r="BG32" i="2"/>
  <c r="BK32" i="2" s="1"/>
  <c r="BN32" i="2" s="1"/>
  <c r="BG25" i="2"/>
  <c r="BK25" i="2" s="1"/>
  <c r="BN25" i="2" s="1"/>
  <c r="AW5" i="2"/>
  <c r="AX5" i="2"/>
  <c r="BH5" i="2" s="1"/>
  <c r="AY5" i="2" s="1"/>
  <c r="AW6" i="2"/>
  <c r="AX6" i="2"/>
  <c r="BH6" i="2" s="1"/>
  <c r="AY6" i="2" s="1"/>
  <c r="AW7" i="2"/>
  <c r="AX7" i="2"/>
  <c r="BH7" i="2" s="1"/>
  <c r="AY7" i="2" s="1"/>
  <c r="AW8" i="2"/>
  <c r="AX8" i="2"/>
  <c r="BH8" i="2" s="1"/>
  <c r="AY8" i="2" s="1"/>
  <c r="AW9" i="2"/>
  <c r="AX9" i="2"/>
  <c r="BH9" i="2" s="1"/>
  <c r="AY9" i="2" s="1"/>
  <c r="AW10" i="2"/>
  <c r="AX10" i="2"/>
  <c r="BH10" i="2" s="1"/>
  <c r="AY10" i="2" s="1"/>
  <c r="AW11" i="2"/>
  <c r="AX11" i="2"/>
  <c r="BH11" i="2" s="1"/>
  <c r="AY11" i="2" s="1"/>
  <c r="AW12" i="2"/>
  <c r="AX12" i="2"/>
  <c r="BH12" i="2" s="1"/>
  <c r="AY12" i="2" s="1"/>
  <c r="AW13" i="2"/>
  <c r="AX13" i="2"/>
  <c r="BH13" i="2" s="1"/>
  <c r="AY13" i="2" s="1"/>
  <c r="AW14" i="2"/>
  <c r="AX14" i="2"/>
  <c r="BH14" i="2" s="1"/>
  <c r="AY14" i="2" s="1"/>
  <c r="AW15" i="2"/>
  <c r="AX15" i="2"/>
  <c r="BH15" i="2" s="1"/>
  <c r="AY15" i="2" s="1"/>
  <c r="AW16" i="2"/>
  <c r="AX16" i="2"/>
  <c r="BH16" i="2" s="1"/>
  <c r="AY16" i="2" s="1"/>
  <c r="AW17" i="2"/>
  <c r="AX17" i="2"/>
  <c r="BH17" i="2" s="1"/>
  <c r="AY17" i="2" s="1"/>
  <c r="AW18" i="2"/>
  <c r="AX18" i="2"/>
  <c r="BH18" i="2" s="1"/>
  <c r="AY18" i="2" s="1"/>
  <c r="AW19" i="2"/>
  <c r="AX19" i="2"/>
  <c r="BH19" i="2" s="1"/>
  <c r="AY19" i="2" s="1"/>
  <c r="AW20" i="2"/>
  <c r="AX20" i="2"/>
  <c r="BH20" i="2" s="1"/>
  <c r="AY20" i="2" s="1"/>
  <c r="AW21" i="2"/>
  <c r="AX21" i="2"/>
  <c r="BH21" i="2" s="1"/>
  <c r="AY21" i="2" s="1"/>
  <c r="AW22" i="2"/>
  <c r="AX22" i="2"/>
  <c r="BH22" i="2" s="1"/>
  <c r="AY22" i="2" s="1"/>
  <c r="AW23" i="2"/>
  <c r="AX23" i="2"/>
  <c r="BH23" i="2" s="1"/>
  <c r="AY23" i="2" s="1"/>
  <c r="AW24" i="2"/>
  <c r="AX24" i="2"/>
  <c r="BH24" i="2" s="1"/>
  <c r="AY24" i="2" s="1"/>
  <c r="AW25" i="2"/>
  <c r="AX25" i="2"/>
  <c r="BH25" i="2" s="1"/>
  <c r="AY25" i="2" s="1"/>
  <c r="AW26" i="2"/>
  <c r="AX26" i="2"/>
  <c r="BH26" i="2" s="1"/>
  <c r="AY26" i="2" s="1"/>
  <c r="AW27" i="2"/>
  <c r="AX27" i="2"/>
  <c r="BH27" i="2" s="1"/>
  <c r="AY27" i="2" s="1"/>
  <c r="AW28" i="2"/>
  <c r="AX28" i="2"/>
  <c r="BH28" i="2" s="1"/>
  <c r="AY28" i="2" s="1"/>
  <c r="AW29" i="2"/>
  <c r="AX29" i="2"/>
  <c r="BH29" i="2" s="1"/>
  <c r="AY29" i="2" s="1"/>
  <c r="AW30" i="2"/>
  <c r="AX30" i="2"/>
  <c r="BH30" i="2" s="1"/>
  <c r="AY30" i="2" s="1"/>
  <c r="AW31" i="2"/>
  <c r="AX31" i="2"/>
  <c r="BH31" i="2" s="1"/>
  <c r="AY31" i="2" s="1"/>
  <c r="AW32" i="2"/>
  <c r="AX32" i="2"/>
  <c r="BH32" i="2" s="1"/>
  <c r="AY32" i="2" s="1"/>
  <c r="AW33" i="2"/>
  <c r="AX33" i="2"/>
  <c r="BH33" i="2" s="1"/>
  <c r="AY33" i="2" s="1"/>
  <c r="AW34" i="2"/>
  <c r="AX34" i="2"/>
  <c r="BH34" i="2" s="1"/>
  <c r="AY34" i="2" s="1"/>
  <c r="AW35" i="2"/>
  <c r="AX35" i="2"/>
  <c r="BH35" i="2" s="1"/>
  <c r="AY35" i="2" s="1"/>
  <c r="AW36" i="2"/>
  <c r="AX36" i="2"/>
  <c r="BH36" i="2" s="1"/>
  <c r="AY36" i="2" s="1"/>
  <c r="F61" i="1"/>
  <c r="F64" i="1" s="1"/>
  <c r="D54" i="1"/>
  <c r="D53" i="1"/>
  <c r="G53" i="1"/>
  <c r="F55" i="1" a="1"/>
  <c r="F55" i="1"/>
  <c r="F54" i="1"/>
  <c r="A55" i="1"/>
  <c r="D55" i="1" s="1"/>
  <c r="A56" i="1"/>
  <c r="D56" i="1" s="1"/>
  <c r="F53" i="1"/>
  <c r="F56" i="1" l="1" a="1"/>
  <c r="F56" i="1" s="1"/>
  <c r="G56" i="1" s="1"/>
  <c r="B49" i="1"/>
  <c r="D49" i="1" s="1"/>
  <c r="L4" i="2"/>
  <c r="H4" i="2"/>
  <c r="I4" i="2" s="1"/>
  <c r="J4" i="2" s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Q4" i="2" l="1"/>
  <c r="R4" i="2" s="1" a="1"/>
  <c r="R4" i="2" s="1"/>
  <c r="X4" i="2"/>
  <c r="T4" i="2" l="1"/>
  <c r="AE4" i="2" s="1"/>
  <c r="AC4" i="2" s="1"/>
  <c r="O4" i="2"/>
  <c r="P4" i="2" s="1"/>
  <c r="M4" i="2"/>
  <c r="N4" i="2" s="1" a="1"/>
  <c r="N4" i="2" s="1"/>
  <c r="Y4" i="2" l="1"/>
  <c r="AD4" i="2"/>
  <c r="U4" i="2"/>
  <c r="V4" i="2" s="1"/>
  <c r="S4" i="2"/>
  <c r="BI35" i="2" l="1"/>
  <c r="BI34" i="2"/>
  <c r="BI33" i="2"/>
  <c r="BI32" i="2"/>
  <c r="BI31" i="2"/>
  <c r="BI30" i="2"/>
  <c r="BI29" i="2"/>
  <c r="BI28" i="2"/>
  <c r="BI27" i="2"/>
  <c r="BI26" i="2"/>
  <c r="BI25" i="2"/>
  <c r="BI24" i="2"/>
  <c r="BI23" i="2"/>
  <c r="BI22" i="2"/>
  <c r="BI21" i="2"/>
  <c r="BI20" i="2"/>
  <c r="BI19" i="2"/>
  <c r="BI18" i="2"/>
  <c r="BI17" i="2"/>
  <c r="BI16" i="2"/>
  <c r="BI15" i="2"/>
  <c r="BI14" i="2"/>
  <c r="BI13" i="2"/>
  <c r="BI12" i="2"/>
  <c r="BI11" i="2"/>
  <c r="BI10" i="2"/>
  <c r="BI9" i="2"/>
  <c r="BI8" i="2"/>
  <c r="BI7" i="2"/>
  <c r="BI6" i="2"/>
  <c r="BI5" i="2"/>
  <c r="W4" i="2"/>
  <c r="Z4" i="2"/>
  <c r="AA4" i="2" s="1"/>
  <c r="AL4" i="2" l="1"/>
  <c r="AI4" i="2"/>
  <c r="AM4" i="2"/>
  <c r="AB4" i="2"/>
  <c r="AH4" i="2" s="1"/>
  <c r="BI36" i="2" l="1"/>
  <c r="AH39" i="2"/>
  <c r="AG4" i="2" a="1"/>
  <c r="AG4" i="2" s="1"/>
  <c r="AP4" i="2"/>
  <c r="AJ4" i="2"/>
  <c r="AS4" i="2" l="1"/>
  <c r="AQ4" i="2"/>
  <c r="AK4" i="2"/>
  <c r="AO4" i="2" l="1"/>
  <c r="AN4" i="2"/>
  <c r="AR4" i="2" s="1"/>
  <c r="AU4" i="2" s="1"/>
  <c r="AT4" i="2"/>
  <c r="AV4" i="2" s="1"/>
  <c r="BG4" i="2" l="1"/>
  <c r="BK4" i="2"/>
  <c r="AX4" i="2"/>
  <c r="AW4" i="2"/>
  <c r="BN4" i="2" l="1"/>
  <c r="BN39" i="2" s="1"/>
  <c r="BH4" i="2"/>
  <c r="AY4" i="2" s="1"/>
  <c r="BI4" i="2" s="1"/>
  <c r="BO5" i="2" l="1"/>
  <c r="BP5" i="2"/>
  <c r="BP6" i="2" s="1"/>
  <c r="BP7" i="2" l="1"/>
  <c r="BP8" i="2" s="1"/>
  <c r="BP9" i="2" s="1"/>
  <c r="BP10" i="2" s="1"/>
  <c r="BP11" i="2" s="1"/>
  <c r="BP12" i="2" s="1"/>
  <c r="BP13" i="2" s="1"/>
  <c r="BP14" i="2" s="1"/>
  <c r="BP15" i="2" s="1"/>
  <c r="BP16" i="2" s="1"/>
  <c r="BP17" i="2" s="1"/>
  <c r="BP18" i="2" s="1"/>
  <c r="BP19" i="2" s="1"/>
  <c r="BP20" i="2" s="1"/>
  <c r="BP21" i="2" s="1"/>
  <c r="BP22" i="2" s="1"/>
  <c r="BO6" i="2"/>
  <c r="BP23" i="2" l="1"/>
  <c r="BP24" i="2" s="1"/>
  <c r="BP25" i="2" s="1"/>
  <c r="BP26" i="2" s="1"/>
  <c r="BP27" i="2" s="1"/>
  <c r="BP28" i="2" s="1"/>
  <c r="BP29" i="2" s="1"/>
  <c r="BP30" i="2" s="1"/>
  <c r="BP31" i="2" s="1"/>
  <c r="BP32" i="2" s="1"/>
  <c r="BP33" i="2" s="1"/>
  <c r="BP34" i="2" s="1"/>
  <c r="BP35" i="2" s="1"/>
  <c r="BP36" i="2" s="1"/>
  <c r="C57" i="2" s="1" a="1"/>
  <c r="C57" i="2" s="1"/>
  <c r="BO7" i="2"/>
  <c r="BO8" i="2" l="1"/>
  <c r="BO9" i="2" l="1"/>
  <c r="BO10" i="2" l="1"/>
  <c r="BO11" i="2" l="1"/>
  <c r="BO12" i="2" l="1"/>
  <c r="BO13" i="2" l="1"/>
  <c r="BO14" i="2" l="1"/>
  <c r="BO15" i="2" l="1"/>
  <c r="BO16" i="2" l="1"/>
  <c r="BO17" i="2" l="1"/>
  <c r="BO18" i="2" l="1"/>
  <c r="BO19" i="2" l="1"/>
  <c r="BO20" i="2" l="1"/>
  <c r="BO21" i="2" l="1"/>
  <c r="BO22" i="2" l="1"/>
  <c r="BO23" i="2" l="1"/>
  <c r="BO24" i="2" l="1"/>
  <c r="BO25" i="2" l="1"/>
  <c r="BO26" i="2" l="1"/>
  <c r="BO27" i="2" l="1"/>
  <c r="BO28" i="2" l="1"/>
  <c r="BO29" i="2" l="1"/>
  <c r="BO30" i="2" l="1"/>
  <c r="BO31" i="2" l="1"/>
  <c r="BO32" i="2" l="1"/>
  <c r="BO33" i="2" l="1"/>
  <c r="BO34" i="2" l="1"/>
  <c r="BO35" i="2" l="1"/>
  <c r="BO3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<sst xmlns="http://schemas.openxmlformats.org/spreadsheetml/2006/main" count="347" uniqueCount="204">
  <si>
    <t>Wave FT</t>
  </si>
  <si>
    <t>following kts</t>
  </si>
  <si>
    <t>wave FT</t>
  </si>
  <si>
    <t>Beam kts</t>
  </si>
  <si>
    <t xml:space="preserve">Wave FT </t>
  </si>
  <si>
    <t>Head kts</t>
  </si>
  <si>
    <t>Test</t>
  </si>
  <si>
    <t>Formule final</t>
  </si>
  <si>
    <t>= 0,000652681*X^3-0,0356523*X^2+0,29714*X+15,2038</t>
  </si>
  <si>
    <t xml:space="preserve">Test </t>
  </si>
  <si>
    <t>= -0,0000000868778*X^5-0,0000459619*X^4+0,00347366*X^3-0,0884721*X^2+0,510463*X+14,9932</t>
  </si>
  <si>
    <t>=-0,00000154449*X^5+0,0000797696*X^4+0,000148965*X^3-0,0570448*X^2+0,244115*X+15,0029</t>
  </si>
  <si>
    <t>N/S</t>
  </si>
  <si>
    <t>Degrés</t>
  </si>
  <si>
    <t>Minutes</t>
  </si>
  <si>
    <t>W/E</t>
  </si>
  <si>
    <t>S</t>
  </si>
  <si>
    <t>No.</t>
  </si>
  <si>
    <t>W</t>
  </si>
  <si>
    <t>MP</t>
  </si>
  <si>
    <t>=7915,704468*LOG((TAN((RADIANS(45)+(X/2)))))-23,268932*SIN(X)-0,0525*(SIN(X)^3)*(SIN(X)^5)</t>
  </si>
  <si>
    <t xml:space="preserve"> Lat. Deg.</t>
  </si>
  <si>
    <t xml:space="preserve"> Lat. Valeurs radiants </t>
  </si>
  <si>
    <t>Lg Deg.</t>
  </si>
  <si>
    <t xml:space="preserve">Lg Valeurs radiant </t>
  </si>
  <si>
    <t>Latitude</t>
  </si>
  <si>
    <t>Longitude</t>
  </si>
  <si>
    <t>D.Lat</t>
  </si>
  <si>
    <t>D.Long</t>
  </si>
  <si>
    <t>E</t>
  </si>
  <si>
    <t>=SI.CONDITIONS(B53=B54;D54-D53;(D53+D54)&gt;(RADIANS(180));RADIANS(360)-(D53+D54);B53&lt;&gt;B54;D53+D54)</t>
  </si>
  <si>
    <t>D.Long (min)</t>
  </si>
  <si>
    <t>=DEGRES(SI.CONDITIONS(B53=B54;D54-D53;(D53+D54)&gt;(RADIANS(180));RADIANS(360)-(D53+D54);B53&lt;&gt;B54;D53+D54))*60</t>
  </si>
  <si>
    <t>D.Lat (min)</t>
  </si>
  <si>
    <t>DMP</t>
  </si>
  <si>
    <t>dg</t>
  </si>
  <si>
    <t>dmp</t>
  </si>
  <si>
    <t>=DEGRES(ATAN(A61/B61))</t>
  </si>
  <si>
    <t>dl</t>
  </si>
  <si>
    <t>'=(C61/(COS(RADIANS(F61))))</t>
  </si>
  <si>
    <t>Mo</t>
  </si>
  <si>
    <t>DEP</t>
  </si>
  <si>
    <t>Lat moy. (deg.)</t>
  </si>
  <si>
    <t>R (plane)</t>
  </si>
  <si>
    <t>R (Mercator)</t>
  </si>
  <si>
    <t>M (Mercator)</t>
  </si>
  <si>
    <t>Dep</t>
  </si>
  <si>
    <t>diff lat</t>
  </si>
  <si>
    <t>R Merc. Cap.</t>
  </si>
  <si>
    <t>R plane Cap.</t>
  </si>
  <si>
    <t xml:space="preserve">M Plane </t>
  </si>
  <si>
    <t>Mercator</t>
  </si>
  <si>
    <t>Plane</t>
  </si>
  <si>
    <t>lat 1</t>
  </si>
  <si>
    <t>Lat 2</t>
  </si>
  <si>
    <t>Dg</t>
  </si>
  <si>
    <t>N</t>
  </si>
  <si>
    <t>Ortho</t>
  </si>
  <si>
    <t>Ro</t>
  </si>
  <si>
    <t>Ro Cap</t>
  </si>
  <si>
    <t xml:space="preserve">Distance </t>
  </si>
  <si>
    <t>Type of sailing</t>
  </si>
  <si>
    <t>dist. Finale:</t>
  </si>
  <si>
    <t>Échelle de Beaufort</t>
  </si>
  <si>
    <t>coefficient</t>
  </si>
  <si>
    <t>height ft.</t>
  </si>
  <si>
    <t>BEAUFORT</t>
  </si>
  <si>
    <t>DIRECTION</t>
  </si>
  <si>
    <t>head</t>
  </si>
  <si>
    <t>Beam</t>
  </si>
  <si>
    <t>Following</t>
  </si>
  <si>
    <t>330-210/30-150</t>
  </si>
  <si>
    <t>210-150</t>
  </si>
  <si>
    <t xml:space="preserve">330-30 </t>
  </si>
  <si>
    <t>Ft</t>
  </si>
  <si>
    <t>speed kn</t>
  </si>
  <si>
    <t>wind effect on speed</t>
  </si>
  <si>
    <t>R Plane</t>
  </si>
  <si>
    <t>Angles courants</t>
  </si>
  <si>
    <t>directions vent</t>
  </si>
  <si>
    <t xml:space="preserve">speed </t>
  </si>
  <si>
    <t xml:space="preserve">Current effect </t>
  </si>
  <si>
    <t>Vitesse fond</t>
  </si>
  <si>
    <t>angle</t>
  </si>
  <si>
    <t>y'' Route eau</t>
  </si>
  <si>
    <t>y' derive</t>
  </si>
  <si>
    <t>x'' route eau</t>
  </si>
  <si>
    <t>x' derive</t>
  </si>
  <si>
    <t>y total</t>
  </si>
  <si>
    <t>x total</t>
  </si>
  <si>
    <t>route fond</t>
  </si>
  <si>
    <t>angle vecteur</t>
  </si>
  <si>
    <t>y eau og</t>
  </si>
  <si>
    <t>x eau og.</t>
  </si>
  <si>
    <t>x derive og</t>
  </si>
  <si>
    <t>y derive og</t>
  </si>
  <si>
    <t>=@SI.CONDITIONS(Feuil2!C37=180;0;Feuil2!C37&gt;180;Feuil2!C37-180;Feuil2!C37&lt;180;180-Feuil2!C37)</t>
  </si>
  <si>
    <t>gisement</t>
  </si>
  <si>
    <t xml:space="preserve">angle </t>
  </si>
  <si>
    <t>Cap courant</t>
  </si>
  <si>
    <t>Angle courant</t>
  </si>
  <si>
    <t>ortho</t>
  </si>
  <si>
    <t>loxo</t>
  </si>
  <si>
    <t>Choix</t>
  </si>
  <si>
    <t>difference</t>
  </si>
  <si>
    <t xml:space="preserve">ordre de barre </t>
  </si>
  <si>
    <t>Date départ</t>
  </si>
  <si>
    <t>D.Lat S Corr</t>
  </si>
  <si>
    <t>D.long S corr</t>
  </si>
  <si>
    <t>M</t>
  </si>
  <si>
    <t>DD</t>
  </si>
  <si>
    <t>YYYY</t>
  </si>
  <si>
    <t>Beaufort</t>
  </si>
  <si>
    <t>direction</t>
  </si>
  <si>
    <t>effet courants</t>
  </si>
  <si>
    <t>vitesse</t>
  </si>
  <si>
    <t>Vitesse optimale</t>
  </si>
  <si>
    <t>Effets vents</t>
  </si>
  <si>
    <t>V. fond</t>
  </si>
  <si>
    <t>V. Manuelle</t>
  </si>
  <si>
    <t>Temps</t>
  </si>
  <si>
    <t>attente (min)</t>
  </si>
  <si>
    <t>ZD</t>
  </si>
  <si>
    <t>'=BL4+BK4+TEMPS(BJ5-BJ4;;)</t>
  </si>
  <si>
    <t>Lat Radian signe</t>
  </si>
  <si>
    <t>ZD'</t>
  </si>
  <si>
    <t xml:space="preserve"> ETA (GMT)</t>
  </si>
  <si>
    <t>=SI.CONDITIONS(ET(BK4&gt;0;R4&lt;0;G4&lt;&gt;G5;90&lt;=E5;E5&lt;=180);(BN4+BL4)-1;ET(BK4&gt;0;R4&gt;0;G4&lt;&gt;G5;90&lt;=E5;E5&lt;=180);(BN4+BL4)+1;ET(BK4&lt;0;R4&gt;0;G4&lt;&gt;G5;90&lt;=E5;E5&lt;=180);(BN4-BL4)+1;ET(BK4&lt;0;R4&lt;0;G4&lt;&gt;G5;90&lt;=E5;E5&lt;=180);(BN4-BL4)-1;BK4&lt;0;BN4-BL4;BK4&gt;0;BN4+BL4)</t>
  </si>
  <si>
    <t>Passage méridien 180</t>
  </si>
  <si>
    <t>oui</t>
  </si>
  <si>
    <t>Date arrivé ZT</t>
  </si>
  <si>
    <t>total</t>
  </si>
  <si>
    <t>Cap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</si>
  <si>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</si>
  <si>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</si>
  <si>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</si>
  <si>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</si>
  <si>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</si>
  <si>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</si>
  <si>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</si>
  <si>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</si>
  <si>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</si>
  <si>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</si>
  <si>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</si>
  <si>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</si>
  <si>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</si>
  <si>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</si>
  <si>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</si>
  <si>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</si>
  <si>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</si>
  <si>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</si>
  <si>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</si>
  <si>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</si>
  <si>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</si>
  <si>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</si>
  <si>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</si>
  <si>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</si>
  <si>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</si>
  <si>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</si>
  <si>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</si>
  <si>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</si>
  <si>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</si>
  <si>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</si>
  <si>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</si>
  <si>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</si>
  <si>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</si>
  <si>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</si>
  <si>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</si>
  <si>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</si>
  <si>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</si>
  <si>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</si>
  <si>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</si>
  <si>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</si>
  <si>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</si>
  <si>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</si>
  <si>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</si>
  <si>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</si>
  <si>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</si>
  <si>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</si>
  <si>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</si>
  <si>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</si>
  <si>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</si>
  <si>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</si>
  <si>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</si>
  <si>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</si>
  <si>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</si>
  <si>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</si>
  <si>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</si>
  <si>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</si>
  <si>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</si>
  <si>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</si>
  <si>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</si>
  <si>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</si>
  <si>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</si>
  <si>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</si>
  <si>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</si>
  <si>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</si>
  <si>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</si>
  <si>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</si>
  <si>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</si>
  <si>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</si>
  <si>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Degrés2</t>
  </si>
  <si>
    <t>Minutes3</t>
  </si>
  <si>
    <t>Temps4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</si>
</sst>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yy/mm/dd;@"/>
    <numFmt numFmtId="166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3" borderId="0" xfId="0" applyFont="1" applyFill="1"/>
    <xf numFmtId="164" fontId="0" fillId="0" borderId="0" xfId="0" applyNumberFormat="1"/>
    <xf numFmtId="22" fontId="0" fillId="0" borderId="0" xfId="0" applyNumberFormat="1"/>
    <xf numFmtId="20" fontId="0" fillId="0" borderId="0" xfId="0" applyNumberFormat="1"/>
    <xf numFmtId="165" fontId="0" fillId="0" borderId="0" xfId="0" applyNumberFormat="1"/>
    <xf numFmtId="1" fontId="0" fillId="0" borderId="0" xfId="0" applyNumberFormat="1"/>
    <xf numFmtId="22" fontId="0" fillId="0" borderId="0" xfId="0" applyNumberFormat="1" applyAlignment="1">
      <alignment horizontal="center"/>
    </xf>
    <xf numFmtId="0" fontId="0" fillId="8" borderId="0" xfId="0" applyFill="1"/>
    <xf numFmtId="0" fontId="0" fillId="9" borderId="0" xfId="0" applyFill="1"/>
    <xf numFmtId="46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6" fontId="1" fillId="8" borderId="1" xfId="0" applyNumberFormat="1" applyFont="1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7" xfId="0" applyFont="1" applyBorder="1"/>
    <xf numFmtId="0" fontId="0" fillId="0" borderId="12" xfId="0" applyBorder="1" applyAlignment="1">
      <alignment horizontal="center"/>
    </xf>
    <xf numFmtId="0" fontId="2" fillId="10" borderId="0" xfId="0" applyFont="1" applyFill="1"/>
    <xf numFmtId="0" fontId="1" fillId="10" borderId="14" xfId="0" applyFont="1" applyFill="1" applyBorder="1"/>
    <xf numFmtId="0" fontId="1" fillId="8" borderId="1" xfId="0" applyFont="1" applyFill="1" applyBorder="1"/>
    <xf numFmtId="0" fontId="3" fillId="12" borderId="5" xfId="0" applyFont="1" applyFill="1" applyBorder="1" applyAlignment="1">
      <alignment horizontal="center"/>
    </xf>
    <xf numFmtId="0" fontId="3" fillId="12" borderId="6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6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quotePrefix="1" applyBorder="1" applyAlignment="1">
      <alignment horizontal="center"/>
    </xf>
    <xf numFmtId="0" fontId="0" fillId="0" borderId="13" xfId="0" quotePrefix="1" applyBorder="1"/>
    <xf numFmtId="0" fontId="0" fillId="0" borderId="13" xfId="0" applyBorder="1"/>
    <xf numFmtId="0" fontId="1" fillId="10" borderId="2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22" fontId="0" fillId="8" borderId="2" xfId="0" applyNumberFormat="1" applyFill="1" applyBorder="1" applyAlignment="1">
      <alignment horizontal="center"/>
    </xf>
    <xf numFmtId="22" fontId="0" fillId="8" borderId="4" xfId="0" applyNumberFormat="1" applyFill="1" applyBorder="1" applyAlignment="1">
      <alignment horizontal="center"/>
    </xf>
    <xf numFmtId="22" fontId="0" fillId="8" borderId="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14" borderId="15" xfId="0" applyFont="1" applyFill="1" applyBorder="1"/>
    <xf numFmtId="0" fontId="0" fillId="0" borderId="0" xfId="0" applyFont="1"/>
    <xf numFmtId="0" fontId="0" fillId="14" borderId="0" xfId="0" applyFont="1" applyFill="1" applyBorder="1"/>
    <xf numFmtId="0" fontId="1" fillId="0" borderId="8" xfId="0" applyFont="1" applyBorder="1"/>
    <xf numFmtId="0" fontId="0" fillId="12" borderId="5" xfId="0" applyFont="1" applyFill="1" applyBorder="1"/>
    <xf numFmtId="0" fontId="0" fillId="14" borderId="17" xfId="0" applyFont="1" applyFill="1" applyBorder="1"/>
    <xf numFmtId="0" fontId="1" fillId="14" borderId="15" xfId="0" applyFont="1" applyFill="1" applyBorder="1" applyAlignment="1">
      <alignment horizontal="center"/>
    </xf>
    <xf numFmtId="0" fontId="0" fillId="12" borderId="5" xfId="0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0" fillId="10" borderId="19" xfId="0" applyFont="1" applyFill="1" applyBorder="1"/>
    <xf numFmtId="0" fontId="0" fillId="10" borderId="0" xfId="0" applyFont="1" applyFill="1"/>
    <xf numFmtId="0" fontId="1" fillId="10" borderId="5" xfId="0" applyFont="1" applyFill="1" applyBorder="1" applyAlignment="1">
      <alignment horizontal="center"/>
    </xf>
    <xf numFmtId="0" fontId="1" fillId="10" borderId="6" xfId="0" applyFont="1" applyFill="1" applyBorder="1"/>
    <xf numFmtId="0" fontId="1" fillId="10" borderId="5" xfId="0" applyFont="1" applyFill="1" applyBorder="1"/>
    <xf numFmtId="0" fontId="0" fillId="10" borderId="6" xfId="0" applyFont="1" applyFill="1" applyBorder="1" applyAlignment="1">
      <alignment horizontal="center"/>
    </xf>
    <xf numFmtId="0" fontId="0" fillId="14" borderId="20" xfId="0" applyFont="1" applyFill="1" applyBorder="1"/>
    <xf numFmtId="0" fontId="0" fillId="14" borderId="5" xfId="0" applyFont="1" applyFill="1" applyBorder="1"/>
    <xf numFmtId="0" fontId="0" fillId="14" borderId="6" xfId="0" applyFont="1" applyFill="1" applyBorder="1"/>
    <xf numFmtId="0" fontId="0" fillId="14" borderId="6" xfId="0" applyFont="1" applyFill="1" applyBorder="1" applyAlignment="1">
      <alignment horizontal="center"/>
    </xf>
    <xf numFmtId="0" fontId="0" fillId="14" borderId="21" xfId="0" applyFont="1" applyFill="1" applyBorder="1"/>
    <xf numFmtId="0" fontId="0" fillId="3" borderId="20" xfId="0" applyFont="1" applyFill="1" applyBorder="1"/>
    <xf numFmtId="0" fontId="0" fillId="2" borderId="20" xfId="0" applyFont="1" applyFill="1" applyBorder="1"/>
    <xf numFmtId="0" fontId="0" fillId="4" borderId="20" xfId="0" applyFont="1" applyFill="1" applyBorder="1"/>
    <xf numFmtId="0" fontId="0" fillId="6" borderId="20" xfId="0" applyFont="1" applyFill="1" applyBorder="1"/>
    <xf numFmtId="0" fontId="0" fillId="5" borderId="20" xfId="0" applyFont="1" applyFill="1" applyBorder="1"/>
    <xf numFmtId="0" fontId="0" fillId="11" borderId="5" xfId="0" applyFont="1" applyFill="1" applyBorder="1" applyAlignment="1">
      <alignment horizontal="center"/>
    </xf>
    <xf numFmtId="0" fontId="0" fillId="13" borderId="5" xfId="0" applyFont="1" applyFill="1" applyBorder="1" applyAlignment="1">
      <alignment horizontal="center"/>
    </xf>
    <xf numFmtId="0" fontId="0" fillId="14" borderId="8" xfId="0" applyFont="1" applyFill="1" applyBorder="1"/>
    <xf numFmtId="0" fontId="0" fillId="7" borderId="0" xfId="0" applyFont="1" applyFill="1" applyBorder="1"/>
    <xf numFmtId="0" fontId="2" fillId="3" borderId="0" xfId="0" applyFont="1" applyFill="1" applyBorder="1"/>
    <xf numFmtId="0" fontId="0" fillId="3" borderId="0" xfId="0" applyFont="1" applyFill="1" applyBorder="1"/>
    <xf numFmtId="0" fontId="0" fillId="14" borderId="18" xfId="0" applyFont="1" applyFill="1" applyBorder="1"/>
    <xf numFmtId="0" fontId="0" fillId="14" borderId="18" xfId="0" applyFont="1" applyFill="1" applyBorder="1" applyAlignment="1">
      <alignment horizontal="center"/>
    </xf>
    <xf numFmtId="0" fontId="0" fillId="11" borderId="5" xfId="0" applyFont="1" applyFill="1" applyBorder="1"/>
    <xf numFmtId="0" fontId="0" fillId="11" borderId="6" xfId="0" applyFont="1" applyFill="1" applyBorder="1" applyAlignment="1">
      <alignment horizontal="center"/>
    </xf>
    <xf numFmtId="0" fontId="0" fillId="3" borderId="6" xfId="0" applyFont="1" applyFill="1" applyBorder="1"/>
    <xf numFmtId="166" fontId="0" fillId="14" borderId="5" xfId="0" applyNumberFormat="1" applyFont="1" applyFill="1" applyBorder="1" applyAlignment="1">
      <alignment horizontal="center"/>
    </xf>
    <xf numFmtId="20" fontId="0" fillId="14" borderId="6" xfId="0" applyNumberFormat="1" applyFont="1" applyFill="1" applyBorder="1" applyAlignment="1">
      <alignment horizontal="center"/>
    </xf>
    <xf numFmtId="46" fontId="0" fillId="14" borderId="5" xfId="0" applyNumberFormat="1" applyFont="1" applyFill="1" applyBorder="1" applyAlignment="1">
      <alignment horizontal="center"/>
    </xf>
    <xf numFmtId="22" fontId="0" fillId="8" borderId="5" xfId="0" applyNumberFormat="1" applyFont="1" applyFill="1" applyBorder="1" applyAlignment="1">
      <alignment horizontal="center"/>
    </xf>
    <xf numFmtId="0" fontId="0" fillId="0" borderId="8" xfId="0" applyFont="1" applyBorder="1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3" borderId="0" xfId="0" applyFont="1" applyFill="1"/>
    <xf numFmtId="0" fontId="0" fillId="2" borderId="0" xfId="0" applyFont="1" applyFill="1"/>
    <xf numFmtId="0" fontId="0" fillId="4" borderId="0" xfId="0" applyFont="1" applyFill="1"/>
    <xf numFmtId="0" fontId="0" fillId="6" borderId="0" xfId="0" applyFont="1" applyFill="1"/>
    <xf numFmtId="0" fontId="0" fillId="5" borderId="0" xfId="0" applyFont="1" applyFill="1"/>
    <xf numFmtId="0" fontId="0" fillId="11" borderId="8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0" fillId="7" borderId="0" xfId="0" applyFont="1" applyFill="1"/>
    <xf numFmtId="0" fontId="0" fillId="0" borderId="21" xfId="0" applyFont="1" applyBorder="1"/>
    <xf numFmtId="0" fontId="0" fillId="0" borderId="14" xfId="0" applyFont="1" applyBorder="1"/>
    <xf numFmtId="0" fontId="0" fillId="0" borderId="14" xfId="0" applyFont="1" applyBorder="1" applyAlignment="1">
      <alignment horizontal="center"/>
    </xf>
    <xf numFmtId="0" fontId="0" fillId="11" borderId="8" xfId="0" applyFont="1" applyFill="1" applyBorder="1"/>
    <xf numFmtId="0" fontId="0" fillId="11" borderId="0" xfId="0" applyFont="1" applyFill="1" applyAlignment="1">
      <alignment horizontal="center"/>
    </xf>
    <xf numFmtId="166" fontId="0" fillId="0" borderId="8" xfId="0" applyNumberFormat="1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46" fontId="0" fillId="0" borderId="8" xfId="0" applyNumberFormat="1" applyFont="1" applyBorder="1" applyAlignment="1">
      <alignment horizontal="center"/>
    </xf>
    <xf numFmtId="22" fontId="0" fillId="0" borderId="5" xfId="0" applyNumberFormat="1" applyFont="1" applyBorder="1" applyAlignment="1">
      <alignment horizontal="center"/>
    </xf>
    <xf numFmtId="0" fontId="0" fillId="14" borderId="0" xfId="0" applyFont="1" applyFill="1" applyBorder="1" applyAlignment="1">
      <alignment horizontal="center"/>
    </xf>
    <xf numFmtId="0" fontId="0" fillId="2" borderId="0" xfId="0" applyFont="1" applyFill="1" applyBorder="1"/>
    <xf numFmtId="0" fontId="0" fillId="4" borderId="0" xfId="0" applyFont="1" applyFill="1" applyBorder="1"/>
    <xf numFmtId="0" fontId="0" fillId="6" borderId="0" xfId="0" applyFont="1" applyFill="1" applyBorder="1"/>
    <xf numFmtId="0" fontId="0" fillId="5" borderId="0" xfId="0" applyFont="1" applyFill="1" applyBorder="1"/>
    <xf numFmtId="0" fontId="0" fillId="14" borderId="14" xfId="0" applyFont="1" applyFill="1" applyBorder="1"/>
    <xf numFmtId="0" fontId="0" fillId="14" borderId="14" xfId="0" applyFont="1" applyFill="1" applyBorder="1" applyAlignment="1">
      <alignment horizontal="center"/>
    </xf>
    <xf numFmtId="0" fontId="0" fillId="11" borderId="0" xfId="0" applyFont="1" applyFill="1" applyBorder="1" applyAlignment="1">
      <alignment horizontal="center"/>
    </xf>
    <xf numFmtId="166" fontId="0" fillId="14" borderId="8" xfId="0" applyNumberFormat="1" applyFont="1" applyFill="1" applyBorder="1" applyAlignment="1">
      <alignment horizontal="center"/>
    </xf>
    <xf numFmtId="20" fontId="0" fillId="14" borderId="0" xfId="0" applyNumberFormat="1" applyFont="1" applyFill="1" applyBorder="1" applyAlignment="1">
      <alignment horizontal="center"/>
    </xf>
    <xf numFmtId="46" fontId="0" fillId="14" borderId="8" xfId="0" applyNumberFormat="1" applyFont="1" applyFill="1" applyBorder="1" applyAlignment="1">
      <alignment horizontal="center"/>
    </xf>
    <xf numFmtId="22" fontId="0" fillId="14" borderId="8" xfId="0" applyNumberFormat="1" applyFont="1" applyFill="1" applyBorder="1" applyAlignment="1">
      <alignment horizontal="center"/>
    </xf>
    <xf numFmtId="22" fontId="0" fillId="0" borderId="8" xfId="0" applyNumberFormat="1" applyFont="1" applyBorder="1" applyAlignment="1">
      <alignment horizontal="center"/>
    </xf>
    <xf numFmtId="0" fontId="0" fillId="8" borderId="0" xfId="0" applyFont="1" applyFill="1"/>
    <xf numFmtId="0" fontId="0" fillId="9" borderId="0" xfId="0" applyFont="1" applyFill="1"/>
    <xf numFmtId="0" fontId="0" fillId="8" borderId="0" xfId="0" applyFont="1" applyFill="1" applyBorder="1"/>
    <xf numFmtId="0" fontId="0" fillId="14" borderId="16" xfId="0" applyFont="1" applyFill="1" applyBorder="1"/>
    <xf numFmtId="0" fontId="0" fillId="14" borderId="9" xfId="0" applyFont="1" applyFill="1" applyBorder="1"/>
    <xf numFmtId="0" fontId="0" fillId="14" borderId="10" xfId="0" applyFont="1" applyFill="1" applyBorder="1"/>
    <xf numFmtId="0" fontId="0" fillId="14" borderId="10" xfId="0" applyFont="1" applyFill="1" applyBorder="1" applyAlignment="1">
      <alignment horizontal="center"/>
    </xf>
    <xf numFmtId="0" fontId="0" fillId="14" borderId="22" xfId="0" applyFont="1" applyFill="1" applyBorder="1"/>
    <xf numFmtId="0" fontId="0" fillId="3" borderId="16" xfId="0" applyFont="1" applyFill="1" applyBorder="1"/>
    <xf numFmtId="0" fontId="0" fillId="2" borderId="16" xfId="0" applyFont="1" applyFill="1" applyBorder="1"/>
    <xf numFmtId="0" fontId="0" fillId="4" borderId="16" xfId="0" applyFont="1" applyFill="1" applyBorder="1"/>
    <xf numFmtId="0" fontId="0" fillId="6" borderId="16" xfId="0" applyFont="1" applyFill="1" applyBorder="1"/>
    <xf numFmtId="0" fontId="0" fillId="5" borderId="16" xfId="0" applyFont="1" applyFill="1" applyBorder="1"/>
    <xf numFmtId="0" fontId="0" fillId="11" borderId="9" xfId="0" applyFont="1" applyFill="1" applyBorder="1" applyAlignment="1">
      <alignment horizontal="center"/>
    </xf>
    <xf numFmtId="0" fontId="0" fillId="13" borderId="9" xfId="0" applyFont="1" applyFill="1" applyBorder="1" applyAlignment="1">
      <alignment horizontal="center"/>
    </xf>
    <xf numFmtId="0" fontId="0" fillId="7" borderId="16" xfId="0" applyFont="1" applyFill="1" applyBorder="1"/>
    <xf numFmtId="0" fontId="2" fillId="3" borderId="16" xfId="0" applyFont="1" applyFill="1" applyBorder="1"/>
    <xf numFmtId="0" fontId="0" fillId="14" borderId="23" xfId="0" applyFont="1" applyFill="1" applyBorder="1"/>
    <xf numFmtId="0" fontId="0" fillId="14" borderId="24" xfId="0" applyFont="1" applyFill="1" applyBorder="1"/>
    <xf numFmtId="0" fontId="0" fillId="14" borderId="24" xfId="0" applyFont="1" applyFill="1" applyBorder="1" applyAlignment="1">
      <alignment horizontal="center"/>
    </xf>
    <xf numFmtId="0" fontId="0" fillId="11" borderId="9" xfId="0" applyFont="1" applyFill="1" applyBorder="1"/>
    <xf numFmtId="0" fontId="0" fillId="11" borderId="10" xfId="0" applyFont="1" applyFill="1" applyBorder="1" applyAlignment="1">
      <alignment horizontal="center"/>
    </xf>
    <xf numFmtId="0" fontId="0" fillId="3" borderId="10" xfId="0" applyFont="1" applyFill="1" applyBorder="1"/>
    <xf numFmtId="166" fontId="0" fillId="14" borderId="22" xfId="0" applyNumberFormat="1" applyFont="1" applyFill="1" applyBorder="1" applyAlignment="1">
      <alignment horizontal="center"/>
    </xf>
    <xf numFmtId="0" fontId="0" fillId="14" borderId="16" xfId="0" applyFont="1" applyFill="1" applyBorder="1" applyAlignment="1">
      <alignment horizontal="center"/>
    </xf>
    <xf numFmtId="20" fontId="0" fillId="14" borderId="16" xfId="0" applyNumberFormat="1" applyFont="1" applyFill="1" applyBorder="1" applyAlignment="1">
      <alignment horizontal="center"/>
    </xf>
    <xf numFmtId="46" fontId="0" fillId="14" borderId="9" xfId="0" applyNumberFormat="1" applyFont="1" applyFill="1" applyBorder="1" applyAlignment="1">
      <alignment horizontal="center"/>
    </xf>
    <xf numFmtId="22" fontId="0" fillId="14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1" formatCode="[h]:mm:ss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h:mm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.0000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CC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CC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right style="medium">
          <color indexed="64"/>
        </right>
      </border>
    </dxf>
  </dxfs>
  <tableStyles count="0" defaultTableStyle="TableStyleMedium2" defaultPivotStyle="PivotStyleLight16"/>
  <colors>
    <mruColors>
      <color rgb="FFFF9900"/>
      <color rgb="FFCC99FF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Références!$B$1</c:f>
              <c:strCache>
                <c:ptCount val="1"/>
                <c:pt idx="0">
                  <c:v>following kts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1"/>
            <c:dispEq val="1"/>
            <c:trendlineLbl>
              <c:layout>
                <c:manualLayout>
                  <c:x val="1.9157042869641296E-2"/>
                  <c:y val="0.21384514435695537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Références!$A$2:$A$14</c:f>
              <c:numCache>
                <c:formatCode>General</c:formatCode>
                <c:ptCount val="13"/>
                <c:pt idx="0">
                  <c:v>0</c:v>
                </c:pt>
                <c:pt idx="1">
                  <c:v>2.5</c:v>
                </c:pt>
                <c:pt idx="2">
                  <c:v>5</c:v>
                </c:pt>
                <c:pt idx="3">
                  <c:v>7.5</c:v>
                </c:pt>
                <c:pt idx="4">
                  <c:v>10</c:v>
                </c:pt>
                <c:pt idx="5">
                  <c:v>12.5</c:v>
                </c:pt>
                <c:pt idx="6">
                  <c:v>15</c:v>
                </c:pt>
                <c:pt idx="7">
                  <c:v>17.5</c:v>
                </c:pt>
                <c:pt idx="8">
                  <c:v>20</c:v>
                </c:pt>
                <c:pt idx="9">
                  <c:v>22.5</c:v>
                </c:pt>
                <c:pt idx="10">
                  <c:v>25</c:v>
                </c:pt>
                <c:pt idx="11">
                  <c:v>27.5</c:v>
                </c:pt>
                <c:pt idx="12">
                  <c:v>30</c:v>
                </c:pt>
              </c:numCache>
            </c:numRef>
          </c:xVal>
          <c:yVal>
            <c:numRef>
              <c:f>Références!$B$2:$B$14</c:f>
              <c:numCache>
                <c:formatCode>General</c:formatCode>
                <c:ptCount val="13"/>
                <c:pt idx="0">
                  <c:v>15</c:v>
                </c:pt>
                <c:pt idx="1">
                  <c:v>15.9</c:v>
                </c:pt>
                <c:pt idx="2">
                  <c:v>16.100000000000001</c:v>
                </c:pt>
                <c:pt idx="3">
                  <c:v>15.8</c:v>
                </c:pt>
                <c:pt idx="4">
                  <c:v>15</c:v>
                </c:pt>
                <c:pt idx="5">
                  <c:v>14.6</c:v>
                </c:pt>
                <c:pt idx="6">
                  <c:v>13.8</c:v>
                </c:pt>
                <c:pt idx="7">
                  <c:v>12.9</c:v>
                </c:pt>
                <c:pt idx="8">
                  <c:v>12.1</c:v>
                </c:pt>
                <c:pt idx="9">
                  <c:v>11.3</c:v>
                </c:pt>
                <c:pt idx="10">
                  <c:v>10.7</c:v>
                </c:pt>
                <c:pt idx="11">
                  <c:v>10.1</c:v>
                </c:pt>
                <c:pt idx="12">
                  <c:v>9.5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254-443C-9DB4-6AEE3E70A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149120"/>
        <c:axId val="1517147872"/>
      </c:scatterChart>
      <c:valAx>
        <c:axId val="151714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147872"/>
        <c:crosses val="autoZero"/>
        <c:crossBetween val="midCat"/>
      </c:valAx>
      <c:valAx>
        <c:axId val="1517147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14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Références!$B$16</c:f>
              <c:strCache>
                <c:ptCount val="1"/>
                <c:pt idx="0">
                  <c:v>Beam kts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5"/>
            <c:dispRSqr val="1"/>
            <c:dispEq val="1"/>
            <c:trendlineLbl>
              <c:layout>
                <c:manualLayout>
                  <c:x val="7.2222222222222215E-2"/>
                  <c:y val="7.6667760279964914E-2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Références!$A$17:$A$29</c:f>
              <c:numCache>
                <c:formatCode>General</c:formatCode>
                <c:ptCount val="13"/>
                <c:pt idx="0">
                  <c:v>0</c:v>
                </c:pt>
                <c:pt idx="1">
                  <c:v>2.5</c:v>
                </c:pt>
                <c:pt idx="2">
                  <c:v>5</c:v>
                </c:pt>
                <c:pt idx="3">
                  <c:v>7.5</c:v>
                </c:pt>
                <c:pt idx="4">
                  <c:v>10</c:v>
                </c:pt>
                <c:pt idx="5">
                  <c:v>12.5</c:v>
                </c:pt>
                <c:pt idx="6">
                  <c:v>15</c:v>
                </c:pt>
                <c:pt idx="7">
                  <c:v>17.5</c:v>
                </c:pt>
                <c:pt idx="8">
                  <c:v>20</c:v>
                </c:pt>
                <c:pt idx="9">
                  <c:v>22.5</c:v>
                </c:pt>
                <c:pt idx="10">
                  <c:v>25</c:v>
                </c:pt>
                <c:pt idx="11">
                  <c:v>27.5</c:v>
                </c:pt>
                <c:pt idx="12">
                  <c:v>30</c:v>
                </c:pt>
              </c:numCache>
            </c:numRef>
          </c:xVal>
          <c:yVal>
            <c:numRef>
              <c:f>Références!$B$17:$B$29</c:f>
              <c:numCache>
                <c:formatCode>General</c:formatCode>
                <c:ptCount val="13"/>
                <c:pt idx="0">
                  <c:v>15</c:v>
                </c:pt>
                <c:pt idx="1">
                  <c:v>15.7</c:v>
                </c:pt>
                <c:pt idx="2">
                  <c:v>15.9</c:v>
                </c:pt>
                <c:pt idx="3">
                  <c:v>15.1</c:v>
                </c:pt>
                <c:pt idx="4">
                  <c:v>14.1</c:v>
                </c:pt>
                <c:pt idx="5">
                  <c:v>13.3</c:v>
                </c:pt>
                <c:pt idx="6">
                  <c:v>12.1</c:v>
                </c:pt>
                <c:pt idx="7">
                  <c:v>11</c:v>
                </c:pt>
                <c:pt idx="8">
                  <c:v>10</c:v>
                </c:pt>
                <c:pt idx="9">
                  <c:v>8.9</c:v>
                </c:pt>
                <c:pt idx="10">
                  <c:v>7.9</c:v>
                </c:pt>
                <c:pt idx="11">
                  <c:v>6.8</c:v>
                </c:pt>
                <c:pt idx="12">
                  <c:v>5.0999999999999996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84-4900-991E-0E335B6AD7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150784"/>
        <c:axId val="1517152032"/>
      </c:scatterChart>
      <c:valAx>
        <c:axId val="1517150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152032"/>
        <c:crosses val="autoZero"/>
        <c:crossBetween val="midCat"/>
      </c:valAx>
      <c:valAx>
        <c:axId val="1517152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150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Références!$B$31</c:f>
              <c:strCache>
                <c:ptCount val="1"/>
                <c:pt idx="0">
                  <c:v>Head kts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5"/>
            <c:dispRSqr val="1"/>
            <c:dispEq val="1"/>
            <c:trendlineLbl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Références!$A$32:$A$44</c:f>
              <c:numCache>
                <c:formatCode>General</c:formatCode>
                <c:ptCount val="13"/>
                <c:pt idx="0">
                  <c:v>0</c:v>
                </c:pt>
                <c:pt idx="1">
                  <c:v>2.5</c:v>
                </c:pt>
                <c:pt idx="2">
                  <c:v>5</c:v>
                </c:pt>
                <c:pt idx="3">
                  <c:v>7.5</c:v>
                </c:pt>
                <c:pt idx="4">
                  <c:v>10</c:v>
                </c:pt>
                <c:pt idx="5">
                  <c:v>12.5</c:v>
                </c:pt>
                <c:pt idx="6">
                  <c:v>15</c:v>
                </c:pt>
                <c:pt idx="7">
                  <c:v>17.5</c:v>
                </c:pt>
                <c:pt idx="8">
                  <c:v>20</c:v>
                </c:pt>
                <c:pt idx="9">
                  <c:v>22.5</c:v>
                </c:pt>
                <c:pt idx="10">
                  <c:v>25</c:v>
                </c:pt>
                <c:pt idx="11">
                  <c:v>27.5</c:v>
                </c:pt>
                <c:pt idx="12">
                  <c:v>30</c:v>
                </c:pt>
              </c:numCache>
            </c:numRef>
          </c:xVal>
          <c:yVal>
            <c:numRef>
              <c:f>Références!$B$32:$B$44</c:f>
              <c:numCache>
                <c:formatCode>General</c:formatCode>
                <c:ptCount val="13"/>
                <c:pt idx="0">
                  <c:v>15</c:v>
                </c:pt>
                <c:pt idx="1">
                  <c:v>15.3</c:v>
                </c:pt>
                <c:pt idx="2">
                  <c:v>14.8</c:v>
                </c:pt>
                <c:pt idx="3">
                  <c:v>13.8</c:v>
                </c:pt>
                <c:pt idx="4">
                  <c:v>12.8</c:v>
                </c:pt>
                <c:pt idx="5">
                  <c:v>10.9</c:v>
                </c:pt>
                <c:pt idx="6">
                  <c:v>8.9</c:v>
                </c:pt>
                <c:pt idx="7">
                  <c:v>7.7</c:v>
                </c:pt>
                <c:pt idx="8">
                  <c:v>6.1</c:v>
                </c:pt>
                <c:pt idx="9">
                  <c:v>4.9000000000000004</c:v>
                </c:pt>
                <c:pt idx="10">
                  <c:v>3.8</c:v>
                </c:pt>
                <c:pt idx="11">
                  <c:v>3</c:v>
                </c:pt>
                <c:pt idx="12">
                  <c:v>2.1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A7-4953-8CA2-7478F7B6B6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146624"/>
        <c:axId val="1517144544"/>
      </c:scatterChart>
      <c:valAx>
        <c:axId val="1517146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144544"/>
        <c:crosses val="autoZero"/>
        <c:crossBetween val="midCat"/>
      </c:valAx>
      <c:valAx>
        <c:axId val="151714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146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776287</xdr:colOff>
      <xdr:row>2</xdr:row>
      <xdr:rowOff>152400</xdr:rowOff>
    </xdr:from>
    <xdr:to>
      <xdr:col>9</xdr:col>
      <xdr:colOff>114300</xdr:colOff>
      <xdr:row>13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4763</xdr:colOff>
      <xdr:row>18</xdr:row>
      <xdr:rowOff>47625</xdr:rowOff>
    </xdr:from>
    <xdr:to>
      <xdr:col>9</xdr:col>
      <xdr:colOff>95251</xdr:colOff>
      <xdr:row>28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823913</xdr:colOff>
      <xdr:row>32</xdr:row>
      <xdr:rowOff>171450</xdr:rowOff>
    </xdr:from>
    <xdr:to>
      <xdr:col>9</xdr:col>
      <xdr:colOff>38101</xdr:colOff>
      <xdr:row>43</xdr:row>
      <xdr:rowOff>47625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96F2D7-8316-4827-90C2-70BE95750493}" name="Coordonnées" displayName="Coordonnées" ref="A3:BP36" totalsRowShown="0" headerRowDxfId="1" dataDxfId="2" tableBorderDxfId="70">
  <autoFilter ref="A3:BP36" xr:uid="{A496F2D7-8316-4827-90C2-70BE95750493}"/>
  <tableColumns count="68">
    <tableColumn id="1" xr3:uid="{F2A938D6-9A09-4985-8BD7-7AAA633FE47F}" name="No." dataDxfId="69"/>
    <tableColumn id="2" xr3:uid="{A1852F88-8B48-48C2-A04D-A7BF116A2C93}" name="Degrés" dataDxfId="68"/>
    <tableColumn id="3" xr3:uid="{74FD3144-8F30-4775-AEB9-77C893F01231}" name="Minutes" dataDxfId="67"/>
    <tableColumn id="4" xr3:uid="{00666742-8939-429F-ADF9-2731B03840B9}" name="N/S" dataDxfId="66"/>
    <tableColumn id="5" xr3:uid="{9FE86766-1898-4155-878C-5AFE2A1B0E3B}" name="Degrés2" dataDxfId="65"/>
    <tableColumn id="6" xr3:uid="{647037DB-837E-4E52-A237-604DCDFC44B4}" name="Minutes3" dataDxfId="64"/>
    <tableColumn id="7" xr3:uid="{6559CDE4-A8A3-4C98-A8DD-CB6FC7CAE90B}" name="W/E" dataDxfId="63"/>
    <tableColumn id="8" xr3:uid="{D8D4F235-C998-434F-BA14-43B8C23ABCCF}" name=" Lat. Deg." dataDxfId="62">
      <calculatedColumnFormula>(C4/60)+B4</calculatedColumnFormula>
    </tableColumn>
    <tableColumn id="9" xr3:uid="{70D89144-52C8-46E4-B8D2-6707B01EEB5A}" name=" Lat. Valeurs radiants " dataDxfId="61">
      <calculatedColumnFormula>RADIANS(H4)</calculatedColumnFormula>
    </tableColumn>
    <tableColumn id="10" xr3:uid="{ACD36AB0-F72E-4291-A384-6EE2FEDE1CB7}" name="Lat Radian signe" dataDxfId="60">
      <calculatedColumnFormula>IF(D4="S",I4,I4*-1)</calculatedColumnFormula>
    </tableColumn>
    <tableColumn id="11" xr3:uid="{CF57FA95-9E59-46B2-B11C-A3FFA23DFECB}" name="Lg Deg." dataDxfId="59">
      <calculatedColumnFormula>(F4/60)+E4</calculatedColumnFormula>
    </tableColumn>
    <tableColumn id="12" xr3:uid="{BBF86036-09F9-4DA4-B098-8234EAF25255}" name="Lg Valeurs radiant " dataDxfId="58">
      <calculatedColumnFormula>RADIANS(K4)</calculatedColumnFormula>
    </tableColumn>
    <tableColumn id="13" xr3:uid="{749C06B7-1E73-4B17-8D60-CBE703ABB36D}" name="MP" dataDxfId="57">
      <calculatedColumnFormula>7915.704468*LOG((TAN((RADIANS(45)+(I4/2)))))-23.268932*SIN(I4)-0.0525*(SIN(I4)^3)*(SIN(I4)^5)</calculatedColumnFormula>
    </tableColumn>
    <tableColumn id="14" xr3:uid="{17CF190D-02AA-48C1-ABFC-B1387C45E296}" name="DMP" dataDxfId="0">
      <calculatedColumnFormula array="1">_xlfn.IFS(D4&lt;&gt;OFFSET(D4,1,),M4+OFFSET(M4,1,),OFFSET(M4,1,)-M4&lt;0,(OFFSET(M4,1,)-M4)*-1,OFFSET(M4,1,)-M4&gt;0,OFFSET(M4,1,)-M4)</calculatedColumnFormula>
    </tableColumn>
    <tableColumn id="15" xr3:uid="{150B192B-B899-4549-A8A9-1724B425647A}" name="D.Lat (min)" dataDxfId="56">
      <calculatedColumnFormula>(DEGREES(IF(D4=D5,I5-I4,I4+I5)))*60</calculatedColumnFormula>
    </tableColumn>
    <tableColumn id="16" xr3:uid="{4B2CE8B0-F328-4BEE-9F09-81F898A9F226}" name="D.Lat S Corr" dataDxfId="55">
      <calculatedColumnFormula>_xlfn.IFS(AND(D5="N",D4&lt;&gt;D5,O4&gt;0),O4*-1,AND(D5="N",D4=D5,O4&lt;0),O4*-1,AND(D5="S",D4=D5,O4&gt;0),O4,AND(D5="S",D4&lt;&gt;D5,O4&lt;0),O4,AND(D5="N",D5&lt;&gt;D4,O4&lt;0),O4*-1,AND(D5="N",D5=D4,O4&lt;0),O4*-1,AND(D5="S",D4=D5,O4&lt;0),O4,AND(D5="N",D5=D4,O4&gt;0),O4*-1)</calculatedColumnFormula>
    </tableColumn>
    <tableColumn id="17" xr3:uid="{CBE756AC-18C0-4822-AEA8-70379D64E5EB}" name="D.Long (min)" dataDxfId="54">
      <calculatedColumnFormula>(DEGREES(_xlfn.IFS(G4=G5,L5-L4,(L4+L5)&gt;(RADIANS(180)),RADIANS(360)-(L4+L5),G4&lt;&gt;G5,L4+L5)))*60</calculatedColumnFormula>
    </tableColumn>
    <tableColumn id="18" xr3:uid="{6C5AE02A-A3C1-4369-B26C-2E184D4FE884}" name="D.long S corr" dataDxfId="53">
      <calculatedColumnFormula array="1">_xlfn.IFS(AND(G5="E",G5&lt;&gt;G4,L4+L5&gt;(RADIANS(180)),Q4&lt;0),Q4*-1,AND(G5="W",G5&lt;&gt;G4,L5+L4&gt;(RADIANS(180)),Q4&lt;0),Q4,AND(G5="E",G5&lt;&gt;G4,L5+L4&gt;(RADIANS(180)),Q4&gt;0),Q4,AND(G5="W",G5&lt;&gt;G4,L5+L4&gt;(RADIANS(180)),Q4&gt;0),Q4*-1,AND(G5="W",G5=G4,Q4&lt;0),Q4,AND(G5="W",G5=G4,Q4&gt;0),Q4,AND(G5="E",G5=G4,Q4&lt;0),Q4*-1,AND(G5="E",G5=G4,Q4&gt;0),Q4*-1,AND(G5="E",G5&lt;&gt;G4,Q4&gt;0),Q4*-1,AND(G5="E",G5&lt;&gt;G4,Q4&lt;0),Q4,AND(G5="W",G5&lt;&gt;G4,Q4&gt;0),Q4,AND(G5="W",G5&lt;&gt;G4,Q4&lt;0),Q4*-1)</calculatedColumnFormula>
    </tableColumn>
    <tableColumn id="19" xr3:uid="{E52AA5EF-6C63-450B-9D14-E52DD3163A18}" name="D.Lat" dataDxfId="52">
      <calculatedColumnFormula>IF(O4&lt;0,-1*O4,O4)</calculatedColumnFormula>
    </tableColumn>
    <tableColumn id="20" xr3:uid="{9113DA5E-FA78-45B4-9A90-0C7A01745182}" name="D.Long" dataDxfId="51">
      <calculatedColumnFormula>IF(Q4&lt;0,-1*Q4,Q4)</calculatedColumnFormula>
    </tableColumn>
    <tableColumn id="21" xr3:uid="{BB670443-5B55-45C5-B421-206055E5CA98}" name="R (Mercator)" dataDxfId="50">
      <calculatedColumnFormula>DEGREES(ATAN(T4/N4))</calculatedColumnFormula>
    </tableColumn>
    <tableColumn id="22" xr3:uid="{EF47DC26-4929-4ECC-96B4-0DD1D1454677}" name="R Merc. Cap." dataDxfId="49">
      <calculatedColumnFormula>_xlfn.IFS(AND(P4&gt;0,R4&gt;0),180+U4,AND(P4&lt;0,R4&gt;0),360-U4,AND(P4&gt;0,R4&lt;0),180-U4,AND(P4&lt;0,R4&lt;0),U4)</calculatedColumnFormula>
    </tableColumn>
    <tableColumn id="23" xr3:uid="{5499A6D4-96B6-4A7D-8E2A-2868B6BE763E}" name="M (Mercator)" dataDxfId="48">
      <calculatedColumnFormula>(S4/(COS(RADIANS(U4))))</calculatedColumnFormula>
    </tableColumn>
    <tableColumn id="24" xr3:uid="{002C64CC-D322-4ECC-8AD4-32A679DFA075}" name="Lat moy. (deg.)" dataDxfId="47">
      <calculatedColumnFormula>AVERAGE(H4,H5)</calculatedColumnFormula>
    </tableColumn>
    <tableColumn id="25" xr3:uid="{79508D9B-D07E-4922-A96F-ACDBFA4AD3CC}" name="DEP" dataDxfId="46">
      <calculatedColumnFormula>(T4*(COS(RADIANS(X4))))</calculatedColumnFormula>
    </tableColumn>
    <tableColumn id="26" xr3:uid="{2D139962-E2F6-4E21-AE79-F66D96287010}" name="R (plane)" dataDxfId="45">
      <calculatedColumnFormula>DEGREES(ATAN(Y4/S4))</calculatedColumnFormula>
    </tableColumn>
    <tableColumn id="27" xr3:uid="{49BED169-A5F2-45D1-A0F6-5DE00F3A5FF8}" name="R plane Cap." dataDxfId="44">
      <calculatedColumnFormula>_xlfn.IFS(AND(P4&gt;0,R4&gt;0),180+Z4,AND(P4&lt;0,R4&gt;0),360-Z4,AND(P4&gt;0,R4&lt;0),180-Z4,AND(P4&lt;0,R4&lt;0),Z4)</calculatedColumnFormula>
    </tableColumn>
    <tableColumn id="28" xr3:uid="{74DF149C-6D03-4DE0-A3B0-C25B513D468E}" name="M Plane " dataDxfId="43">
      <calculatedColumnFormula>(S4/(COS(RADIANS(Z4))))</calculatedColumnFormula>
    </tableColumn>
    <tableColumn id="29" xr3:uid="{CC9C54F8-9805-426E-AC18-62263912FD37}" name="Ro" dataDxfId="42">
      <calculatedColumnFormula>DEGREES(ACOS(((SIN(J5)-(SIN(J4))*(COS(RADIANS(AE4/60))))/(COS(J4)*SIN(RADIANS(AE4/60))))))</calculatedColumnFormula>
    </tableColumn>
    <tableColumn id="30" xr3:uid="{EDAFFAB7-2C7F-4547-87AB-EC6623070CB3}" name="Ro Cap" dataDxfId="41">
      <calculatedColumnFormula>_xlfn.IFS(AND(P4&gt;0,R4&lt;0),180-AC4,AND(P4&gt;0,R4&gt;0),180+AC4,AND(P4&lt;0,R4&gt;0),180+AC4,AND(P4&lt;0,R4&lt;0),180-AC4)</calculatedColumnFormula>
    </tableColumn>
    <tableColumn id="31" xr3:uid="{2E434811-29C5-4DD8-B997-5094B400236F}" name="Mo" dataDxfId="40">
      <calculatedColumnFormula>(DEGREES(ACOS((SIN(J4)*SIN(J5)+(COS(J4)*COS(J5)*COS(RADIANS(T4/60)))))))*60</calculatedColumnFormula>
    </tableColumn>
    <tableColumn id="32" xr3:uid="{CC784DD6-C874-4849-A790-2310224A75F7}" name="Type of sailing" dataDxfId="39"/>
    <tableColumn id="33" xr3:uid="{2DF7AE08-2120-4590-86DC-31B9145A5E6D}" name="Cap" dataDxfId="38">
      <calculatedColumnFormula array="1">_xlfn.IFS(AH4=W4,V4,AH4=AB4,AA4,AH4=AE4,AD4)</calculatedColumnFormula>
    </tableColumn>
    <tableColumn id="34" xr3:uid="{5A2A6B42-2845-453F-99C1-E1290CBA8839}" name="Distance " dataDxfId="37">
      <calculatedColumnFormula>_xlfn.IFS(AND(AF4="loxo",W4&lt;600),AB4,AND(AF4="loxo",W4&gt;600),W4,AND(B4&gt;60,AF4="loxo"),W4,AF4="ortho",AE4)</calculatedColumnFormula>
    </tableColumn>
    <tableColumn id="35" xr3:uid="{DA7633D6-E3CA-4008-A793-6C94B9CB0778}" name="angle " dataDxfId="36">
      <calculatedColumnFormula>_xlfn.IFS(AND(AF4="loxo",W4&gt;600),V4+BE4,AF4="ortho",AD4+BE4,AND(AF4="loxo",W4&lt;600),AA4+BE4)</calculatedColumnFormula>
    </tableColumn>
    <tableColumn id="36" xr3:uid="{ACCB48C8-66F7-469C-9196-5A9CD7CC9B5F}" name="Cap courant" dataDxfId="35">
      <calculatedColumnFormula>_xlfn.IFS(AI4&gt;360,AI4-360,AI4&lt;360,AI4)</calculatedColumnFormula>
    </tableColumn>
    <tableColumn id="37" xr3:uid="{DA37D8EF-3845-48C4-8F3B-5917D16A5D0D}" name="Angle courant" dataDxfId="34">
      <calculatedColumnFormula>_xlfn.IFS(AJ4&gt;270,AJ4-270,AJ4&lt;90,90-AJ4,AJ4&lt;180,AJ4-90,AJ4&gt;180,270-AJ4)</calculatedColumnFormula>
    </tableColumn>
    <tableColumn id="38" xr3:uid="{B0CED553-9414-4B3D-9987-41A3262BD0A7}" name="x eau og." dataDxfId="33">
      <calculatedColumnFormula>_xlfn.IFS(AND(AF4="loxo",W4&gt;600),(SIN(RADIANS(U4))*BC4),AF4="ortho",(SIN(RADIANS(AC4))*BC4),AND(AF4="loxo",W4&lt;600),(SIN(RADIANS(Z4))*BC4))</calculatedColumnFormula>
    </tableColumn>
    <tableColumn id="39" xr3:uid="{0A9F6E64-4476-4227-8E95-4FC6752380E8}" name="y eau og" dataDxfId="32">
      <calculatedColumnFormula>_xlfn.IFS(AND(AF4="loxo",W4&gt;600),SQRT((BC4^2)-((SIN(RADIANS(U4))*BC4)^2)),AF4="ortho",SQRT((BC4^2)-((SIN(RADIANS(AC4))*BC4)^2)),AND(AF4="loxo",W4&lt;600),SQRT((BC4^2)-((SIN(RADIANS(Z4))*BC4)^2)))</calculatedColumnFormula>
    </tableColumn>
    <tableColumn id="40" xr3:uid="{C56DCF6A-ABFF-49FE-BA4E-7DA60E7E729B}" name="y derive og" dataDxfId="31">
      <calculatedColumnFormula>(SIN(RADIANS(AK4))*BF4)</calculatedColumnFormula>
    </tableColumn>
    <tableColumn id="41" xr3:uid="{E9265568-40F6-40E0-B04E-5DD7228BC1C8}" name="x derive og" dataDxfId="30">
      <calculatedColumnFormula>SQRT((BF4^2)-((SIN(RADIANS(AK4))*BF4)^2))</calculatedColumnFormula>
    </tableColumn>
    <tableColumn id="42" xr3:uid="{1A4C832F-82B4-41CD-B414-8A2E565B0EAD}" name="Choix" dataDxfId="29">
      <calculatedColumnFormula>_xlfn.IFS(AND(AF4="loxo",W4&lt;600),AA4,AND(AF4="loxo",W4&gt;600),V4,AND(B4&gt;60,AF4="loxo"),V4,AF4="ortho",AD4)</calculatedColumnFormula>
    </tableColumn>
    <tableColumn id="43" xr3:uid="{A82B5EA8-FB1D-4241-BC99-AEFA1B5DDDCB}" name="y'' Route eau" dataDxfId="28">
      <calculatedColumnFormula>_xlfn.IFS(AP4&gt;270,AM4,AP4&lt;90,AM4,AP4&lt;270,AM4*-1,AP4&gt;90,AM4*-1)</calculatedColumnFormula>
    </tableColumn>
    <tableColumn id="44" xr3:uid="{B9707618-B14D-41E8-A392-018B0EB4E07E}" name="y' derive" dataDxfId="27">
      <calculatedColumnFormula>_xlfn.IFS(AJ4&gt;270,AN4,AJ4&lt;90,AN4,AJ4&lt;270,AN4*-1,AJ4&gt;90,AN4*-1)</calculatedColumnFormula>
    </tableColumn>
    <tableColumn id="45" xr3:uid="{49271676-D2BA-400D-8726-7C07BCF190E1}" name="x'' route eau" dataDxfId="26">
      <calculatedColumnFormula>_xlfn.IFS(AND(AP4&gt;180,AP4&lt;360),AL4*-1,AND(AP4&lt;180,AP4&gt;0),AL4)</calculatedColumnFormula>
    </tableColumn>
    <tableColumn id="46" xr3:uid="{5447F857-8D26-4F58-908C-B8339D5E17A1}" name="x' derive" dataDxfId="25">
      <calculatedColumnFormula>_xlfn.IFS(AJ4&gt;180,AO4*-1,AJ4&lt;180,AO4,AJ4=0,AO4,AJ4=360,AO4)</calculatedColumnFormula>
    </tableColumn>
    <tableColumn id="47" xr3:uid="{BDC65AE7-B28E-41D4-95C7-2329AA26DF4D}" name="y total" dataDxfId="24">
      <calculatedColumnFormula>(AQ4+AR4)</calculatedColumnFormula>
    </tableColumn>
    <tableColumn id="48" xr3:uid="{AF3264DE-ACB6-4358-A294-436BCEFACDC5}" name="x total" dataDxfId="23">
      <calculatedColumnFormula>(AS4+AT4)</calculatedColumnFormula>
    </tableColumn>
    <tableColumn id="49" xr3:uid="{068EA6FE-7FD2-49B7-AE76-8EA38C9EC27A}" name="angle" dataDxfId="22">
      <calculatedColumnFormula>DEGREES(ATAN(AV4/AU4))</calculatedColumnFormula>
    </tableColumn>
    <tableColumn id="50" xr3:uid="{F6C3DB6B-EA8A-4E32-8C04-C54FCDC6FC2D}" name="angle vecteur" dataDxfId="21">
      <calculatedColumnFormula>_xlfn.IFS((DEGREES(ATAN(AV4/AU4)))&lt;0,(DEGREES(ATAN(AV4/AU4)))*-1,DEGREES(ATAN(AV4/AU4))&gt;0,(DEGREES(ATAN(AV4/AU4))))</calculatedColumnFormula>
    </tableColumn>
    <tableColumn id="51" xr3:uid="{DFA75967-2696-43A4-AB0C-A040410C2284}" name="difference" dataDxfId="20">
      <calculatedColumnFormula>_xlfn.IFS(AND(AF4="loxo",W4&lt;600),BH4-AA4,AND(AF4="loxo",W4&gt;600),BH4-V4,AND(B4&gt;60,AF4="loxo"),BH4-V4,AF4="ortho",BH4-AD4)</calculatedColumnFormula>
    </tableColumn>
    <tableColumn id="52" xr3:uid="{9B3FFD51-946D-47A3-9367-6707A5C7EADA}" name="Beaufort" dataDxfId="19"/>
    <tableColumn id="53" xr3:uid="{8BEBC6B9-05EC-40A8-96FA-FDC2EAFE4540}" name="Ft" dataDxfId="18">
      <calculatedColumnFormula>_xlfn.IFS(AZ4=1,Références!$B$80,AZ4=2,Références!$B$81,AZ4=3,Références!$B$82,AZ4=4,Références!$B$83,AZ4=5,Références!$B$84,AZ4=6,Références!$B$85,AZ4=7,Références!$B$86,AZ4=8,Références!$B$87,AZ4=9,Références!$B$88,AZ4=10,Références!$B$89,AZ4=11,Références!$B$90,AZ4=12,Références!$B$91)</calculatedColumnFormula>
    </tableColumn>
    <tableColumn id="54" xr3:uid="{F752C90C-9A06-416C-B9D7-17ADC785D9A5}" name="direction" dataDxfId="17"/>
    <tableColumn id="55" xr3:uid="{E1D6C5E9-EA8E-46A2-BED5-7E8603402508}" name="Vitesse optimale" dataDxfId="16">
      <calculatedColumnFormula array="1">_xlfn.IFS(BB4="Beam", -0.0000000868778*BA4^5-0.0000459619*BA4^4+0.00347366*BA4^3-0.0884721*BA4^2+0.510463*BA4+14.9932,BB4="Following",0.000652681*BA4^3-0.0356523*BA4^2+0.29714*BA4+15.2038,BB4="Head",-0.00000154449*BA4^5+0.0000797696*BA4^4+0.000148965*BA4^3-0.0570448*BA4^2+0.244115*BA4+15.0029)</calculatedColumnFormula>
    </tableColumn>
    <tableColumn id="56" xr3:uid="{490868B8-1046-4FE4-9B1F-337DE82357C3}" name="V. Manuelle" dataDxfId="15"/>
    <tableColumn id="57" xr3:uid="{A1D360FF-69F5-42AF-8005-9D1EDFE2FECC}" name="gisement" dataDxfId="14"/>
    <tableColumn id="58" xr3:uid="{52761803-9253-4D73-A9DF-5FAE7C0805E5}" name="vitesse" dataDxfId="13"/>
    <tableColumn id="59" xr3:uid="{19A75005-E2B4-4746-82A9-582978F1C14B}" name="V. fond" dataDxfId="12">
      <calculatedColumnFormula>IF(BD4=0,SQRT((AU4^2)+(AV4^2)),SQRT((AU4^2)+(AV4^2)))</calculatedColumnFormula>
    </tableColumn>
    <tableColumn id="60" xr3:uid="{A2463F11-4E50-439A-A59E-D5B70193E1C9}" name="route fond" dataDxfId="11">
      <calculatedColumnFormula>_xlfn.IFS(AND(AV4&gt;0,AU4&gt;0),AX4,AND(AV4&lt;0,AU4&gt;0),360-AX4,AND(AV4&gt;0,AU4&lt;0),180-AX4,AND(AV4&lt;0,AU4&lt;0),180+AX4)</calculatedColumnFormula>
    </tableColumn>
    <tableColumn id="61" xr3:uid="{D40EB8DC-DD16-479F-874A-CB582DA89CE5}" name="ordre de barre " dataDxfId="10">
      <calculatedColumnFormula>(AP4-AY4)</calculatedColumnFormula>
    </tableColumn>
    <tableColumn id="62" xr3:uid="{87C29D24-B81B-4DDF-982E-C77DCA9CFB61}" name="attente (min)" dataDxfId="9"/>
    <tableColumn id="63" xr3:uid="{1458C753-FE56-4EBF-A786-BF7F75FD6AC5}" name="Temps" dataDxfId="8">
      <calculatedColumnFormula>IF(BJ4=0,(AH4/BG4)*60,((AH4/BG4)*60)+BJ4)</calculatedColumnFormula>
    </tableColumn>
    <tableColumn id="64" xr3:uid="{E87B0040-4DEE-4798-AD9C-0E524589E4D1}" name="ZD" dataDxfId="7">
      <calculatedColumnFormula>IF(G4="W",(ROUND((E4/15),0))*-1,(ROUND((E4/15),0)))</calculatedColumnFormula>
    </tableColumn>
    <tableColumn id="65" xr3:uid="{1168ED54-559B-421B-95CA-5BA1DD814AE8}" name="ZD'" dataDxfId="6">
      <calculatedColumnFormula>IF(BL4&lt;0,((BL4*-1)/24),BL4/24)</calculatedColumnFormula>
    </tableColumn>
    <tableColumn id="66" xr3:uid="{78134270-1864-4989-8406-EF1D0E83FEEF}" name="Temps4" dataDxfId="5">
      <calculatedColumnFormula>IF(BJ4=0,BK4/(60*24),(BK4/(60*24))+(BJ4/(60*24)))</calculatedColumnFormula>
    </tableColumn>
    <tableColumn id="67" xr3:uid="{650ACA2C-B81B-42BC-BF3C-728D3C71C2D7}" name="Colonne5" dataDxfId="4">
      <calculatedColumnFormula>BO3+BN3</calculatedColumnFormula>
    </tableColumn>
    <tableColumn id="68" xr3:uid="{2C3EB200-71E5-4CC4-8367-1B5B7614B777}" name=" ETA (GMT)" dataDxfId="3">
      <calculatedColumnFormula>BP3+BN3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P57"/>
  <sheetViews>
    <sheetView tabSelected="1" topLeftCell="A2" zoomScaleNormal="100" workbookViewId="0">
      <selection activeCell="N4" sqref="N4"/>
    </sheetView>
  </sheetViews>
  <sheetFormatPr baseColWidth="10" defaultRowHeight="15" outlineLevelRow="1" outlineLevelCol="2" x14ac:dyDescent="0.25"/>
  <cols>
    <col min="1" max="1" width="12.5703125" customWidth="1"/>
    <col min="2" max="4" width="15.85546875" customWidth="1"/>
    <col min="5" max="5" width="15" customWidth="1"/>
    <col min="6" max="6" width="15.42578125" bestFit="1" customWidth="1"/>
    <col min="7" max="7" width="15" customWidth="1"/>
    <col min="8" max="9" width="13" customWidth="1" outlineLevel="1"/>
    <col min="10" max="10" width="13.85546875" customWidth="1" outlineLevel="1"/>
    <col min="11" max="11" width="13.42578125" customWidth="1" outlineLevel="1"/>
    <col min="12" max="16" width="13.85546875" customWidth="1" outlineLevel="1"/>
    <col min="17" max="17" width="13.85546875" customWidth="1" outlineLevel="1" collapsed="1"/>
    <col min="18" max="19" width="13.85546875" customWidth="1" outlineLevel="1"/>
    <col min="20" max="20" width="14.28515625" customWidth="1" outlineLevel="1"/>
    <col min="21" max="21" width="13.85546875" customWidth="1" outlineLevel="1"/>
    <col min="22" max="23" width="16.42578125" customWidth="1" outlineLevel="1"/>
    <col min="24" max="26" width="11.42578125" hidden="1" customWidth="1" outlineLevel="2"/>
    <col min="27" max="27" width="16.42578125" customWidth="1" outlineLevel="1" collapsed="1"/>
    <col min="28" max="30" width="16.42578125" customWidth="1" outlineLevel="1"/>
    <col min="31" max="31" width="16" customWidth="1" outlineLevel="1"/>
    <col min="32" max="32" width="15.85546875" customWidth="1"/>
    <col min="33" max="33" width="31.5703125" bestFit="1" customWidth="1"/>
    <col min="34" max="34" width="14.28515625" customWidth="1"/>
    <col min="35" max="40" width="14.28515625" hidden="1" customWidth="1" outlineLevel="1"/>
    <col min="41" max="41" width="13.85546875" hidden="1" customWidth="1" outlineLevel="1"/>
    <col min="42" max="49" width="14.28515625" hidden="1" customWidth="1" outlineLevel="1"/>
    <col min="50" max="50" width="14.28515625" hidden="1" customWidth="1" outlineLevel="1" collapsed="1"/>
    <col min="51" max="51" width="13.85546875" hidden="1" customWidth="1" outlineLevel="1"/>
    <col min="52" max="52" width="16.42578125" customWidth="1" collapsed="1"/>
    <col min="53" max="53" width="16.42578125" hidden="1" customWidth="1" outlineLevel="1"/>
    <col min="54" max="54" width="16.42578125" customWidth="1" collapsed="1"/>
    <col min="55" max="55" width="18.140625" customWidth="1"/>
    <col min="56" max="56" width="14.28515625" customWidth="1"/>
    <col min="57" max="60" width="16.42578125" customWidth="1"/>
    <col min="61" max="61" width="16.28515625" customWidth="1"/>
    <col min="62" max="62" width="16.42578125" customWidth="1"/>
    <col min="63" max="65" width="16.42578125" customWidth="1" outlineLevel="1"/>
    <col min="66" max="66" width="17.140625" customWidth="1"/>
    <col min="67" max="67" width="18" hidden="1" customWidth="1" outlineLevel="2"/>
    <col min="68" max="68" width="19.85546875" customWidth="1" collapsed="1"/>
    <col min="69" max="69" width="17.42578125" customWidth="1"/>
    <col min="70" max="70" width="16.7109375" customWidth="1"/>
    <col min="71" max="71" width="16.85546875" customWidth="1"/>
    <col min="72" max="72" width="19" customWidth="1"/>
  </cols>
  <sheetData>
    <row r="1" spans="1:72" ht="16.5" hidden="1" outlineLevel="1" thickBot="1" x14ac:dyDescent="0.3">
      <c r="A1" s="4" t="s">
        <v>133</v>
      </c>
      <c r="B1" s="29" t="s">
        <v>134</v>
      </c>
      <c r="C1" s="30" t="s">
        <v>135</v>
      </c>
      <c r="D1" s="30" t="s">
        <v>136</v>
      </c>
      <c r="E1" s="31" t="s">
        <v>137</v>
      </c>
      <c r="F1" s="32" t="s">
        <v>138</v>
      </c>
      <c r="G1" s="32" t="s">
        <v>139</v>
      </c>
      <c r="H1" s="53" t="s">
        <v>140</v>
      </c>
      <c r="I1" s="4" t="s">
        <v>141</v>
      </c>
      <c r="J1" s="4" t="s">
        <v>142</v>
      </c>
      <c r="K1" s="4" t="s">
        <v>143</v>
      </c>
      <c r="L1" s="4" t="s">
        <v>144</v>
      </c>
      <c r="M1" s="4" t="s">
        <v>145</v>
      </c>
      <c r="N1" s="4" t="s">
        <v>146</v>
      </c>
      <c r="O1" s="4" t="s">
        <v>147</v>
      </c>
      <c r="P1" s="4" t="s">
        <v>148</v>
      </c>
      <c r="Q1" s="4" t="s">
        <v>149</v>
      </c>
      <c r="R1" s="4" t="s">
        <v>150</v>
      </c>
      <c r="S1" s="4" t="s">
        <v>151</v>
      </c>
      <c r="T1" s="4" t="s">
        <v>152</v>
      </c>
      <c r="U1" s="4" t="s">
        <v>153</v>
      </c>
      <c r="V1" s="3" t="s">
        <v>154</v>
      </c>
      <c r="W1" s="3" t="s">
        <v>155</v>
      </c>
      <c r="X1" s="4" t="s">
        <v>156</v>
      </c>
      <c r="Y1" s="4" t="s">
        <v>157</v>
      </c>
      <c r="Z1" s="4" t="s">
        <v>158</v>
      </c>
      <c r="AA1" s="3" t="s">
        <v>159</v>
      </c>
      <c r="AB1" s="3" t="s">
        <v>160</v>
      </c>
      <c r="AC1" s="3" t="s">
        <v>161</v>
      </c>
      <c r="AD1" s="3" t="s">
        <v>162</v>
      </c>
      <c r="AE1" s="3" t="s">
        <v>163</v>
      </c>
      <c r="AF1" s="4" t="s">
        <v>164</v>
      </c>
      <c r="AG1" s="4" t="s">
        <v>165</v>
      </c>
      <c r="AH1" s="4" t="s">
        <v>166</v>
      </c>
      <c r="AI1" s="4" t="s">
        <v>167</v>
      </c>
      <c r="AJ1" s="4" t="s">
        <v>168</v>
      </c>
      <c r="AK1" s="4" t="s">
        <v>169</v>
      </c>
      <c r="AL1" s="4" t="s">
        <v>170</v>
      </c>
      <c r="AM1" s="4" t="s">
        <v>171</v>
      </c>
      <c r="AN1" s="4" t="s">
        <v>172</v>
      </c>
      <c r="AO1" s="4" t="s">
        <v>173</v>
      </c>
      <c r="AP1" s="4" t="s">
        <v>174</v>
      </c>
      <c r="AQ1" s="4" t="s">
        <v>175</v>
      </c>
      <c r="AR1" s="4" t="s">
        <v>176</v>
      </c>
      <c r="AS1" s="4" t="s">
        <v>177</v>
      </c>
      <c r="AT1" s="4" t="s">
        <v>178</v>
      </c>
      <c r="AU1" s="4" t="s">
        <v>179</v>
      </c>
      <c r="AV1" s="4" t="s">
        <v>180</v>
      </c>
      <c r="AW1" s="4" t="s">
        <v>181</v>
      </c>
      <c r="AX1" s="4" t="s">
        <v>182</v>
      </c>
      <c r="AY1" s="4" t="s">
        <v>183</v>
      </c>
      <c r="AZ1" s="31" t="s">
        <v>184</v>
      </c>
      <c r="BA1" s="32" t="s">
        <v>185</v>
      </c>
      <c r="BB1" s="32" t="s">
        <v>186</v>
      </c>
      <c r="BC1" s="32" t="s">
        <v>187</v>
      </c>
      <c r="BD1" s="53" t="s">
        <v>188</v>
      </c>
      <c r="BE1" s="31" t="s">
        <v>189</v>
      </c>
      <c r="BF1" s="32" t="s">
        <v>190</v>
      </c>
      <c r="BG1" s="32" t="s">
        <v>191</v>
      </c>
      <c r="BH1" s="32" t="s">
        <v>192</v>
      </c>
      <c r="BI1" s="32" t="s">
        <v>193</v>
      </c>
      <c r="BJ1" s="31" t="s">
        <v>194</v>
      </c>
      <c r="BK1" s="32" t="s">
        <v>195</v>
      </c>
      <c r="BL1" s="32" t="s">
        <v>196</v>
      </c>
      <c r="BM1" s="32" t="s">
        <v>197</v>
      </c>
      <c r="BN1" s="32" t="s">
        <v>198</v>
      </c>
      <c r="BO1" s="32" t="s">
        <v>199</v>
      </c>
      <c r="BP1" s="33" t="s">
        <v>200</v>
      </c>
    </row>
    <row r="2" spans="1:72" ht="16.5" collapsed="1" thickBot="1" x14ac:dyDescent="0.3">
      <c r="A2" s="50"/>
      <c r="B2" s="54"/>
      <c r="C2" s="30" t="s">
        <v>25</v>
      </c>
      <c r="D2" s="30"/>
      <c r="E2" s="54"/>
      <c r="F2" s="32" t="s">
        <v>26</v>
      </c>
      <c r="G2" s="32"/>
      <c r="H2" s="55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6" t="s">
        <v>51</v>
      </c>
      <c r="W2" s="56"/>
      <c r="X2" s="50"/>
      <c r="Y2" s="50"/>
      <c r="Z2" s="50"/>
      <c r="AA2" s="56" t="s">
        <v>52</v>
      </c>
      <c r="AB2" s="56"/>
      <c r="AC2" s="56" t="s">
        <v>57</v>
      </c>
      <c r="AD2" s="56"/>
      <c r="AE2" s="56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4"/>
      <c r="BA2" s="32"/>
      <c r="BB2" s="32" t="s">
        <v>117</v>
      </c>
      <c r="BC2" s="32"/>
      <c r="BD2" s="55"/>
      <c r="BE2" s="57"/>
      <c r="BF2" s="32"/>
      <c r="BG2" s="32" t="s">
        <v>114</v>
      </c>
      <c r="BH2" s="32"/>
      <c r="BI2" s="32"/>
      <c r="BJ2" s="54"/>
      <c r="BK2" s="32"/>
      <c r="BL2" s="32"/>
      <c r="BM2" s="32"/>
      <c r="BN2" s="32" t="s">
        <v>120</v>
      </c>
      <c r="BO2" s="32"/>
      <c r="BP2" s="33"/>
      <c r="BQ2" s="11"/>
      <c r="BR2" s="11"/>
      <c r="BS2" s="3"/>
      <c r="BT2" s="3"/>
    </row>
    <row r="3" spans="1:72" ht="14.25" customHeight="1" thickBot="1" x14ac:dyDescent="0.3">
      <c r="A3" s="58" t="s">
        <v>17</v>
      </c>
      <c r="B3" s="59" t="s">
        <v>13</v>
      </c>
      <c r="C3" s="60" t="s">
        <v>14</v>
      </c>
      <c r="D3" s="59" t="s">
        <v>12</v>
      </c>
      <c r="E3" s="59" t="s">
        <v>201</v>
      </c>
      <c r="F3" s="60" t="s">
        <v>202</v>
      </c>
      <c r="G3" s="59" t="s">
        <v>15</v>
      </c>
      <c r="H3" s="27" t="s">
        <v>21</v>
      </c>
      <c r="I3" s="27" t="s">
        <v>22</v>
      </c>
      <c r="J3" s="27" t="s">
        <v>124</v>
      </c>
      <c r="K3" s="27" t="s">
        <v>23</v>
      </c>
      <c r="L3" s="27" t="s">
        <v>24</v>
      </c>
      <c r="M3" s="58" t="s">
        <v>19</v>
      </c>
      <c r="N3" s="27" t="s">
        <v>34</v>
      </c>
      <c r="O3" s="58" t="s">
        <v>33</v>
      </c>
      <c r="P3" s="58" t="s">
        <v>107</v>
      </c>
      <c r="Q3" s="58" t="s">
        <v>31</v>
      </c>
      <c r="R3" s="58" t="s">
        <v>108</v>
      </c>
      <c r="S3" s="58" t="s">
        <v>27</v>
      </c>
      <c r="T3" s="58" t="s">
        <v>28</v>
      </c>
      <c r="U3" s="27" t="s">
        <v>44</v>
      </c>
      <c r="V3" s="27" t="s">
        <v>48</v>
      </c>
      <c r="W3" s="27" t="s">
        <v>45</v>
      </c>
      <c r="X3" s="27" t="s">
        <v>42</v>
      </c>
      <c r="Y3" s="58" t="s">
        <v>41</v>
      </c>
      <c r="Z3" s="27" t="s">
        <v>43</v>
      </c>
      <c r="AA3" s="27" t="s">
        <v>49</v>
      </c>
      <c r="AB3" s="27" t="s">
        <v>50</v>
      </c>
      <c r="AC3" s="58" t="s">
        <v>58</v>
      </c>
      <c r="AD3" s="27" t="s">
        <v>59</v>
      </c>
      <c r="AE3" s="27" t="s">
        <v>40</v>
      </c>
      <c r="AF3" s="58" t="s">
        <v>61</v>
      </c>
      <c r="AG3" s="58" t="s">
        <v>132</v>
      </c>
      <c r="AH3" s="58" t="s">
        <v>60</v>
      </c>
      <c r="AI3" s="61" t="s">
        <v>98</v>
      </c>
      <c r="AJ3" s="62" t="s">
        <v>99</v>
      </c>
      <c r="AK3" s="62" t="s">
        <v>100</v>
      </c>
      <c r="AL3" s="62" t="s">
        <v>93</v>
      </c>
      <c r="AM3" s="62" t="s">
        <v>92</v>
      </c>
      <c r="AN3" s="62" t="s">
        <v>95</v>
      </c>
      <c r="AO3" s="62" t="s">
        <v>94</v>
      </c>
      <c r="AP3" s="62" t="s">
        <v>103</v>
      </c>
      <c r="AQ3" s="26" t="s">
        <v>84</v>
      </c>
      <c r="AR3" s="62" t="s">
        <v>85</v>
      </c>
      <c r="AS3" s="62" t="s">
        <v>86</v>
      </c>
      <c r="AT3" s="62" t="s">
        <v>87</v>
      </c>
      <c r="AU3" s="62" t="s">
        <v>88</v>
      </c>
      <c r="AV3" s="62" t="s">
        <v>89</v>
      </c>
      <c r="AW3" s="62" t="s">
        <v>83</v>
      </c>
      <c r="AX3" s="62" t="s">
        <v>91</v>
      </c>
      <c r="AY3" s="62" t="s">
        <v>104</v>
      </c>
      <c r="AZ3" s="63" t="s">
        <v>112</v>
      </c>
      <c r="BA3" s="64" t="s">
        <v>74</v>
      </c>
      <c r="BB3" s="64" t="s">
        <v>113</v>
      </c>
      <c r="BC3" s="60" t="s">
        <v>116</v>
      </c>
      <c r="BD3" s="27" t="s">
        <v>119</v>
      </c>
      <c r="BE3" s="63" t="s">
        <v>97</v>
      </c>
      <c r="BF3" s="64" t="s">
        <v>115</v>
      </c>
      <c r="BG3" s="64" t="s">
        <v>118</v>
      </c>
      <c r="BH3" s="65" t="s">
        <v>90</v>
      </c>
      <c r="BI3" s="64" t="s">
        <v>105</v>
      </c>
      <c r="BJ3" s="63" t="s">
        <v>121</v>
      </c>
      <c r="BK3" s="60" t="s">
        <v>120</v>
      </c>
      <c r="BL3" s="66" t="s">
        <v>122</v>
      </c>
      <c r="BM3" s="66" t="s">
        <v>125</v>
      </c>
      <c r="BN3" s="60" t="s">
        <v>203</v>
      </c>
      <c r="BO3" s="60" t="s">
        <v>137</v>
      </c>
      <c r="BP3" s="60" t="s">
        <v>126</v>
      </c>
      <c r="BS3" s="2"/>
      <c r="BT3" s="7"/>
    </row>
    <row r="4" spans="1:72" ht="15.75" thickBot="1" x14ac:dyDescent="0.3">
      <c r="A4" s="67">
        <v>1</v>
      </c>
      <c r="B4" s="68">
        <v>2</v>
      </c>
      <c r="C4" s="69">
        <v>14.507999999999999</v>
      </c>
      <c r="D4" s="70" t="s">
        <v>16</v>
      </c>
      <c r="E4" s="69">
        <v>79</v>
      </c>
      <c r="F4" s="69">
        <v>52.55</v>
      </c>
      <c r="G4" s="70" t="s">
        <v>18</v>
      </c>
      <c r="H4" s="71">
        <f>(C4/60)+B4</f>
        <v>2.2418</v>
      </c>
      <c r="I4" s="72">
        <f>RADIANS(H4)</f>
        <v>3.9126791171208881E-2</v>
      </c>
      <c r="J4" s="72">
        <f>IF(D4="S",I4,I4*-1)</f>
        <v>3.9126791171208881E-2</v>
      </c>
      <c r="K4" s="67">
        <f>(F4/60)+E4</f>
        <v>79.875833333333333</v>
      </c>
      <c r="L4" s="72">
        <f>RADIANS(K4)</f>
        <v>1.3940962844409039</v>
      </c>
      <c r="M4" s="67">
        <f>7915.704468*LOG((TAN((RADIANS(45)+(I4/2)))))-23.268932*SIN(I4)-0.0525*(SIN(I4)^3)*(SIN(I4)^5)</f>
        <v>133.63212662701051</v>
      </c>
      <c r="N4" s="73" cm="1">
        <f t="array" aca="1" ref="N4" ca="1">_xlfn.IFS(D4&lt;&gt;OFFSET(D4,1,),M4+OFFSET(M4,1,),OFFSET(M4,1,)-M4&lt;0,(OFFSET(M4,1,)-M4)*-1,OFFSET(M4,1,)-M4&gt;0,OFFSET(M4,1,)-M4)</f>
        <v>2.656015812075708</v>
      </c>
      <c r="O4" s="67">
        <f t="shared" ref="O4" si="0">(DEGREES(IF(D4=D5,I5-I4,I4+I5)))*60</f>
        <v>2.6719999999999864</v>
      </c>
      <c r="P4" s="67">
        <f>_xlfn.IFS(AND(D5="N",D4&lt;&gt;D5,O4&gt;0),O4*-1,AND(D5="N",D4=D5,O4&lt;0),O4*-1,AND(D5="S",D4=D5,O4&gt;0),O4,AND(D5="S",D4&lt;&gt;D5,O4&lt;0),O4,AND(D5="N",D5&lt;&gt;D4,O4&lt;0),O4*-1,AND(D5="N",D5=D4,O4&lt;0),O4*-1,AND(D5="S",D4=D5,O4&lt;0),O4,AND(D5="N",D5=D4,O4&gt;0),O4*-1)</f>
        <v>2.6719999999999864</v>
      </c>
      <c r="Q4" s="67">
        <f>(DEGREES(_xlfn.IFS(G4=G5,L5-L4,(L4+L5)&gt;(RADIANS(180)),RADIANS(360)-(L4+L5),G4&lt;&gt;G5,L4+L5)))*60</f>
        <v>-2.4490000000002192</v>
      </c>
      <c r="R4" s="67" cm="1">
        <f t="array" ref="R4">_xlfn.IFS(AND(G5="E",G5&lt;&gt;G4,L4+L5&gt;(RADIANS(180)),Q4&lt;0),Q4*-1,AND(G5="W",G5&lt;&gt;G4,L5+L4&gt;(RADIANS(180)),Q4&lt;0),Q4,AND(G5="E",G5&lt;&gt;G4,L5+L4&gt;(RADIANS(180)),Q4&gt;0),Q4,AND(G5="W",G5&lt;&gt;G4,L5+L4&gt;(RADIANS(180)),Q4&gt;0),Q4*-1,AND(G5="W",G5=G4,Q4&lt;0),Q4,AND(G5="W",G5=G4,Q4&gt;0),Q4,AND(G5="E",G5=G4,Q4&lt;0),Q4*-1,AND(G5="E",G5=G4,Q4&gt;0),Q4*-1,AND(G5="E",G5&lt;&gt;G4,Q4&gt;0),Q4*-1,AND(G5="E",G5&lt;&gt;G4,Q4&lt;0),Q4,AND(G5="W",G5&lt;&gt;G4,Q4&gt;0),Q4,AND(G5="W",G5&lt;&gt;G4,Q4&lt;0),Q4*-1)</f>
        <v>-2.4490000000002192</v>
      </c>
      <c r="S4" s="74">
        <f>IF(O4&lt;0,-1*O4,O4)</f>
        <v>2.6719999999999864</v>
      </c>
      <c r="T4" s="74">
        <f>IF(Q4&lt;0,-1*Q4,Q4)</f>
        <v>2.4490000000002192</v>
      </c>
      <c r="U4" s="67">
        <f ca="1">DEGREES(ATAN(T4/N4))</f>
        <v>42.677845161422034</v>
      </c>
      <c r="V4" s="75">
        <f ca="1">_xlfn.IFS(AND(P4&gt;0,R4&gt;0),180+U4,AND(P4&lt;0,R4&gt;0),360-U4,AND(P4&gt;0,R4&lt;0),180-U4,AND(P4&lt;0,R4&lt;0),U4)</f>
        <v>137.32215483857797</v>
      </c>
      <c r="W4" s="76">
        <f ca="1">(S4/(COS(RADIANS(U4))))</f>
        <v>3.6345000523475681</v>
      </c>
      <c r="X4" s="67">
        <f t="shared" ref="X4" si="1">AVERAGE(H4,H5)</f>
        <v>2.2640666666666664</v>
      </c>
      <c r="Y4" s="67">
        <f>(T4*(COS(RADIANS(X4))))</f>
        <v>2.4470882309171285</v>
      </c>
      <c r="Z4" s="67">
        <f>DEGREES(ATAN(Y4/S4))</f>
        <v>42.484276053282926</v>
      </c>
      <c r="AA4" s="75">
        <f>_xlfn.IFS(AND(P4&gt;0,R4&gt;0),180+Z4,AND(P4&lt;0,R4&gt;0),360-Z4,AND(P4&gt;0,R4&lt;0),180-Z4,AND(P4&lt;0,R4&lt;0),Z4)</f>
        <v>137.51572394671706</v>
      </c>
      <c r="AB4" s="76">
        <f>(S4/(COS(RADIANS(Z4))))</f>
        <v>3.6232340263765805</v>
      </c>
      <c r="AC4" s="67">
        <f>DEGREES(ACOS(((SIN(J5)-(SIN(J4))*(COS(RADIANS(AE4/60))))/(COS(J4)*SIN(RADIANS(AE4/60))))))</f>
        <v>42.483471745803143</v>
      </c>
      <c r="AD4" s="75">
        <f>_xlfn.IFS(AND(P4&gt;0,R4&lt;0),180-AC4,AND(P4&gt;0,R4&gt;0),180+AC4,AND(P4&lt;0,R4&gt;0),180+AC4,AND(P4&lt;0,R4&lt;0),180-AC4)</f>
        <v>137.51652825419686</v>
      </c>
      <c r="AE4" s="76">
        <f>(DEGREES(ACOS((SIN(J4)*SIN(J5)+(COS(J4)*COS(J5)*COS(RADIANS(T4/60)))))))*60</f>
        <v>3.623233984603258</v>
      </c>
      <c r="AF4" s="77" t="s">
        <v>102</v>
      </c>
      <c r="AG4" s="78" cm="1">
        <f t="array" aca="1" ref="AG4" ca="1">_xlfn.IFS(AH4=W4,V4,AH4=AB4,AA4,AH4=AE4,AD4)</f>
        <v>137.51572394671706</v>
      </c>
      <c r="AH4" s="68">
        <f t="shared" ref="AH4" ca="1" si="2">_xlfn.IFS(AND(AF4="loxo",W4&lt;600),AB4,AND(AF4="loxo",W4&gt;600),W4,AND(B4&gt;60,AF4="loxo"),W4,AF4="ortho",AE4)</f>
        <v>3.6232340263765805</v>
      </c>
      <c r="AI4" s="79">
        <f ca="1">_xlfn.IFS(AND(AF4="loxo",W4&gt;600),V4+BE4,AF4="ortho",AD4+BE4,AND(AF4="loxo",W4&lt;600),AA4+BE4)</f>
        <v>387.51572394671706</v>
      </c>
      <c r="AJ4" s="80">
        <f ca="1">_xlfn.IFS(AI4&gt;360,AI4-360,AI4&lt;360,AI4)</f>
        <v>27.51572394671706</v>
      </c>
      <c r="AK4" s="80">
        <f ca="1">_xlfn.IFS(AJ4&gt;270,AJ4-270,AJ4&lt;90,90-AJ4,AJ4&lt;180,AJ4-90,AJ4&gt;180,270-AJ4)</f>
        <v>62.48427605328294</v>
      </c>
      <c r="AL4" s="52">
        <f ca="1">_xlfn.IFS(AND(AF4="loxo",W4&gt;600),(SIN(RADIANS(U4))*BC4),AF4="ortho",(SIN(RADIANS(AC4))*BC4),AND(AF4="loxo",W4&lt;600),(SIN(RADIANS(Z4))*BC4))</f>
        <v>10.413547571351739</v>
      </c>
      <c r="AM4" s="52">
        <f t="shared" ref="AM4" ca="1" si="3">_xlfn.IFS(AND(AF4="loxo",W4&gt;600),SQRT((BC4^2)-((SIN(RADIANS(U4))*BC4)^2)),AF4="ortho",SQRT((BC4^2)-((SIN(RADIANS(AC4))*BC4)^2)),AND(AF4="loxo",W4&lt;600),SQRT((BC4^2)-((SIN(RADIANS(Z4))*BC4)^2)))</f>
        <v>11.370656259591975</v>
      </c>
      <c r="AN4" s="52">
        <f t="shared" ref="AN4" ca="1" si="4">(SIN(RADIANS(AK4))*BF4)</f>
        <v>0</v>
      </c>
      <c r="AO4" s="52">
        <f t="shared" ref="AO4" ca="1" si="5">SQRT((BF4^2)-((SIN(RADIANS(AK4))*BF4)^2))</f>
        <v>0</v>
      </c>
      <c r="AP4" s="52">
        <f t="shared" ref="AP4" ca="1" si="6">_xlfn.IFS(AND(AF4="loxo",W4&lt;600),AA4,AND(AF4="loxo",W4&gt;600),V4,AND(B4&gt;60,AF4="loxo"),V4,AF4="ortho",AD4)</f>
        <v>137.51572394671706</v>
      </c>
      <c r="AQ4" s="81">
        <f ca="1">_xlfn.IFS(AP4&gt;270,AM4,AP4&lt;90,AM4,AP4&lt;270,AM4*-1,AP4&gt;90,AM4*-1)</f>
        <v>-11.370656259591975</v>
      </c>
      <c r="AR4" s="82">
        <f t="shared" ref="AR4" ca="1" si="7">_xlfn.IFS(AJ4&gt;270,AN4,AJ4&lt;90,AN4,AJ4&lt;270,AN4*-1,AJ4&gt;90,AN4*-1)</f>
        <v>0</v>
      </c>
      <c r="AS4" s="82">
        <f ca="1">_xlfn.IFS(AND(AP4&gt;180,AP4&lt;360),AL4*-1,AND(AP4&lt;180,AP4&gt;0),AL4)</f>
        <v>10.413547571351739</v>
      </c>
      <c r="AT4" s="82">
        <f t="shared" ref="AT4" ca="1" si="8">_xlfn.IFS(AJ4&gt;180,AO4*-1,AJ4&lt;180,AO4,AJ4=0,AO4,AJ4=360,AO4)</f>
        <v>0</v>
      </c>
      <c r="AU4" s="52">
        <f ca="1">(AQ4+AR4)</f>
        <v>-11.370656259591975</v>
      </c>
      <c r="AV4" s="52">
        <f ca="1">(AS4+AT4)</f>
        <v>10.413547571351739</v>
      </c>
      <c r="AW4" s="52">
        <f ca="1">DEGREES(ATAN(AV4/AU4))</f>
        <v>-42.484276053282933</v>
      </c>
      <c r="AX4" s="52">
        <f ca="1">_xlfn.IFS((DEGREES(ATAN(AV4/AU4)))&lt;0,(DEGREES(ATAN(AV4/AU4)))*-1,DEGREES(ATAN(AV4/AU4))&gt;0,(DEGREES(ATAN(AV4/AU4))))</f>
        <v>42.484276053282933</v>
      </c>
      <c r="AY4" s="52">
        <f t="shared" ref="AY4:AY36" ca="1" si="9">_xlfn.IFS(AND(AF4="loxo",W4&lt;600),BH4-AA4,AND(AF4="loxo",W4&gt;600),BH4-V4,AND(B4&gt;60,AF4="loxo"),BH4-V4,AF4="ortho",BH4-AD4)</f>
        <v>0</v>
      </c>
      <c r="AZ4" s="68">
        <v>1</v>
      </c>
      <c r="BA4" s="83">
        <f>_xlfn.IFS(AZ4=1,Références!$B$80,AZ4=2,Références!$B$81,AZ4=3,Références!$B$82,AZ4=4,Références!$B$83,AZ4=5,Références!$B$84,AZ4=6,Références!$B$85,AZ4=7,Références!$B$86,AZ4=8,Références!$B$87,AZ4=9,Références!$B$88,AZ4=10,Références!$B$89,AZ4=11,Références!$B$90,AZ4=12,Références!$B$91)</f>
        <v>1</v>
      </c>
      <c r="BB4" s="83" t="s">
        <v>69</v>
      </c>
      <c r="BC4" s="84" cm="1">
        <f t="array" ref="BC4">_xlfn.IFS(BB4="Beam", -0.0000000868778*BA4^5-0.0000459619*BA4^4+0.00347366*BA4^3-0.0884721*BA4^2+0.510463*BA4+14.9932,BB4="Following",0.000652681*BA4^3-0.0356523*BA4^2+0.29714*BA4+15.2038,BB4="Head",-0.00000154449*BA4^5+0.0000797696*BA4^4+0.000148965*BA4^3-0.0570448*BA4^2+0.244115*BA4+15.0029)</f>
        <v>15.418618511222199</v>
      </c>
      <c r="BD4" s="85"/>
      <c r="BE4" s="77">
        <v>250</v>
      </c>
      <c r="BF4" s="86">
        <v>0</v>
      </c>
      <c r="BG4" s="69">
        <f ca="1">IF(BD4=0,SQRT((AU4^2)+(AV4^2)),SQRT((AU4^2)+(AV4^2)))</f>
        <v>15.418618511222199</v>
      </c>
      <c r="BH4" s="69">
        <f t="shared" ref="BH4" ca="1" si="10">_xlfn.IFS(AND(AV4&gt;0,AU4&gt;0),AX4,AND(AV4&lt;0,AU4&gt;0),360-AX4,AND(AV4&gt;0,AU4&lt;0),180-AX4,AND(AV4&lt;0,AU4&lt;0),180+AX4)</f>
        <v>137.51572394671706</v>
      </c>
      <c r="BI4" s="87">
        <f t="shared" ref="BI4" ca="1" si="11">(AP4-AY4)</f>
        <v>137.51572394671706</v>
      </c>
      <c r="BJ4" s="85"/>
      <c r="BK4" s="88">
        <f ca="1">IF(BJ4=0,(AH4/BG4)*60,((AH4/BG4)*60)+BJ4)</f>
        <v>14.099450052828532</v>
      </c>
      <c r="BL4" s="70">
        <f t="shared" ref="BL4" si="12">IF(G4="W",(ROUND((E4/15),0))*-1,(ROUND((E4/15),0)))</f>
        <v>-5</v>
      </c>
      <c r="BM4" s="89">
        <f>IF(BL4&lt;0,((BL4*-1)/24),BL4/24)</f>
        <v>0.20833333333333334</v>
      </c>
      <c r="BN4" s="90">
        <f ca="1">IF(BJ4=0,BK4/(60*24),(BK4/(60*24))+(BJ4/(60*24)))</f>
        <v>9.7912847589087023E-3</v>
      </c>
      <c r="BO4" s="91">
        <f>C51</f>
        <v>44927.431944444441</v>
      </c>
      <c r="BP4" s="91">
        <f>IF(BL4&lt;0,C51+BM4,C51-BM4)</f>
        <v>44927.640277777777</v>
      </c>
      <c r="BS4" s="2"/>
      <c r="BT4" s="7"/>
    </row>
    <row r="5" spans="1:72" x14ac:dyDescent="0.25">
      <c r="A5" s="51">
        <v>2</v>
      </c>
      <c r="B5" s="92">
        <v>2</v>
      </c>
      <c r="C5" s="51">
        <v>17.18</v>
      </c>
      <c r="D5" s="93" t="s">
        <v>16</v>
      </c>
      <c r="E5" s="51">
        <v>79</v>
      </c>
      <c r="F5" s="51">
        <v>50.100999999999999</v>
      </c>
      <c r="G5" s="94" t="s">
        <v>18</v>
      </c>
      <c r="H5" s="92">
        <f t="shared" ref="H5:H36" si="13">(C5/60)+B5</f>
        <v>2.2863333333333333</v>
      </c>
      <c r="I5" s="95">
        <f t="shared" ref="I5:I36" si="14">RADIANS(H5)</f>
        <v>3.9904044464763685E-2</v>
      </c>
      <c r="J5" s="95">
        <f t="shared" ref="J5:J36" si="15">IF(D5="S",I5,I5*-1)</f>
        <v>3.9904044464763685E-2</v>
      </c>
      <c r="K5" s="51">
        <f t="shared" ref="K5:K36" si="16">(F5/60)+E5</f>
        <v>79.835016666666661</v>
      </c>
      <c r="L5" s="95">
        <f t="shared" ref="L5:L36" si="17">RADIANS(K5)</f>
        <v>1.3933838992178815</v>
      </c>
      <c r="M5" s="51">
        <f t="shared" ref="M5:M36" si="18">7915.704468*LOG((TAN((RADIANS(45)+(I5/2)))))-23.268932*SIN(I5)-0.0525*(SIN(I5)^3)*(SIN(I5)^5)</f>
        <v>136.28814243908622</v>
      </c>
      <c r="N5" s="96" cm="1">
        <f t="array" aca="1" ref="N5" ca="1">_xlfn.IFS(D5&lt;&gt;OFFSET(D5,1,),M5+OFFSET(M5,1,),OFFSET(M5,1,)-M5&lt;0,(OFFSET(M5,1,)-M5)*-1,OFFSET(M5,1,)-M5&gt;0,OFFSET(M5,1,)-M5)</f>
        <v>4.828160002745534</v>
      </c>
      <c r="O5" s="51">
        <f t="shared" ref="O5:O36" si="19">(DEGREES(IF(D5=D6,I6-I5,I5+I6)))*60</f>
        <v>4.8570000000000153</v>
      </c>
      <c r="P5" s="51">
        <f t="shared" ref="P5:P36" si="20">_xlfn.IFS(AND(D6="N",D5&lt;&gt;D6,O5&gt;0),O5*-1,AND(D6="N",D5=D6,O5&lt;0),O5*-1,AND(D6="S",D5=D6,O5&gt;0),O5,AND(D6="S",D5&lt;&gt;D6,O5&lt;0),O5,AND(D6="N",D6&lt;&gt;D5,O5&lt;0),O5*-1,AND(D6="N",D6=D5,O5&lt;0),O5*-1,AND(D6="S",D5=D6,O5&lt;0),O5,AND(D6="N",D6=D5,O5&gt;0),O5*-1)</f>
        <v>4.8570000000000153</v>
      </c>
      <c r="Q5" s="51">
        <f t="shared" ref="Q5:Q36" si="21">(DEGREES(_xlfn.IFS(G5=G6,L6-L5,(L5+L6)&gt;(RADIANS(180)),RADIANS(360)-(L5+L6),G5&lt;&gt;G6,L5+L6)))*60</f>
        <v>-6.7999999999670088E-2</v>
      </c>
      <c r="R5" s="51" cm="1">
        <f t="array" ref="R5">_xlfn.IFS(AND(G6="E",G6&lt;&gt;G5,L5+L6&gt;(RADIANS(180)),Q5&lt;0),Q5*-1,AND(G6="W",G6&lt;&gt;G5,L6+L5&gt;(RADIANS(180)),Q5&lt;0),Q5,AND(G6="E",G6&lt;&gt;G5,L6+L5&gt;(RADIANS(180)),Q5&gt;0),Q5,AND(G6="W",G6&lt;&gt;G5,L6+L5&gt;(RADIANS(180)),Q5&gt;0),Q5*-1,AND(G6="W",G6=G5,Q5&lt;0),Q5,AND(G6="W",G6=G5,Q5&gt;0),Q5,AND(G6="E",G6=G5,Q5&lt;0),Q5*-1,AND(G6="E",G6=G5,Q5&gt;0),Q5*-1,AND(G6="E",G6&lt;&gt;G5,Q5&gt;0),Q5*-1,AND(G6="E",G6&lt;&gt;G5,Q5&lt;0),Q5,AND(G6="W",G6&lt;&gt;G5,Q5&gt;0),Q5,AND(G6="W",G6&lt;&gt;G5,Q5&lt;0),Q5*-1)</f>
        <v>-6.7999999999670088E-2</v>
      </c>
      <c r="S5" s="97">
        <f t="shared" ref="S5:S36" si="22">IF(O5&lt;0,-1*O5,O5)</f>
        <v>4.8570000000000153</v>
      </c>
      <c r="T5" s="97">
        <f t="shared" ref="T5:T36" si="23">IF(Q5&lt;0,-1*Q5,Q5)</f>
        <v>6.7999999999670088E-2</v>
      </c>
      <c r="U5" s="51">
        <f t="shared" ref="U5:U36" ca="1" si="24">DEGREES(ATAN(T5/N5))</f>
        <v>0.8069027174060055</v>
      </c>
      <c r="V5" s="98">
        <f t="shared" ref="V5:V36" ca="1" si="25">_xlfn.IFS(AND(P5&gt;0,R5&gt;0),180+U5,AND(P5&lt;0,R5&gt;0),360-U5,AND(P5&gt;0,R5&lt;0),180-U5,AND(P5&lt;0,R5&lt;0),U5)</f>
        <v>179.19309728259398</v>
      </c>
      <c r="W5" s="99">
        <f t="shared" ref="W5:W36" ca="1" si="26">(S5/(COS(RADIANS(U5))))</f>
        <v>4.8574816938374772</v>
      </c>
      <c r="X5" s="51">
        <f t="shared" ref="X5:X36" si="27">AVERAGE(H5,H6)</f>
        <v>2.3268083333333331</v>
      </c>
      <c r="Y5" s="51">
        <f t="shared" ref="Y5:Y36" si="28">(T5*(COS(RADIANS(X5))))</f>
        <v>6.794393456603065E-2</v>
      </c>
      <c r="Z5" s="51">
        <f t="shared" ref="Z5:Z36" si="29">DEGREES(ATAN(Y5/S5))</f>
        <v>0.80145085280315487</v>
      </c>
      <c r="AA5" s="98">
        <f t="shared" ref="AA5:AA36" si="30">_xlfn.IFS(AND(P5&gt;0,R5&gt;0),180+Z5,AND(P5&lt;0,R5&gt;0),360-Z5,AND(P5&gt;0,R5&lt;0),180-Z5,AND(P5&lt;0,R5&lt;0),Z5)</f>
        <v>179.19854914719684</v>
      </c>
      <c r="AB5" s="99">
        <f t="shared" ref="AB5:AB36" si="31">(S5/(COS(RADIANS(Z5))))</f>
        <v>4.8574752061379032</v>
      </c>
      <c r="AC5" s="51">
        <f t="shared" ref="AC5:AC36" si="32">DEGREES(ACOS(((SIN(J6)-(SIN(J5))*(COS(RADIANS(AE5/60))))/(COS(J5)*SIN(RADIANS(AE5/60))))))</f>
        <v>0.80142797551690304</v>
      </c>
      <c r="AD5" s="98">
        <f t="shared" ref="AD5:AD36" si="33">_xlfn.IFS(AND(P5&gt;0,R5&lt;0),180-AC5,AND(P5&gt;0,R5&gt;0),180+AC5,AND(P5&lt;0,R5&gt;0),180+AC5,AND(P5&lt;0,R5&lt;0),180-AC5)</f>
        <v>179.1985720244831</v>
      </c>
      <c r="AE5" s="99">
        <f t="shared" ref="AE5:AE36" si="34">(DEGREES(ACOS((SIN(J5)*SIN(J6)+(COS(J5)*COS(J6)*COS(RADIANS(T5/60)))))))*60</f>
        <v>4.8574752061323778</v>
      </c>
      <c r="AF5" s="100" t="s">
        <v>102</v>
      </c>
      <c r="AG5" s="101" cm="1">
        <f t="array" aca="1" ref="AG5" ca="1">_xlfn.IFS(AH5=W5,V5,AH5=AB5,AA5,AH5=AE5,AD5)</f>
        <v>179.19854914719684</v>
      </c>
      <c r="AH5" s="92">
        <f t="shared" ref="AH5:AH36" ca="1" si="35">_xlfn.IFS(AND(AF5="loxo",W5&lt;600),AB5,AND(AF5="loxo",W5&gt;600),W5,AND(B5&gt;60,AF5="loxo"),W5,AF5="ortho",AE5)</f>
        <v>4.8574752061379032</v>
      </c>
      <c r="AI5" s="92">
        <f t="shared" ref="AI5:AI36" ca="1" si="36">_xlfn.IFS(AND(AF5="loxo",W5&gt;600),V5+BE5,AF5="ortho",AD5+BE5,AND(AF5="loxo",W5&lt;600),AA5+BE5)</f>
        <v>429.19854914719684</v>
      </c>
      <c r="AJ5" s="102">
        <f t="shared" ref="AJ5:AJ36" ca="1" si="37">_xlfn.IFS(AI5&gt;360,AI5-360,AI5&lt;360,AI5)</f>
        <v>69.198549147196843</v>
      </c>
      <c r="AK5" s="102">
        <f t="shared" ref="AK5:AK36" ca="1" si="38">_xlfn.IFS(AJ5&gt;270,AJ5-270,AJ5&lt;90,90-AJ5,AJ5&lt;180,AJ5-90,AJ5&gt;180,270-AJ5)</f>
        <v>20.801450852803157</v>
      </c>
      <c r="AL5" s="51">
        <f t="shared" ref="AL5:AL36" ca="1" si="39">_xlfn.IFS(AND(AF5="loxo",W5&gt;600),(SIN(RADIANS(U5))*BC5),AF5="ortho",(SIN(RADIANS(AC5))*BC5),AND(AF5="loxo",W5&lt;600),(SIN(RADIANS(Z5))*BC5))</f>
        <v>0.21566792680718602</v>
      </c>
      <c r="AM5" s="51">
        <f t="shared" ref="AM5:AM36" ca="1" si="40">_xlfn.IFS(AND(AF5="loxo",W5&gt;600),SQRT((BC5^2)-((SIN(RADIANS(U5))*BC5)^2)),AF5="ortho",SQRT((BC5^2)-((SIN(RADIANS(AC5))*BC5)^2)),AND(AF5="loxo",W5&lt;600),SQRT((BC5^2)-((SIN(RADIANS(Z5))*BC5)^2)))</f>
        <v>15.417110109873075</v>
      </c>
      <c r="AN5" s="51">
        <f t="shared" ref="AN5:AN36" ca="1" si="41">(SIN(RADIANS(AK5))*BF5)</f>
        <v>0</v>
      </c>
      <c r="AO5" s="51">
        <f t="shared" ref="AO5:AO36" ca="1" si="42">SQRT((BF5^2)-((SIN(RADIANS(AK5))*BF5)^2))</f>
        <v>0</v>
      </c>
      <c r="AP5" s="51">
        <f t="shared" ref="AP5:AP36" ca="1" si="43">_xlfn.IFS(AND(AF5="loxo",W5&lt;600),AA5,AND(AF5="loxo",W5&gt;600),V5,AND(B5&gt;60,AF5="loxo"),V5,AF5="ortho",AD5)</f>
        <v>179.19854914719684</v>
      </c>
      <c r="AQ5" s="5">
        <f t="shared" ref="AQ5:AQ36" ca="1" si="44">_xlfn.IFS(AP5&gt;270,AM5,AP5&lt;90,AM5,AP5&lt;270,AM5*-1,AP5&gt;90,AM5*-1)</f>
        <v>-15.417110109873075</v>
      </c>
      <c r="AR5" s="95">
        <f t="shared" ref="AR5:AR36" ca="1" si="45">_xlfn.IFS(AJ5&gt;270,AN5,AJ5&lt;90,AN5,AJ5&lt;270,AN5*-1,AJ5&gt;90,AN5*-1)</f>
        <v>0</v>
      </c>
      <c r="AS5" s="95">
        <f t="shared" ref="AS5:AS36" ca="1" si="46">_xlfn.IFS(AND(AP5&gt;180,AP5&lt;360),AL5*-1,AND(AP5&lt;180,AP5&gt;0),AL5)</f>
        <v>0.21566792680718602</v>
      </c>
      <c r="AT5" s="95">
        <f t="shared" ref="AT5:AT36" ca="1" si="47">_xlfn.IFS(AJ5&gt;180,AO5*-1,AJ5&lt;180,AO5,AJ5=0,AO5,AJ5=360,AO5)</f>
        <v>0</v>
      </c>
      <c r="AU5" s="51">
        <f t="shared" ref="AU5:AU36" ca="1" si="48">(AQ5+AR5)</f>
        <v>-15.417110109873075</v>
      </c>
      <c r="AV5" s="51">
        <f t="shared" ref="AV5:AV36" ca="1" si="49">(AS5+AT5)</f>
        <v>0.21566792680718602</v>
      </c>
      <c r="AW5" s="51">
        <f t="shared" ref="AW5:AW36" ca="1" si="50">DEGREES(ATAN(AV5/AU5))</f>
        <v>-0.80145085280315487</v>
      </c>
      <c r="AX5" s="51">
        <f t="shared" ref="AX5:AX36" ca="1" si="51">_xlfn.IFS((DEGREES(ATAN(AV5/AU5)))&lt;0,(DEGREES(ATAN(AV5/AU5)))*-1,DEGREES(ATAN(AV5/AU5))&gt;0,(DEGREES(ATAN(AV5/AU5))))</f>
        <v>0.80145085280315487</v>
      </c>
      <c r="AY5" s="51">
        <f t="shared" ca="1" si="9"/>
        <v>0</v>
      </c>
      <c r="AZ5" s="103">
        <v>1</v>
      </c>
      <c r="BA5" s="104">
        <f>_xlfn.IFS(AZ5=1,Références!$B$80,AZ5=2,Références!$B$81,AZ5=3,Références!$B$82,AZ5=4,Références!$B$83,AZ5=5,Références!$B$84,AZ5=6,Références!$B$85,AZ5=7,Références!$B$86,AZ5=8,Références!$B$87,AZ5=9,Références!$B$88,AZ5=10,Références!$B$89,AZ5=11,Références!$B$90,AZ5=12,Références!$B$91)</f>
        <v>1</v>
      </c>
      <c r="BB5" s="104" t="s">
        <v>69</v>
      </c>
      <c r="BC5" s="105" cm="1">
        <f t="array" ref="BC5">_xlfn.IFS(BB5="Beam", -0.0000000868778*BA5^5-0.0000459619*BA5^4+0.00347366*BA5^3-0.0884721*BA5^2+0.510463*BA5+14.9932,BB5="Following",0.000652681*BA5^3-0.0356523*BA5^2+0.29714*BA5+15.2038,BB5="Head",-0.00000154449*BA5^5+0.0000797696*BA5^4+0.000148965*BA5^3-0.0570448*BA5^2+0.244115*BA5+15.0029)</f>
        <v>15.418618511222199</v>
      </c>
      <c r="BD5" s="106"/>
      <c r="BE5" s="100">
        <v>250</v>
      </c>
      <c r="BF5" s="107">
        <v>0</v>
      </c>
      <c r="BG5" s="51">
        <f t="shared" ref="BG5:BG36" ca="1" si="52">IF(BD5=0,SQRT((AU5^2)+(AV5^2)),SQRT((AU5^2)+(AV5^2)))</f>
        <v>15.418618511222199</v>
      </c>
      <c r="BH5" s="51">
        <f t="shared" ref="BH5:BH36" ca="1" si="53">_xlfn.IFS(AND(AV5&gt;0,AU5&gt;0),AX5,AND(AV5&lt;0,AU5&gt;0),360-AX5,AND(AV5&gt;0,AU5&lt;0),180-AX5,AND(AV5&lt;0,AU5&lt;0),180+AX5)</f>
        <v>179.19854914719684</v>
      </c>
      <c r="BI5" s="82">
        <f t="shared" ref="BI5:BI36" ca="1" si="54">(AP5-AY5)</f>
        <v>179.19854914719684</v>
      </c>
      <c r="BJ5" s="106"/>
      <c r="BK5" s="108">
        <f t="shared" ref="BK5:BK36" ca="1" si="55">IF(BJ5=0,(AH5/BG5)*60,((AH5/BG5)*60)+BJ5)</f>
        <v>18.902375213197473</v>
      </c>
      <c r="BL5" s="93">
        <f t="shared" ref="BL5:BL36" si="56">IF(G5="W",(ROUND((E5/15),0))*-1,(ROUND((E5/15),0)))</f>
        <v>-5</v>
      </c>
      <c r="BM5" s="109">
        <f t="shared" ref="BM5:BM36" si="57">IF(BL5&lt;0,((BL5*-1)/24),BL5/24)</f>
        <v>0.20833333333333334</v>
      </c>
      <c r="BN5" s="110">
        <f t="shared" ref="BN5:BN36" ca="1" si="58">IF(BJ5=0,BK5/(60*24),(BK5/(60*24))+(BJ5/(60*24)))</f>
        <v>1.3126649453609356E-2</v>
      </c>
      <c r="BO5" s="111">
        <f ca="1">BO4+BN4</f>
        <v>44927.441735729197</v>
      </c>
      <c r="BP5" s="111">
        <f t="shared" ref="BP5:BP36" ca="1" si="59">BP4+BN4</f>
        <v>44927.650069062533</v>
      </c>
      <c r="BS5" s="2"/>
      <c r="BT5" s="7"/>
    </row>
    <row r="6" spans="1:72" x14ac:dyDescent="0.25">
      <c r="A6" s="52">
        <v>3</v>
      </c>
      <c r="B6" s="79">
        <v>2</v>
      </c>
      <c r="C6" s="52">
        <v>22.036999999999999</v>
      </c>
      <c r="D6" s="112" t="s">
        <v>16</v>
      </c>
      <c r="E6" s="52">
        <v>79</v>
      </c>
      <c r="F6" s="52">
        <v>50.033000000000001</v>
      </c>
      <c r="G6" s="112" t="s">
        <v>18</v>
      </c>
      <c r="H6" s="79">
        <f t="shared" si="13"/>
        <v>2.3672833333333334</v>
      </c>
      <c r="I6" s="82">
        <f t="shared" si="14"/>
        <v>4.13168884942531E-2</v>
      </c>
      <c r="J6" s="82">
        <f t="shared" si="15"/>
        <v>4.13168884942531E-2</v>
      </c>
      <c r="K6" s="52">
        <f t="shared" si="16"/>
        <v>79.833883333333333</v>
      </c>
      <c r="L6" s="82">
        <f t="shared" si="17"/>
        <v>1.3933641188196924</v>
      </c>
      <c r="M6" s="52">
        <f t="shared" si="18"/>
        <v>141.11630244183175</v>
      </c>
      <c r="N6" s="113" cm="1">
        <f t="array" aca="1" ref="N6" ca="1">_xlfn.IFS(D6&lt;&gt;OFFSET(D6,1,),M6+OFFSET(M6,1,),OFFSET(M6,1,)-M6&lt;0,(OFFSET(M6,1,)-M6)*-1,OFFSET(M6,1,)-M6&gt;0,OFFSET(M6,1,)-M6)</f>
        <v>7.8228862926371505</v>
      </c>
      <c r="O6" s="52">
        <f>(DEGREES(IF(D6=D7,I7-I6,I6+I7)))*60</f>
        <v>7.868999999999998</v>
      </c>
      <c r="P6" s="52">
        <f>_xlfn.IFS(AND(D7="N",D6&lt;&gt;D7,O6&gt;0),O6*-1,AND(D7="N",D6=D7,O6&lt;0),O6*-1,AND(D7="S",D6=D7,O6&gt;0),O6,AND(D7="S",D6&lt;&gt;D7,O6&lt;0),O6,AND(D7="N",D7&lt;&gt;D6,O6&lt;0),O6*-1,AND(D7="N",D7=D6,O6&lt;0),O6*-1,AND(D7="S",D6=D7,O6&lt;0),O6,AND(D7="N",D7=D6,O6&gt;0),O6*-1)</f>
        <v>7.868999999999998</v>
      </c>
      <c r="Q6" s="52">
        <f>(DEGREES(_xlfn.IFS(G6=G7,L7-L6,(L6+L7)&gt;(RADIANS(180)),RADIANS(360)-(L6+L7),G6&lt;&gt;G7,L6+L7)))*60</f>
        <v>1.8860000000005033</v>
      </c>
      <c r="R6" s="52" cm="1">
        <f t="array" ref="R6">_xlfn.IFS(AND(G7="E",G7&lt;&gt;G6,L6+L7&gt;(RADIANS(180)),Q6&lt;0),Q6*-1,AND(G7="W",G7&lt;&gt;G6,L7+L6&gt;(RADIANS(180)),Q6&lt;0),Q6,AND(G7="E",G7&lt;&gt;G6,L7+L6&gt;(RADIANS(180)),Q6&gt;0),Q6,AND(G7="W",G7&lt;&gt;G6,L7+L6&gt;(RADIANS(180)),Q6&gt;0),Q6*-1,AND(G7="W",G7=G6,Q6&lt;0),Q6,AND(G7="W",G7=G6,Q6&gt;0),Q6,AND(G7="E",G7=G6,Q6&lt;0),Q6*-1,AND(G7="E",G7=G6,Q6&gt;0),Q6*-1,AND(G7="E",G7&lt;&gt;G6,Q6&gt;0),Q6*-1,AND(G7="E",G7&lt;&gt;G6,Q6&lt;0),Q6,AND(G7="W",G7&lt;&gt;G6,Q6&gt;0),Q6,AND(G7="W",G7&lt;&gt;G6,Q6&lt;0),Q6*-1)</f>
        <v>1.8860000000005033</v>
      </c>
      <c r="S6" s="114">
        <f t="shared" si="22"/>
        <v>7.868999999999998</v>
      </c>
      <c r="T6" s="114">
        <f t="shared" si="23"/>
        <v>1.8860000000005033</v>
      </c>
      <c r="U6" s="52">
        <f t="shared" ca="1" si="24"/>
        <v>13.5546336588305</v>
      </c>
      <c r="V6" s="115">
        <f t="shared" ca="1" si="25"/>
        <v>193.55463365883051</v>
      </c>
      <c r="W6" s="116">
        <f t="shared" ca="1" si="26"/>
        <v>8.0944558540372427</v>
      </c>
      <c r="X6" s="52">
        <f>AVERAGE(H6,H7)</f>
        <v>2.4328583333333333</v>
      </c>
      <c r="Y6" s="52">
        <f t="shared" si="28"/>
        <v>1.8843000552127527</v>
      </c>
      <c r="Z6" s="52">
        <f t="shared" si="29"/>
        <v>13.466401466040878</v>
      </c>
      <c r="AA6" s="115">
        <f t="shared" si="30"/>
        <v>193.46640146604088</v>
      </c>
      <c r="AB6" s="116">
        <f t="shared" si="31"/>
        <v>8.0914614068210664</v>
      </c>
      <c r="AC6" s="52">
        <f>DEGREES(ACOS(((SIN(J7)-(SIN(J6))*(COS(RADIANS(AE6/60))))/(COS(J6)*SIN(RADIANS(AE6/60))))))</f>
        <v>13.465737472905648</v>
      </c>
      <c r="AD6" s="115">
        <f t="shared" si="33"/>
        <v>193.46573747290566</v>
      </c>
      <c r="AE6" s="116">
        <f>(DEGREES(ACOS((SIN(J6)*SIN(J7)+(COS(J6)*COS(J7)*COS(RADIANS(T6/60)))))))*60</f>
        <v>8.0914613104954753</v>
      </c>
      <c r="AF6" s="100" t="s">
        <v>102</v>
      </c>
      <c r="AG6" s="101" cm="1">
        <f t="array" aca="1" ref="AG6" ca="1">_xlfn.IFS(AH6=W6,V6,AH6=AB6,AA6,AH6=AE6,AD6)</f>
        <v>193.46640146604088</v>
      </c>
      <c r="AH6" s="79">
        <f t="shared" ca="1" si="35"/>
        <v>8.0914614068210664</v>
      </c>
      <c r="AI6" s="79">
        <f t="shared" ca="1" si="36"/>
        <v>443.46640146604091</v>
      </c>
      <c r="AJ6" s="80">
        <f t="shared" ca="1" si="37"/>
        <v>83.466401466040907</v>
      </c>
      <c r="AK6" s="80">
        <f t="shared" ca="1" si="38"/>
        <v>6.5335985339590934</v>
      </c>
      <c r="AL6" s="52">
        <f t="shared" ca="1" si="39"/>
        <v>3.5906126534211178</v>
      </c>
      <c r="AM6" s="52">
        <f t="shared" ca="1" si="40"/>
        <v>14.994708985762147</v>
      </c>
      <c r="AN6" s="52">
        <f t="shared" ca="1" si="41"/>
        <v>0</v>
      </c>
      <c r="AO6" s="52">
        <f t="shared" ca="1" si="42"/>
        <v>0</v>
      </c>
      <c r="AP6" s="52">
        <f t="shared" ca="1" si="43"/>
        <v>193.46640146604088</v>
      </c>
      <c r="AQ6" s="81">
        <f t="shared" ca="1" si="44"/>
        <v>-14.994708985762147</v>
      </c>
      <c r="AR6" s="82">
        <f t="shared" ca="1" si="45"/>
        <v>0</v>
      </c>
      <c r="AS6" s="82">
        <f t="shared" ca="1" si="46"/>
        <v>-3.5906126534211178</v>
      </c>
      <c r="AT6" s="82">
        <f t="shared" ca="1" si="47"/>
        <v>0</v>
      </c>
      <c r="AU6" s="52">
        <f t="shared" ca="1" si="48"/>
        <v>-14.994708985762147</v>
      </c>
      <c r="AV6" s="52">
        <f t="shared" ca="1" si="49"/>
        <v>-3.5906126534211178</v>
      </c>
      <c r="AW6" s="52">
        <f t="shared" ca="1" si="50"/>
        <v>13.466401466040876</v>
      </c>
      <c r="AX6" s="52">
        <f t="shared" ca="1" si="51"/>
        <v>13.466401466040876</v>
      </c>
      <c r="AY6" s="52">
        <f t="shared" ca="1" si="9"/>
        <v>0</v>
      </c>
      <c r="AZ6" s="71">
        <v>1</v>
      </c>
      <c r="BA6" s="117">
        <f>_xlfn.IFS(AZ6=1,Références!$B$80,AZ6=2,Références!$B$81,AZ6=3,Références!$B$82,AZ6=4,Références!$B$83,AZ6=5,Références!$B$84,AZ6=6,Références!$B$85,AZ6=7,Références!$B$86,AZ6=8,Références!$B$87,AZ6=9,Références!$B$88,AZ6=10,Références!$B$89,AZ6=11,Références!$B$90,AZ6=12,Références!$B$91)</f>
        <v>1</v>
      </c>
      <c r="BB6" s="117" t="s">
        <v>69</v>
      </c>
      <c r="BC6" s="118" cm="1">
        <f t="array" ref="BC6">_xlfn.IFS(BB6="Beam", -0.0000000868778*BA6^5-0.0000459619*BA6^4+0.00347366*BA6^3-0.0884721*BA6^2+0.510463*BA6+14.9932,BB6="Following",0.000652681*BA6^3-0.0356523*BA6^2+0.29714*BA6+15.2038,BB6="Head",-0.00000154449*BA6^5+0.0000797696*BA6^4+0.000148965*BA6^3-0.0570448*BA6^2+0.244115*BA6+15.0029)</f>
        <v>15.418618511222199</v>
      </c>
      <c r="BD6" s="106"/>
      <c r="BE6" s="100">
        <v>250</v>
      </c>
      <c r="BF6" s="119">
        <v>0</v>
      </c>
      <c r="BG6" s="52">
        <f t="shared" ca="1" si="52"/>
        <v>15.418618511222201</v>
      </c>
      <c r="BH6" s="52">
        <f t="shared" ca="1" si="53"/>
        <v>193.46640146604088</v>
      </c>
      <c r="BI6" s="82">
        <f t="shared" ca="1" si="54"/>
        <v>193.46640146604088</v>
      </c>
      <c r="BJ6" s="106"/>
      <c r="BK6" s="120">
        <f t="shared" ca="1" si="55"/>
        <v>31.487106581948915</v>
      </c>
      <c r="BL6" s="112">
        <f t="shared" si="56"/>
        <v>-5</v>
      </c>
      <c r="BM6" s="121">
        <f t="shared" si="57"/>
        <v>0.20833333333333334</v>
      </c>
      <c r="BN6" s="122">
        <f t="shared" ca="1" si="58"/>
        <v>2.1866046237464524E-2</v>
      </c>
      <c r="BO6" s="123">
        <f t="shared" ref="BO6:BO35" ca="1" si="60">BO5+BN5</f>
        <v>44927.454862378647</v>
      </c>
      <c r="BP6" s="123">
        <f t="shared" ca="1" si="59"/>
        <v>44927.663195711983</v>
      </c>
      <c r="BS6" s="2"/>
      <c r="BT6" s="7"/>
    </row>
    <row r="7" spans="1:72" x14ac:dyDescent="0.25">
      <c r="A7" s="51">
        <v>4</v>
      </c>
      <c r="B7" s="92">
        <v>2</v>
      </c>
      <c r="C7" s="51">
        <v>29.905999999999999</v>
      </c>
      <c r="D7" s="93" t="s">
        <v>16</v>
      </c>
      <c r="E7" s="51">
        <v>79</v>
      </c>
      <c r="F7" s="51">
        <v>51.918999999999997</v>
      </c>
      <c r="G7" s="94" t="s">
        <v>18</v>
      </c>
      <c r="H7" s="92">
        <f t="shared" si="13"/>
        <v>2.4984333333333333</v>
      </c>
      <c r="I7" s="95">
        <f t="shared" si="14"/>
        <v>4.3605887808243662E-2</v>
      </c>
      <c r="J7" s="95">
        <f t="shared" si="15"/>
        <v>4.3605887808243662E-2</v>
      </c>
      <c r="K7" s="51">
        <f t="shared" si="16"/>
        <v>79.865316666666672</v>
      </c>
      <c r="L7" s="95">
        <f t="shared" si="17"/>
        <v>1.3939127339812361</v>
      </c>
      <c r="M7" s="51">
        <f t="shared" si="18"/>
        <v>148.9391887344689</v>
      </c>
      <c r="N7" s="96" cm="1">
        <f t="array" aca="1" ref="N7" ca="1">_xlfn.IFS(D7&lt;&gt;OFFSET(D7,1,),M7+OFFSET(M7,1,),OFFSET(M7,1,)-M7&lt;0,(OFFSET(M7,1,)-M7)*-1,OFFSET(M7,1,)-M7&gt;0,OFFSET(M7,1,)-M7)</f>
        <v>4.3417476770813721</v>
      </c>
      <c r="O7" s="51">
        <f t="shared" si="19"/>
        <v>4.3669999999999813</v>
      </c>
      <c r="P7" s="51">
        <f t="shared" si="20"/>
        <v>4.3669999999999813</v>
      </c>
      <c r="Q7" s="51">
        <f t="shared" si="21"/>
        <v>1.2809999999995998</v>
      </c>
      <c r="R7" s="51" cm="1">
        <f t="array" ref="R7">_xlfn.IFS(AND(G8="E",G8&lt;&gt;G7,L7+L8&gt;(RADIANS(180)),Q7&lt;0),Q7*-1,AND(G8="W",G8&lt;&gt;G7,L8+L7&gt;(RADIANS(180)),Q7&lt;0),Q7,AND(G8="E",G8&lt;&gt;G7,L8+L7&gt;(RADIANS(180)),Q7&gt;0),Q7,AND(G8="W",G8&lt;&gt;G7,L8+L7&gt;(RADIANS(180)),Q7&gt;0),Q7*-1,AND(G8="W",G8=G7,Q7&lt;0),Q7,AND(G8="W",G8=G7,Q7&gt;0),Q7,AND(G8="E",G8=G7,Q7&lt;0),Q7*-1,AND(G8="E",G8=G7,Q7&gt;0),Q7*-1,AND(G8="E",G8&lt;&gt;G7,Q7&gt;0),Q7*-1,AND(G8="E",G8&lt;&gt;G7,Q7&lt;0),Q7,AND(G8="W",G8&lt;&gt;G7,Q7&gt;0),Q7,AND(G8="W",G8&lt;&gt;G7,Q7&lt;0),Q7*-1)</f>
        <v>1.2809999999995998</v>
      </c>
      <c r="S7" s="97">
        <f t="shared" si="22"/>
        <v>4.3669999999999813</v>
      </c>
      <c r="T7" s="97">
        <f t="shared" si="23"/>
        <v>1.2809999999995998</v>
      </c>
      <c r="U7" s="51">
        <f t="shared" ca="1" si="24"/>
        <v>16.438298242023855</v>
      </c>
      <c r="V7" s="98">
        <f t="shared" ca="1" si="25"/>
        <v>196.43829824202385</v>
      </c>
      <c r="W7" s="99">
        <f t="shared" ca="1" si="26"/>
        <v>4.5531081374682048</v>
      </c>
      <c r="X7" s="51">
        <f t="shared" si="27"/>
        <v>2.5348249999999997</v>
      </c>
      <c r="Y7" s="51">
        <f t="shared" si="28"/>
        <v>1.2797465731436788</v>
      </c>
      <c r="Z7" s="51">
        <f t="shared" si="29"/>
        <v>16.333189209633723</v>
      </c>
      <c r="AA7" s="98">
        <f t="shared" si="30"/>
        <v>196.33318920963373</v>
      </c>
      <c r="AB7" s="99">
        <f t="shared" si="31"/>
        <v>4.550652732462984</v>
      </c>
      <c r="AC7" s="51">
        <f t="shared" si="32"/>
        <v>16.332718325331239</v>
      </c>
      <c r="AD7" s="98">
        <f t="shared" si="33"/>
        <v>196.33271832533123</v>
      </c>
      <c r="AE7" s="99">
        <f t="shared" si="34"/>
        <v>4.5506527084980251</v>
      </c>
      <c r="AF7" s="100" t="s">
        <v>102</v>
      </c>
      <c r="AG7" s="101" cm="1">
        <f t="array" aca="1" ref="AG7" ca="1">_xlfn.IFS(AH7=W7,V7,AH7=AB7,AA7,AH7=AE7,AD7)</f>
        <v>196.33318920963373</v>
      </c>
      <c r="AH7" s="92">
        <f t="shared" ca="1" si="35"/>
        <v>4.550652732462984</v>
      </c>
      <c r="AI7" s="92">
        <f t="shared" ca="1" si="36"/>
        <v>446.3331892096337</v>
      </c>
      <c r="AJ7" s="102">
        <f t="shared" ca="1" si="37"/>
        <v>86.333189209633701</v>
      </c>
      <c r="AK7" s="102">
        <f t="shared" ca="1" si="38"/>
        <v>3.6668107903662985</v>
      </c>
      <c r="AL7" s="51">
        <f t="shared" ca="1" si="39"/>
        <v>4.3360645960929318</v>
      </c>
      <c r="AM7" s="51">
        <f t="shared" ca="1" si="40"/>
        <v>14.796362411522411</v>
      </c>
      <c r="AN7" s="51">
        <f t="shared" ca="1" si="41"/>
        <v>0</v>
      </c>
      <c r="AO7" s="51">
        <f t="shared" ca="1" si="42"/>
        <v>0</v>
      </c>
      <c r="AP7" s="51">
        <f t="shared" ca="1" si="43"/>
        <v>196.33318920963373</v>
      </c>
      <c r="AQ7" s="5">
        <f t="shared" ca="1" si="44"/>
        <v>-14.796362411522411</v>
      </c>
      <c r="AR7" s="95">
        <f t="shared" ca="1" si="45"/>
        <v>0</v>
      </c>
      <c r="AS7" s="95">
        <f t="shared" ca="1" si="46"/>
        <v>-4.3360645960929318</v>
      </c>
      <c r="AT7" s="95">
        <f t="shared" ca="1" si="47"/>
        <v>0</v>
      </c>
      <c r="AU7" s="51">
        <f t="shared" ca="1" si="48"/>
        <v>-14.796362411522411</v>
      </c>
      <c r="AV7" s="51">
        <f t="shared" ca="1" si="49"/>
        <v>-4.3360645960929318</v>
      </c>
      <c r="AW7" s="51">
        <f t="shared" ca="1" si="50"/>
        <v>16.333189209633726</v>
      </c>
      <c r="AX7" s="51">
        <f t="shared" ca="1" si="51"/>
        <v>16.333189209633726</v>
      </c>
      <c r="AY7" s="51">
        <f t="shared" ca="1" si="9"/>
        <v>0</v>
      </c>
      <c r="AZ7" s="103">
        <v>1</v>
      </c>
      <c r="BA7" s="104">
        <f>_xlfn.IFS(AZ7=1,Références!$B$80,AZ7=2,Références!$B$81,AZ7=3,Références!$B$82,AZ7=4,Références!$B$83,AZ7=5,Références!$B$84,AZ7=6,Références!$B$85,AZ7=7,Références!$B$86,AZ7=8,Références!$B$87,AZ7=9,Références!$B$88,AZ7=10,Références!$B$89,AZ7=11,Références!$B$90,AZ7=12,Références!$B$91)</f>
        <v>1</v>
      </c>
      <c r="BB7" s="104" t="s">
        <v>69</v>
      </c>
      <c r="BC7" s="105" cm="1">
        <f t="array" ref="BC7">_xlfn.IFS(BB7="Beam", -0.0000000868778*BA7^5-0.0000459619*BA7^4+0.00347366*BA7^3-0.0884721*BA7^2+0.510463*BA7+14.9932,BB7="Following",0.000652681*BA7^3-0.0356523*BA7^2+0.29714*BA7+15.2038,BB7="Head",-0.00000154449*BA7^5+0.0000797696*BA7^4+0.000148965*BA7^3-0.0570448*BA7^2+0.244115*BA7+15.0029)</f>
        <v>15.418618511222199</v>
      </c>
      <c r="BD7" s="106"/>
      <c r="BE7" s="100">
        <v>250</v>
      </c>
      <c r="BF7" s="107">
        <v>0</v>
      </c>
      <c r="BG7" s="51">
        <f t="shared" ca="1" si="52"/>
        <v>15.418618511222199</v>
      </c>
      <c r="BH7" s="51">
        <f t="shared" ca="1" si="53"/>
        <v>196.33318920963373</v>
      </c>
      <c r="BI7" s="82">
        <f t="shared" ca="1" si="54"/>
        <v>196.33318920963373</v>
      </c>
      <c r="BJ7" s="106"/>
      <c r="BK7" s="108">
        <f t="shared" ca="1" si="55"/>
        <v>17.708406479416546</v>
      </c>
      <c r="BL7" s="93">
        <f t="shared" si="56"/>
        <v>-5</v>
      </c>
      <c r="BM7" s="109">
        <f t="shared" si="57"/>
        <v>0.20833333333333334</v>
      </c>
      <c r="BN7" s="110">
        <f t="shared" ca="1" si="58"/>
        <v>1.2297504499594823E-2</v>
      </c>
      <c r="BO7" s="124">
        <f ca="1">BO6+BN6</f>
        <v>44927.476728424881</v>
      </c>
      <c r="BP7" s="124">
        <f ca="1">BP6+BN6</f>
        <v>44927.685061758217</v>
      </c>
      <c r="BS7" s="2"/>
      <c r="BT7" s="7"/>
    </row>
    <row r="8" spans="1:72" x14ac:dyDescent="0.25">
      <c r="A8" s="52">
        <v>5</v>
      </c>
      <c r="B8" s="79">
        <v>2</v>
      </c>
      <c r="C8" s="52">
        <v>34.273000000000003</v>
      </c>
      <c r="D8" s="112" t="s">
        <v>16</v>
      </c>
      <c r="E8" s="52">
        <v>79</v>
      </c>
      <c r="F8" s="52">
        <v>53.2</v>
      </c>
      <c r="G8" s="112" t="s">
        <v>18</v>
      </c>
      <c r="H8" s="79">
        <f t="shared" si="13"/>
        <v>2.5712166666666665</v>
      </c>
      <c r="I8" s="82">
        <f t="shared" si="14"/>
        <v>4.4876196615486863E-2</v>
      </c>
      <c r="J8" s="82">
        <f t="shared" si="15"/>
        <v>4.4876196615486863E-2</v>
      </c>
      <c r="K8" s="52">
        <f t="shared" si="16"/>
        <v>79.88666666666667</v>
      </c>
      <c r="L8" s="82">
        <f t="shared" si="17"/>
        <v>1.3942853617765367</v>
      </c>
      <c r="M8" s="52">
        <f t="shared" si="18"/>
        <v>153.28093641155027</v>
      </c>
      <c r="N8" s="113" cm="1">
        <f t="array" aca="1" ref="N8" ca="1">_xlfn.IFS(D8&lt;&gt;OFFSET(D8,1,),M8+OFFSET(M8,1,),OFFSET(M8,1,)-M8&lt;0,(OFFSET(M8,1,)-M8)*-1,OFFSET(M8,1,)-M8&gt;0,OFFSET(M8,1,)-M8)</f>
        <v>1.2368521612263237</v>
      </c>
      <c r="O8" s="52">
        <f t="shared" si="19"/>
        <v>1.2440000000000206</v>
      </c>
      <c r="P8" s="52">
        <f t="shared" si="20"/>
        <v>1.2440000000000206</v>
      </c>
      <c r="Q8" s="52">
        <f t="shared" si="21"/>
        <v>0.69800000000069962</v>
      </c>
      <c r="R8" s="52" cm="1">
        <f t="array" ref="R8">_xlfn.IFS(AND(G9="E",G9&lt;&gt;G8,L8+L9&gt;(RADIANS(180)),Q8&lt;0),Q8*-1,AND(G9="W",G9&lt;&gt;G8,L9+L8&gt;(RADIANS(180)),Q8&lt;0),Q8,AND(G9="E",G9&lt;&gt;G8,L9+L8&gt;(RADIANS(180)),Q8&gt;0),Q8,AND(G9="W",G9&lt;&gt;G8,L9+L8&gt;(RADIANS(180)),Q8&gt;0),Q8*-1,AND(G9="W",G9=G8,Q8&lt;0),Q8,AND(G9="W",G9=G8,Q8&gt;0),Q8,AND(G9="E",G9=G8,Q8&lt;0),Q8*-1,AND(G9="E",G9=G8,Q8&gt;0),Q8*-1,AND(G9="E",G9&lt;&gt;G8,Q8&gt;0),Q8*-1,AND(G9="E",G9&lt;&gt;G8,Q8&lt;0),Q8,AND(G9="W",G9&lt;&gt;G8,Q8&gt;0),Q8,AND(G9="W",G9&lt;&gt;G8,Q8&lt;0),Q8*-1)</f>
        <v>0.69800000000069962</v>
      </c>
      <c r="S8" s="114">
        <f t="shared" si="22"/>
        <v>1.2440000000000206</v>
      </c>
      <c r="T8" s="114">
        <f t="shared" si="23"/>
        <v>0.69800000000069962</v>
      </c>
      <c r="U8" s="52">
        <f t="shared" ca="1" si="24"/>
        <v>29.437594558125877</v>
      </c>
      <c r="V8" s="115">
        <f t="shared" ca="1" si="25"/>
        <v>209.43759455812588</v>
      </c>
      <c r="W8" s="116">
        <f t="shared" ca="1" si="26"/>
        <v>1.428421307065709</v>
      </c>
      <c r="X8" s="52">
        <f t="shared" si="27"/>
        <v>2.5815833333333336</v>
      </c>
      <c r="Y8" s="52">
        <f t="shared" si="28"/>
        <v>0.6972915992957186</v>
      </c>
      <c r="Z8" s="52">
        <f t="shared" si="29"/>
        <v>29.271667737068032</v>
      </c>
      <c r="AA8" s="115">
        <f t="shared" si="30"/>
        <v>209.27166773706804</v>
      </c>
      <c r="AB8" s="116">
        <f t="shared" si="31"/>
        <v>1.4260966217085125</v>
      </c>
      <c r="AC8" s="52">
        <f t="shared" si="32"/>
        <v>29.271406010035626</v>
      </c>
      <c r="AD8" s="115">
        <f t="shared" si="33"/>
        <v>209.27140601003563</v>
      </c>
      <c r="AE8" s="116">
        <f t="shared" si="34"/>
        <v>1.4260966205238224</v>
      </c>
      <c r="AF8" s="100" t="s">
        <v>102</v>
      </c>
      <c r="AG8" s="101" cm="1">
        <f t="array" aca="1" ref="AG8" ca="1">_xlfn.IFS(AH8=W8,V8,AH8=AB8,AA8,AH8=AE8,AD8)</f>
        <v>209.27166773706804</v>
      </c>
      <c r="AH8" s="79">
        <f t="shared" ca="1" si="35"/>
        <v>1.4260966217085125</v>
      </c>
      <c r="AI8" s="79">
        <f t="shared" ca="1" si="36"/>
        <v>459.27166773706801</v>
      </c>
      <c r="AJ8" s="80">
        <f t="shared" ca="1" si="37"/>
        <v>99.271667737068015</v>
      </c>
      <c r="AK8" s="80">
        <f t="shared" ca="1" si="38"/>
        <v>9.2716677370680145</v>
      </c>
      <c r="AL8" s="52">
        <f t="shared" ca="1" si="39"/>
        <v>7.5389514265452124</v>
      </c>
      <c r="AM8" s="52">
        <f t="shared" ca="1" si="40"/>
        <v>13.449833016911244</v>
      </c>
      <c r="AN8" s="52">
        <f t="shared" ca="1" si="41"/>
        <v>0</v>
      </c>
      <c r="AO8" s="52">
        <f t="shared" ca="1" si="42"/>
        <v>0</v>
      </c>
      <c r="AP8" s="52">
        <f t="shared" ca="1" si="43"/>
        <v>209.27166773706804</v>
      </c>
      <c r="AQ8" s="81">
        <f t="shared" ca="1" si="44"/>
        <v>-13.449833016911244</v>
      </c>
      <c r="AR8" s="82">
        <f t="shared" ca="1" si="45"/>
        <v>0</v>
      </c>
      <c r="AS8" s="82">
        <f t="shared" ca="1" si="46"/>
        <v>-7.5389514265452124</v>
      </c>
      <c r="AT8" s="82">
        <f t="shared" ca="1" si="47"/>
        <v>0</v>
      </c>
      <c r="AU8" s="52">
        <f t="shared" ca="1" si="48"/>
        <v>-13.449833016911244</v>
      </c>
      <c r="AV8" s="52">
        <f t="shared" ca="1" si="49"/>
        <v>-7.5389514265452124</v>
      </c>
      <c r="AW8" s="52">
        <f t="shared" ca="1" si="50"/>
        <v>29.271667737068032</v>
      </c>
      <c r="AX8" s="52">
        <f t="shared" ca="1" si="51"/>
        <v>29.271667737068032</v>
      </c>
      <c r="AY8" s="52">
        <f t="shared" ca="1" si="9"/>
        <v>0</v>
      </c>
      <c r="AZ8" s="71">
        <v>1</v>
      </c>
      <c r="BA8" s="117">
        <f>_xlfn.IFS(AZ8=1,Références!$B$80,AZ8=2,Références!$B$81,AZ8=3,Références!$B$82,AZ8=4,Références!$B$83,AZ8=5,Références!$B$84,AZ8=6,Références!$B$85,AZ8=7,Références!$B$86,AZ8=8,Références!$B$87,AZ8=9,Références!$B$88,AZ8=10,Références!$B$89,AZ8=11,Références!$B$90,AZ8=12,Références!$B$91)</f>
        <v>1</v>
      </c>
      <c r="BB8" s="117" t="s">
        <v>69</v>
      </c>
      <c r="BC8" s="118" cm="1">
        <f t="array" ref="BC8">_xlfn.IFS(BB8="Beam", -0.0000000868778*BA8^5-0.0000459619*BA8^4+0.00347366*BA8^3-0.0884721*BA8^2+0.510463*BA8+14.9932,BB8="Following",0.000652681*BA8^3-0.0356523*BA8^2+0.29714*BA8+15.2038,BB8="Head",-0.00000154449*BA8^5+0.0000797696*BA8^4+0.000148965*BA8^3-0.0570448*BA8^2+0.244115*BA8+15.0029)</f>
        <v>15.418618511222199</v>
      </c>
      <c r="BD8" s="106"/>
      <c r="BE8" s="100">
        <v>250</v>
      </c>
      <c r="BF8" s="119">
        <v>0</v>
      </c>
      <c r="BG8" s="52">
        <f t="shared" ca="1" si="52"/>
        <v>15.418618511222201</v>
      </c>
      <c r="BH8" s="52">
        <f t="shared" ca="1" si="53"/>
        <v>209.27166773706804</v>
      </c>
      <c r="BI8" s="82">
        <f t="shared" ca="1" si="54"/>
        <v>209.27166773706804</v>
      </c>
      <c r="BJ8" s="106"/>
      <c r="BK8" s="120">
        <f t="shared" ca="1" si="55"/>
        <v>5.5495112769171255</v>
      </c>
      <c r="BL8" s="112">
        <f t="shared" si="56"/>
        <v>-5</v>
      </c>
      <c r="BM8" s="121">
        <f t="shared" si="57"/>
        <v>0.20833333333333334</v>
      </c>
      <c r="BN8" s="122">
        <f t="shared" ca="1" si="58"/>
        <v>3.8538272756368929E-3</v>
      </c>
      <c r="BO8" s="123">
        <f t="shared" ca="1" si="60"/>
        <v>44927.489025929382</v>
      </c>
      <c r="BP8" s="123">
        <f t="shared" ca="1" si="59"/>
        <v>44927.697359262718</v>
      </c>
      <c r="BS8" s="2"/>
      <c r="BT8" s="7"/>
    </row>
    <row r="9" spans="1:72" x14ac:dyDescent="0.25">
      <c r="A9" s="51">
        <v>6</v>
      </c>
      <c r="B9" s="92">
        <v>2</v>
      </c>
      <c r="C9" s="51">
        <v>35.517000000000003</v>
      </c>
      <c r="D9" s="93" t="s">
        <v>16</v>
      </c>
      <c r="E9" s="51">
        <v>79</v>
      </c>
      <c r="F9" s="51">
        <v>53.898000000000003</v>
      </c>
      <c r="G9" s="94" t="s">
        <v>18</v>
      </c>
      <c r="H9" s="92">
        <f t="shared" si="13"/>
        <v>2.5919500000000002</v>
      </c>
      <c r="I9" s="95">
        <f t="shared" si="14"/>
        <v>4.5238061547067027E-2</v>
      </c>
      <c r="J9" s="95">
        <f t="shared" si="15"/>
        <v>4.5238061547067027E-2</v>
      </c>
      <c r="K9" s="51">
        <f t="shared" si="16"/>
        <v>79.898300000000006</v>
      </c>
      <c r="L9" s="95">
        <f t="shared" si="17"/>
        <v>1.3944884017461856</v>
      </c>
      <c r="M9" s="51">
        <f t="shared" si="18"/>
        <v>154.5177885727766</v>
      </c>
      <c r="N9" s="96" cm="1">
        <f t="array" aca="1" ref="N9" ca="1">_xlfn.IFS(D9&lt;&gt;OFFSET(D9,1,),M9+OFFSET(M9,1,),OFFSET(M9,1,)-M9&lt;0,(OFFSET(M9,1,)-M9)*-1,OFFSET(M9,1,)-M9&gt;0,OFFSET(M9,1,)-M9)</f>
        <v>1.0757996827216232</v>
      </c>
      <c r="O9" s="51">
        <f t="shared" si="19"/>
        <v>1.0819999999999801</v>
      </c>
      <c r="P9" s="51">
        <f t="shared" si="20"/>
        <v>1.0819999999999801</v>
      </c>
      <c r="Q9" s="51">
        <f t="shared" si="21"/>
        <v>0.78699999999943704</v>
      </c>
      <c r="R9" s="51" cm="1">
        <f t="array" ref="R9">_xlfn.IFS(AND(G10="E",G10&lt;&gt;G9,L9+L10&gt;(RADIANS(180)),Q9&lt;0),Q9*-1,AND(G10="W",G10&lt;&gt;G9,L10+L9&gt;(RADIANS(180)),Q9&lt;0),Q9,AND(G10="E",G10&lt;&gt;G9,L10+L9&gt;(RADIANS(180)),Q9&gt;0),Q9,AND(G10="W",G10&lt;&gt;G9,L10+L9&gt;(RADIANS(180)),Q9&gt;0),Q9*-1,AND(G10="W",G10=G9,Q9&lt;0),Q9,AND(G10="W",G10=G9,Q9&gt;0),Q9,AND(G10="E",G10=G9,Q9&lt;0),Q9*-1,AND(G10="E",G10=G9,Q9&gt;0),Q9*-1,AND(G10="E",G10&lt;&gt;G9,Q9&gt;0),Q9*-1,AND(G10="E",G10&lt;&gt;G9,Q9&lt;0),Q9,AND(G10="W",G10&lt;&gt;G9,Q9&gt;0),Q9,AND(G10="W",G10&lt;&gt;G9,Q9&lt;0),Q9*-1)</f>
        <v>0.78699999999943704</v>
      </c>
      <c r="S9" s="97">
        <f t="shared" si="22"/>
        <v>1.0819999999999801</v>
      </c>
      <c r="T9" s="97">
        <f t="shared" si="23"/>
        <v>0.78699999999943704</v>
      </c>
      <c r="U9" s="51">
        <f t="shared" ca="1" si="24"/>
        <v>36.187292683824566</v>
      </c>
      <c r="V9" s="98">
        <f t="shared" ca="1" si="25"/>
        <v>216.18729268382458</v>
      </c>
      <c r="W9" s="99">
        <f t="shared" ca="1" si="26"/>
        <v>1.3406166409003462</v>
      </c>
      <c r="X9" s="51">
        <f t="shared" si="27"/>
        <v>2.6009666666666664</v>
      </c>
      <c r="Y9" s="51">
        <f t="shared" si="28"/>
        <v>0.78618923598837964</v>
      </c>
      <c r="Z9" s="51">
        <f t="shared" si="29"/>
        <v>36.002433673591064</v>
      </c>
      <c r="AA9" s="98">
        <f t="shared" si="30"/>
        <v>216.00243367359107</v>
      </c>
      <c r="AB9" s="99">
        <f t="shared" si="31"/>
        <v>1.3374668275452475</v>
      </c>
      <c r="AC9" s="51">
        <f t="shared" si="32"/>
        <v>36.002136300754827</v>
      </c>
      <c r="AD9" s="98">
        <f t="shared" si="33"/>
        <v>216.00213630075484</v>
      </c>
      <c r="AE9" s="99">
        <f t="shared" si="34"/>
        <v>1.3374668258247371</v>
      </c>
      <c r="AF9" s="100" t="s">
        <v>102</v>
      </c>
      <c r="AG9" s="101" cm="1">
        <f t="array" aca="1" ref="AG9" ca="1">_xlfn.IFS(AH9=W9,V9,AH9=AB9,AA9,AH9=AE9,AD9)</f>
        <v>216.00243367359107</v>
      </c>
      <c r="AH9" s="92">
        <f t="shared" ca="1" si="35"/>
        <v>1.3374668275452475</v>
      </c>
      <c r="AI9" s="92">
        <f t="shared" ca="1" si="36"/>
        <v>466.0024336735911</v>
      </c>
      <c r="AJ9" s="102">
        <f t="shared" ca="1" si="37"/>
        <v>106.0024336735911</v>
      </c>
      <c r="AK9" s="102">
        <f t="shared" ca="1" si="38"/>
        <v>16.002433673591099</v>
      </c>
      <c r="AL9" s="51">
        <f t="shared" ca="1" si="39"/>
        <v>9.0633664010810566</v>
      </c>
      <c r="AM9" s="51">
        <f t="shared" ca="1" si="40"/>
        <v>12.473539444534534</v>
      </c>
      <c r="AN9" s="51">
        <f t="shared" ca="1" si="41"/>
        <v>0</v>
      </c>
      <c r="AO9" s="51">
        <f t="shared" ca="1" si="42"/>
        <v>0</v>
      </c>
      <c r="AP9" s="51">
        <f t="shared" ca="1" si="43"/>
        <v>216.00243367359107</v>
      </c>
      <c r="AQ9" s="5">
        <f t="shared" ca="1" si="44"/>
        <v>-12.473539444534534</v>
      </c>
      <c r="AR9" s="95">
        <f t="shared" ca="1" si="45"/>
        <v>0</v>
      </c>
      <c r="AS9" s="95">
        <f t="shared" ca="1" si="46"/>
        <v>-9.0633664010810566</v>
      </c>
      <c r="AT9" s="95">
        <f t="shared" ca="1" si="47"/>
        <v>0</v>
      </c>
      <c r="AU9" s="51">
        <f t="shared" ca="1" si="48"/>
        <v>-12.473539444534534</v>
      </c>
      <c r="AV9" s="51">
        <f t="shared" ca="1" si="49"/>
        <v>-9.0633664010810566</v>
      </c>
      <c r="AW9" s="51">
        <f t="shared" ca="1" si="50"/>
        <v>36.002433673591064</v>
      </c>
      <c r="AX9" s="51">
        <f t="shared" ca="1" si="51"/>
        <v>36.002433673591064</v>
      </c>
      <c r="AY9" s="51">
        <f t="shared" ca="1" si="9"/>
        <v>0</v>
      </c>
      <c r="AZ9" s="103">
        <v>1</v>
      </c>
      <c r="BA9" s="104">
        <f>_xlfn.IFS(AZ9=1,Références!$B$80,AZ9=2,Références!$B$81,AZ9=3,Références!$B$82,AZ9=4,Références!$B$83,AZ9=5,Références!$B$84,AZ9=6,Références!$B$85,AZ9=7,Références!$B$86,AZ9=8,Références!$B$87,AZ9=9,Références!$B$88,AZ9=10,Références!$B$89,AZ9=11,Références!$B$90,AZ9=12,Références!$B$91)</f>
        <v>1</v>
      </c>
      <c r="BB9" s="104" t="s">
        <v>69</v>
      </c>
      <c r="BC9" s="105" cm="1">
        <f t="array" ref="BC9">_xlfn.IFS(BB9="Beam", -0.0000000868778*BA9^5-0.0000459619*BA9^4+0.00347366*BA9^3-0.0884721*BA9^2+0.510463*BA9+14.9932,BB9="Following",0.000652681*BA9^3-0.0356523*BA9^2+0.29714*BA9+15.2038,BB9="Head",-0.00000154449*BA9^5+0.0000797696*BA9^4+0.000148965*BA9^3-0.0570448*BA9^2+0.244115*BA9+15.0029)</f>
        <v>15.418618511222199</v>
      </c>
      <c r="BD9" s="106"/>
      <c r="BE9" s="100">
        <v>250</v>
      </c>
      <c r="BF9" s="107">
        <v>0</v>
      </c>
      <c r="BG9" s="51">
        <f t="shared" ca="1" si="52"/>
        <v>15.418618511222199</v>
      </c>
      <c r="BH9" s="51">
        <f t="shared" ca="1" si="53"/>
        <v>216.00243367359107</v>
      </c>
      <c r="BI9" s="82">
        <f t="shared" ca="1" si="54"/>
        <v>216.00243367359107</v>
      </c>
      <c r="BJ9" s="106"/>
      <c r="BK9" s="108">
        <f t="shared" ca="1" si="55"/>
        <v>5.2046173653176249</v>
      </c>
      <c r="BL9" s="93">
        <f t="shared" si="56"/>
        <v>-5</v>
      </c>
      <c r="BM9" s="109">
        <f t="shared" si="57"/>
        <v>0.20833333333333334</v>
      </c>
      <c r="BN9" s="110">
        <f t="shared" ca="1" si="58"/>
        <v>3.6143176148039063E-3</v>
      </c>
      <c r="BO9" s="124">
        <f t="shared" ca="1" si="60"/>
        <v>44927.492879756661</v>
      </c>
      <c r="BP9" s="124">
        <f t="shared" ca="1" si="59"/>
        <v>44927.701213089997</v>
      </c>
      <c r="BS9" s="2"/>
      <c r="BT9" s="7"/>
    </row>
    <row r="10" spans="1:72" x14ac:dyDescent="0.25">
      <c r="A10" s="52">
        <v>7</v>
      </c>
      <c r="B10" s="79">
        <v>2</v>
      </c>
      <c r="C10" s="52">
        <v>36.598999999999997</v>
      </c>
      <c r="D10" s="112" t="s">
        <v>16</v>
      </c>
      <c r="E10" s="52">
        <v>79</v>
      </c>
      <c r="F10" s="52">
        <v>54.685000000000002</v>
      </c>
      <c r="G10" s="112" t="s">
        <v>18</v>
      </c>
      <c r="H10" s="79">
        <f t="shared" si="13"/>
        <v>2.6099833333333331</v>
      </c>
      <c r="I10" s="82">
        <f t="shared" si="14"/>
        <v>4.5552802588843332E-2</v>
      </c>
      <c r="J10" s="82">
        <f t="shared" si="15"/>
        <v>4.5552802588843332E-2</v>
      </c>
      <c r="K10" s="52">
        <f t="shared" si="16"/>
        <v>79.911416666666668</v>
      </c>
      <c r="L10" s="82">
        <f t="shared" si="17"/>
        <v>1.3947173307664054</v>
      </c>
      <c r="M10" s="52">
        <f t="shared" si="18"/>
        <v>155.59358825549822</v>
      </c>
      <c r="N10" s="113" cm="1">
        <f t="array" aca="1" ref="N10" ca="1">_xlfn.IFS(D10&lt;&gt;OFFSET(D10,1,),M10+OFFSET(M10,1,),OFFSET(M10,1,)-M10&lt;0,(OFFSET(M10,1,)-M10)*-1,OFFSET(M10,1,)-M10&gt;0,OFFSET(M10,1,)-M10)</f>
        <v>2.185452817126162</v>
      </c>
      <c r="O10" s="52">
        <f t="shared" si="19"/>
        <v>2.1980000000000097</v>
      </c>
      <c r="P10" s="52">
        <f t="shared" si="20"/>
        <v>2.1980000000000097</v>
      </c>
      <c r="Q10" s="52">
        <f t="shared" si="21"/>
        <v>1.0439999999998739</v>
      </c>
      <c r="R10" s="52" cm="1">
        <f t="array" ref="R10">_xlfn.IFS(AND(G11="E",G11&lt;&gt;G10,L10+L11&gt;(RADIANS(180)),Q10&lt;0),Q10*-1,AND(G11="W",G11&lt;&gt;G10,L11+L10&gt;(RADIANS(180)),Q10&lt;0),Q10,AND(G11="E",G11&lt;&gt;G10,L11+L10&gt;(RADIANS(180)),Q10&gt;0),Q10,AND(G11="W",G11&lt;&gt;G10,L11+L10&gt;(RADIANS(180)),Q10&gt;0),Q10*-1,AND(G11="W",G11=G10,Q10&lt;0),Q10,AND(G11="W",G11=G10,Q10&gt;0),Q10,AND(G11="E",G11=G10,Q10&lt;0),Q10*-1,AND(G11="E",G11=G10,Q10&gt;0),Q10*-1,AND(G11="E",G11&lt;&gt;G10,Q10&gt;0),Q10*-1,AND(G11="E",G11&lt;&gt;G10,Q10&lt;0),Q10,AND(G11="W",G11&lt;&gt;G10,Q10&gt;0),Q10,AND(G11="W",G11&lt;&gt;G10,Q10&lt;0),Q10*-1)</f>
        <v>1.0439999999998739</v>
      </c>
      <c r="S10" s="114">
        <f t="shared" si="22"/>
        <v>2.1980000000000097</v>
      </c>
      <c r="T10" s="114">
        <f t="shared" si="23"/>
        <v>1.0439999999998739</v>
      </c>
      <c r="U10" s="52">
        <f t="shared" ca="1" si="24"/>
        <v>25.534002295300819</v>
      </c>
      <c r="V10" s="115">
        <f t="shared" ca="1" si="25"/>
        <v>205.53400229530081</v>
      </c>
      <c r="W10" s="116">
        <f t="shared" ca="1" si="26"/>
        <v>2.4359168845164398</v>
      </c>
      <c r="X10" s="52">
        <f t="shared" si="27"/>
        <v>2.6282999999999999</v>
      </c>
      <c r="Y10" s="52">
        <f t="shared" si="28"/>
        <v>1.0429017557190323</v>
      </c>
      <c r="Z10" s="52">
        <f t="shared" si="29"/>
        <v>25.383291705002797</v>
      </c>
      <c r="AA10" s="115">
        <f t="shared" si="30"/>
        <v>205.38329170500279</v>
      </c>
      <c r="AB10" s="116">
        <f t="shared" si="31"/>
        <v>2.4328682808738091</v>
      </c>
      <c r="AC10" s="52">
        <f t="shared" si="32"/>
        <v>25.382893328590075</v>
      </c>
      <c r="AD10" s="115">
        <f t="shared" si="33"/>
        <v>205.38289332859009</v>
      </c>
      <c r="AE10" s="116">
        <f t="shared" si="34"/>
        <v>2.4328682737270277</v>
      </c>
      <c r="AF10" s="100" t="s">
        <v>102</v>
      </c>
      <c r="AG10" s="101" cm="1">
        <f t="array" aca="1" ref="AG10" ca="1">_xlfn.IFS(AH10=W10,V10,AH10=AB10,AA10,AH10=AE10,AD10)</f>
        <v>205.38329170500279</v>
      </c>
      <c r="AH10" s="79">
        <f t="shared" ca="1" si="35"/>
        <v>2.4328682808738091</v>
      </c>
      <c r="AI10" s="79">
        <f t="shared" ca="1" si="36"/>
        <v>455.38329170500276</v>
      </c>
      <c r="AJ10" s="80">
        <f t="shared" ca="1" si="37"/>
        <v>95.383291705002762</v>
      </c>
      <c r="AK10" s="80">
        <f t="shared" ca="1" si="38"/>
        <v>5.3832917050027618</v>
      </c>
      <c r="AL10" s="52">
        <f t="shared" ca="1" si="39"/>
        <v>6.6095252433231364</v>
      </c>
      <c r="AM10" s="52">
        <f t="shared" ca="1" si="40"/>
        <v>13.930110295775769</v>
      </c>
      <c r="AN10" s="52">
        <f t="shared" ca="1" si="41"/>
        <v>0</v>
      </c>
      <c r="AO10" s="52">
        <f t="shared" ca="1" si="42"/>
        <v>0</v>
      </c>
      <c r="AP10" s="52">
        <f t="shared" ca="1" si="43"/>
        <v>205.38329170500279</v>
      </c>
      <c r="AQ10" s="81">
        <f t="shared" ca="1" si="44"/>
        <v>-13.930110295775769</v>
      </c>
      <c r="AR10" s="82">
        <f t="shared" ca="1" si="45"/>
        <v>0</v>
      </c>
      <c r="AS10" s="82">
        <f t="shared" ca="1" si="46"/>
        <v>-6.6095252433231364</v>
      </c>
      <c r="AT10" s="82">
        <f t="shared" ca="1" si="47"/>
        <v>0</v>
      </c>
      <c r="AU10" s="52">
        <f t="shared" ca="1" si="48"/>
        <v>-13.930110295775769</v>
      </c>
      <c r="AV10" s="52">
        <f t="shared" ca="1" si="49"/>
        <v>-6.6095252433231364</v>
      </c>
      <c r="AW10" s="52">
        <f t="shared" ca="1" si="50"/>
        <v>25.383291705002797</v>
      </c>
      <c r="AX10" s="52">
        <f t="shared" ca="1" si="51"/>
        <v>25.383291705002797</v>
      </c>
      <c r="AY10" s="52">
        <f t="shared" ca="1" si="9"/>
        <v>0</v>
      </c>
      <c r="AZ10" s="71">
        <v>1</v>
      </c>
      <c r="BA10" s="117">
        <f>_xlfn.IFS(AZ10=1,Références!$B$80,AZ10=2,Références!$B$81,AZ10=3,Références!$B$82,AZ10=4,Références!$B$83,AZ10=5,Références!$B$84,AZ10=6,Références!$B$85,AZ10=7,Références!$B$86,AZ10=8,Références!$B$87,AZ10=9,Références!$B$88,AZ10=10,Références!$B$89,AZ10=11,Références!$B$90,AZ10=12,Références!$B$91)</f>
        <v>1</v>
      </c>
      <c r="BB10" s="117" t="s">
        <v>69</v>
      </c>
      <c r="BC10" s="118" cm="1">
        <f t="array" ref="BC10">_xlfn.IFS(BB10="Beam", -0.0000000868778*BA10^5-0.0000459619*BA10^4+0.00347366*BA10^3-0.0884721*BA10^2+0.510463*BA10+14.9932,BB10="Following",0.000652681*BA10^3-0.0356523*BA10^2+0.29714*BA10+15.2038,BB10="Head",-0.00000154449*BA10^5+0.0000797696*BA10^4+0.000148965*BA10^3-0.0570448*BA10^2+0.244115*BA10+15.0029)</f>
        <v>15.418618511222199</v>
      </c>
      <c r="BD10" s="106"/>
      <c r="BE10" s="100">
        <v>250</v>
      </c>
      <c r="BF10" s="119">
        <v>0</v>
      </c>
      <c r="BG10" s="52">
        <f t="shared" ca="1" si="52"/>
        <v>15.418618511222199</v>
      </c>
      <c r="BH10" s="52">
        <f t="shared" ca="1" si="53"/>
        <v>205.38329170500279</v>
      </c>
      <c r="BI10" s="82">
        <f t="shared" ca="1" si="54"/>
        <v>205.38329170500279</v>
      </c>
      <c r="BJ10" s="106"/>
      <c r="BK10" s="120">
        <f t="shared" ca="1" si="55"/>
        <v>9.4672617229737579</v>
      </c>
      <c r="BL10" s="112">
        <f t="shared" si="56"/>
        <v>-5</v>
      </c>
      <c r="BM10" s="121">
        <f t="shared" si="57"/>
        <v>0.20833333333333334</v>
      </c>
      <c r="BN10" s="122">
        <f t="shared" ca="1" si="58"/>
        <v>6.5744873076206654E-3</v>
      </c>
      <c r="BO10" s="123">
        <f t="shared" ca="1" si="60"/>
        <v>44927.496494074272</v>
      </c>
      <c r="BP10" s="123">
        <f t="shared" ca="1" si="59"/>
        <v>44927.704827407608</v>
      </c>
      <c r="BS10" s="2"/>
      <c r="BT10" s="7"/>
    </row>
    <row r="11" spans="1:72" x14ac:dyDescent="0.25">
      <c r="A11" s="51">
        <v>8</v>
      </c>
      <c r="B11" s="92">
        <v>2</v>
      </c>
      <c r="C11" s="51">
        <v>38.796999999999997</v>
      </c>
      <c r="D11" s="93" t="s">
        <v>16</v>
      </c>
      <c r="E11" s="51">
        <v>79</v>
      </c>
      <c r="F11" s="51">
        <v>55.728999999999999</v>
      </c>
      <c r="G11" s="94" t="s">
        <v>18</v>
      </c>
      <c r="H11" s="92">
        <f t="shared" si="13"/>
        <v>2.6466166666666666</v>
      </c>
      <c r="I11" s="95">
        <f t="shared" si="14"/>
        <v>4.6192174871490591E-2</v>
      </c>
      <c r="J11" s="95">
        <f t="shared" si="15"/>
        <v>4.6192174871490591E-2</v>
      </c>
      <c r="K11" s="51">
        <f t="shared" si="16"/>
        <v>79.928816666666663</v>
      </c>
      <c r="L11" s="95">
        <f t="shared" si="17"/>
        <v>1.3950210180562523</v>
      </c>
      <c r="M11" s="51">
        <f t="shared" si="18"/>
        <v>157.77904107262438</v>
      </c>
      <c r="N11" s="96" cm="1">
        <f t="array" aca="1" ref="N11" ca="1">_xlfn.IFS(D11&lt;&gt;OFFSET(D11,1,),M11+OFFSET(M11,1,),OFFSET(M11,1,)-M11&lt;0,(OFFSET(M11,1,)-M11)*-1,OFFSET(M11,1,)-M11&gt;0,OFFSET(M11,1,)-M11)</f>
        <v>3.4702123673077665</v>
      </c>
      <c r="O11" s="51">
        <f t="shared" si="19"/>
        <v>3.4899999999999913</v>
      </c>
      <c r="P11" s="51">
        <f t="shared" si="20"/>
        <v>3.4899999999999913</v>
      </c>
      <c r="Q11" s="51">
        <f t="shared" si="21"/>
        <v>1.2129999999999297</v>
      </c>
      <c r="R11" s="51" cm="1">
        <f t="array" ref="R11">_xlfn.IFS(AND(G12="E",G12&lt;&gt;G11,L11+L12&gt;(RADIANS(180)),Q11&lt;0),Q11*-1,AND(G12="W",G12&lt;&gt;G11,L12+L11&gt;(RADIANS(180)),Q11&lt;0),Q11,AND(G12="E",G12&lt;&gt;G11,L12+L11&gt;(RADIANS(180)),Q11&gt;0),Q11,AND(G12="W",G12&lt;&gt;G11,L12+L11&gt;(RADIANS(180)),Q11&gt;0),Q11*-1,AND(G12="W",G12=G11,Q11&lt;0),Q11,AND(G12="W",G12=G11,Q11&gt;0),Q11,AND(G12="E",G12=G11,Q11&lt;0),Q11*-1,AND(G12="E",G12=G11,Q11&gt;0),Q11*-1,AND(G12="E",G12&lt;&gt;G11,Q11&gt;0),Q11*-1,AND(G12="E",G12&lt;&gt;G11,Q11&lt;0),Q11,AND(G12="W",G12&lt;&gt;G11,Q11&gt;0),Q11,AND(G12="W",G12&lt;&gt;G11,Q11&lt;0),Q11*-1)</f>
        <v>1.2129999999999297</v>
      </c>
      <c r="S11" s="97">
        <f t="shared" si="22"/>
        <v>3.4899999999999913</v>
      </c>
      <c r="T11" s="97">
        <f t="shared" si="23"/>
        <v>1.2129999999999297</v>
      </c>
      <c r="U11" s="51">
        <f t="shared" ca="1" si="24"/>
        <v>19.266886301199232</v>
      </c>
      <c r="V11" s="98">
        <f t="shared" ca="1" si="25"/>
        <v>199.26688630119924</v>
      </c>
      <c r="W11" s="99">
        <f t="shared" ca="1" si="26"/>
        <v>3.6970659638801613</v>
      </c>
      <c r="X11" s="51">
        <f t="shared" si="27"/>
        <v>2.6757</v>
      </c>
      <c r="Y11" s="51">
        <f t="shared" si="28"/>
        <v>1.2116775433403417</v>
      </c>
      <c r="Z11" s="51">
        <f t="shared" si="29"/>
        <v>19.146261957497963</v>
      </c>
      <c r="AA11" s="98">
        <f t="shared" si="30"/>
        <v>199.14626195749796</v>
      </c>
      <c r="AB11" s="99">
        <f t="shared" si="31"/>
        <v>3.6943554876372175</v>
      </c>
      <c r="AC11" s="51">
        <f t="shared" si="32"/>
        <v>19.145791024850389</v>
      </c>
      <c r="AD11" s="98">
        <f t="shared" si="33"/>
        <v>199.14579102485038</v>
      </c>
      <c r="AE11" s="99">
        <f t="shared" si="34"/>
        <v>3.6943554705943296</v>
      </c>
      <c r="AF11" s="100" t="s">
        <v>102</v>
      </c>
      <c r="AG11" s="101" cm="1">
        <f t="array" aca="1" ref="AG11" ca="1">_xlfn.IFS(AH11=W11,V11,AH11=AB11,AA11,AH11=AE11,AD11)</f>
        <v>199.14626195749796</v>
      </c>
      <c r="AH11" s="92">
        <f t="shared" ca="1" si="35"/>
        <v>3.6943554876372175</v>
      </c>
      <c r="AI11" s="92">
        <f t="shared" ca="1" si="36"/>
        <v>449.14626195749793</v>
      </c>
      <c r="AJ11" s="102">
        <f t="shared" ca="1" si="37"/>
        <v>89.146261957497927</v>
      </c>
      <c r="AK11" s="102">
        <f t="shared" ca="1" si="38"/>
        <v>0.85373804250207286</v>
      </c>
      <c r="AL11" s="51">
        <f t="shared" ca="1" si="39"/>
        <v>5.0570103125967023</v>
      </c>
      <c r="AM11" s="51">
        <f t="shared" ca="1" si="40"/>
        <v>14.565728388683295</v>
      </c>
      <c r="AN11" s="51">
        <f t="shared" ca="1" si="41"/>
        <v>0</v>
      </c>
      <c r="AO11" s="51">
        <f t="shared" ca="1" si="42"/>
        <v>0</v>
      </c>
      <c r="AP11" s="51">
        <f t="shared" ca="1" si="43"/>
        <v>199.14626195749796</v>
      </c>
      <c r="AQ11" s="5">
        <f t="shared" ca="1" si="44"/>
        <v>-14.565728388683295</v>
      </c>
      <c r="AR11" s="95">
        <f t="shared" ca="1" si="45"/>
        <v>0</v>
      </c>
      <c r="AS11" s="95">
        <f t="shared" ca="1" si="46"/>
        <v>-5.0570103125967023</v>
      </c>
      <c r="AT11" s="95">
        <f t="shared" ca="1" si="47"/>
        <v>0</v>
      </c>
      <c r="AU11" s="51">
        <f t="shared" ca="1" si="48"/>
        <v>-14.565728388683295</v>
      </c>
      <c r="AV11" s="51">
        <f t="shared" ca="1" si="49"/>
        <v>-5.0570103125967023</v>
      </c>
      <c r="AW11" s="51">
        <f t="shared" ca="1" si="50"/>
        <v>19.146261957497959</v>
      </c>
      <c r="AX11" s="51">
        <f t="shared" ca="1" si="51"/>
        <v>19.146261957497959</v>
      </c>
      <c r="AY11" s="51">
        <f t="shared" ca="1" si="9"/>
        <v>0</v>
      </c>
      <c r="AZ11" s="103">
        <v>1</v>
      </c>
      <c r="BA11" s="104">
        <f>_xlfn.IFS(AZ11=1,Références!$B$80,AZ11=2,Références!$B$81,AZ11=3,Références!$B$82,AZ11=4,Références!$B$83,AZ11=5,Références!$B$84,AZ11=6,Références!$B$85,AZ11=7,Références!$B$86,AZ11=8,Références!$B$87,AZ11=9,Références!$B$88,AZ11=10,Références!$B$89,AZ11=11,Références!$B$90,AZ11=12,Références!$B$91)</f>
        <v>1</v>
      </c>
      <c r="BB11" s="104" t="s">
        <v>69</v>
      </c>
      <c r="BC11" s="105" cm="1">
        <f t="array" ref="BC11">_xlfn.IFS(BB11="Beam", -0.0000000868778*BA11^5-0.0000459619*BA11^4+0.00347366*BA11^3-0.0884721*BA11^2+0.510463*BA11+14.9932,BB11="Following",0.000652681*BA11^3-0.0356523*BA11^2+0.29714*BA11+15.2038,BB11="Head",-0.00000154449*BA11^5+0.0000797696*BA11^4+0.000148965*BA11^3-0.0570448*BA11^2+0.244115*BA11+15.0029)</f>
        <v>15.418618511222199</v>
      </c>
      <c r="BD11" s="106"/>
      <c r="BE11" s="100">
        <v>250</v>
      </c>
      <c r="BF11" s="107">
        <v>0</v>
      </c>
      <c r="BG11" s="51">
        <f t="shared" ca="1" si="52"/>
        <v>15.418618511222199</v>
      </c>
      <c r="BH11" s="51">
        <f t="shared" ca="1" si="53"/>
        <v>199.14626195749796</v>
      </c>
      <c r="BI11" s="82">
        <f t="shared" ca="1" si="54"/>
        <v>199.14626195749796</v>
      </c>
      <c r="BJ11" s="106"/>
      <c r="BK11" s="108">
        <f t="shared" ca="1" si="55"/>
        <v>14.376212051481806</v>
      </c>
      <c r="BL11" s="93">
        <f t="shared" si="56"/>
        <v>-5</v>
      </c>
      <c r="BM11" s="109">
        <f t="shared" si="57"/>
        <v>0.20833333333333334</v>
      </c>
      <c r="BN11" s="110">
        <f t="shared" ca="1" si="58"/>
        <v>9.9834805913068102E-3</v>
      </c>
      <c r="BO11" s="124">
        <f t="shared" ca="1" si="60"/>
        <v>44927.503068561578</v>
      </c>
      <c r="BP11" s="124">
        <f t="shared" ca="1" si="59"/>
        <v>44927.711401894914</v>
      </c>
      <c r="BS11" s="2"/>
      <c r="BT11" s="7"/>
    </row>
    <row r="12" spans="1:72" x14ac:dyDescent="0.25">
      <c r="A12" s="52">
        <v>9</v>
      </c>
      <c r="B12" s="79">
        <v>2</v>
      </c>
      <c r="C12" s="52">
        <v>42.286999999999999</v>
      </c>
      <c r="D12" s="112" t="s">
        <v>16</v>
      </c>
      <c r="E12" s="52">
        <v>79</v>
      </c>
      <c r="F12" s="52">
        <v>56.942</v>
      </c>
      <c r="G12" s="112" t="s">
        <v>18</v>
      </c>
      <c r="H12" s="79">
        <f t="shared" si="13"/>
        <v>2.7047833333333333</v>
      </c>
      <c r="I12" s="82">
        <f t="shared" si="14"/>
        <v>4.7207374719733956E-2</v>
      </c>
      <c r="J12" s="82">
        <f t="shared" si="15"/>
        <v>4.7207374719733956E-2</v>
      </c>
      <c r="K12" s="52">
        <f t="shared" si="16"/>
        <v>79.949033333333333</v>
      </c>
      <c r="L12" s="82">
        <f t="shared" si="17"/>
        <v>1.3953738654533638</v>
      </c>
      <c r="M12" s="52">
        <f t="shared" si="18"/>
        <v>161.24925343993215</v>
      </c>
      <c r="N12" s="113" cm="1">
        <f t="array" aca="1" ref="N12" ca="1">_xlfn.IFS(D12&lt;&gt;OFFSET(D12,1,),M12+OFFSET(M12,1,),OFFSET(M12,1,)-M12&lt;0,(OFFSET(M12,1,)-M12)*-1,OFFSET(M12,1,)-M12&gt;0,OFFSET(M12,1,)-M12)</f>
        <v>2.6797345136666308</v>
      </c>
      <c r="O12" s="52">
        <f t="shared" si="19"/>
        <v>-2.6949999999999883</v>
      </c>
      <c r="P12" s="52">
        <f t="shared" si="20"/>
        <v>-2.6949999999999883</v>
      </c>
      <c r="Q12" s="52">
        <f t="shared" si="21"/>
        <v>4.6090000000006954</v>
      </c>
      <c r="R12" s="52" cm="1">
        <f t="array" ref="R12">_xlfn.IFS(AND(G13="E",G13&lt;&gt;G12,L12+L13&gt;(RADIANS(180)),Q12&lt;0),Q12*-1,AND(G13="W",G13&lt;&gt;G12,L13+L12&gt;(RADIANS(180)),Q12&lt;0),Q12,AND(G13="E",G13&lt;&gt;G12,L13+L12&gt;(RADIANS(180)),Q12&gt;0),Q12,AND(G13="W",G13&lt;&gt;G12,L13+L12&gt;(RADIANS(180)),Q12&gt;0),Q12*-1,AND(G13="W",G13=G12,Q12&lt;0),Q12,AND(G13="W",G13=G12,Q12&gt;0),Q12,AND(G13="E",G13=G12,Q12&lt;0),Q12*-1,AND(G13="E",G13=G12,Q12&gt;0),Q12*-1,AND(G13="E",G13&lt;&gt;G12,Q12&gt;0),Q12*-1,AND(G13="E",G13&lt;&gt;G12,Q12&lt;0),Q12,AND(G13="W",G13&lt;&gt;G12,Q12&gt;0),Q12,AND(G13="W",G13&lt;&gt;G12,Q12&lt;0),Q12*-1)</f>
        <v>4.6090000000006954</v>
      </c>
      <c r="S12" s="114">
        <f t="shared" si="22"/>
        <v>2.6949999999999883</v>
      </c>
      <c r="T12" s="114">
        <f t="shared" si="23"/>
        <v>4.6090000000006954</v>
      </c>
      <c r="U12" s="52">
        <f t="shared" ca="1" si="24"/>
        <v>59.825705580075002</v>
      </c>
      <c r="V12" s="115">
        <f t="shared" ca="1" si="25"/>
        <v>300.17429441992499</v>
      </c>
      <c r="W12" s="116">
        <f t="shared" ca="1" si="26"/>
        <v>5.3617741014540217</v>
      </c>
      <c r="X12" s="52">
        <f t="shared" si="27"/>
        <v>2.6823250000000001</v>
      </c>
      <c r="Y12" s="52">
        <f t="shared" si="28"/>
        <v>4.6039501913578293</v>
      </c>
      <c r="Z12" s="52">
        <f t="shared" si="29"/>
        <v>59.656706939886526</v>
      </c>
      <c r="AA12" s="115">
        <f t="shared" si="30"/>
        <v>300.34329306011347</v>
      </c>
      <c r="AB12" s="116">
        <f t="shared" si="31"/>
        <v>5.3347335795242605</v>
      </c>
      <c r="AC12" s="52">
        <f t="shared" si="32"/>
        <v>120.34149123442317</v>
      </c>
      <c r="AD12" s="115">
        <f t="shared" si="33"/>
        <v>300.34149123442319</v>
      </c>
      <c r="AE12" s="116">
        <f t="shared" si="34"/>
        <v>5.3347334763084557</v>
      </c>
      <c r="AF12" s="100" t="s">
        <v>102</v>
      </c>
      <c r="AG12" s="101" cm="1">
        <f t="array" aca="1" ref="AG12" ca="1">_xlfn.IFS(AH12=W12,V12,AH12=AB12,AA12,AH12=AE12,AD12)</f>
        <v>300.34329306011347</v>
      </c>
      <c r="AH12" s="79">
        <f t="shared" ca="1" si="35"/>
        <v>5.3347335795242605</v>
      </c>
      <c r="AI12" s="79">
        <f t="shared" ca="1" si="36"/>
        <v>550.34329306011341</v>
      </c>
      <c r="AJ12" s="80">
        <f t="shared" ca="1" si="37"/>
        <v>190.34329306011341</v>
      </c>
      <c r="AK12" s="80">
        <f t="shared" ca="1" si="38"/>
        <v>79.65670693988659</v>
      </c>
      <c r="AL12" s="52">
        <f t="shared" ca="1" si="39"/>
        <v>13.306484866962229</v>
      </c>
      <c r="AM12" s="52">
        <f t="shared" ca="1" si="40"/>
        <v>7.789175648289687</v>
      </c>
      <c r="AN12" s="52">
        <f t="shared" ca="1" si="41"/>
        <v>0</v>
      </c>
      <c r="AO12" s="52">
        <f t="shared" ca="1" si="42"/>
        <v>0</v>
      </c>
      <c r="AP12" s="52">
        <f t="shared" ca="1" si="43"/>
        <v>300.34329306011347</v>
      </c>
      <c r="AQ12" s="81">
        <f t="shared" ca="1" si="44"/>
        <v>7.789175648289687</v>
      </c>
      <c r="AR12" s="82">
        <f t="shared" ca="1" si="45"/>
        <v>0</v>
      </c>
      <c r="AS12" s="82">
        <f t="shared" ca="1" si="46"/>
        <v>-13.306484866962229</v>
      </c>
      <c r="AT12" s="82">
        <f t="shared" ca="1" si="47"/>
        <v>0</v>
      </c>
      <c r="AU12" s="52">
        <f t="shared" ca="1" si="48"/>
        <v>7.789175648289687</v>
      </c>
      <c r="AV12" s="52">
        <f t="shared" ca="1" si="49"/>
        <v>-13.306484866962229</v>
      </c>
      <c r="AW12" s="52">
        <f t="shared" ca="1" si="50"/>
        <v>-59.656706939886526</v>
      </c>
      <c r="AX12" s="52">
        <f t="shared" ca="1" si="51"/>
        <v>59.656706939886526</v>
      </c>
      <c r="AY12" s="52">
        <f t="shared" ca="1" si="9"/>
        <v>0</v>
      </c>
      <c r="AZ12" s="71">
        <v>1</v>
      </c>
      <c r="BA12" s="117">
        <f>_xlfn.IFS(AZ12=1,Références!$B$80,AZ12=2,Références!$B$81,AZ12=3,Références!$B$82,AZ12=4,Références!$B$83,AZ12=5,Références!$B$84,AZ12=6,Références!$B$85,AZ12=7,Références!$B$86,AZ12=8,Références!$B$87,AZ12=9,Références!$B$88,AZ12=10,Références!$B$89,AZ12=11,Références!$B$90,AZ12=12,Références!$B$91)</f>
        <v>1</v>
      </c>
      <c r="BB12" s="117" t="s">
        <v>69</v>
      </c>
      <c r="BC12" s="118" cm="1">
        <f t="array" ref="BC12">_xlfn.IFS(BB12="Beam", -0.0000000868778*BA12^5-0.0000459619*BA12^4+0.00347366*BA12^3-0.0884721*BA12^2+0.510463*BA12+14.9932,BB12="Following",0.000652681*BA12^3-0.0356523*BA12^2+0.29714*BA12+15.2038,BB12="Head",-0.00000154449*BA12^5+0.0000797696*BA12^4+0.000148965*BA12^3-0.0570448*BA12^2+0.244115*BA12+15.0029)</f>
        <v>15.418618511222199</v>
      </c>
      <c r="BD12" s="106"/>
      <c r="BE12" s="100">
        <v>250</v>
      </c>
      <c r="BF12" s="119">
        <v>0</v>
      </c>
      <c r="BG12" s="52">
        <f t="shared" ca="1" si="52"/>
        <v>15.418618511222199</v>
      </c>
      <c r="BH12" s="52">
        <f t="shared" ca="1" si="53"/>
        <v>300.34329306011347</v>
      </c>
      <c r="BI12" s="82">
        <f t="shared" ca="1" si="54"/>
        <v>300.34329306011347</v>
      </c>
      <c r="BJ12" s="106"/>
      <c r="BK12" s="120">
        <f t="shared" ca="1" si="55"/>
        <v>20.759578073644374</v>
      </c>
      <c r="BL12" s="112">
        <f t="shared" si="56"/>
        <v>-5</v>
      </c>
      <c r="BM12" s="121">
        <f t="shared" si="57"/>
        <v>0.20833333333333334</v>
      </c>
      <c r="BN12" s="122">
        <f t="shared" ca="1" si="58"/>
        <v>1.4416373662253037E-2</v>
      </c>
      <c r="BO12" s="123">
        <f t="shared" ca="1" si="60"/>
        <v>44927.513052042166</v>
      </c>
      <c r="BP12" s="123">
        <f t="shared" ca="1" si="59"/>
        <v>44927.721385375502</v>
      </c>
      <c r="BS12" s="2"/>
      <c r="BT12" s="7"/>
    </row>
    <row r="13" spans="1:72" x14ac:dyDescent="0.25">
      <c r="A13" s="51">
        <v>10</v>
      </c>
      <c r="B13" s="92">
        <v>2</v>
      </c>
      <c r="C13" s="51">
        <v>39.591999999999999</v>
      </c>
      <c r="D13" s="93" t="s">
        <v>16</v>
      </c>
      <c r="E13" s="51">
        <v>80</v>
      </c>
      <c r="F13" s="51">
        <v>1.5509999999999999</v>
      </c>
      <c r="G13" s="94" t="s">
        <v>18</v>
      </c>
      <c r="H13" s="92">
        <f t="shared" si="13"/>
        <v>2.6598666666666668</v>
      </c>
      <c r="I13" s="95">
        <f t="shared" si="14"/>
        <v>4.642343099737984E-2</v>
      </c>
      <c r="J13" s="95">
        <f t="shared" si="15"/>
        <v>4.642343099737984E-2</v>
      </c>
      <c r="K13" s="51">
        <f t="shared" si="16"/>
        <v>80.025850000000005</v>
      </c>
      <c r="L13" s="95">
        <f t="shared" si="17"/>
        <v>1.3967145692071044</v>
      </c>
      <c r="M13" s="51">
        <f t="shared" si="18"/>
        <v>158.56951892626552</v>
      </c>
      <c r="N13" s="96" cm="1">
        <f t="array" aca="1" ref="N13" ca="1">_xlfn.IFS(D13&lt;&gt;OFFSET(D13,1,),M13+OFFSET(M13,1,),OFFSET(M13,1,)-M13&lt;0,(OFFSET(M13,1,)-M13)*-1,OFFSET(M13,1,)-M13&gt;0,OFFSET(M13,1,)-M13)</f>
        <v>0.14417584657309135</v>
      </c>
      <c r="O13" s="51">
        <f t="shared" si="19"/>
        <v>-0.14500000000000371</v>
      </c>
      <c r="P13" s="51">
        <f t="shared" si="20"/>
        <v>-0.14500000000000371</v>
      </c>
      <c r="Q13" s="51">
        <f t="shared" si="21"/>
        <v>4.6729999999993073</v>
      </c>
      <c r="R13" s="51" cm="1">
        <f t="array" ref="R13">_xlfn.IFS(AND(G14="E",G14&lt;&gt;G13,L13+L14&gt;(RADIANS(180)),Q13&lt;0),Q13*-1,AND(G14="W",G14&lt;&gt;G13,L14+L13&gt;(RADIANS(180)),Q13&lt;0),Q13,AND(G14="E",G14&lt;&gt;G13,L14+L13&gt;(RADIANS(180)),Q13&gt;0),Q13,AND(G14="W",G14&lt;&gt;G13,L14+L13&gt;(RADIANS(180)),Q13&gt;0),Q13*-1,AND(G14="W",G14=G13,Q13&lt;0),Q13,AND(G14="W",G14=G13,Q13&gt;0),Q13,AND(G14="E",G14=G13,Q13&lt;0),Q13*-1,AND(G14="E",G14=G13,Q13&gt;0),Q13*-1,AND(G14="E",G14&lt;&gt;G13,Q13&gt;0),Q13*-1,AND(G14="E",G14&lt;&gt;G13,Q13&lt;0),Q13,AND(G14="W",G14&lt;&gt;G13,Q13&gt;0),Q13,AND(G14="W",G14&lt;&gt;G13,Q13&lt;0),Q13*-1)</f>
        <v>4.6729999999993073</v>
      </c>
      <c r="S13" s="97">
        <f t="shared" si="22"/>
        <v>0.14500000000000371</v>
      </c>
      <c r="T13" s="97">
        <f t="shared" si="23"/>
        <v>4.6729999999993073</v>
      </c>
      <c r="U13" s="51">
        <f t="shared" ca="1" si="24"/>
        <v>88.232816629634925</v>
      </c>
      <c r="V13" s="98">
        <f t="shared" ca="1" si="25"/>
        <v>271.76718337036505</v>
      </c>
      <c r="W13" s="99">
        <f t="shared" ca="1" si="26"/>
        <v>4.7019486104382215</v>
      </c>
      <c r="X13" s="51">
        <f t="shared" si="27"/>
        <v>2.6586583333333333</v>
      </c>
      <c r="Y13" s="51">
        <f t="shared" si="28"/>
        <v>4.6679700038600727</v>
      </c>
      <c r="Z13" s="51">
        <f t="shared" si="29"/>
        <v>88.220807441014244</v>
      </c>
      <c r="AA13" s="98">
        <f t="shared" si="30"/>
        <v>271.77919255898576</v>
      </c>
      <c r="AB13" s="99">
        <f t="shared" si="31"/>
        <v>4.6702215104786475</v>
      </c>
      <c r="AC13" s="51">
        <f t="shared" si="32"/>
        <v>91.777385948714723</v>
      </c>
      <c r="AD13" s="98">
        <f t="shared" si="33"/>
        <v>271.77738594871471</v>
      </c>
      <c r="AE13" s="99">
        <f t="shared" si="34"/>
        <v>4.6702215092235964</v>
      </c>
      <c r="AF13" s="100" t="s">
        <v>102</v>
      </c>
      <c r="AG13" s="101" cm="1">
        <f t="array" aca="1" ref="AG13" ca="1">_xlfn.IFS(AH13=W13,V13,AH13=AB13,AA13,AH13=AE13,AD13)</f>
        <v>271.77919255898576</v>
      </c>
      <c r="AH13" s="92">
        <f t="shared" ca="1" si="35"/>
        <v>4.6702215104786475</v>
      </c>
      <c r="AI13" s="92">
        <f t="shared" ca="1" si="36"/>
        <v>521.77919255898576</v>
      </c>
      <c r="AJ13" s="102">
        <f t="shared" ca="1" si="37"/>
        <v>161.77919255898576</v>
      </c>
      <c r="AK13" s="102">
        <f t="shared" ca="1" si="38"/>
        <v>71.779192558985756</v>
      </c>
      <c r="AL13" s="51">
        <f t="shared" ca="1" si="39"/>
        <v>15.411185218914902</v>
      </c>
      <c r="AM13" s="51">
        <f t="shared" ca="1" si="40"/>
        <v>0.47871384239724729</v>
      </c>
      <c r="AN13" s="51">
        <f t="shared" ca="1" si="41"/>
        <v>0</v>
      </c>
      <c r="AO13" s="51">
        <f t="shared" ca="1" si="42"/>
        <v>0</v>
      </c>
      <c r="AP13" s="51">
        <f t="shared" ca="1" si="43"/>
        <v>271.77919255898576</v>
      </c>
      <c r="AQ13" s="5">
        <f t="shared" ca="1" si="44"/>
        <v>0.47871384239724729</v>
      </c>
      <c r="AR13" s="95">
        <f t="shared" ca="1" si="45"/>
        <v>0</v>
      </c>
      <c r="AS13" s="95">
        <f t="shared" ca="1" si="46"/>
        <v>-15.411185218914902</v>
      </c>
      <c r="AT13" s="95">
        <f t="shared" ca="1" si="47"/>
        <v>0</v>
      </c>
      <c r="AU13" s="51">
        <f t="shared" ca="1" si="48"/>
        <v>0.47871384239724729</v>
      </c>
      <c r="AV13" s="51">
        <f t="shared" ca="1" si="49"/>
        <v>-15.411185218914902</v>
      </c>
      <c r="AW13" s="51">
        <f t="shared" ca="1" si="50"/>
        <v>-88.220807441014045</v>
      </c>
      <c r="AX13" s="51">
        <f t="shared" ca="1" si="51"/>
        <v>88.220807441014045</v>
      </c>
      <c r="AY13" s="51">
        <f t="shared" ca="1" si="9"/>
        <v>2.2737367544323206E-13</v>
      </c>
      <c r="AZ13" s="103">
        <v>1</v>
      </c>
      <c r="BA13" s="104">
        <f>_xlfn.IFS(AZ13=1,Références!$B$80,AZ13=2,Références!$B$81,AZ13=3,Références!$B$82,AZ13=4,Références!$B$83,AZ13=5,Références!$B$84,AZ13=6,Références!$B$85,AZ13=7,Références!$B$86,AZ13=8,Références!$B$87,AZ13=9,Références!$B$88,AZ13=10,Références!$B$89,AZ13=11,Références!$B$90,AZ13=12,Références!$B$91)</f>
        <v>1</v>
      </c>
      <c r="BB13" s="104" t="s">
        <v>69</v>
      </c>
      <c r="BC13" s="105" cm="1">
        <f t="array" ref="BC13">_xlfn.IFS(BB13="Beam", -0.0000000868778*BA13^5-0.0000459619*BA13^4+0.00347366*BA13^3-0.0884721*BA13^2+0.510463*BA13+14.9932,BB13="Following",0.000652681*BA13^3-0.0356523*BA13^2+0.29714*BA13+15.2038,BB13="Head",-0.00000154449*BA13^5+0.0000797696*BA13^4+0.000148965*BA13^3-0.0570448*BA13^2+0.244115*BA13+15.0029)</f>
        <v>15.418618511222199</v>
      </c>
      <c r="BD13" s="106"/>
      <c r="BE13" s="100">
        <v>250</v>
      </c>
      <c r="BF13" s="107">
        <v>0</v>
      </c>
      <c r="BG13" s="51">
        <f t="shared" ca="1" si="52"/>
        <v>15.418618511222199</v>
      </c>
      <c r="BH13" s="51">
        <f t="shared" ca="1" si="53"/>
        <v>271.77919255898598</v>
      </c>
      <c r="BI13" s="82">
        <f t="shared" ca="1" si="54"/>
        <v>271.77919255898553</v>
      </c>
      <c r="BJ13" s="106"/>
      <c r="BK13" s="108">
        <f t="shared" ca="1" si="55"/>
        <v>18.173696328550449</v>
      </c>
      <c r="BL13" s="93">
        <f t="shared" si="56"/>
        <v>-5</v>
      </c>
      <c r="BM13" s="109">
        <f t="shared" si="57"/>
        <v>0.20833333333333334</v>
      </c>
      <c r="BN13" s="110">
        <f t="shared" ca="1" si="58"/>
        <v>1.2620622450382256E-2</v>
      </c>
      <c r="BO13" s="124">
        <f t="shared" ca="1" si="60"/>
        <v>44927.527468415828</v>
      </c>
      <c r="BP13" s="124">
        <f t="shared" ca="1" si="59"/>
        <v>44927.735801749164</v>
      </c>
      <c r="BS13" s="2"/>
      <c r="BT13" s="7"/>
    </row>
    <row r="14" spans="1:72" x14ac:dyDescent="0.25">
      <c r="A14" s="52">
        <v>11</v>
      </c>
      <c r="B14" s="79">
        <v>2</v>
      </c>
      <c r="C14" s="52">
        <v>39.447000000000003</v>
      </c>
      <c r="D14" s="112" t="s">
        <v>16</v>
      </c>
      <c r="E14" s="52">
        <v>80</v>
      </c>
      <c r="F14" s="52">
        <v>6.2240000000000002</v>
      </c>
      <c r="G14" s="112" t="s">
        <v>18</v>
      </c>
      <c r="H14" s="79">
        <f t="shared" si="13"/>
        <v>2.6574499999999999</v>
      </c>
      <c r="I14" s="82">
        <f t="shared" si="14"/>
        <v>4.6381252207123309E-2</v>
      </c>
      <c r="J14" s="82">
        <f t="shared" si="15"/>
        <v>4.6381252207123309E-2</v>
      </c>
      <c r="K14" s="52">
        <f t="shared" si="16"/>
        <v>80.103733333333338</v>
      </c>
      <c r="L14" s="82">
        <f t="shared" si="17"/>
        <v>1.3980738898061991</v>
      </c>
      <c r="M14" s="52">
        <f t="shared" si="18"/>
        <v>158.42534307969242</v>
      </c>
      <c r="N14" s="113" cm="1">
        <f t="array" aca="1" ref="N14" ca="1">_xlfn.IFS(D14&lt;&gt;OFFSET(D14,1,),M14+OFFSET(M14,1,),OFFSET(M14,1,)-M14&lt;0,(OFFSET(M14,1,)-M14)*-1,OFFSET(M14,1,)-M14&gt;0,OFFSET(M14,1,)-M14)</f>
        <v>4.3124741448640975</v>
      </c>
      <c r="O14" s="52">
        <f t="shared" si="19"/>
        <v>4.3370000000000113</v>
      </c>
      <c r="P14" s="52">
        <f t="shared" si="20"/>
        <v>4.3370000000000113</v>
      </c>
      <c r="Q14" s="52">
        <f t="shared" si="21"/>
        <v>6.4960000000003184</v>
      </c>
      <c r="R14" s="52" cm="1">
        <f t="array" ref="R14">_xlfn.IFS(AND(G15="E",G15&lt;&gt;G14,L14+L15&gt;(RADIANS(180)),Q14&lt;0),Q14*-1,AND(G15="W",G15&lt;&gt;G14,L15+L14&gt;(RADIANS(180)),Q14&lt;0),Q14,AND(G15="E",G15&lt;&gt;G14,L15+L14&gt;(RADIANS(180)),Q14&gt;0),Q14,AND(G15="W",G15&lt;&gt;G14,L15+L14&gt;(RADIANS(180)),Q14&gt;0),Q14*-1,AND(G15="W",G15=G14,Q14&lt;0),Q14,AND(G15="W",G15=G14,Q14&gt;0),Q14,AND(G15="E",G15=G14,Q14&lt;0),Q14*-1,AND(G15="E",G15=G14,Q14&gt;0),Q14*-1,AND(G15="E",G15&lt;&gt;G14,Q14&gt;0),Q14*-1,AND(G15="E",G15&lt;&gt;G14,Q14&lt;0),Q14,AND(G15="W",G15&lt;&gt;G14,Q14&gt;0),Q14,AND(G15="W",G15&lt;&gt;G14,Q14&lt;0),Q14*-1)</f>
        <v>6.4960000000003184</v>
      </c>
      <c r="S14" s="114">
        <f t="shared" si="22"/>
        <v>4.3370000000000113</v>
      </c>
      <c r="T14" s="114">
        <f t="shared" si="23"/>
        <v>6.4960000000003184</v>
      </c>
      <c r="U14" s="52">
        <f t="shared" ca="1" si="24"/>
        <v>56.421164501100407</v>
      </c>
      <c r="V14" s="115">
        <f t="shared" ca="1" si="25"/>
        <v>236.42116450110041</v>
      </c>
      <c r="W14" s="116">
        <f t="shared" ca="1" si="26"/>
        <v>7.8414874886675028</v>
      </c>
      <c r="X14" s="52">
        <f t="shared" si="27"/>
        <v>2.6935916666666664</v>
      </c>
      <c r="Y14" s="52">
        <f t="shared" si="28"/>
        <v>6.4888228125928444</v>
      </c>
      <c r="Z14" s="52">
        <f t="shared" si="29"/>
        <v>56.242020882056522</v>
      </c>
      <c r="AA14" s="115">
        <f t="shared" si="30"/>
        <v>236.24202088205652</v>
      </c>
      <c r="AB14" s="116">
        <f t="shared" si="31"/>
        <v>7.8047671645748284</v>
      </c>
      <c r="AC14" s="52">
        <f t="shared" si="32"/>
        <v>56.239486531781878</v>
      </c>
      <c r="AD14" s="115">
        <f t="shared" si="33"/>
        <v>236.23948653178189</v>
      </c>
      <c r="AE14" s="116">
        <f t="shared" si="34"/>
        <v>7.8047668027846102</v>
      </c>
      <c r="AF14" s="100" t="s">
        <v>102</v>
      </c>
      <c r="AG14" s="101" cm="1">
        <f t="array" aca="1" ref="AG14" ca="1">_xlfn.IFS(AH14=W14,V14,AH14=AB14,AA14,AH14=AE14,AD14)</f>
        <v>236.24202088205652</v>
      </c>
      <c r="AH14" s="79">
        <f t="shared" ca="1" si="35"/>
        <v>7.8047671645748284</v>
      </c>
      <c r="AI14" s="79">
        <f t="shared" ca="1" si="36"/>
        <v>486.24202088205652</v>
      </c>
      <c r="AJ14" s="80">
        <f t="shared" ca="1" si="37"/>
        <v>126.24202088205652</v>
      </c>
      <c r="AK14" s="80">
        <f t="shared" ca="1" si="38"/>
        <v>36.242020882056522</v>
      </c>
      <c r="AL14" s="52">
        <f t="shared" ca="1" si="39"/>
        <v>12.818919696720403</v>
      </c>
      <c r="AM14" s="52">
        <f t="shared" ca="1" si="40"/>
        <v>8.567910749047142</v>
      </c>
      <c r="AN14" s="52">
        <f t="shared" ca="1" si="41"/>
        <v>0</v>
      </c>
      <c r="AO14" s="52">
        <f t="shared" ca="1" si="42"/>
        <v>0</v>
      </c>
      <c r="AP14" s="52">
        <f t="shared" ca="1" si="43"/>
        <v>236.24202088205652</v>
      </c>
      <c r="AQ14" s="81">
        <f t="shared" ca="1" si="44"/>
        <v>-8.567910749047142</v>
      </c>
      <c r="AR14" s="82">
        <f t="shared" ca="1" si="45"/>
        <v>0</v>
      </c>
      <c r="AS14" s="82">
        <f t="shared" ca="1" si="46"/>
        <v>-12.818919696720403</v>
      </c>
      <c r="AT14" s="82">
        <f t="shared" ca="1" si="47"/>
        <v>0</v>
      </c>
      <c r="AU14" s="52">
        <f t="shared" ca="1" si="48"/>
        <v>-8.567910749047142</v>
      </c>
      <c r="AV14" s="52">
        <f t="shared" ca="1" si="49"/>
        <v>-12.818919696720403</v>
      </c>
      <c r="AW14" s="52">
        <f t="shared" ca="1" si="50"/>
        <v>56.242020882056522</v>
      </c>
      <c r="AX14" s="52">
        <f t="shared" ca="1" si="51"/>
        <v>56.242020882056522</v>
      </c>
      <c r="AY14" s="52">
        <f t="shared" ca="1" si="9"/>
        <v>0</v>
      </c>
      <c r="AZ14" s="71">
        <v>1</v>
      </c>
      <c r="BA14" s="117">
        <f>_xlfn.IFS(AZ14=1,Références!$B$80,AZ14=2,Références!$B$81,AZ14=3,Références!$B$82,AZ14=4,Références!$B$83,AZ14=5,Références!$B$84,AZ14=6,Références!$B$85,AZ14=7,Références!$B$86,AZ14=8,Références!$B$87,AZ14=9,Références!$B$88,AZ14=10,Références!$B$89,AZ14=11,Références!$B$90,AZ14=12,Références!$B$91)</f>
        <v>1</v>
      </c>
      <c r="BB14" s="117" t="s">
        <v>69</v>
      </c>
      <c r="BC14" s="118" cm="1">
        <f t="array" ref="BC14">_xlfn.IFS(BB14="Beam", -0.0000000868778*BA14^5-0.0000459619*BA14^4+0.00347366*BA14^3-0.0884721*BA14^2+0.510463*BA14+14.9932,BB14="Following",0.000652681*BA14^3-0.0356523*BA14^2+0.29714*BA14+15.2038,BB14="Head",-0.00000154449*BA14^5+0.0000797696*BA14^4+0.000148965*BA14^3-0.0570448*BA14^2+0.244115*BA14+15.0029)</f>
        <v>15.418618511222199</v>
      </c>
      <c r="BD14" s="106"/>
      <c r="BE14" s="100">
        <v>250</v>
      </c>
      <c r="BF14" s="119">
        <v>0</v>
      </c>
      <c r="BG14" s="52">
        <f t="shared" ca="1" si="52"/>
        <v>15.418618511222199</v>
      </c>
      <c r="BH14" s="52">
        <f t="shared" ca="1" si="53"/>
        <v>236.24202088205652</v>
      </c>
      <c r="BI14" s="82">
        <f t="shared" ca="1" si="54"/>
        <v>236.24202088205652</v>
      </c>
      <c r="BJ14" s="106"/>
      <c r="BK14" s="120">
        <f t="shared" ca="1" si="55"/>
        <v>30.37146483218682</v>
      </c>
      <c r="BL14" s="112">
        <f t="shared" si="56"/>
        <v>-5</v>
      </c>
      <c r="BM14" s="121">
        <f t="shared" si="57"/>
        <v>0.20833333333333334</v>
      </c>
      <c r="BN14" s="122">
        <f t="shared" ca="1" si="58"/>
        <v>2.109129502235196E-2</v>
      </c>
      <c r="BO14" s="123">
        <f t="shared" ca="1" si="60"/>
        <v>44927.540089038281</v>
      </c>
      <c r="BP14" s="123">
        <f t="shared" ca="1" si="59"/>
        <v>44927.748422371616</v>
      </c>
      <c r="BS14" s="2"/>
      <c r="BT14" s="7"/>
    </row>
    <row r="15" spans="1:72" x14ac:dyDescent="0.25">
      <c r="A15" s="51">
        <v>12</v>
      </c>
      <c r="B15" s="92">
        <v>2</v>
      </c>
      <c r="C15" s="51">
        <v>43.783999999999999</v>
      </c>
      <c r="D15" s="93" t="s">
        <v>16</v>
      </c>
      <c r="E15" s="51">
        <v>80</v>
      </c>
      <c r="F15" s="51">
        <v>12.72</v>
      </c>
      <c r="G15" s="94" t="s">
        <v>18</v>
      </c>
      <c r="H15" s="92">
        <f t="shared" si="13"/>
        <v>2.7297333333333333</v>
      </c>
      <c r="I15" s="95">
        <f t="shared" si="14"/>
        <v>4.7642834368106547E-2</v>
      </c>
      <c r="J15" s="95">
        <f t="shared" si="15"/>
        <v>4.7642834368106547E-2</v>
      </c>
      <c r="K15" s="51">
        <f t="shared" si="16"/>
        <v>80.212000000000003</v>
      </c>
      <c r="L15" s="95">
        <f t="shared" si="17"/>
        <v>1.3999634996096917</v>
      </c>
      <c r="M15" s="51">
        <f t="shared" si="18"/>
        <v>162.73781722455652</v>
      </c>
      <c r="N15" s="96" cm="1">
        <f t="array" aca="1" ref="N15" ca="1">_xlfn.IFS(D15&lt;&gt;OFFSET(D15,1,),M15+OFFSET(M15,1,),OFFSET(M15,1,)-M15&lt;0,(OFFSET(M15,1,)-M15)*-1,OFFSET(M15,1,)-M15&gt;0,OFFSET(M15,1,)-M15)</f>
        <v>2.616249310574176</v>
      </c>
      <c r="O15" s="51">
        <f t="shared" si="19"/>
        <v>2.6309999999999931</v>
      </c>
      <c r="P15" s="51">
        <f t="shared" si="20"/>
        <v>2.6309999999999931</v>
      </c>
      <c r="Q15" s="51">
        <f t="shared" si="21"/>
        <v>2.440999999999629</v>
      </c>
      <c r="R15" s="51" cm="1">
        <f t="array" ref="R15">_xlfn.IFS(AND(G16="E",G16&lt;&gt;G15,L15+L16&gt;(RADIANS(180)),Q15&lt;0),Q15*-1,AND(G16="W",G16&lt;&gt;G15,L16+L15&gt;(RADIANS(180)),Q15&lt;0),Q15,AND(G16="E",G16&lt;&gt;G15,L16+L15&gt;(RADIANS(180)),Q15&gt;0),Q15,AND(G16="W",G16&lt;&gt;G15,L16+L15&gt;(RADIANS(180)),Q15&gt;0),Q15*-1,AND(G16="W",G16=G15,Q15&lt;0),Q15,AND(G16="W",G16=G15,Q15&gt;0),Q15,AND(G16="E",G16=G15,Q15&lt;0),Q15*-1,AND(G16="E",G16=G15,Q15&gt;0),Q15*-1,AND(G16="E",G16&lt;&gt;G15,Q15&gt;0),Q15*-1,AND(G16="E",G16&lt;&gt;G15,Q15&lt;0),Q15,AND(G16="W",G16&lt;&gt;G15,Q15&gt;0),Q15,AND(G16="W",G16&lt;&gt;G15,Q15&lt;0),Q15*-1)</f>
        <v>2.440999999999629</v>
      </c>
      <c r="S15" s="97">
        <f t="shared" si="22"/>
        <v>2.6309999999999931</v>
      </c>
      <c r="T15" s="97">
        <f t="shared" si="23"/>
        <v>2.440999999999629</v>
      </c>
      <c r="U15" s="51">
        <f t="shared" ca="1" si="24"/>
        <v>43.015318423693159</v>
      </c>
      <c r="V15" s="98">
        <f t="shared" ca="1" si="25"/>
        <v>223.01531842369315</v>
      </c>
      <c r="W15" s="99">
        <f t="shared" ca="1" si="26"/>
        <v>3.5983357955667103</v>
      </c>
      <c r="X15" s="51">
        <f t="shared" si="27"/>
        <v>2.7516583333333333</v>
      </c>
      <c r="Y15" s="51">
        <f t="shared" si="28"/>
        <v>2.4381855206958045</v>
      </c>
      <c r="Z15" s="51">
        <f t="shared" si="29"/>
        <v>42.821714609395912</v>
      </c>
      <c r="AA15" s="98">
        <f t="shared" si="30"/>
        <v>222.82171460939591</v>
      </c>
      <c r="AB15" s="99">
        <f t="shared" si="31"/>
        <v>3.5870474813320543</v>
      </c>
      <c r="AC15" s="51">
        <f t="shared" si="32"/>
        <v>42.820739962769274</v>
      </c>
      <c r="AD15" s="98">
        <f t="shared" si="33"/>
        <v>222.82073996276927</v>
      </c>
      <c r="AE15" s="99">
        <f t="shared" si="34"/>
        <v>3.5870474404877739</v>
      </c>
      <c r="AF15" s="100" t="s">
        <v>102</v>
      </c>
      <c r="AG15" s="101" cm="1">
        <f t="array" aca="1" ref="AG15" ca="1">_xlfn.IFS(AH15=W15,V15,AH15=AB15,AA15,AH15=AE15,AD15)</f>
        <v>222.82171460939591</v>
      </c>
      <c r="AH15" s="92">
        <f t="shared" ca="1" si="35"/>
        <v>3.5870474813320543</v>
      </c>
      <c r="AI15" s="92">
        <f t="shared" ca="1" si="36"/>
        <v>472.82171460939594</v>
      </c>
      <c r="AJ15" s="102">
        <f t="shared" ca="1" si="37"/>
        <v>112.82171460939594</v>
      </c>
      <c r="AK15" s="102">
        <f t="shared" ca="1" si="38"/>
        <v>22.82171460939594</v>
      </c>
      <c r="AL15" s="51">
        <f t="shared" ca="1" si="39"/>
        <v>10.480333086986038</v>
      </c>
      <c r="AM15" s="51">
        <f t="shared" ca="1" si="40"/>
        <v>11.30912972692548</v>
      </c>
      <c r="AN15" s="51">
        <f t="shared" ca="1" si="41"/>
        <v>0</v>
      </c>
      <c r="AO15" s="51">
        <f t="shared" ca="1" si="42"/>
        <v>0</v>
      </c>
      <c r="AP15" s="51">
        <f t="shared" ca="1" si="43"/>
        <v>222.82171460939591</v>
      </c>
      <c r="AQ15" s="5">
        <f t="shared" ca="1" si="44"/>
        <v>-11.30912972692548</v>
      </c>
      <c r="AR15" s="95">
        <f t="shared" ca="1" si="45"/>
        <v>0</v>
      </c>
      <c r="AS15" s="95">
        <f t="shared" ca="1" si="46"/>
        <v>-10.480333086986038</v>
      </c>
      <c r="AT15" s="95">
        <f t="shared" ca="1" si="47"/>
        <v>0</v>
      </c>
      <c r="AU15" s="51">
        <f t="shared" ca="1" si="48"/>
        <v>-11.30912972692548</v>
      </c>
      <c r="AV15" s="51">
        <f t="shared" ca="1" si="49"/>
        <v>-10.480333086986038</v>
      </c>
      <c r="AW15" s="51">
        <f t="shared" ca="1" si="50"/>
        <v>42.821714609395904</v>
      </c>
      <c r="AX15" s="51">
        <f t="shared" ca="1" si="51"/>
        <v>42.821714609395904</v>
      </c>
      <c r="AY15" s="51">
        <f t="shared" ca="1" si="9"/>
        <v>0</v>
      </c>
      <c r="AZ15" s="103">
        <v>1</v>
      </c>
      <c r="BA15" s="104">
        <f>_xlfn.IFS(AZ15=1,Références!$B$80,AZ15=2,Références!$B$81,AZ15=3,Références!$B$82,AZ15=4,Références!$B$83,AZ15=5,Références!$B$84,AZ15=6,Références!$B$85,AZ15=7,Références!$B$86,AZ15=8,Références!$B$87,AZ15=9,Références!$B$88,AZ15=10,Références!$B$89,AZ15=11,Références!$B$90,AZ15=12,Références!$B$91)</f>
        <v>1</v>
      </c>
      <c r="BB15" s="104" t="s">
        <v>69</v>
      </c>
      <c r="BC15" s="105" cm="1">
        <f t="array" ref="BC15">_xlfn.IFS(BB15="Beam", -0.0000000868778*BA15^5-0.0000459619*BA15^4+0.00347366*BA15^3-0.0884721*BA15^2+0.510463*BA15+14.9932,BB15="Following",0.000652681*BA15^3-0.0356523*BA15^2+0.29714*BA15+15.2038,BB15="Head",-0.00000154449*BA15^5+0.0000797696*BA15^4+0.000148965*BA15^3-0.0570448*BA15^2+0.244115*BA15+15.0029)</f>
        <v>15.418618511222199</v>
      </c>
      <c r="BD15" s="106"/>
      <c r="BE15" s="100">
        <v>250</v>
      </c>
      <c r="BF15" s="107">
        <v>0</v>
      </c>
      <c r="BG15" s="51">
        <f t="shared" ca="1" si="52"/>
        <v>15.418618511222199</v>
      </c>
      <c r="BH15" s="51">
        <f t="shared" ca="1" si="53"/>
        <v>222.82171460939591</v>
      </c>
      <c r="BI15" s="82">
        <f t="shared" ca="1" si="54"/>
        <v>222.82171460939591</v>
      </c>
      <c r="BJ15" s="106"/>
      <c r="BK15" s="108">
        <f t="shared" ca="1" si="55"/>
        <v>13.958633759780533</v>
      </c>
      <c r="BL15" s="93">
        <f t="shared" si="56"/>
        <v>-5</v>
      </c>
      <c r="BM15" s="109">
        <f t="shared" si="57"/>
        <v>0.20833333333333334</v>
      </c>
      <c r="BN15" s="110">
        <f t="shared" ca="1" si="58"/>
        <v>9.6934956665142586E-3</v>
      </c>
      <c r="BO15" s="124">
        <f t="shared" ca="1" si="60"/>
        <v>44927.561180333301</v>
      </c>
      <c r="BP15" s="124">
        <f t="shared" ca="1" si="59"/>
        <v>44927.769513666637</v>
      </c>
      <c r="BS15" s="2"/>
      <c r="BT15" s="7"/>
    </row>
    <row r="16" spans="1:72" x14ac:dyDescent="0.25">
      <c r="A16" s="52">
        <v>13</v>
      </c>
      <c r="B16" s="79">
        <v>2</v>
      </c>
      <c r="C16" s="52">
        <v>46.414999999999999</v>
      </c>
      <c r="D16" s="112" t="s">
        <v>16</v>
      </c>
      <c r="E16" s="52">
        <v>80</v>
      </c>
      <c r="F16" s="52">
        <v>15.161</v>
      </c>
      <c r="G16" s="112" t="s">
        <v>18</v>
      </c>
      <c r="H16" s="79">
        <f t="shared" si="13"/>
        <v>2.7735833333333333</v>
      </c>
      <c r="I16" s="82">
        <f t="shared" si="14"/>
        <v>4.8408161245106059E-2</v>
      </c>
      <c r="J16" s="82">
        <f t="shared" si="15"/>
        <v>4.8408161245106059E-2</v>
      </c>
      <c r="K16" s="52">
        <f t="shared" si="16"/>
        <v>80.252683333333337</v>
      </c>
      <c r="L16" s="82">
        <f t="shared" si="17"/>
        <v>1.4006735577270446</v>
      </c>
      <c r="M16" s="52">
        <f t="shared" si="18"/>
        <v>165.3540665351307</v>
      </c>
      <c r="N16" s="113" cm="1">
        <f t="array" aca="1" ref="N16" ca="1">_xlfn.IFS(D16&lt;&gt;OFFSET(D16,1,),M16+OFFSET(M16,1,),OFFSET(M16,1,)-M16&lt;0,(OFFSET(M16,1,)-M16)*-1,OFFSET(M16,1,)-M16&gt;0,OFFSET(M16,1,)-M16)</f>
        <v>3.8313651698970546</v>
      </c>
      <c r="O16" s="52">
        <f t="shared" si="19"/>
        <v>-3.8530000000000135</v>
      </c>
      <c r="P16" s="52">
        <f t="shared" si="20"/>
        <v>-3.8530000000000135</v>
      </c>
      <c r="Q16" s="52">
        <f t="shared" si="21"/>
        <v>4.306000000000302</v>
      </c>
      <c r="R16" s="52" cm="1">
        <f t="array" ref="R16">_xlfn.IFS(AND(G17="E",G17&lt;&gt;G16,L16+L17&gt;(RADIANS(180)),Q16&lt;0),Q16*-1,AND(G17="W",G17&lt;&gt;G16,L17+L16&gt;(RADIANS(180)),Q16&lt;0),Q16,AND(G17="E",G17&lt;&gt;G16,L17+L16&gt;(RADIANS(180)),Q16&gt;0),Q16,AND(G17="W",G17&lt;&gt;G16,L17+L16&gt;(RADIANS(180)),Q16&gt;0),Q16*-1,AND(G17="W",G17=G16,Q16&lt;0),Q16,AND(G17="W",G17=G16,Q16&gt;0),Q16,AND(G17="E",G17=G16,Q16&lt;0),Q16*-1,AND(G17="E",G17=G16,Q16&gt;0),Q16*-1,AND(G17="E",G17&lt;&gt;G16,Q16&gt;0),Q16*-1,AND(G17="E",G17&lt;&gt;G16,Q16&lt;0),Q16,AND(G17="W",G17&lt;&gt;G16,Q16&gt;0),Q16,AND(G17="W",G17&lt;&gt;G16,Q16&lt;0),Q16*-1)</f>
        <v>4.306000000000302</v>
      </c>
      <c r="S16" s="114">
        <f t="shared" si="22"/>
        <v>3.8530000000000135</v>
      </c>
      <c r="T16" s="114">
        <f t="shared" si="23"/>
        <v>4.306000000000302</v>
      </c>
      <c r="U16" s="52">
        <f t="shared" ca="1" si="24"/>
        <v>48.338156139605715</v>
      </c>
      <c r="V16" s="115">
        <f t="shared" ca="1" si="25"/>
        <v>311.6618438603943</v>
      </c>
      <c r="W16" s="116">
        <f t="shared" ca="1" si="26"/>
        <v>5.7963123493092494</v>
      </c>
      <c r="X16" s="52">
        <f t="shared" si="27"/>
        <v>2.7414749999999999</v>
      </c>
      <c r="Y16" s="52">
        <f t="shared" si="28"/>
        <v>4.3010718435495416</v>
      </c>
      <c r="Z16" s="52">
        <f t="shared" si="29"/>
        <v>48.145279143572772</v>
      </c>
      <c r="AA16" s="115">
        <f t="shared" si="30"/>
        <v>311.85472085642721</v>
      </c>
      <c r="AB16" s="116">
        <f t="shared" si="31"/>
        <v>5.7744980737181617</v>
      </c>
      <c r="AC16" s="52">
        <f t="shared" si="32"/>
        <v>131.85299936282559</v>
      </c>
      <c r="AD16" s="115">
        <f t="shared" si="33"/>
        <v>311.85299936282559</v>
      </c>
      <c r="AE16" s="116">
        <f t="shared" si="34"/>
        <v>5.7744979041224305</v>
      </c>
      <c r="AF16" s="100" t="s">
        <v>102</v>
      </c>
      <c r="AG16" s="101" cm="1">
        <f t="array" aca="1" ref="AG16" ca="1">_xlfn.IFS(AH16=W16,V16,AH16=AB16,AA16,AH16=AE16,AD16)</f>
        <v>311.85472085642721</v>
      </c>
      <c r="AH16" s="79">
        <f t="shared" ca="1" si="35"/>
        <v>5.7744980737181617</v>
      </c>
      <c r="AI16" s="79">
        <f t="shared" ca="1" si="36"/>
        <v>561.85472085642721</v>
      </c>
      <c r="AJ16" s="80">
        <f t="shared" ca="1" si="37"/>
        <v>201.85472085642721</v>
      </c>
      <c r="AK16" s="80">
        <f t="shared" ca="1" si="38"/>
        <v>68.145279143572793</v>
      </c>
      <c r="AL16" s="52">
        <f t="shared" ca="1" si="39"/>
        <v>11.484389655766002</v>
      </c>
      <c r="AM16" s="52">
        <f t="shared" ca="1" si="40"/>
        <v>10.287982845492051</v>
      </c>
      <c r="AN16" s="52">
        <f t="shared" ca="1" si="41"/>
        <v>0</v>
      </c>
      <c r="AO16" s="52">
        <f t="shared" ca="1" si="42"/>
        <v>0</v>
      </c>
      <c r="AP16" s="52">
        <f t="shared" ca="1" si="43"/>
        <v>311.85472085642721</v>
      </c>
      <c r="AQ16" s="81">
        <f t="shared" ca="1" si="44"/>
        <v>10.287982845492051</v>
      </c>
      <c r="AR16" s="82">
        <f t="shared" ca="1" si="45"/>
        <v>0</v>
      </c>
      <c r="AS16" s="82">
        <f t="shared" ca="1" si="46"/>
        <v>-11.484389655766002</v>
      </c>
      <c r="AT16" s="82">
        <f t="shared" ca="1" si="47"/>
        <v>0</v>
      </c>
      <c r="AU16" s="52">
        <f t="shared" ca="1" si="48"/>
        <v>10.287982845492051</v>
      </c>
      <c r="AV16" s="52">
        <f t="shared" ca="1" si="49"/>
        <v>-11.484389655766002</v>
      </c>
      <c r="AW16" s="52">
        <f t="shared" ca="1" si="50"/>
        <v>-48.145279143572772</v>
      </c>
      <c r="AX16" s="52">
        <f t="shared" ca="1" si="51"/>
        <v>48.145279143572772</v>
      </c>
      <c r="AY16" s="52">
        <f t="shared" ca="1" si="9"/>
        <v>0</v>
      </c>
      <c r="AZ16" s="71">
        <v>1</v>
      </c>
      <c r="BA16" s="117">
        <f>_xlfn.IFS(AZ16=1,Références!$B$80,AZ16=2,Références!$B$81,AZ16=3,Références!$B$82,AZ16=4,Références!$B$83,AZ16=5,Références!$B$84,AZ16=6,Références!$B$85,AZ16=7,Références!$B$86,AZ16=8,Références!$B$87,AZ16=9,Références!$B$88,AZ16=10,Références!$B$89,AZ16=11,Références!$B$90,AZ16=12,Références!$B$91)</f>
        <v>1</v>
      </c>
      <c r="BB16" s="117" t="s">
        <v>69</v>
      </c>
      <c r="BC16" s="118" cm="1">
        <f t="array" ref="BC16">_xlfn.IFS(BB16="Beam", -0.0000000868778*BA16^5-0.0000459619*BA16^4+0.00347366*BA16^3-0.0884721*BA16^2+0.510463*BA16+14.9932,BB16="Following",0.000652681*BA16^3-0.0356523*BA16^2+0.29714*BA16+15.2038,BB16="Head",-0.00000154449*BA16^5+0.0000797696*BA16^4+0.000148965*BA16^3-0.0570448*BA16^2+0.244115*BA16+15.0029)</f>
        <v>15.418618511222199</v>
      </c>
      <c r="BD16" s="106"/>
      <c r="BE16" s="100">
        <v>250</v>
      </c>
      <c r="BF16" s="119">
        <v>0</v>
      </c>
      <c r="BG16" s="52">
        <f t="shared" ca="1" si="52"/>
        <v>15.418618511222199</v>
      </c>
      <c r="BH16" s="52">
        <f t="shared" ca="1" si="53"/>
        <v>311.85472085642721</v>
      </c>
      <c r="BI16" s="82">
        <f t="shared" ca="1" si="54"/>
        <v>311.85472085642721</v>
      </c>
      <c r="BJ16" s="106"/>
      <c r="BK16" s="120">
        <f t="shared" ca="1" si="55"/>
        <v>22.470877281963816</v>
      </c>
      <c r="BL16" s="112">
        <f t="shared" si="56"/>
        <v>-5</v>
      </c>
      <c r="BM16" s="121">
        <f t="shared" si="57"/>
        <v>0.20833333333333334</v>
      </c>
      <c r="BN16" s="122">
        <f t="shared" ca="1" si="58"/>
        <v>1.5604775890252649E-2</v>
      </c>
      <c r="BO16" s="123">
        <f t="shared" ca="1" si="60"/>
        <v>44927.570873828969</v>
      </c>
      <c r="BP16" s="123">
        <f t="shared" ca="1" si="59"/>
        <v>44927.779207162304</v>
      </c>
      <c r="BS16" s="2"/>
      <c r="BT16" s="7"/>
    </row>
    <row r="17" spans="1:172" ht="17.25" customHeight="1" x14ac:dyDescent="0.25">
      <c r="A17" s="51">
        <v>14</v>
      </c>
      <c r="B17" s="92">
        <v>2</v>
      </c>
      <c r="C17" s="51">
        <v>42.561999999999998</v>
      </c>
      <c r="D17" s="93" t="s">
        <v>16</v>
      </c>
      <c r="E17" s="51">
        <v>80</v>
      </c>
      <c r="F17" s="51">
        <v>19.466999999999999</v>
      </c>
      <c r="G17" s="94" t="s">
        <v>18</v>
      </c>
      <c r="H17" s="92">
        <f t="shared" si="13"/>
        <v>2.7093666666666665</v>
      </c>
      <c r="I17" s="95">
        <f t="shared" si="14"/>
        <v>4.7287368977117029E-2</v>
      </c>
      <c r="J17" s="95">
        <f t="shared" si="15"/>
        <v>4.7287368977117029E-2</v>
      </c>
      <c r="K17" s="51">
        <f t="shared" si="16"/>
        <v>80.324449999999999</v>
      </c>
      <c r="L17" s="95">
        <f t="shared" si="17"/>
        <v>1.4019261223535593</v>
      </c>
      <c r="M17" s="51">
        <f t="shared" si="18"/>
        <v>161.52270136523364</v>
      </c>
      <c r="N17" s="96" cm="1">
        <f t="array" aca="1" ref="N17" ca="1">_xlfn.IFS(D17&lt;&gt;OFFSET(D17,1,),M17+OFFSET(M17,1,),OFFSET(M17,1,)-M17&lt;0,(OFFSET(M17,1,)-M17)*-1,OFFSET(M17,1,)-M17&gt;0,OFFSET(M17,1,)-M17)</f>
        <v>2.3507012649466787</v>
      </c>
      <c r="O17" s="51">
        <f t="shared" si="19"/>
        <v>2.3640000000000114</v>
      </c>
      <c r="P17" s="51">
        <f t="shared" si="20"/>
        <v>2.3640000000000114</v>
      </c>
      <c r="Q17" s="51">
        <f t="shared" si="21"/>
        <v>6.087000000000125</v>
      </c>
      <c r="R17" s="51" cm="1">
        <f t="array" ref="R17">_xlfn.IFS(AND(G18="E",G18&lt;&gt;G17,L17+L18&gt;(RADIANS(180)),Q17&lt;0),Q17*-1,AND(G18="W",G18&lt;&gt;G17,L18+L17&gt;(RADIANS(180)),Q17&lt;0),Q17,AND(G18="E",G18&lt;&gt;G17,L18+L17&gt;(RADIANS(180)),Q17&gt;0),Q17,AND(G18="W",G18&lt;&gt;G17,L18+L17&gt;(RADIANS(180)),Q17&gt;0),Q17*-1,AND(G18="W",G18=G17,Q17&lt;0),Q17,AND(G18="W",G18=G17,Q17&gt;0),Q17,AND(G18="E",G18=G17,Q17&lt;0),Q17*-1,AND(G18="E",G18=G17,Q17&gt;0),Q17*-1,AND(G18="E",G18&lt;&gt;G17,Q17&gt;0),Q17*-1,AND(G18="E",G18&lt;&gt;G17,Q17&lt;0),Q17,AND(G18="W",G18&lt;&gt;G17,Q17&gt;0),Q17,AND(G18="W",G18&lt;&gt;G17,Q17&lt;0),Q17*-1)</f>
        <v>6.087000000000125</v>
      </c>
      <c r="S17" s="97">
        <f t="shared" si="22"/>
        <v>2.3640000000000114</v>
      </c>
      <c r="T17" s="97">
        <f t="shared" si="23"/>
        <v>6.087000000000125</v>
      </c>
      <c r="U17" s="51">
        <f t="shared" ca="1" si="24"/>
        <v>68.884243030427683</v>
      </c>
      <c r="V17" s="98">
        <f t="shared" ca="1" si="25"/>
        <v>248.88424303042768</v>
      </c>
      <c r="W17" s="99">
        <f t="shared" ca="1" si="26"/>
        <v>6.5620483155244855</v>
      </c>
      <c r="X17" s="51">
        <f t="shared" si="27"/>
        <v>2.7290666666666663</v>
      </c>
      <c r="Y17" s="51">
        <f t="shared" si="28"/>
        <v>6.0800964222332805</v>
      </c>
      <c r="Z17" s="51">
        <f t="shared" si="29"/>
        <v>68.753439563011298</v>
      </c>
      <c r="AA17" s="98">
        <f t="shared" si="30"/>
        <v>248.75343956301128</v>
      </c>
      <c r="AB17" s="99">
        <f t="shared" si="31"/>
        <v>6.5235012457769939</v>
      </c>
      <c r="AC17" s="51">
        <f t="shared" si="32"/>
        <v>68.751029820219713</v>
      </c>
      <c r="AD17" s="98">
        <f t="shared" si="33"/>
        <v>248.75102982021971</v>
      </c>
      <c r="AE17" s="99">
        <f t="shared" si="34"/>
        <v>6.5235011316537213</v>
      </c>
      <c r="AF17" s="100" t="s">
        <v>102</v>
      </c>
      <c r="AG17" s="101" cm="1">
        <f t="array" aca="1" ref="AG17" ca="1">_xlfn.IFS(AH17=W17,V17,AH17=AB17,AA17,AH17=AE17,AD17)</f>
        <v>248.75343956301128</v>
      </c>
      <c r="AH17" s="92">
        <f t="shared" ca="1" si="35"/>
        <v>6.5235012457769939</v>
      </c>
      <c r="AI17" s="92">
        <f t="shared" ca="1" si="36"/>
        <v>498.75343956301128</v>
      </c>
      <c r="AJ17" s="102">
        <f t="shared" ca="1" si="37"/>
        <v>138.75343956301128</v>
      </c>
      <c r="AK17" s="102">
        <f t="shared" ca="1" si="38"/>
        <v>48.753439563011284</v>
      </c>
      <c r="AL17" s="51">
        <f t="shared" ca="1" si="39"/>
        <v>14.370609234810692</v>
      </c>
      <c r="AM17" s="51">
        <f t="shared" ca="1" si="40"/>
        <v>5.5874311642272199</v>
      </c>
      <c r="AN17" s="51">
        <f t="shared" ca="1" si="41"/>
        <v>0</v>
      </c>
      <c r="AO17" s="51">
        <f t="shared" ca="1" si="42"/>
        <v>0</v>
      </c>
      <c r="AP17" s="51">
        <f t="shared" ca="1" si="43"/>
        <v>248.75343956301128</v>
      </c>
      <c r="AQ17" s="5">
        <f t="shared" ca="1" si="44"/>
        <v>-5.5874311642272199</v>
      </c>
      <c r="AR17" s="95">
        <f t="shared" ca="1" si="45"/>
        <v>0</v>
      </c>
      <c r="AS17" s="95">
        <f t="shared" ca="1" si="46"/>
        <v>-14.370609234810692</v>
      </c>
      <c r="AT17" s="95">
        <f t="shared" ca="1" si="47"/>
        <v>0</v>
      </c>
      <c r="AU17" s="51">
        <f t="shared" ca="1" si="48"/>
        <v>-5.5874311642272199</v>
      </c>
      <c r="AV17" s="51">
        <f t="shared" ca="1" si="49"/>
        <v>-14.370609234810692</v>
      </c>
      <c r="AW17" s="51">
        <f t="shared" ca="1" si="50"/>
        <v>68.753439563011298</v>
      </c>
      <c r="AX17" s="51">
        <f t="shared" ca="1" si="51"/>
        <v>68.753439563011298</v>
      </c>
      <c r="AY17" s="51">
        <f t="shared" ca="1" si="9"/>
        <v>0</v>
      </c>
      <c r="AZ17" s="103">
        <v>1</v>
      </c>
      <c r="BA17" s="104">
        <f>_xlfn.IFS(AZ17=1,Références!$B$80,AZ17=2,Références!$B$81,AZ17=3,Références!$B$82,AZ17=4,Références!$B$83,AZ17=5,Références!$B$84,AZ17=6,Références!$B$85,AZ17=7,Références!$B$86,AZ17=8,Références!$B$87,AZ17=9,Références!$B$88,AZ17=10,Références!$B$89,AZ17=11,Références!$B$90,AZ17=12,Références!$B$91)</f>
        <v>1</v>
      </c>
      <c r="BB17" s="104" t="s">
        <v>69</v>
      </c>
      <c r="BC17" s="105" cm="1">
        <f t="array" ref="BC17">_xlfn.IFS(BB17="Beam", -0.0000000868778*BA17^5-0.0000459619*BA17^4+0.00347366*BA17^3-0.0884721*BA17^2+0.510463*BA17+14.9932,BB17="Following",0.000652681*BA17^3-0.0356523*BA17^2+0.29714*BA17+15.2038,BB17="Head",-0.00000154449*BA17^5+0.0000797696*BA17^4+0.000148965*BA17^3-0.0570448*BA17^2+0.244115*BA17+15.0029)</f>
        <v>15.418618511222199</v>
      </c>
      <c r="BD17" s="106"/>
      <c r="BE17" s="100">
        <v>250</v>
      </c>
      <c r="BF17" s="107">
        <v>0</v>
      </c>
      <c r="BG17" s="51">
        <f t="shared" ca="1" si="52"/>
        <v>15.418618511222199</v>
      </c>
      <c r="BH17" s="51">
        <f t="shared" ca="1" si="53"/>
        <v>248.75343956301128</v>
      </c>
      <c r="BI17" s="82">
        <f t="shared" ca="1" si="54"/>
        <v>248.75343956301128</v>
      </c>
      <c r="BJ17" s="106"/>
      <c r="BK17" s="108">
        <f t="shared" ca="1" si="55"/>
        <v>25.385547639157036</v>
      </c>
      <c r="BL17" s="93">
        <f t="shared" si="56"/>
        <v>-5</v>
      </c>
      <c r="BM17" s="109">
        <f t="shared" si="57"/>
        <v>0.20833333333333334</v>
      </c>
      <c r="BN17" s="110">
        <f t="shared" ca="1" si="58"/>
        <v>1.7628852527192387E-2</v>
      </c>
      <c r="BO17" s="124">
        <f t="shared" ca="1" si="60"/>
        <v>44927.586478604862</v>
      </c>
      <c r="BP17" s="124">
        <f t="shared" ca="1" si="59"/>
        <v>44927.794811938198</v>
      </c>
      <c r="BS17" s="2"/>
      <c r="BT17" s="7"/>
    </row>
    <row r="18" spans="1:172" s="12" customFormat="1" ht="17.25" customHeight="1" x14ac:dyDescent="0.25">
      <c r="A18" s="52">
        <v>15</v>
      </c>
      <c r="B18" s="79">
        <v>2</v>
      </c>
      <c r="C18" s="52">
        <v>44.926000000000002</v>
      </c>
      <c r="D18" s="112" t="s">
        <v>16</v>
      </c>
      <c r="E18" s="52">
        <v>80</v>
      </c>
      <c r="F18" s="52">
        <v>25.553999999999998</v>
      </c>
      <c r="G18" s="112" t="s">
        <v>18</v>
      </c>
      <c r="H18" s="79">
        <f t="shared" si="13"/>
        <v>2.7487666666666666</v>
      </c>
      <c r="I18" s="82">
        <f t="shared" si="14"/>
        <v>4.7975028702402799E-2</v>
      </c>
      <c r="J18" s="82">
        <f t="shared" si="15"/>
        <v>4.7975028702402799E-2</v>
      </c>
      <c r="K18" s="52">
        <f t="shared" si="16"/>
        <v>80.425899999999999</v>
      </c>
      <c r="L18" s="82">
        <f t="shared" si="17"/>
        <v>1.4036967588797076</v>
      </c>
      <c r="M18" s="52">
        <f t="shared" si="18"/>
        <v>163.87340263018032</v>
      </c>
      <c r="N18" s="113" cm="1">
        <f t="array" aca="1" ref="N18" ca="1">_xlfn.IFS(D18&lt;&gt;OFFSET(D18,1,),M18+OFFSET(M18,1,),OFFSET(M18,1,)-M18&lt;0,(OFFSET(M18,1,)-M18)*-1,OFFSET(M18,1,)-M18&gt;0,OFFSET(M18,1,)-M18)</f>
        <v>14.840760048111349</v>
      </c>
      <c r="O18" s="52">
        <f>(DEGREES(IF(D18=D19,I19-I18,I18+I19)))*60</f>
        <v>-14.926000000000005</v>
      </c>
      <c r="P18" s="52">
        <f>_xlfn.IFS(AND(D19="N",D18&lt;&gt;D19,O18&gt;0),O18*-1,AND(D19="N",D18=D19,O18&lt;0),O18*-1,AND(D19="S",D18=D19,O18&gt;0),O18,AND(D19="S",D18&lt;&gt;D19,O18&lt;0),O18,AND(D19="N",D19&lt;&gt;D18,O18&lt;0),O18*-1,AND(D19="N",D19=D18,O18&lt;0),O18*-1,AND(D19="S",D18=D19,O18&lt;0),O18,AND(D19="N",D19=D18,O18&gt;0),O18*-1)</f>
        <v>-14.926000000000005</v>
      </c>
      <c r="Q18" s="52">
        <f>(DEGREES(_xlfn.IFS(G18=G19,L19-L18,(L18+L19)&gt;(RADIANS(180)),RADIANS(360)-(L18+L19),G18&lt;&gt;G19,L18+L19)))*60</f>
        <v>1474.4460000000001</v>
      </c>
      <c r="R18" s="52" cm="1">
        <f t="array" ref="R18">_xlfn.IFS(AND(G19="E",G19&lt;&gt;G18,L18+L19&gt;(RADIANS(180)),Q18&lt;0),Q18*-1,AND(G19="W",G19&lt;&gt;G18,L19+L18&gt;(RADIANS(180)),Q18&lt;0),Q18,AND(G19="E",G19&lt;&gt;G18,L19+L18&gt;(RADIANS(180)),Q18&gt;0),Q18,AND(G19="W",G19&lt;&gt;G18,L19+L18&gt;(RADIANS(180)),Q18&gt;0),Q18*-1,AND(G19="W",G19=G18,Q18&lt;0),Q18,AND(G19="W",G19=G18,Q18&gt;0),Q18,AND(G19="E",G19=G18,Q18&lt;0),Q18*-1,AND(G19="E",G19=G18,Q18&gt;0),Q18*-1,AND(G19="E",G19&lt;&gt;G18,Q18&gt;0),Q18*-1,AND(G19="E",G19&lt;&gt;G18,Q18&lt;0),Q18,AND(G19="W",G19&lt;&gt;G18,Q18&gt;0),Q18,AND(G19="W",G19&lt;&gt;G18,Q18&lt;0),Q18*-1)</f>
        <v>1474.4460000000001</v>
      </c>
      <c r="S18" s="114">
        <f t="shared" si="22"/>
        <v>14.926000000000005</v>
      </c>
      <c r="T18" s="114">
        <f t="shared" si="23"/>
        <v>1474.4460000000001</v>
      </c>
      <c r="U18" s="52">
        <f t="shared" ca="1" si="24"/>
        <v>89.423319536928418</v>
      </c>
      <c r="V18" s="115">
        <f t="shared" ca="1" si="25"/>
        <v>270.57668046307157</v>
      </c>
      <c r="W18" s="116">
        <f t="shared" ca="1" si="26"/>
        <v>1482.9897994544795</v>
      </c>
      <c r="X18" s="52">
        <f>AVERAGE(H18,H19)</f>
        <v>2.6243833333333333</v>
      </c>
      <c r="Y18" s="52">
        <f t="shared" si="28"/>
        <v>1472.8995630357258</v>
      </c>
      <c r="Z18" s="52">
        <f t="shared" si="29"/>
        <v>89.419398610705514</v>
      </c>
      <c r="AA18" s="115">
        <f t="shared" si="30"/>
        <v>270.58060138929449</v>
      </c>
      <c r="AB18" s="116">
        <f t="shared" si="31"/>
        <v>1472.9751892909812</v>
      </c>
      <c r="AC18" s="52">
        <f>DEGREES(ACOS(((SIN(J19)-(SIN(J18))*(COS(RADIANS(AE18/60))))/(COS(J18)*SIN(RADIANS(AE18/60))))))</f>
        <v>90.000304453631855</v>
      </c>
      <c r="AD18" s="115">
        <f t="shared" si="33"/>
        <v>270.00030445363188</v>
      </c>
      <c r="AE18" s="116">
        <f>(DEGREES(ACOS((SIN(J18)*SIN(J19)+(COS(J18)*COS(J19)*COS(RADIANS(T18/60)))))))*60</f>
        <v>1472.9499112851524</v>
      </c>
      <c r="AF18" s="100" t="s">
        <v>102</v>
      </c>
      <c r="AG18" s="101" cm="1">
        <f t="array" aca="1" ref="AG18" ca="1">_xlfn.IFS(AH18=W18,V18,AH18=AB18,AA18,AH18=AE18,AD18)</f>
        <v>270.57668046307157</v>
      </c>
      <c r="AH18" s="79">
        <f t="shared" ca="1" si="35"/>
        <v>1482.9897994544795</v>
      </c>
      <c r="AI18" s="79">
        <f t="shared" ca="1" si="36"/>
        <v>270.57668046307157</v>
      </c>
      <c r="AJ18" s="80">
        <f t="shared" ca="1" si="37"/>
        <v>270.57668046307157</v>
      </c>
      <c r="AK18" s="80">
        <f t="shared" ca="1" si="38"/>
        <v>0.57668046307156828</v>
      </c>
      <c r="AL18" s="52">
        <f t="shared" ca="1" si="39"/>
        <v>15.837225441579202</v>
      </c>
      <c r="AM18" s="52">
        <f t="shared" ca="1" si="40"/>
        <v>0.15940662635734501</v>
      </c>
      <c r="AN18" s="52">
        <f t="shared" ca="1" si="41"/>
        <v>5.0324014384624293E-3</v>
      </c>
      <c r="AO18" s="52">
        <f t="shared" ca="1" si="42"/>
        <v>0.49997467429437081</v>
      </c>
      <c r="AP18" s="52">
        <f t="shared" ca="1" si="43"/>
        <v>270.57668046307157</v>
      </c>
      <c r="AQ18" s="81">
        <f t="shared" ca="1" si="44"/>
        <v>0.15940662635734501</v>
      </c>
      <c r="AR18" s="82">
        <f t="shared" ca="1" si="45"/>
        <v>5.0324014384624293E-3</v>
      </c>
      <c r="AS18" s="82">
        <f t="shared" ca="1" si="46"/>
        <v>-15.837225441579202</v>
      </c>
      <c r="AT18" s="82">
        <f t="shared" ca="1" si="47"/>
        <v>-0.49997467429437081</v>
      </c>
      <c r="AU18" s="52">
        <f t="shared" ca="1" si="48"/>
        <v>0.16443902779580744</v>
      </c>
      <c r="AV18" s="52">
        <f t="shared" ca="1" si="49"/>
        <v>-16.337200115873571</v>
      </c>
      <c r="AW18" s="52">
        <f t="shared" ca="1" si="50"/>
        <v>-89.423319536929</v>
      </c>
      <c r="AX18" s="52">
        <f t="shared" ca="1" si="51"/>
        <v>89.423319536929</v>
      </c>
      <c r="AY18" s="52">
        <f t="shared" ca="1" si="9"/>
        <v>-5.6843418860808015E-13</v>
      </c>
      <c r="AZ18" s="71">
        <v>3</v>
      </c>
      <c r="BA18" s="117">
        <f>_xlfn.IFS(AZ18=1,Références!$B$80,AZ18=2,Références!$B$81,AZ18=3,Références!$B$82,AZ18=4,Références!$B$83,AZ18=5,Références!$B$84,AZ18=6,Références!$B$85,AZ18=7,Références!$B$86,AZ18=8,Références!$B$87,AZ18=9,Références!$B$88,AZ18=10,Références!$B$89,AZ18=11,Références!$B$90,AZ18=12,Références!$B$91)</f>
        <v>3.5</v>
      </c>
      <c r="BB18" s="117" t="s">
        <v>69</v>
      </c>
      <c r="BC18" s="118" cm="1">
        <f t="array" ref="BC18">_xlfn.IFS(BB18="Beam", -0.0000000868778*BA18^5-0.0000459619*BA18^4+0.00347366*BA18^3-0.0884721*BA18^2+0.510463*BA18+14.9932,BB18="Following",0.000652681*BA18^3-0.0356523*BA18^2+0.29714*BA18+15.2038,BB18="Head",-0.00000154449*BA18^5+0.0000797696*BA18^4+0.000148965*BA18^3-0.0570448*BA18^2+0.244115*BA18+15.0029)</f>
        <v>15.838027660031731</v>
      </c>
      <c r="BD18" s="106"/>
      <c r="BE18" s="100">
        <v>0</v>
      </c>
      <c r="BF18" s="119">
        <v>0.5</v>
      </c>
      <c r="BG18" s="52">
        <f t="shared" ca="1" si="52"/>
        <v>16.338027660031731</v>
      </c>
      <c r="BH18" s="52">
        <f t="shared" ca="1" si="53"/>
        <v>270.576680463071</v>
      </c>
      <c r="BI18" s="82">
        <f t="shared" ca="1" si="54"/>
        <v>270.57668046307214</v>
      </c>
      <c r="BJ18" s="106"/>
      <c r="BK18" s="120">
        <f t="shared" ca="1" si="55"/>
        <v>5446.1523642135862</v>
      </c>
      <c r="BL18" s="112">
        <f t="shared" si="56"/>
        <v>-5</v>
      </c>
      <c r="BM18" s="121">
        <f t="shared" si="57"/>
        <v>0.20833333333333334</v>
      </c>
      <c r="BN18" s="122">
        <f t="shared" ca="1" si="58"/>
        <v>3.7820502529261018</v>
      </c>
      <c r="BO18" s="123">
        <f t="shared" ca="1" si="60"/>
        <v>44927.604107457388</v>
      </c>
      <c r="BP18" s="123">
        <f t="shared" ca="1" si="59"/>
        <v>44927.812440790723</v>
      </c>
      <c r="BQ18"/>
      <c r="BR18"/>
      <c r="BS18" s="2"/>
      <c r="BT18" s="7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</row>
    <row r="19" spans="1:172" ht="17.25" customHeight="1" x14ac:dyDescent="0.25">
      <c r="A19" s="125">
        <v>15.1</v>
      </c>
      <c r="B19" s="92">
        <v>2</v>
      </c>
      <c r="C19" s="51">
        <v>30</v>
      </c>
      <c r="D19" s="93" t="s">
        <v>16</v>
      </c>
      <c r="E19" s="51">
        <v>105</v>
      </c>
      <c r="F19" s="51">
        <v>0</v>
      </c>
      <c r="G19" s="94" t="s">
        <v>18</v>
      </c>
      <c r="H19" s="92">
        <f t="shared" si="13"/>
        <v>2.5</v>
      </c>
      <c r="I19" s="95">
        <f t="shared" si="14"/>
        <v>4.3633231299858237E-2</v>
      </c>
      <c r="J19" s="95">
        <f t="shared" si="15"/>
        <v>4.3633231299858237E-2</v>
      </c>
      <c r="K19" s="51">
        <f t="shared" si="16"/>
        <v>105</v>
      </c>
      <c r="L19" s="95">
        <f t="shared" si="17"/>
        <v>1.8325957145940461</v>
      </c>
      <c r="M19" s="51">
        <f t="shared" si="18"/>
        <v>149.03264258206897</v>
      </c>
      <c r="N19" s="96" cm="1">
        <f t="array" aca="1" ref="N19" ca="1">_xlfn.IFS(D19&lt;&gt;OFFSET(D19,1,),M19+OFFSET(M19,1,),OFFSET(M19,1,)-M19&lt;0,(OFFSET(M19,1,)-M19)*-1,OFFSET(M19,1,)-M19&gt;0,OFFSET(M19,1,)-M19)</f>
        <v>380.53579216608858</v>
      </c>
      <c r="O19" s="51">
        <f t="shared" si="19"/>
        <v>382.9</v>
      </c>
      <c r="P19" s="51">
        <f t="shared" si="20"/>
        <v>-382.9</v>
      </c>
      <c r="Q19" s="51">
        <f t="shared" si="21"/>
        <v>899.99999999999898</v>
      </c>
      <c r="R19" s="51" cm="1">
        <f t="array" ref="R19">_xlfn.IFS(AND(G20="E",G20&lt;&gt;G19,L19+L20&gt;(RADIANS(180)),Q19&lt;0),Q19*-1,AND(G20="W",G20&lt;&gt;G19,L20+L19&gt;(RADIANS(180)),Q19&lt;0),Q19,AND(G20="E",G20&lt;&gt;G19,L20+L19&gt;(RADIANS(180)),Q19&gt;0),Q19,AND(G20="W",G20&lt;&gt;G19,L20+L19&gt;(RADIANS(180)),Q19&gt;0),Q19*-1,AND(G20="W",G20=G19,Q19&lt;0),Q19,AND(G20="W",G20=G19,Q19&gt;0),Q19,AND(G20="E",G20=G19,Q19&lt;0),Q19*-1,AND(G20="E",G20=G19,Q19&gt;0),Q19*-1,AND(G20="E",G20&lt;&gt;G19,Q19&gt;0),Q19*-1,AND(G20="E",G20&lt;&gt;G19,Q19&lt;0),Q19,AND(G20="W",G20&lt;&gt;G19,Q19&gt;0),Q19,AND(G20="W",G20&lt;&gt;G19,Q19&lt;0),Q19*-1)</f>
        <v>899.99999999999898</v>
      </c>
      <c r="S19" s="97">
        <f t="shared" si="22"/>
        <v>382.9</v>
      </c>
      <c r="T19" s="97">
        <f t="shared" si="23"/>
        <v>899.99999999999898</v>
      </c>
      <c r="U19" s="51">
        <f t="shared" ca="1" si="24"/>
        <v>67.080505686870708</v>
      </c>
      <c r="V19" s="98">
        <f t="shared" ca="1" si="25"/>
        <v>292.91949431312929</v>
      </c>
      <c r="W19" s="99">
        <f t="shared" ca="1" si="26"/>
        <v>983.21334186715967</v>
      </c>
      <c r="X19" s="51">
        <f t="shared" si="27"/>
        <v>3.1908333333333334</v>
      </c>
      <c r="Y19" s="51">
        <f t="shared" si="28"/>
        <v>898.60471398306947</v>
      </c>
      <c r="Z19" s="51">
        <f t="shared" si="29"/>
        <v>66.920901565118868</v>
      </c>
      <c r="AA19" s="98">
        <f t="shared" si="30"/>
        <v>293.07909843488113</v>
      </c>
      <c r="AB19" s="99">
        <f t="shared" si="31"/>
        <v>976.78188045878221</v>
      </c>
      <c r="AC19" s="51">
        <f t="shared" si="32"/>
        <v>113.01088793031961</v>
      </c>
      <c r="AD19" s="98">
        <f t="shared" si="33"/>
        <v>293.0108879303196</v>
      </c>
      <c r="AE19" s="99">
        <f t="shared" si="34"/>
        <v>977.57619551109042</v>
      </c>
      <c r="AF19" s="100" t="s">
        <v>102</v>
      </c>
      <c r="AG19" s="101" cm="1">
        <f t="array" aca="1" ref="AG19" ca="1">_xlfn.IFS(AH19=W19,V19,AH19=AB19,AA19,AH19=AE19,AD19)</f>
        <v>292.91949431312929</v>
      </c>
      <c r="AH19" s="92">
        <f t="shared" ca="1" si="35"/>
        <v>983.21334186715967</v>
      </c>
      <c r="AI19" s="92">
        <f t="shared" ca="1" si="36"/>
        <v>292.91949431312929</v>
      </c>
      <c r="AJ19" s="102">
        <f t="shared" ca="1" si="37"/>
        <v>292.91949431312929</v>
      </c>
      <c r="AK19" s="102">
        <f t="shared" ca="1" si="38"/>
        <v>22.919494313129292</v>
      </c>
      <c r="AL19" s="51">
        <f t="shared" ca="1" si="39"/>
        <v>14.584903985722148</v>
      </c>
      <c r="AM19" s="51">
        <f t="shared" ca="1" si="40"/>
        <v>6.166753324303472</v>
      </c>
      <c r="AN19" s="51">
        <f t="shared" ca="1" si="41"/>
        <v>0.31154988134954165</v>
      </c>
      <c r="AO19" s="51">
        <f t="shared" ca="1" si="42"/>
        <v>0.7368423653883418</v>
      </c>
      <c r="AP19" s="51">
        <f t="shared" ca="1" si="43"/>
        <v>292.91949431312929</v>
      </c>
      <c r="AQ19" s="5">
        <f t="shared" ca="1" si="44"/>
        <v>6.166753324303472</v>
      </c>
      <c r="AR19" s="95">
        <f t="shared" ca="1" si="45"/>
        <v>0.31154988134954165</v>
      </c>
      <c r="AS19" s="95">
        <f t="shared" ca="1" si="46"/>
        <v>-14.584903985722148</v>
      </c>
      <c r="AT19" s="95">
        <f t="shared" ca="1" si="47"/>
        <v>-0.7368423653883418</v>
      </c>
      <c r="AU19" s="51">
        <f t="shared" ca="1" si="48"/>
        <v>6.4783032056530132</v>
      </c>
      <c r="AV19" s="51">
        <f t="shared" ca="1" si="49"/>
        <v>-15.321746351110489</v>
      </c>
      <c r="AW19" s="51">
        <f t="shared" ca="1" si="50"/>
        <v>-67.080505686870723</v>
      </c>
      <c r="AX19" s="51">
        <f t="shared" ca="1" si="51"/>
        <v>67.080505686870723</v>
      </c>
      <c r="AY19" s="51">
        <f t="shared" ca="1" si="9"/>
        <v>0</v>
      </c>
      <c r="AZ19" s="103">
        <v>3</v>
      </c>
      <c r="BA19" s="104">
        <f>_xlfn.IFS(AZ19=1,Références!$B$80,AZ19=2,Références!$B$81,AZ19=3,Références!$B$82,AZ19=4,Références!$B$83,AZ19=5,Références!$B$84,AZ19=6,Références!$B$85,AZ19=7,Références!$B$86,AZ19=8,Références!$B$87,AZ19=9,Références!$B$88,AZ19=10,Références!$B$89,AZ19=11,Références!$B$90,AZ19=12,Références!$B$91)</f>
        <v>3.5</v>
      </c>
      <c r="BB19" s="104" t="s">
        <v>70</v>
      </c>
      <c r="BC19" s="105" cm="1">
        <f t="array" ref="BC19">_xlfn.IFS(BB19="Beam", -0.0000000868778*BA19^5-0.0000459619*BA19^4+0.00347366*BA19^3-0.0884721*BA19^2+0.510463*BA19+14.9932,BB19="Following",0.000652681*BA19^3-0.0356523*BA19^2+0.29714*BA19+15.2038,BB19="Head",-0.00000154449*BA19^5+0.0000797696*BA19^4+0.000148965*BA19^3-0.0570448*BA19^2+0.244115*BA19+15.0029)</f>
        <v>15.835033022874999</v>
      </c>
      <c r="BD19" s="106"/>
      <c r="BE19" s="100">
        <v>0</v>
      </c>
      <c r="BF19" s="107">
        <v>0.8</v>
      </c>
      <c r="BG19" s="51">
        <f t="shared" ca="1" si="52"/>
        <v>16.635033022874996</v>
      </c>
      <c r="BH19" s="51">
        <f t="shared" ca="1" si="53"/>
        <v>292.91949431312929</v>
      </c>
      <c r="BI19" s="82">
        <f t="shared" ca="1" si="54"/>
        <v>292.91949431312929</v>
      </c>
      <c r="BJ19" s="106"/>
      <c r="BK19" s="108">
        <f t="shared" ca="1" si="55"/>
        <v>3546.2989722297521</v>
      </c>
      <c r="BL19" s="93">
        <f t="shared" si="56"/>
        <v>-7</v>
      </c>
      <c r="BM19" s="109">
        <f t="shared" si="57"/>
        <v>0.29166666666666669</v>
      </c>
      <c r="BN19" s="110">
        <f t="shared" ca="1" si="58"/>
        <v>2.4627076196039943</v>
      </c>
      <c r="BO19" s="124">
        <f ca="1">BO18+BN18</f>
        <v>44931.386157710316</v>
      </c>
      <c r="BP19" s="124">
        <f ca="1">BP18+BN18</f>
        <v>44931.594491043652</v>
      </c>
      <c r="BS19" s="2"/>
      <c r="BT19" s="7"/>
    </row>
    <row r="20" spans="1:172" ht="17.25" customHeight="1" x14ac:dyDescent="0.25">
      <c r="A20" s="52"/>
      <c r="B20" s="79">
        <v>3</v>
      </c>
      <c r="C20" s="52">
        <v>52.9</v>
      </c>
      <c r="D20" s="112" t="s">
        <v>56</v>
      </c>
      <c r="E20" s="52">
        <v>120</v>
      </c>
      <c r="F20" s="52">
        <v>0</v>
      </c>
      <c r="G20" s="112" t="s">
        <v>18</v>
      </c>
      <c r="H20" s="79">
        <f t="shared" si="13"/>
        <v>3.8816666666666668</v>
      </c>
      <c r="I20" s="82">
        <f t="shared" si="14"/>
        <v>6.7747863798246558E-2</v>
      </c>
      <c r="J20" s="82">
        <f t="shared" si="15"/>
        <v>-6.7747863798246558E-2</v>
      </c>
      <c r="K20" s="52">
        <f t="shared" si="16"/>
        <v>120</v>
      </c>
      <c r="L20" s="82">
        <f t="shared" si="17"/>
        <v>2.0943951023931953</v>
      </c>
      <c r="M20" s="52">
        <f t="shared" si="18"/>
        <v>231.50314958401961</v>
      </c>
      <c r="N20" s="113" cm="1">
        <f t="array" aca="1" ref="N20" ca="1">_xlfn.IFS(D20&lt;&gt;OFFSET(D20,1,),M20+OFFSET(M20,1,),OFFSET(M20,1,)-M20&lt;0,(OFFSET(M20,1,)-M20)*-1,OFFSET(M20,1,)-M20&gt;0,OFFSET(M20,1,)-M20)</f>
        <v>362.18012400779571</v>
      </c>
      <c r="O20" s="52">
        <f>(DEGREES(IF(D20=D21,I21-I20,I20+I21)))*60</f>
        <v>361.80000000000007</v>
      </c>
      <c r="P20" s="52">
        <f>_xlfn.IFS(AND(D21="N",D20&lt;&gt;D21,O20&gt;0),O20*-1,AND(D21="N",D20=D21,O20&lt;0),O20*-1,AND(D21="S",D20=D21,O20&gt;0),O20,AND(D21="S",D20&lt;&gt;D21,O20&lt;0),O20,AND(D21="N",D21&lt;&gt;D20,O20&lt;0),O20*-1,AND(D21="N",D21=D20,O20&lt;0),O20*-1,AND(D21="S",D20=D21,O20&lt;0),O20,AND(D21="N",D21=D20,O20&gt;0),O20*-1)</f>
        <v>-361.80000000000007</v>
      </c>
      <c r="Q20" s="52">
        <f>(DEGREES(_xlfn.IFS(G20=G21,L21-L20,(L20+L21)&gt;(RADIANS(180)),RADIANS(360)-(L20+L21),G20&lt;&gt;G21,L20+L21)))*60</f>
        <v>900.00000000000057</v>
      </c>
      <c r="R20" s="52" cm="1">
        <f t="array" ref="R20">_xlfn.IFS(AND(G21="E",G21&lt;&gt;G20,L20+L21&gt;(RADIANS(180)),Q20&lt;0),Q20*-1,AND(G21="W",G21&lt;&gt;G20,L21+L20&gt;(RADIANS(180)),Q20&lt;0),Q20,AND(G21="E",G21&lt;&gt;G20,L21+L20&gt;(RADIANS(180)),Q20&gt;0),Q20,AND(G21="W",G21&lt;&gt;G20,L21+L20&gt;(RADIANS(180)),Q20&gt;0),Q20*-1,AND(G21="W",G21=G20,Q20&lt;0),Q20,AND(G21="W",G21=G20,Q20&gt;0),Q20,AND(G21="E",G21=G20,Q20&lt;0),Q20*-1,AND(G21="E",G21=G20,Q20&gt;0),Q20*-1,AND(G21="E",G21&lt;&gt;G20,Q20&gt;0),Q20*-1,AND(G21="E",G21&lt;&gt;G20,Q20&lt;0),Q20,AND(G21="W",G21&lt;&gt;G20,Q20&gt;0),Q20,AND(G21="W",G21&lt;&gt;G20,Q20&lt;0),Q20*-1)</f>
        <v>900.00000000000057</v>
      </c>
      <c r="S20" s="114">
        <f t="shared" si="22"/>
        <v>361.80000000000007</v>
      </c>
      <c r="T20" s="114">
        <f t="shared" si="23"/>
        <v>900.00000000000057</v>
      </c>
      <c r="U20" s="52">
        <f t="shared" ca="1" si="24"/>
        <v>68.079043126728664</v>
      </c>
      <c r="V20" s="115">
        <f t="shared" ca="1" si="25"/>
        <v>291.92095687327134</v>
      </c>
      <c r="W20" s="116">
        <f t="shared" ca="1" si="26"/>
        <v>969.12324852299537</v>
      </c>
      <c r="X20" s="52">
        <f>AVERAGE(H20,H21)</f>
        <v>6.8966666666666665</v>
      </c>
      <c r="Y20" s="52">
        <f t="shared" si="28"/>
        <v>893.48789657461396</v>
      </c>
      <c r="Z20" s="52">
        <f t="shared" si="29"/>
        <v>67.955501141622619</v>
      </c>
      <c r="AA20" s="115">
        <f t="shared" si="30"/>
        <v>292.04449885837738</v>
      </c>
      <c r="AB20" s="116">
        <f t="shared" si="31"/>
        <v>963.96050817724324</v>
      </c>
      <c r="AC20" s="52">
        <f>DEGREES(ACOS(((SIN(J21)-(SIN(J20))*(COS(RADIANS(AE20/60))))/(COS(J20)*SIN(RADIANS(AE20/60))))))</f>
        <v>112.82822272911804</v>
      </c>
      <c r="AD20" s="115">
        <f t="shared" si="33"/>
        <v>292.82822272911801</v>
      </c>
      <c r="AE20" s="116">
        <f>(DEGREES(ACOS((SIN(J20)*SIN(J21)+(COS(J20)*COS(J21)*COS(RADIANS(T20/60)))))))*60</f>
        <v>963.52651920180324</v>
      </c>
      <c r="AF20" s="100" t="s">
        <v>102</v>
      </c>
      <c r="AG20" s="101" cm="1">
        <f t="array" aca="1" ref="AG20" ca="1">_xlfn.IFS(AH20=W20,V20,AH20=AB20,AA20,AH20=AE20,AD20)</f>
        <v>291.92095687327134</v>
      </c>
      <c r="AH20" s="79">
        <f t="shared" ca="1" si="35"/>
        <v>969.12324852299537</v>
      </c>
      <c r="AI20" s="79">
        <f t="shared" ca="1" si="36"/>
        <v>321.92095687327134</v>
      </c>
      <c r="AJ20" s="80">
        <f t="shared" ca="1" si="37"/>
        <v>321.92095687327134</v>
      </c>
      <c r="AK20" s="80">
        <f t="shared" ca="1" si="38"/>
        <v>51.920956873271336</v>
      </c>
      <c r="AL20" s="52">
        <f t="shared" ca="1" si="39"/>
        <v>14.698601525135933</v>
      </c>
      <c r="AM20" s="52">
        <f t="shared" ca="1" si="40"/>
        <v>5.9150459145721106</v>
      </c>
      <c r="AN20" s="52">
        <f t="shared" ca="1" si="41"/>
        <v>0.39358033016565941</v>
      </c>
      <c r="AO20" s="52">
        <f t="shared" ca="1" si="42"/>
        <v>0.3083739997254803</v>
      </c>
      <c r="AP20" s="52">
        <f t="shared" ca="1" si="43"/>
        <v>291.92095687327134</v>
      </c>
      <c r="AQ20" s="81">
        <f t="shared" ca="1" si="44"/>
        <v>5.9150459145721106</v>
      </c>
      <c r="AR20" s="82">
        <f t="shared" ca="1" si="45"/>
        <v>0.39358033016565941</v>
      </c>
      <c r="AS20" s="82">
        <f t="shared" ca="1" si="46"/>
        <v>-14.698601525135933</v>
      </c>
      <c r="AT20" s="82">
        <f t="shared" ca="1" si="47"/>
        <v>-0.3083739997254803</v>
      </c>
      <c r="AU20" s="52">
        <f t="shared" ca="1" si="48"/>
        <v>6.3086262447377699</v>
      </c>
      <c r="AV20" s="52">
        <f t="shared" ca="1" si="49"/>
        <v>-15.006975524861414</v>
      </c>
      <c r="AW20" s="52">
        <f t="shared" ca="1" si="50"/>
        <v>-67.199109010998797</v>
      </c>
      <c r="AX20" s="52">
        <f t="shared" ca="1" si="51"/>
        <v>67.199109010998797</v>
      </c>
      <c r="AY20" s="52">
        <f t="shared" ca="1" si="9"/>
        <v>0.87993411572989544</v>
      </c>
      <c r="AZ20" s="71">
        <v>4</v>
      </c>
      <c r="BA20" s="117">
        <f>_xlfn.IFS(AZ20=1,Références!$B$80,AZ20=2,Références!$B$81,AZ20=3,Références!$B$82,AZ20=4,Références!$B$83,AZ20=5,Références!$B$84,AZ20=6,Références!$B$85,AZ20=7,Références!$B$86,AZ20=8,Références!$B$87,AZ20=9,Références!$B$88,AZ20=10,Références!$B$89,AZ20=11,Références!$B$90,AZ20=12,Références!$B$91)</f>
        <v>6</v>
      </c>
      <c r="BB20" s="117" t="s">
        <v>70</v>
      </c>
      <c r="BC20" s="118" cm="1">
        <f t="array" ref="BC20">_xlfn.IFS(BB20="Beam", -0.0000000868778*BA20^5-0.0000459619*BA20^4+0.00347366*BA20^3-0.0884721*BA20^2+0.510463*BA20+14.9932,BB20="Following",0.000652681*BA20^3-0.0356523*BA20^2+0.29714*BA20+15.2038,BB20="Head",-0.00000154449*BA20^5+0.0000797696*BA20^4+0.000148965*BA20^3-0.0570448*BA20^2+0.244115*BA20+15.0029)</f>
        <v>15.844136296</v>
      </c>
      <c r="BD20" s="106"/>
      <c r="BE20" s="100">
        <v>30</v>
      </c>
      <c r="BF20" s="119">
        <v>0.5</v>
      </c>
      <c r="BG20" s="52">
        <f t="shared" ca="1" si="52"/>
        <v>16.279068754065253</v>
      </c>
      <c r="BH20" s="52">
        <f t="shared" ca="1" si="53"/>
        <v>292.80089098900123</v>
      </c>
      <c r="BI20" s="82">
        <f t="shared" ca="1" si="54"/>
        <v>291.04102275754144</v>
      </c>
      <c r="BJ20" s="106"/>
      <c r="BK20" s="120">
        <f t="shared" ca="1" si="55"/>
        <v>3571.9116240515291</v>
      </c>
      <c r="BL20" s="112">
        <f t="shared" si="56"/>
        <v>-8</v>
      </c>
      <c r="BM20" s="121">
        <f t="shared" si="57"/>
        <v>0.33333333333333331</v>
      </c>
      <c r="BN20" s="122">
        <f t="shared" ca="1" si="58"/>
        <v>2.4804941833691174</v>
      </c>
      <c r="BO20" s="123">
        <f t="shared" ca="1" si="60"/>
        <v>44933.848865329921</v>
      </c>
      <c r="BP20" s="123">
        <f t="shared" ca="1" si="59"/>
        <v>44934.057198663257</v>
      </c>
      <c r="BS20" s="2"/>
      <c r="BT20" s="7"/>
    </row>
    <row r="21" spans="1:172" ht="17.25" customHeight="1" x14ac:dyDescent="0.25">
      <c r="A21" s="51"/>
      <c r="B21" s="92">
        <v>9</v>
      </c>
      <c r="C21" s="51">
        <v>54.7</v>
      </c>
      <c r="D21" s="93" t="s">
        <v>56</v>
      </c>
      <c r="E21" s="51">
        <v>135</v>
      </c>
      <c r="F21" s="51">
        <v>0</v>
      </c>
      <c r="G21" s="94" t="s">
        <v>18</v>
      </c>
      <c r="H21" s="92">
        <f t="shared" si="13"/>
        <v>9.9116666666666671</v>
      </c>
      <c r="I21" s="95">
        <f t="shared" si="14"/>
        <v>0.17299121769350465</v>
      </c>
      <c r="J21" s="95">
        <f t="shared" si="15"/>
        <v>-0.17299121769350465</v>
      </c>
      <c r="K21" s="51">
        <f t="shared" si="16"/>
        <v>135</v>
      </c>
      <c r="L21" s="95">
        <f t="shared" si="17"/>
        <v>2.3561944901923448</v>
      </c>
      <c r="M21" s="51">
        <f t="shared" si="18"/>
        <v>593.68327359181535</v>
      </c>
      <c r="N21" s="96" cm="1">
        <f t="array" aca="1" ref="N21" ca="1">_xlfn.IFS(D21&lt;&gt;OFFSET(D21,1,),M21+OFFSET(M21,1,),OFFSET(M21,1,)-M21&lt;0,(OFFSET(M21,1,)-M21)*-1,OFFSET(M21,1,)-M21&gt;0,OFFSET(M21,1,)-M21)</f>
        <v>316.61999430597746</v>
      </c>
      <c r="O21" s="51">
        <f>(DEGREES(IF(D21=D22,I22-I21,I21+I22)))*60</f>
        <v>310.99999999999989</v>
      </c>
      <c r="P21" s="51">
        <f>_xlfn.IFS(AND(D22="N",D21&lt;&gt;D22,O21&gt;0),O21*-1,AND(D22="N",D21=D22,O21&lt;0),O21*-1,AND(D22="S",D21=D22,O21&gt;0),O21,AND(D22="S",D21&lt;&gt;D22,O21&lt;0),O21,AND(D22="N",D22&lt;&gt;D21,O21&lt;0),O21*-1,AND(D22="N",D22=D21,O21&lt;0),O21*-1,AND(D22="S",D21=D22,O21&lt;0),O21,AND(D22="N",D22=D21,O21&gt;0),O21*-1)</f>
        <v>-310.99999999999989</v>
      </c>
      <c r="Q21" s="51">
        <f>(DEGREES(_xlfn.IFS(G21=G22,L22-L21,(L21+L22)&gt;(RADIANS(180)),RADIANS(360)-(L21+L22),G21&lt;&gt;G22,L21+L22)))*60</f>
        <v>900.00000000000057</v>
      </c>
      <c r="R21" s="51" cm="1">
        <f t="array" ref="R21">_xlfn.IFS(AND(G22="E",G22&lt;&gt;G21,L21+L22&gt;(RADIANS(180)),Q21&lt;0),Q21*-1,AND(G22="W",G22&lt;&gt;G21,L22+L21&gt;(RADIANS(180)),Q21&lt;0),Q21,AND(G22="E",G22&lt;&gt;G21,L22+L21&gt;(RADIANS(180)),Q21&gt;0),Q21,AND(G22="W",G22&lt;&gt;G21,L22+L21&gt;(RADIANS(180)),Q21&gt;0),Q21*-1,AND(G22="W",G22=G21,Q21&lt;0),Q21,AND(G22="W",G22=G21,Q21&gt;0),Q21,AND(G22="E",G22=G21,Q21&lt;0),Q21*-1,AND(G22="E",G22=G21,Q21&gt;0),Q21*-1,AND(G22="E",G22&lt;&gt;G21,Q21&gt;0),Q21*-1,AND(G22="E",G22&lt;&gt;G21,Q21&lt;0),Q21,AND(G22="W",G22&lt;&gt;G21,Q21&gt;0),Q21,AND(G22="W",G22&lt;&gt;G21,Q21&lt;0),Q21*-1)</f>
        <v>900.00000000000057</v>
      </c>
      <c r="S21" s="97">
        <f t="shared" si="22"/>
        <v>310.99999999999989</v>
      </c>
      <c r="T21" s="97">
        <f t="shared" si="23"/>
        <v>900.00000000000057</v>
      </c>
      <c r="U21" s="51">
        <f t="shared" ca="1" si="24"/>
        <v>70.618128299757799</v>
      </c>
      <c r="V21" s="98">
        <f t="shared" ca="1" si="25"/>
        <v>289.38187170024219</v>
      </c>
      <c r="W21" s="99">
        <f t="shared" ca="1" si="26"/>
        <v>937.13459751642529</v>
      </c>
      <c r="X21" s="51">
        <f>AVERAGE(H21,H22)</f>
        <v>12.503333333333334</v>
      </c>
      <c r="Y21" s="51">
        <f t="shared" si="28"/>
        <v>878.65507216927824</v>
      </c>
      <c r="Z21" s="51">
        <f t="shared" si="29"/>
        <v>70.508580576463231</v>
      </c>
      <c r="AA21" s="98">
        <f t="shared" si="30"/>
        <v>289.49141942353674</v>
      </c>
      <c r="AB21" s="99">
        <f t="shared" si="31"/>
        <v>932.07067105922783</v>
      </c>
      <c r="AC21" s="51">
        <f>DEGREES(ACOS(((SIN(J22)-(SIN(J21))*(COS(RADIANS(AE21/60))))/(COS(J21)*SIN(RADIANS(AE21/60))))))</f>
        <v>111.01647387562228</v>
      </c>
      <c r="AD21" s="98">
        <f t="shared" si="33"/>
        <v>291.0164738756223</v>
      </c>
      <c r="AE21" s="99">
        <f>(DEGREES(ACOS((SIN(J21)*SIN(J22)+(COS(J21)*COS(J22)*COS(RADIANS(T21/60)))))))*60</f>
        <v>931.63434092472073</v>
      </c>
      <c r="AF21" s="100" t="s">
        <v>102</v>
      </c>
      <c r="AG21" s="101" cm="1">
        <f t="array" aca="1" ref="AG21" ca="1">_xlfn.IFS(AH21=W21,V21,AH21=AB21,AA21,AH21=AE21,AD21)</f>
        <v>289.38187170024219</v>
      </c>
      <c r="AH21" s="92">
        <f t="shared" ca="1" si="35"/>
        <v>937.13459751642529</v>
      </c>
      <c r="AI21" s="92">
        <f t="shared" ca="1" si="36"/>
        <v>319.38187170024219</v>
      </c>
      <c r="AJ21" s="102">
        <f t="shared" ca="1" si="37"/>
        <v>319.38187170024219</v>
      </c>
      <c r="AK21" s="102">
        <f t="shared" ca="1" si="38"/>
        <v>49.381871700242186</v>
      </c>
      <c r="AL21" s="51">
        <f t="shared" ca="1" si="39"/>
        <v>14.94621274603446</v>
      </c>
      <c r="AM21" s="51">
        <f t="shared" ca="1" si="40"/>
        <v>5.2580775494948382</v>
      </c>
      <c r="AN21" s="51">
        <f t="shared" ca="1" si="41"/>
        <v>0.37953268266774026</v>
      </c>
      <c r="AO21" s="51">
        <f t="shared" ca="1" si="42"/>
        <v>0.32550720850240533</v>
      </c>
      <c r="AP21" s="51">
        <f t="shared" ca="1" si="43"/>
        <v>289.38187170024219</v>
      </c>
      <c r="AQ21" s="5">
        <f t="shared" ca="1" si="44"/>
        <v>5.2580775494948382</v>
      </c>
      <c r="AR21" s="95">
        <f t="shared" ca="1" si="45"/>
        <v>0.37953268266774026</v>
      </c>
      <c r="AS21" s="95">
        <f t="shared" ca="1" si="46"/>
        <v>-14.94621274603446</v>
      </c>
      <c r="AT21" s="95">
        <f t="shared" ca="1" si="47"/>
        <v>-0.32550720850240533</v>
      </c>
      <c r="AU21" s="51">
        <f t="shared" ca="1" si="48"/>
        <v>5.6376102321625785</v>
      </c>
      <c r="AV21" s="51">
        <f t="shared" ca="1" si="49"/>
        <v>-15.271719954536865</v>
      </c>
      <c r="AW21" s="51">
        <f t="shared" ca="1" si="50"/>
        <v>-69.738194184027918</v>
      </c>
      <c r="AX21" s="51">
        <f t="shared" ca="1" si="51"/>
        <v>69.738194184027918</v>
      </c>
      <c r="AY21" s="51">
        <f t="shared" ca="1" si="9"/>
        <v>0.87993411572989544</v>
      </c>
      <c r="AZ21" s="103">
        <v>4</v>
      </c>
      <c r="BA21" s="104">
        <f>_xlfn.IFS(AZ21=1,Références!$B$80,AZ21=2,Références!$B$81,AZ21=3,Références!$B$82,AZ21=4,Références!$B$83,AZ21=5,Références!$B$84,AZ21=6,Références!$B$85,AZ21=7,Références!$B$86,AZ21=8,Références!$B$87,AZ21=9,Références!$B$88,AZ21=10,Références!$B$89,AZ21=11,Références!$B$90,AZ21=12,Références!$B$91)</f>
        <v>6</v>
      </c>
      <c r="BB21" s="104" t="s">
        <v>70</v>
      </c>
      <c r="BC21" s="105" cm="1">
        <f t="array" ref="BC21">_xlfn.IFS(BB21="Beam", -0.0000000868778*BA21^5-0.0000459619*BA21^4+0.00347366*BA21^3-0.0884721*BA21^2+0.510463*BA21+14.9932,BB21="Following",0.000652681*BA21^3-0.0356523*BA21^2+0.29714*BA21+15.2038,BB21="Head",-0.00000154449*BA21^5+0.0000797696*BA21^4+0.000148965*BA21^3-0.0570448*BA21^2+0.244115*BA21+15.0029)</f>
        <v>15.844136296</v>
      </c>
      <c r="BD21" s="106"/>
      <c r="BE21" s="100">
        <v>30</v>
      </c>
      <c r="BF21" s="107">
        <v>0.5</v>
      </c>
      <c r="BG21" s="51">
        <f t="shared" ca="1" si="52"/>
        <v>16.279068754065253</v>
      </c>
      <c r="BH21" s="51">
        <f t="shared" ca="1" si="53"/>
        <v>290.26180581597208</v>
      </c>
      <c r="BI21" s="82">
        <f t="shared" ca="1" si="54"/>
        <v>288.50193758451229</v>
      </c>
      <c r="BJ21" s="106"/>
      <c r="BK21" s="108">
        <f t="shared" ca="1" si="55"/>
        <v>3454.0105887165128</v>
      </c>
      <c r="BL21" s="93">
        <f t="shared" si="56"/>
        <v>-9</v>
      </c>
      <c r="BM21" s="109">
        <f t="shared" si="57"/>
        <v>0.375</v>
      </c>
      <c r="BN21" s="110">
        <f t="shared" ca="1" si="58"/>
        <v>2.398618464386467</v>
      </c>
      <c r="BO21" s="124">
        <f ca="1">BO20+BN20</f>
        <v>44936.329359513293</v>
      </c>
      <c r="BP21" s="124">
        <f t="shared" ca="1" si="59"/>
        <v>44936.537692846628</v>
      </c>
      <c r="BS21" s="2"/>
      <c r="BT21" s="7"/>
    </row>
    <row r="22" spans="1:172" s="12" customFormat="1" ht="17.25" customHeight="1" x14ac:dyDescent="0.25">
      <c r="A22" s="52"/>
      <c r="B22" s="79">
        <v>15</v>
      </c>
      <c r="C22" s="52">
        <v>5.7</v>
      </c>
      <c r="D22" s="112" t="s">
        <v>56</v>
      </c>
      <c r="E22" s="52">
        <v>150</v>
      </c>
      <c r="F22" s="52">
        <v>0</v>
      </c>
      <c r="G22" s="112" t="s">
        <v>18</v>
      </c>
      <c r="H22" s="79">
        <f t="shared" si="13"/>
        <v>15.095000000000001</v>
      </c>
      <c r="I22" s="82">
        <f t="shared" si="14"/>
        <v>0.26345745058854403</v>
      </c>
      <c r="J22" s="82">
        <f t="shared" si="15"/>
        <v>-0.26345745058854403</v>
      </c>
      <c r="K22" s="52">
        <f t="shared" si="16"/>
        <v>150</v>
      </c>
      <c r="L22" s="82">
        <f t="shared" si="17"/>
        <v>2.6179938779914944</v>
      </c>
      <c r="M22" s="52">
        <f t="shared" si="18"/>
        <v>910.30326789779281</v>
      </c>
      <c r="N22" s="113" cm="1">
        <f t="array" aca="1" ref="N22" ca="1">_xlfn.IFS(D22&lt;&gt;OFFSET(D22,1,),M22+OFFSET(M22,1,),OFFSET(M22,1,)-M22&lt;0,(OFFSET(M22,1,)-M22)*-1,OFFSET(M22,1,)-M22&gt;0,OFFSET(M22,1,)-M22)</f>
        <v>250.02265707812069</v>
      </c>
      <c r="O22" s="52">
        <f>(DEGREES(IF(D22=D23,I23-I22,I22+I23)))*60</f>
        <v>240.40000000000006</v>
      </c>
      <c r="P22" s="52">
        <f>_xlfn.IFS(AND(D23="N",D22&lt;&gt;D23,O22&gt;0),O22*-1,AND(D23="N",D22=D23,O22&lt;0),O22*-1,AND(D23="S",D22=D23,O22&gt;0),O22,AND(D23="S",D22&lt;&gt;D23,O22&lt;0),O22,AND(D23="N",D23&lt;&gt;D22,O22&lt;0),O22*-1,AND(D23="N",D23=D22,O22&lt;0),O22*-1,AND(D23="S",D22=D23,O22&lt;0),O22,AND(D23="N",D23=D22,O22&gt;0),O22*-1)</f>
        <v>-240.40000000000006</v>
      </c>
      <c r="Q22" s="52">
        <f>(DEGREES(_xlfn.IFS(G22=G23,L23-L22,(L22+L23)&gt;(RADIANS(180)),RADIANS(360)-(L22+L23),G22&lt;&gt;G23,L22+L23)))*60</f>
        <v>899.99999999999898</v>
      </c>
      <c r="R22" s="52" cm="1">
        <f t="array" ref="R22">_xlfn.IFS(AND(G23="E",G23&lt;&gt;G22,L22+L23&gt;(RADIANS(180)),Q22&lt;0),Q22*-1,AND(G23="W",G23&lt;&gt;G22,L23+L22&gt;(RADIANS(180)),Q22&lt;0),Q22,AND(G23="E",G23&lt;&gt;G22,L23+L22&gt;(RADIANS(180)),Q22&gt;0),Q22,AND(G23="W",G23&lt;&gt;G22,L23+L22&gt;(RADIANS(180)),Q22&gt;0),Q22*-1,AND(G23="W",G23=G22,Q22&lt;0),Q22,AND(G23="W",G23=G22,Q22&gt;0),Q22,AND(G23="E",G23=G22,Q22&lt;0),Q22*-1,AND(G23="E",G23=G22,Q22&gt;0),Q22*-1,AND(G23="E",G23&lt;&gt;G22,Q22&gt;0),Q22*-1,AND(G23="E",G23&lt;&gt;G22,Q22&lt;0),Q22,AND(G23="W",G23&lt;&gt;G22,Q22&gt;0),Q22,AND(G23="W",G23&lt;&gt;G22,Q22&lt;0),Q22*-1)</f>
        <v>899.99999999999898</v>
      </c>
      <c r="S22" s="114">
        <f t="shared" si="22"/>
        <v>240.40000000000006</v>
      </c>
      <c r="T22" s="114">
        <f t="shared" si="23"/>
        <v>899.99999999999898</v>
      </c>
      <c r="U22" s="52">
        <f t="shared" ca="1" si="24"/>
        <v>74.474549940928085</v>
      </c>
      <c r="V22" s="115">
        <f t="shared" ca="1" si="25"/>
        <v>285.52545005907189</v>
      </c>
      <c r="W22" s="116">
        <f t="shared" ca="1" si="26"/>
        <v>898.13295970435263</v>
      </c>
      <c r="X22" s="52">
        <f>AVERAGE(H22,H23)</f>
        <v>17.098333333333333</v>
      </c>
      <c r="Y22" s="52">
        <f t="shared" si="28"/>
        <v>860.22141091226945</v>
      </c>
      <c r="Z22" s="52">
        <f t="shared" si="29"/>
        <v>74.386291991468056</v>
      </c>
      <c r="AA22" s="115">
        <f t="shared" si="30"/>
        <v>285.61370800853194</v>
      </c>
      <c r="AB22" s="116">
        <f t="shared" si="31"/>
        <v>893.1814125875527</v>
      </c>
      <c r="AC22" s="52">
        <f>DEGREES(ACOS(((SIN(J23)-(SIN(J22))*(COS(RADIANS(AE22/60))))/(COS(J22)*SIN(RADIANS(AE22/60))))))</f>
        <v>107.74375874510919</v>
      </c>
      <c r="AD22" s="115">
        <f t="shared" si="33"/>
        <v>287.74375874510918</v>
      </c>
      <c r="AE22" s="116">
        <f>(DEGREES(ACOS((SIN(J22)*SIN(J23)+(COS(J22)*COS(J23)*COS(RADIANS(T22/60)))))))*60</f>
        <v>892.75846424496012</v>
      </c>
      <c r="AF22" s="100" t="s">
        <v>102</v>
      </c>
      <c r="AG22" s="101" cm="1">
        <f t="array" aca="1" ref="AG22" ca="1">_xlfn.IFS(AH22=W22,V22,AH22=AB22,AA22,AH22=AE22,AD22)</f>
        <v>285.52545005907189</v>
      </c>
      <c r="AH22" s="79">
        <f t="shared" ca="1" si="35"/>
        <v>898.13295970435263</v>
      </c>
      <c r="AI22" s="79">
        <f t="shared" ca="1" si="36"/>
        <v>585.52545005907189</v>
      </c>
      <c r="AJ22" s="80">
        <f t="shared" ca="1" si="37"/>
        <v>225.52545005907189</v>
      </c>
      <c r="AK22" s="80">
        <f t="shared" ca="1" si="38"/>
        <v>44.474549940928114</v>
      </c>
      <c r="AL22" s="52">
        <f t="shared" ca="1" si="39"/>
        <v>15.26600997271605</v>
      </c>
      <c r="AM22" s="52">
        <f t="shared" ca="1" si="40"/>
        <v>4.240942640399501</v>
      </c>
      <c r="AN22" s="52">
        <f t="shared" ca="1" si="41"/>
        <v>0.42035542701313305</v>
      </c>
      <c r="AO22" s="52">
        <f t="shared" ca="1" si="42"/>
        <v>0.42813702827553535</v>
      </c>
      <c r="AP22" s="52">
        <f t="shared" ca="1" si="43"/>
        <v>285.52545005907189</v>
      </c>
      <c r="AQ22" s="81">
        <f t="shared" ca="1" si="44"/>
        <v>4.240942640399501</v>
      </c>
      <c r="AR22" s="82">
        <f t="shared" ca="1" si="45"/>
        <v>-0.42035542701313305</v>
      </c>
      <c r="AS22" s="82">
        <f t="shared" ca="1" si="46"/>
        <v>-15.26600997271605</v>
      </c>
      <c r="AT22" s="82">
        <f t="shared" ca="1" si="47"/>
        <v>-0.42813702827553535</v>
      </c>
      <c r="AU22" s="52">
        <f t="shared" ca="1" si="48"/>
        <v>3.8205872133863679</v>
      </c>
      <c r="AV22" s="52">
        <f t="shared" ca="1" si="49"/>
        <v>-15.694147000991586</v>
      </c>
      <c r="AW22" s="52">
        <f t="shared" ca="1" si="50"/>
        <v>-76.318035750122746</v>
      </c>
      <c r="AX22" s="52">
        <f t="shared" ca="1" si="51"/>
        <v>76.318035750122746</v>
      </c>
      <c r="AY22" s="52">
        <f t="shared" ca="1" si="9"/>
        <v>-1.8434858091946467</v>
      </c>
      <c r="AZ22" s="71">
        <v>4</v>
      </c>
      <c r="BA22" s="117">
        <f>_xlfn.IFS(AZ22=1,Références!$B$80,AZ22=2,Références!$B$81,AZ22=3,Références!$B$82,AZ22=4,Références!$B$83,AZ22=5,Références!$B$84,AZ22=6,Références!$B$85,AZ22=7,Références!$B$86,AZ22=8,Références!$B$87,AZ22=9,Références!$B$88,AZ22=10,Références!$B$89,AZ22=11,Références!$B$90,AZ22=12,Références!$B$91)</f>
        <v>6</v>
      </c>
      <c r="BB22" s="117" t="s">
        <v>70</v>
      </c>
      <c r="BC22" s="118" cm="1">
        <f t="array" ref="BC22">_xlfn.IFS(BB22="Beam", -0.0000000868778*BA22^5-0.0000459619*BA22^4+0.00347366*BA22^3-0.0884721*BA22^2+0.510463*BA22+14.9932,BB22="Following",0.000652681*BA22^3-0.0356523*BA22^2+0.29714*BA22+15.2038,BB22="Head",-0.00000154449*BA22^5+0.0000797696*BA22^4+0.000148965*BA22^3-0.0570448*BA22^2+0.244115*BA22+15.0029)</f>
        <v>15.844136296</v>
      </c>
      <c r="BD22" s="106"/>
      <c r="BE22" s="100">
        <v>300</v>
      </c>
      <c r="BF22" s="119">
        <v>0.6</v>
      </c>
      <c r="BG22" s="52">
        <f t="shared" ca="1" si="52"/>
        <v>16.152496300690636</v>
      </c>
      <c r="BH22" s="52">
        <f t="shared" ca="1" si="53"/>
        <v>283.68196424987724</v>
      </c>
      <c r="BI22" s="82">
        <f t="shared" ca="1" si="54"/>
        <v>287.36893586826653</v>
      </c>
      <c r="BJ22" s="106"/>
      <c r="BK22" s="120">
        <f t="shared" ca="1" si="55"/>
        <v>3336.2012025322092</v>
      </c>
      <c r="BL22" s="112">
        <f t="shared" si="56"/>
        <v>-10</v>
      </c>
      <c r="BM22" s="121">
        <f t="shared" si="57"/>
        <v>0.41666666666666669</v>
      </c>
      <c r="BN22" s="122">
        <f t="shared" ca="1" si="58"/>
        <v>2.3168063906473675</v>
      </c>
      <c r="BO22" s="123">
        <f ca="1">BO21+BN21</f>
        <v>44938.72797797768</v>
      </c>
      <c r="BP22" s="123">
        <f t="shared" ca="1" si="59"/>
        <v>44938.936311311016</v>
      </c>
      <c r="BQ22"/>
      <c r="BR22"/>
      <c r="BS22" s="2"/>
      <c r="BT22" s="7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</row>
    <row r="23" spans="1:172" ht="17.25" customHeight="1" x14ac:dyDescent="0.25">
      <c r="A23" s="51">
        <v>15.2</v>
      </c>
      <c r="B23" s="92">
        <v>19</v>
      </c>
      <c r="C23" s="51">
        <v>6.1</v>
      </c>
      <c r="D23" s="93" t="s">
        <v>56</v>
      </c>
      <c r="E23" s="51">
        <v>165</v>
      </c>
      <c r="F23" s="51">
        <v>0</v>
      </c>
      <c r="G23" s="94" t="s">
        <v>18</v>
      </c>
      <c r="H23" s="92">
        <f t="shared" si="13"/>
        <v>19.101666666666667</v>
      </c>
      <c r="I23" s="95">
        <f t="shared" si="14"/>
        <v>0.33338697595178352</v>
      </c>
      <c r="J23" s="95">
        <f t="shared" si="15"/>
        <v>-0.33338697595178352</v>
      </c>
      <c r="K23" s="51">
        <f t="shared" si="16"/>
        <v>165</v>
      </c>
      <c r="L23" s="95">
        <f t="shared" si="17"/>
        <v>2.8797932657906435</v>
      </c>
      <c r="M23" s="51">
        <f t="shared" si="18"/>
        <v>1160.3259249759135</v>
      </c>
      <c r="N23" s="96" cm="1">
        <f t="array" aca="1" ref="N23" ca="1">_xlfn.IFS(D23&lt;&gt;OFFSET(D23,1,),M23+OFFSET(M23,1,),OFFSET(M23,1,)-M23&lt;0,(OFFSET(M23,1,)-M23)*-1,OFFSET(M23,1,)-M23&gt;0,OFFSET(M23,1,)-M23)</f>
        <v>169.75012664899987</v>
      </c>
      <c r="O23" s="51">
        <f t="shared" si="19"/>
        <v>160.00000000000009</v>
      </c>
      <c r="P23" s="51">
        <f t="shared" si="20"/>
        <v>-160.00000000000009</v>
      </c>
      <c r="Q23" s="51">
        <f t="shared" si="21"/>
        <v>900.00000000000057</v>
      </c>
      <c r="R23" s="51" cm="1">
        <f t="array" ref="R23">_xlfn.IFS(AND(G24="E",G24&lt;&gt;G23,L23+L24&gt;(RADIANS(180)),Q23&lt;0),Q23*-1,AND(G24="W",G24&lt;&gt;G23,L24+L23&gt;(RADIANS(180)),Q23&lt;0),Q23,AND(G24="E",G24&lt;&gt;G23,L24+L23&gt;(RADIANS(180)),Q23&gt;0),Q23,AND(G24="W",G24&lt;&gt;G23,L24+L23&gt;(RADIANS(180)),Q23&gt;0),Q23*-1,AND(G24="W",G24=G23,Q23&lt;0),Q23,AND(G24="W",G24=G23,Q23&gt;0),Q23,AND(G24="E",G24=G23,Q23&lt;0),Q23*-1,AND(G24="E",G24=G23,Q23&gt;0),Q23*-1,AND(G24="E",G24&lt;&gt;G23,Q23&gt;0),Q23*-1,AND(G24="E",G24&lt;&gt;G23,Q23&lt;0),Q23,AND(G24="W",G24&lt;&gt;G23,Q23&gt;0),Q23,AND(G24="W",G24&lt;&gt;G23,Q23&lt;0),Q23*-1)</f>
        <v>900.00000000000057</v>
      </c>
      <c r="S23" s="97">
        <f t="shared" si="22"/>
        <v>160.00000000000009</v>
      </c>
      <c r="T23" s="97">
        <f t="shared" si="23"/>
        <v>900.00000000000057</v>
      </c>
      <c r="U23" s="51">
        <f t="shared" ca="1" si="24"/>
        <v>79.318849464188162</v>
      </c>
      <c r="V23" s="98">
        <f t="shared" ca="1" si="25"/>
        <v>280.68115053581187</v>
      </c>
      <c r="W23" s="99">
        <f t="shared" ca="1" si="26"/>
        <v>863.26274130873423</v>
      </c>
      <c r="X23" s="51">
        <f t="shared" si="27"/>
        <v>20.435000000000002</v>
      </c>
      <c r="Y23" s="51">
        <f t="shared" si="28"/>
        <v>843.36199567385927</v>
      </c>
      <c r="Z23" s="51">
        <f t="shared" si="29"/>
        <v>79.257690537901908</v>
      </c>
      <c r="AA23" s="98">
        <f t="shared" si="30"/>
        <v>280.74230946209809</v>
      </c>
      <c r="AB23" s="99">
        <f t="shared" si="31"/>
        <v>858.40518157044892</v>
      </c>
      <c r="AC23" s="51">
        <f t="shared" si="32"/>
        <v>103.31386206988948</v>
      </c>
      <c r="AD23" s="98">
        <f t="shared" si="33"/>
        <v>283.31386206988947</v>
      </c>
      <c r="AE23" s="99">
        <f t="shared" si="34"/>
        <v>858.00887652862127</v>
      </c>
      <c r="AF23" s="100" t="s">
        <v>102</v>
      </c>
      <c r="AG23" s="101" cm="1">
        <f t="array" aca="1" ref="AG23" ca="1">_xlfn.IFS(AH23=W23,V23,AH23=AB23,AA23,AH23=AE23,AD23)</f>
        <v>280.68115053581187</v>
      </c>
      <c r="AH23" s="92">
        <f t="shared" ca="1" si="35"/>
        <v>863.26274130873423</v>
      </c>
      <c r="AI23" s="92">
        <f t="shared" ca="1" si="36"/>
        <v>320.68115053581187</v>
      </c>
      <c r="AJ23" s="102">
        <f t="shared" ca="1" si="37"/>
        <v>320.68115053581187</v>
      </c>
      <c r="AK23" s="102">
        <f t="shared" ca="1" si="38"/>
        <v>50.681150535811867</v>
      </c>
      <c r="AL23" s="51">
        <f t="shared" ca="1" si="39"/>
        <v>15.291437285947156</v>
      </c>
      <c r="AM23" s="51">
        <f t="shared" ca="1" si="40"/>
        <v>2.8841371288164077</v>
      </c>
      <c r="AN23" s="51">
        <f t="shared" ca="1" si="41"/>
        <v>0.3868158974562752</v>
      </c>
      <c r="AO23" s="51">
        <f t="shared" ca="1" si="42"/>
        <v>0.31681771016642424</v>
      </c>
      <c r="AP23" s="51">
        <f t="shared" ca="1" si="43"/>
        <v>280.68115053581187</v>
      </c>
      <c r="AQ23" s="5">
        <f t="shared" ca="1" si="44"/>
        <v>2.8841371288164077</v>
      </c>
      <c r="AR23" s="95">
        <f t="shared" ca="1" si="45"/>
        <v>0.3868158974562752</v>
      </c>
      <c r="AS23" s="95">
        <f t="shared" ca="1" si="46"/>
        <v>-15.291437285947156</v>
      </c>
      <c r="AT23" s="95">
        <f t="shared" ca="1" si="47"/>
        <v>-0.31681771016642424</v>
      </c>
      <c r="AU23" s="51">
        <f t="shared" ca="1" si="48"/>
        <v>3.2709530262726831</v>
      </c>
      <c r="AV23" s="51">
        <f t="shared" ca="1" si="49"/>
        <v>-15.60825499611358</v>
      </c>
      <c r="AW23" s="51">
        <f t="shared" ca="1" si="50"/>
        <v>-78.164062034299789</v>
      </c>
      <c r="AX23" s="51">
        <f t="shared" ca="1" si="51"/>
        <v>78.164062034299789</v>
      </c>
      <c r="AY23" s="51">
        <f t="shared" ca="1" si="9"/>
        <v>1.1547874298883585</v>
      </c>
      <c r="AZ23" s="103">
        <v>4</v>
      </c>
      <c r="BA23" s="104">
        <f>_xlfn.IFS(AZ23=1,Références!$B$80,AZ23=2,Références!$B$81,AZ23=3,Références!$B$82,AZ23=4,Références!$B$83,AZ23=5,Références!$B$84,AZ23=6,Références!$B$85,AZ23=7,Références!$B$86,AZ23=8,Références!$B$87,AZ23=9,Références!$B$88,AZ23=10,Références!$B$89,AZ23=11,Références!$B$90,AZ23=12,Références!$B$91)</f>
        <v>6</v>
      </c>
      <c r="BB23" s="104" t="s">
        <v>69</v>
      </c>
      <c r="BC23" s="105" cm="1">
        <f t="array" ref="BC23">_xlfn.IFS(BB23="Beam", -0.0000000868778*BA23^5-0.0000459619*BA23^4+0.00347366*BA23^3-0.0884721*BA23^2+0.510463*BA23+14.9932,BB23="Following",0.000652681*BA23^3-0.0356523*BA23^2+0.29714*BA23+15.2038,BB23="Head",-0.00000154449*BA23^5+0.0000797696*BA23^4+0.000148965*BA23^3-0.0570448*BA23^2+0.244115*BA23+15.0029)</f>
        <v>15.5610507758272</v>
      </c>
      <c r="BD23" s="106"/>
      <c r="BE23" s="100">
        <v>40</v>
      </c>
      <c r="BF23" s="107">
        <v>0.5</v>
      </c>
      <c r="BG23" s="51">
        <f t="shared" ca="1" si="52"/>
        <v>15.947311927838715</v>
      </c>
      <c r="BH23" s="51">
        <f t="shared" ca="1" si="53"/>
        <v>281.83593796570023</v>
      </c>
      <c r="BI23" s="82">
        <f t="shared" ca="1" si="54"/>
        <v>279.52636310592351</v>
      </c>
      <c r="BJ23" s="106"/>
      <c r="BK23" s="108">
        <f t="shared" ca="1" si="55"/>
        <v>3247.9307304515587</v>
      </c>
      <c r="BL23" s="93">
        <f t="shared" si="56"/>
        <v>-11</v>
      </c>
      <c r="BM23" s="109">
        <f t="shared" si="57"/>
        <v>0.45833333333333331</v>
      </c>
      <c r="BN23" s="110">
        <f t="shared" ca="1" si="58"/>
        <v>2.2555074517024711</v>
      </c>
      <c r="BO23" s="124">
        <f ca="1">BO22+BN22</f>
        <v>44941.044784368329</v>
      </c>
      <c r="BP23" s="124">
        <f ca="1">BP22+BN22</f>
        <v>44941.253117701664</v>
      </c>
      <c r="BS23" s="2"/>
      <c r="BT23" s="7"/>
    </row>
    <row r="24" spans="1:172" s="13" customFormat="1" ht="17.25" customHeight="1" x14ac:dyDescent="0.25">
      <c r="A24" s="52"/>
      <c r="B24" s="79">
        <v>21</v>
      </c>
      <c r="C24" s="52">
        <v>46.1</v>
      </c>
      <c r="D24" s="112" t="s">
        <v>56</v>
      </c>
      <c r="E24" s="52">
        <v>180</v>
      </c>
      <c r="F24" s="52">
        <v>0</v>
      </c>
      <c r="G24" s="112" t="s">
        <v>18</v>
      </c>
      <c r="H24" s="79">
        <f t="shared" si="13"/>
        <v>21.768333333333334</v>
      </c>
      <c r="I24" s="82">
        <f t="shared" si="14"/>
        <v>0.379929089338299</v>
      </c>
      <c r="J24" s="82">
        <f t="shared" si="15"/>
        <v>-0.379929089338299</v>
      </c>
      <c r="K24" s="52">
        <f t="shared" si="16"/>
        <v>180</v>
      </c>
      <c r="L24" s="82">
        <f t="shared" si="17"/>
        <v>3.1415926535897931</v>
      </c>
      <c r="M24" s="52">
        <f t="shared" si="18"/>
        <v>1330.0760516249134</v>
      </c>
      <c r="N24" s="113" cm="1">
        <f t="array" aca="1" ref="N24" ca="1">_xlfn.IFS(D24&lt;&gt;OFFSET(D24,1,),M24+OFFSET(M24,1,),OFFSET(M24,1,)-M24&lt;0,(OFFSET(M24,1,)-M24)*-1,OFFSET(M24,1,)-M24&gt;0,OFFSET(M24,1,)-M24)</f>
        <v>81.406017971105939</v>
      </c>
      <c r="O24" s="52">
        <f t="shared" si="19"/>
        <v>75.7</v>
      </c>
      <c r="P24" s="52">
        <f t="shared" si="20"/>
        <v>-75.7</v>
      </c>
      <c r="Q24" s="52">
        <f t="shared" si="21"/>
        <v>899.99999999999898</v>
      </c>
      <c r="R24" s="52" cm="1">
        <f t="array" ref="R24">_xlfn.IFS(AND(G25="E",G25&lt;&gt;G24,L24+L25&gt;(RADIANS(180)),Q24&lt;0),Q24*-1,AND(G25="W",G25&lt;&gt;G24,L25+L24&gt;(RADIANS(180)),Q24&lt;0),Q24,AND(G25="E",G25&lt;&gt;G24,L25+L24&gt;(RADIANS(180)),Q24&gt;0),Q24,AND(G25="W",G25&lt;&gt;G24,L25+L24&gt;(RADIANS(180)),Q24&gt;0),Q24*-1,AND(G25="W",G25=G24,Q24&lt;0),Q24,AND(G25="W",G25=G24,Q24&gt;0),Q24,AND(G25="E",G25=G24,Q24&lt;0),Q24*-1,AND(G25="E",G25=G24,Q24&gt;0),Q24*-1,AND(G25="E",G25&lt;&gt;G24,Q24&gt;0),Q24*-1,AND(G25="E",G25&lt;&gt;G24,Q24&lt;0),Q24,AND(G25="W",G25&lt;&gt;G24,Q24&gt;0),Q24,AND(G25="W",G25&lt;&gt;G24,Q24&lt;0),Q24*-1)</f>
        <v>899.99999999999898</v>
      </c>
      <c r="S24" s="114">
        <f t="shared" si="22"/>
        <v>75.7</v>
      </c>
      <c r="T24" s="114">
        <f t="shared" si="23"/>
        <v>899.99999999999898</v>
      </c>
      <c r="U24" s="52">
        <f t="shared" ca="1" si="24"/>
        <v>84.83159625541613</v>
      </c>
      <c r="V24" s="115">
        <f t="shared" ca="1" si="25"/>
        <v>275.16840374458388</v>
      </c>
      <c r="W24" s="116">
        <f t="shared" ca="1" si="26"/>
        <v>840.33261446118365</v>
      </c>
      <c r="X24" s="52">
        <f t="shared" si="27"/>
        <v>22.399166666666666</v>
      </c>
      <c r="Y24" s="52">
        <f t="shared" si="28"/>
        <v>832.09641836263233</v>
      </c>
      <c r="Z24" s="52">
        <f t="shared" si="29"/>
        <v>84.80182381981389</v>
      </c>
      <c r="AA24" s="115">
        <f t="shared" si="30"/>
        <v>275.19817618018612</v>
      </c>
      <c r="AB24" s="116">
        <f t="shared" si="31"/>
        <v>835.53272793584824</v>
      </c>
      <c r="AC24" s="52">
        <f t="shared" si="32"/>
        <v>98.040639005420815</v>
      </c>
      <c r="AD24" s="115">
        <f t="shared" si="33"/>
        <v>278.04063900542081</v>
      </c>
      <c r="AE24" s="116">
        <f t="shared" si="34"/>
        <v>835.16179569092753</v>
      </c>
      <c r="AF24" s="100" t="s">
        <v>102</v>
      </c>
      <c r="AG24" s="101" cm="1">
        <f t="array" aca="1" ref="AG24" ca="1">_xlfn.IFS(AH24=W24,V24,AH24=AB24,AA24,AH24=AE24,AD24)</f>
        <v>275.16840374458388</v>
      </c>
      <c r="AH24" s="79">
        <f t="shared" ca="1" si="35"/>
        <v>840.33261446118365</v>
      </c>
      <c r="AI24" s="79">
        <f t="shared" ca="1" si="36"/>
        <v>575.16840374458388</v>
      </c>
      <c r="AJ24" s="80">
        <f t="shared" ca="1" si="37"/>
        <v>215.16840374458388</v>
      </c>
      <c r="AK24" s="80">
        <f t="shared" ca="1" si="38"/>
        <v>54.831596255416116</v>
      </c>
      <c r="AL24" s="52">
        <f t="shared" ca="1" si="39"/>
        <v>15.779717639346075</v>
      </c>
      <c r="AM24" s="52">
        <f t="shared" ca="1" si="40"/>
        <v>1.4272933085862005</v>
      </c>
      <c r="AN24" s="52">
        <f t="shared" ca="1" si="41"/>
        <v>0.40873132633919146</v>
      </c>
      <c r="AO24" s="52">
        <f t="shared" ca="1" si="42"/>
        <v>0.28799080344518879</v>
      </c>
      <c r="AP24" s="52">
        <f t="shared" ca="1" si="43"/>
        <v>275.16840374458388</v>
      </c>
      <c r="AQ24" s="81">
        <f t="shared" ca="1" si="44"/>
        <v>1.4272933085862005</v>
      </c>
      <c r="AR24" s="82">
        <f t="shared" ca="1" si="45"/>
        <v>-0.40873132633919146</v>
      </c>
      <c r="AS24" s="82">
        <f t="shared" ca="1" si="46"/>
        <v>-15.779717639346075</v>
      </c>
      <c r="AT24" s="82">
        <f t="shared" ca="1" si="47"/>
        <v>-0.28799080344518879</v>
      </c>
      <c r="AU24" s="52">
        <f t="shared" ca="1" si="48"/>
        <v>1.0185619822470091</v>
      </c>
      <c r="AV24" s="52">
        <f t="shared" ca="1" si="49"/>
        <v>-16.067708442791265</v>
      </c>
      <c r="AW24" s="52">
        <f t="shared" ca="1" si="50"/>
        <v>-86.372767276099935</v>
      </c>
      <c r="AX24" s="52">
        <f t="shared" ca="1" si="51"/>
        <v>86.372767276099935</v>
      </c>
      <c r="AY24" s="52">
        <f t="shared" ca="1" si="9"/>
        <v>-1.5411710206838052</v>
      </c>
      <c r="AZ24" s="71">
        <v>4</v>
      </c>
      <c r="BA24" s="117">
        <f>_xlfn.IFS(AZ24=1,Références!$B$80,AZ24=2,Références!$B$81,AZ24=3,Références!$B$82,AZ24=4,Références!$B$83,AZ24=5,Références!$B$84,AZ24=6,Références!$B$85,AZ24=7,Références!$B$86,AZ24=8,Références!$B$87,AZ24=9,Références!$B$88,AZ24=10,Références!$B$89,AZ24=11,Références!$B$90,AZ24=12,Références!$B$91)</f>
        <v>6</v>
      </c>
      <c r="BB24" s="117" t="s">
        <v>70</v>
      </c>
      <c r="BC24" s="118" cm="1">
        <f t="array" ref="BC24">_xlfn.IFS(BB24="Beam", -0.0000000868778*BA24^5-0.0000459619*BA24^4+0.00347366*BA24^3-0.0884721*BA24^2+0.510463*BA24+14.9932,BB24="Following",0.000652681*BA24^3-0.0356523*BA24^2+0.29714*BA24+15.2038,BB24="Head",-0.00000154449*BA24^5+0.0000797696*BA24^4+0.000148965*BA24^3-0.0570448*BA24^2+0.244115*BA24+15.0029)</f>
        <v>15.844136296</v>
      </c>
      <c r="BD24" s="106"/>
      <c r="BE24" s="100">
        <v>300</v>
      </c>
      <c r="BF24" s="119">
        <v>0.5</v>
      </c>
      <c r="BG24" s="52">
        <f t="shared" ca="1" si="52"/>
        <v>16.09996034511342</v>
      </c>
      <c r="BH24" s="52">
        <f t="shared" ca="1" si="53"/>
        <v>273.62723272390008</v>
      </c>
      <c r="BI24" s="82">
        <f t="shared" ca="1" si="54"/>
        <v>276.70957476526769</v>
      </c>
      <c r="BJ24" s="106"/>
      <c r="BK24" s="120">
        <f t="shared" ca="1" si="55"/>
        <v>3131.6820530538907</v>
      </c>
      <c r="BL24" s="112">
        <f t="shared" si="56"/>
        <v>-12</v>
      </c>
      <c r="BM24" s="121">
        <f t="shared" si="57"/>
        <v>0.5</v>
      </c>
      <c r="BN24" s="122">
        <f t="shared" ca="1" si="58"/>
        <v>2.1747792035096465</v>
      </c>
      <c r="BO24" s="123">
        <f t="shared" ca="1" si="60"/>
        <v>44943.300291820029</v>
      </c>
      <c r="BP24" s="123">
        <f t="shared" ca="1" si="59"/>
        <v>44943.508625153365</v>
      </c>
      <c r="BQ24"/>
      <c r="BR24"/>
      <c r="BS24" s="2"/>
      <c r="BT24" s="7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</row>
    <row r="25" spans="1:172" s="12" customFormat="1" ht="17.25" customHeight="1" x14ac:dyDescent="0.25">
      <c r="A25" s="126"/>
      <c r="B25" s="92">
        <v>23</v>
      </c>
      <c r="C25" s="51">
        <v>1.8</v>
      </c>
      <c r="D25" s="93" t="s">
        <v>56</v>
      </c>
      <c r="E25" s="51">
        <v>165</v>
      </c>
      <c r="F25" s="51">
        <v>0</v>
      </c>
      <c r="G25" s="94" t="s">
        <v>29</v>
      </c>
      <c r="H25" s="92">
        <f t="shared" si="13"/>
        <v>23.03</v>
      </c>
      <c r="I25" s="95">
        <f t="shared" si="14"/>
        <v>0.40194932673429412</v>
      </c>
      <c r="J25" s="95">
        <f t="shared" si="15"/>
        <v>-0.40194932673429412</v>
      </c>
      <c r="K25" s="51">
        <f t="shared" si="16"/>
        <v>165</v>
      </c>
      <c r="L25" s="95">
        <f t="shared" si="17"/>
        <v>2.8797932657906435</v>
      </c>
      <c r="M25" s="51">
        <f t="shared" si="18"/>
        <v>1411.4820695960193</v>
      </c>
      <c r="N25" s="96" cm="1">
        <f t="array" aca="1" ref="N25" ca="1">_xlfn.IFS(D25&lt;&gt;OFFSET(D25,1,),M25+OFFSET(M25,1,),OFFSET(M25,1,)-M25&lt;0,(OFFSET(M25,1,)-M25)*-1,OFFSET(M25,1,)-M25&gt;0,OFFSET(M25,1,)-M25)</f>
        <v>1.9444520202378044</v>
      </c>
      <c r="O25" s="51">
        <f t="shared" si="19"/>
        <v>-1.8000000000000789</v>
      </c>
      <c r="P25" s="51">
        <f t="shared" si="20"/>
        <v>1.8000000000000789</v>
      </c>
      <c r="Q25" s="51">
        <f t="shared" si="21"/>
        <v>-749.99999999999909</v>
      </c>
      <c r="R25" s="51" cm="1">
        <f t="array" ref="R25">_xlfn.IFS(AND(G26="E",G26&lt;&gt;G25,L25+L26&gt;(RADIANS(180)),Q25&lt;0),Q25*-1,AND(G26="W",G26&lt;&gt;G25,L26+L25&gt;(RADIANS(180)),Q25&lt;0),Q25,AND(G26="E",G26&lt;&gt;G25,L26+L25&gt;(RADIANS(180)),Q25&gt;0),Q25,AND(G26="W",G26&lt;&gt;G25,L26+L25&gt;(RADIANS(180)),Q25&gt;0),Q25*-1,AND(G26="W",G26=G25,Q25&lt;0),Q25,AND(G26="W",G26=G25,Q25&gt;0),Q25,AND(G26="E",G26=G25,Q25&lt;0),Q25*-1,AND(G26="E",G26=G25,Q25&gt;0),Q25*-1,AND(G26="E",G26&lt;&gt;G25,Q25&gt;0),Q25*-1,AND(G26="E",G26&lt;&gt;G25,Q25&lt;0),Q25,AND(G26="W",G26&lt;&gt;G25,Q25&gt;0),Q25,AND(G26="W",G26&lt;&gt;G25,Q25&lt;0),Q25*-1)</f>
        <v>749.99999999999909</v>
      </c>
      <c r="S25" s="97">
        <f t="shared" si="22"/>
        <v>1.8000000000000789</v>
      </c>
      <c r="T25" s="97">
        <f t="shared" si="23"/>
        <v>749.99999999999909</v>
      </c>
      <c r="U25" s="51">
        <f t="shared" ca="1" si="24"/>
        <v>89.851455140518141</v>
      </c>
      <c r="V25" s="98">
        <f t="shared" ca="1" si="25"/>
        <v>269.85145514051817</v>
      </c>
      <c r="W25" s="99">
        <f t="shared" ca="1" si="26"/>
        <v>694.28534261272489</v>
      </c>
      <c r="X25" s="51">
        <f t="shared" si="27"/>
        <v>23.015000000000001</v>
      </c>
      <c r="Y25" s="51">
        <f t="shared" si="28"/>
        <v>690.30189655362847</v>
      </c>
      <c r="Z25" s="51">
        <f t="shared" si="29"/>
        <v>89.850598455697067</v>
      </c>
      <c r="AA25" s="98">
        <f t="shared" si="30"/>
        <v>269.85059845569708</v>
      </c>
      <c r="AB25" s="99">
        <f t="shared" si="31"/>
        <v>690.3042433489012</v>
      </c>
      <c r="AC25" s="51">
        <f t="shared" si="32"/>
        <v>92.303008051251766</v>
      </c>
      <c r="AD25" s="98">
        <f t="shared" si="33"/>
        <v>272.30300805125177</v>
      </c>
      <c r="AE25" s="99">
        <f t="shared" si="34"/>
        <v>690.09414029328968</v>
      </c>
      <c r="AF25" s="100" t="s">
        <v>102</v>
      </c>
      <c r="AG25" s="101" cm="1">
        <f t="array" aca="1" ref="AG25" ca="1">_xlfn.IFS(AH25=W25,V25,AH25=AB25,AA25,AH25=AE25,AD25)</f>
        <v>269.85145514051817</v>
      </c>
      <c r="AH25" s="92">
        <f t="shared" ca="1" si="35"/>
        <v>694.28534261272489</v>
      </c>
      <c r="AI25" s="92">
        <f t="shared" ca="1" si="36"/>
        <v>569.85145514051817</v>
      </c>
      <c r="AJ25" s="102">
        <f t="shared" ca="1" si="37"/>
        <v>209.85145514051817</v>
      </c>
      <c r="AK25" s="102">
        <f t="shared" ca="1" si="38"/>
        <v>60.148544859481831</v>
      </c>
      <c r="AL25" s="51">
        <f t="shared" ca="1" si="39"/>
        <v>15.844083047384478</v>
      </c>
      <c r="AM25" s="51">
        <f t="shared" ca="1" si="40"/>
        <v>4.1077412386770415E-2</v>
      </c>
      <c r="AN25" s="51">
        <f t="shared" ca="1" si="41"/>
        <v>0.43365939512802998</v>
      </c>
      <c r="AO25" s="51">
        <f t="shared" ca="1" si="42"/>
        <v>0.24887653368124354</v>
      </c>
      <c r="AP25" s="51">
        <f t="shared" ca="1" si="43"/>
        <v>269.85145514051817</v>
      </c>
      <c r="AQ25" s="5">
        <f t="shared" ca="1" si="44"/>
        <v>-4.1077412386770415E-2</v>
      </c>
      <c r="AR25" s="95">
        <f t="shared" ca="1" si="45"/>
        <v>-0.43365939512802998</v>
      </c>
      <c r="AS25" s="95">
        <f t="shared" ca="1" si="46"/>
        <v>-15.844083047384478</v>
      </c>
      <c r="AT25" s="95">
        <f t="shared" ca="1" si="47"/>
        <v>-0.24887653368124354</v>
      </c>
      <c r="AU25" s="51">
        <f t="shared" ca="1" si="48"/>
        <v>-0.47473680751480041</v>
      </c>
      <c r="AV25" s="51">
        <f t="shared" ca="1" si="49"/>
        <v>-16.09295958106572</v>
      </c>
      <c r="AW25" s="51">
        <f t="shared" ca="1" si="50"/>
        <v>88.310284119835416</v>
      </c>
      <c r="AX25" s="51">
        <f t="shared" ca="1" si="51"/>
        <v>88.310284119835416</v>
      </c>
      <c r="AY25" s="51">
        <f t="shared" ca="1" si="9"/>
        <v>-1.541171020682782</v>
      </c>
      <c r="AZ25" s="103">
        <v>4</v>
      </c>
      <c r="BA25" s="104">
        <f>_xlfn.IFS(AZ25=1,Références!$B$80,AZ25=2,Références!$B$81,AZ25=3,Références!$B$82,AZ25=4,Références!$B$83,AZ25=5,Références!$B$84,AZ25=6,Références!$B$85,AZ25=7,Références!$B$86,AZ25=8,Références!$B$87,AZ25=9,Références!$B$88,AZ25=10,Références!$B$89,AZ25=11,Références!$B$90,AZ25=12,Références!$B$91)</f>
        <v>6</v>
      </c>
      <c r="BB25" s="104" t="s">
        <v>70</v>
      </c>
      <c r="BC25" s="105" cm="1">
        <f t="array" ref="BC25">_xlfn.IFS(BB25="Beam", -0.0000000868778*BA25^5-0.0000459619*BA25^4+0.00347366*BA25^3-0.0884721*BA25^2+0.510463*BA25+14.9932,BB25="Following",0.000652681*BA25^3-0.0356523*BA25^2+0.29714*BA25+15.2038,BB25="Head",-0.00000154449*BA25^5+0.0000797696*BA25^4+0.000148965*BA25^3-0.0570448*BA25^2+0.244115*BA25+15.0029)</f>
        <v>15.844136296</v>
      </c>
      <c r="BD25" s="106"/>
      <c r="BE25" s="100">
        <v>300</v>
      </c>
      <c r="BF25" s="107">
        <v>0.5</v>
      </c>
      <c r="BG25" s="51">
        <f t="shared" ca="1" si="52"/>
        <v>16.099960345113409</v>
      </c>
      <c r="BH25" s="51">
        <f t="shared" ca="1" si="53"/>
        <v>268.31028411983539</v>
      </c>
      <c r="BI25" s="82">
        <f t="shared" ca="1" si="54"/>
        <v>271.39262616120095</v>
      </c>
      <c r="BJ25" s="106"/>
      <c r="BK25" s="108">
        <f t="shared" ca="1" si="55"/>
        <v>2587.4051652187504</v>
      </c>
      <c r="BL25" s="93">
        <f t="shared" si="56"/>
        <v>11</v>
      </c>
      <c r="BM25" s="109">
        <f t="shared" si="57"/>
        <v>0.45833333333333331</v>
      </c>
      <c r="BN25" s="110">
        <f t="shared" ca="1" si="58"/>
        <v>1.796809142513021</v>
      </c>
      <c r="BO25" s="124">
        <f t="shared" ca="1" si="60"/>
        <v>44945.475071023538</v>
      </c>
      <c r="BP25" s="124">
        <f t="shared" ca="1" si="59"/>
        <v>44945.683404356874</v>
      </c>
      <c r="BQ25"/>
      <c r="BR25"/>
      <c r="BS25" s="2"/>
      <c r="BT25" s="7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</row>
    <row r="26" spans="1:172" x14ac:dyDescent="0.25">
      <c r="A26" s="127"/>
      <c r="B26" s="79">
        <v>23</v>
      </c>
      <c r="C26" s="52">
        <v>0</v>
      </c>
      <c r="D26" s="112" t="s">
        <v>56</v>
      </c>
      <c r="E26" s="52">
        <v>152</v>
      </c>
      <c r="F26" s="52">
        <v>30</v>
      </c>
      <c r="G26" s="112" t="s">
        <v>29</v>
      </c>
      <c r="H26" s="79">
        <f t="shared" si="13"/>
        <v>23</v>
      </c>
      <c r="I26" s="82">
        <f t="shared" si="14"/>
        <v>0.4014257279586958</v>
      </c>
      <c r="J26" s="82">
        <f t="shared" si="15"/>
        <v>-0.4014257279586958</v>
      </c>
      <c r="K26" s="52">
        <f t="shared" si="16"/>
        <v>152.5</v>
      </c>
      <c r="L26" s="82">
        <f t="shared" si="17"/>
        <v>2.6616271092913526</v>
      </c>
      <c r="M26" s="52">
        <f t="shared" si="18"/>
        <v>1409.5376175757815</v>
      </c>
      <c r="N26" s="113" cm="1">
        <f t="array" aca="1" ref="N26" ca="1">_xlfn.IFS(D26&lt;&gt;OFFSET(D26,1,),M26+OFFSET(M26,1,),OFFSET(M26,1,)-M26&lt;0,(OFFSET(M26,1,)-M26)*-1,OFFSET(M26,1,)-M26&gt;0,OFFSET(M26,1,)-M26)</f>
        <v>1330.1754922197138</v>
      </c>
      <c r="O26" s="52">
        <f t="shared" si="19"/>
        <v>1120.2360000000003</v>
      </c>
      <c r="P26" s="52">
        <f t="shared" si="20"/>
        <v>-1120.2360000000003</v>
      </c>
      <c r="Q26" s="52">
        <f t="shared" si="21"/>
        <v>-647.55100000000004</v>
      </c>
      <c r="R26" s="52" cm="1">
        <f t="array" ref="R26">_xlfn.IFS(AND(G27="E",G27&lt;&gt;G26,L26+L27&gt;(RADIANS(180)),Q26&lt;0),Q26*-1,AND(G27="W",G27&lt;&gt;G26,L27+L26&gt;(RADIANS(180)),Q26&lt;0),Q26,AND(G27="E",G27&lt;&gt;G26,L27+L26&gt;(RADIANS(180)),Q26&gt;0),Q26,AND(G27="W",G27&lt;&gt;G26,L27+L26&gt;(RADIANS(180)),Q26&gt;0),Q26*-1,AND(G27="W",G27=G26,Q26&lt;0),Q26,AND(G27="W",G27=G26,Q26&gt;0),Q26,AND(G27="E",G27=G26,Q26&lt;0),Q26*-1,AND(G27="E",G27=G26,Q26&gt;0),Q26*-1,AND(G27="E",G27&lt;&gt;G26,Q26&gt;0),Q26*-1,AND(G27="E",G27&lt;&gt;G26,Q26&lt;0),Q26,AND(G27="W",G27&lt;&gt;G26,Q26&gt;0),Q26,AND(G27="W",G27&lt;&gt;G26,Q26&lt;0),Q26*-1)</f>
        <v>647.55100000000004</v>
      </c>
      <c r="S26" s="114">
        <f t="shared" si="22"/>
        <v>1120.2360000000003</v>
      </c>
      <c r="T26" s="114">
        <f t="shared" si="23"/>
        <v>647.55100000000004</v>
      </c>
      <c r="U26" s="52">
        <f t="shared" ca="1" si="24"/>
        <v>25.957570125677812</v>
      </c>
      <c r="V26" s="115">
        <f t="shared" ca="1" si="25"/>
        <v>334.04242987432218</v>
      </c>
      <c r="W26" s="116">
        <f t="shared" ca="1" si="26"/>
        <v>1245.92707766901</v>
      </c>
      <c r="X26" s="52">
        <f t="shared" si="27"/>
        <v>32.335300000000004</v>
      </c>
      <c r="Y26" s="52">
        <f t="shared" si="28"/>
        <v>547.13685790481895</v>
      </c>
      <c r="Z26" s="52">
        <f t="shared" si="29"/>
        <v>26.031444642234316</v>
      </c>
      <c r="AA26" s="115">
        <f t="shared" si="30"/>
        <v>333.96855535776569</v>
      </c>
      <c r="AB26" s="116">
        <f t="shared" si="31"/>
        <v>1246.7106468519305</v>
      </c>
      <c r="AC26" s="52">
        <f t="shared" si="32"/>
        <v>156.73234814514183</v>
      </c>
      <c r="AD26" s="115">
        <f t="shared" si="33"/>
        <v>336.73234814514183</v>
      </c>
      <c r="AE26" s="116">
        <f t="shared" si="34"/>
        <v>1244.2523853249925</v>
      </c>
      <c r="AF26" s="100" t="s">
        <v>102</v>
      </c>
      <c r="AG26" s="101" cm="1">
        <f t="array" aca="1" ref="AG26" ca="1">_xlfn.IFS(AH26=W26,V26,AH26=AB26,AA26,AH26=AE26,AD26)</f>
        <v>334.04242987432218</v>
      </c>
      <c r="AH26" s="79">
        <f t="shared" ca="1" si="35"/>
        <v>1245.92707766901</v>
      </c>
      <c r="AI26" s="79">
        <f t="shared" ca="1" si="36"/>
        <v>484.04242987432218</v>
      </c>
      <c r="AJ26" s="80">
        <f t="shared" ca="1" si="37"/>
        <v>124.04242987432218</v>
      </c>
      <c r="AK26" s="80">
        <f t="shared" ca="1" si="38"/>
        <v>34.042429874322181</v>
      </c>
      <c r="AL26" s="52">
        <f t="shared" ca="1" si="39"/>
        <v>4.6256452439275808</v>
      </c>
      <c r="AM26" s="52">
        <f t="shared" ca="1" si="40"/>
        <v>9.5018306499027059</v>
      </c>
      <c r="AN26" s="52">
        <f t="shared" ca="1" si="41"/>
        <v>0.27990334320171378</v>
      </c>
      <c r="AO26" s="52">
        <f t="shared" ca="1" si="42"/>
        <v>0.41431161999695787</v>
      </c>
      <c r="AP26" s="52">
        <f t="shared" ca="1" si="43"/>
        <v>334.04242987432218</v>
      </c>
      <c r="AQ26" s="81">
        <f t="shared" ca="1" si="44"/>
        <v>9.5018306499027059</v>
      </c>
      <c r="AR26" s="82">
        <f t="shared" ca="1" si="45"/>
        <v>-0.27990334320171378</v>
      </c>
      <c r="AS26" s="82">
        <f t="shared" ca="1" si="46"/>
        <v>-4.6256452439275808</v>
      </c>
      <c r="AT26" s="82">
        <f t="shared" ca="1" si="47"/>
        <v>0.41431161999695787</v>
      </c>
      <c r="AU26" s="52">
        <f t="shared" ca="1" si="48"/>
        <v>9.2219273067009926</v>
      </c>
      <c r="AV26" s="52">
        <f t="shared" ca="1" si="49"/>
        <v>-4.2113336239306225</v>
      </c>
      <c r="AW26" s="52">
        <f t="shared" ca="1" si="50"/>
        <v>-24.544531955716426</v>
      </c>
      <c r="AX26" s="52">
        <f t="shared" ca="1" si="51"/>
        <v>24.544531955716426</v>
      </c>
      <c r="AY26" s="52">
        <f t="shared" ca="1" si="9"/>
        <v>1.4130381699613963</v>
      </c>
      <c r="AZ26" s="71">
        <v>6</v>
      </c>
      <c r="BA26" s="117">
        <f>_xlfn.IFS(AZ26=1,Références!$B$80,AZ26=2,Références!$B$81,AZ26=3,Références!$B$82,AZ26=4,Références!$B$83,AZ26=5,Références!$B$84,AZ26=6,Références!$B$85,AZ26=7,Références!$B$86,AZ26=8,Références!$B$87,AZ26=9,Références!$B$88,AZ26=10,Références!$B$89,AZ26=11,Références!$B$90,AZ26=12,Références!$B$91)</f>
        <v>13</v>
      </c>
      <c r="BB26" s="117" t="s">
        <v>68</v>
      </c>
      <c r="BC26" s="118" cm="1">
        <f t="array" ref="BC26">_xlfn.IFS(BB26="Beam", -0.0000000868778*BA26^5-0.0000459619*BA26^4+0.00347366*BA26^3-0.0884721*BA26^2+0.510463*BA26+14.9932,BB26="Following",0.000652681*BA26^3-0.0356523*BA26^2+0.29714*BA26+15.2038,BB26="Head",-0.00000154449*BA26^5+0.0000797696*BA26^4+0.000148965*BA26^3-0.0570448*BA26^2+0.244115*BA26+15.0029)</f>
        <v>10.56794112503</v>
      </c>
      <c r="BD26" s="106"/>
      <c r="BE26" s="100">
        <v>150</v>
      </c>
      <c r="BF26" s="119">
        <v>0.5</v>
      </c>
      <c r="BG26" s="52">
        <f t="shared" ca="1" si="52"/>
        <v>10.138011350463465</v>
      </c>
      <c r="BH26" s="52">
        <f t="shared" ca="1" si="53"/>
        <v>335.45546804428358</v>
      </c>
      <c r="BI26" s="82">
        <f t="shared" ca="1" si="54"/>
        <v>332.62939170436078</v>
      </c>
      <c r="BJ26" s="106"/>
      <c r="BK26" s="120">
        <f t="shared" ca="1" si="55"/>
        <v>7373.7957155397253</v>
      </c>
      <c r="BL26" s="112">
        <f t="shared" si="56"/>
        <v>10</v>
      </c>
      <c r="BM26" s="121">
        <f t="shared" si="57"/>
        <v>0.41666666666666669</v>
      </c>
      <c r="BN26" s="122">
        <f t="shared" ca="1" si="58"/>
        <v>5.1206914691248091</v>
      </c>
      <c r="BO26" s="123">
        <f t="shared" ca="1" si="60"/>
        <v>44947.271880166052</v>
      </c>
      <c r="BP26" s="123">
        <f t="shared" ca="1" si="59"/>
        <v>44947.480213499388</v>
      </c>
      <c r="BS26" s="2"/>
      <c r="BT26" s="7"/>
    </row>
    <row r="27" spans="1:172" x14ac:dyDescent="0.25">
      <c r="A27" s="51">
        <v>16</v>
      </c>
      <c r="B27" s="92">
        <v>41</v>
      </c>
      <c r="C27" s="51">
        <v>40.235999999999997</v>
      </c>
      <c r="D27" s="93" t="s">
        <v>56</v>
      </c>
      <c r="E27" s="51">
        <v>141</v>
      </c>
      <c r="F27" s="51">
        <v>42.448999999999998</v>
      </c>
      <c r="G27" s="94" t="s">
        <v>29</v>
      </c>
      <c r="H27" s="92">
        <f t="shared" si="13"/>
        <v>41.6706</v>
      </c>
      <c r="I27" s="95">
        <f t="shared" si="14"/>
        <v>0.72728917128154913</v>
      </c>
      <c r="J27" s="95">
        <f t="shared" si="15"/>
        <v>-0.72728917128154913</v>
      </c>
      <c r="K27" s="51">
        <f t="shared" si="16"/>
        <v>141.70748333333333</v>
      </c>
      <c r="L27" s="95">
        <f t="shared" si="17"/>
        <v>2.4732621588816559</v>
      </c>
      <c r="M27" s="51">
        <f t="shared" si="18"/>
        <v>2739.7131097954953</v>
      </c>
      <c r="N27" s="96" cm="1">
        <f t="array" aca="1" ref="N27" ca="1">_xlfn.IFS(D27&lt;&gt;OFFSET(D27,1,),M27+OFFSET(M27,1,),OFFSET(M27,1,)-M27&lt;0,(OFFSET(M27,1,)-M27)*-1,OFFSET(M27,1,)-M27&gt;0,OFFSET(M27,1,)-M27)</f>
        <v>2.714618547317059</v>
      </c>
      <c r="O27" s="51">
        <f t="shared" si="19"/>
        <v>-2.0360000000001124</v>
      </c>
      <c r="P27" s="51">
        <f t="shared" si="20"/>
        <v>2.0360000000001124</v>
      </c>
      <c r="Q27" s="51">
        <f t="shared" si="21"/>
        <v>-49.809000000000431</v>
      </c>
      <c r="R27" s="51" cm="1">
        <f t="array" ref="R27">_xlfn.IFS(AND(G28="E",G28&lt;&gt;G27,L27+L28&gt;(RADIANS(180)),Q27&lt;0),Q27*-1,AND(G28="W",G28&lt;&gt;G27,L28+L27&gt;(RADIANS(180)),Q27&lt;0),Q27,AND(G28="E",G28&lt;&gt;G27,L28+L27&gt;(RADIANS(180)),Q27&gt;0),Q27,AND(G28="W",G28&lt;&gt;G27,L28+L27&gt;(RADIANS(180)),Q27&gt;0),Q27*-1,AND(G28="W",G28=G27,Q27&lt;0),Q27,AND(G28="W",G28=G27,Q27&gt;0),Q27,AND(G28="E",G28=G27,Q27&lt;0),Q27*-1,AND(G28="E",G28=G27,Q27&gt;0),Q27*-1,AND(G28="E",G28&lt;&gt;G27,Q27&gt;0),Q27*-1,AND(G28="E",G28&lt;&gt;G27,Q27&lt;0),Q27,AND(G28="W",G28&lt;&gt;G27,Q27&gt;0),Q27,AND(G28="W",G28&lt;&gt;G27,Q27&lt;0),Q27*-1)</f>
        <v>49.809000000000431</v>
      </c>
      <c r="S27" s="97">
        <f t="shared" si="22"/>
        <v>2.0360000000001124</v>
      </c>
      <c r="T27" s="97">
        <f t="shared" si="23"/>
        <v>49.809000000000431</v>
      </c>
      <c r="U27" s="51">
        <f t="shared" ca="1" si="24"/>
        <v>86.880434004854223</v>
      </c>
      <c r="V27" s="98">
        <f t="shared" ca="1" si="25"/>
        <v>266.88043400485424</v>
      </c>
      <c r="W27" s="99">
        <f t="shared" ca="1" si="26"/>
        <v>37.41285262096531</v>
      </c>
      <c r="X27" s="51">
        <f t="shared" si="27"/>
        <v>41.653633333333332</v>
      </c>
      <c r="Y27" s="51">
        <f t="shared" si="28"/>
        <v>37.21610313487917</v>
      </c>
      <c r="Z27" s="51">
        <f t="shared" si="29"/>
        <v>86.86861258239108</v>
      </c>
      <c r="AA27" s="98">
        <f t="shared" si="30"/>
        <v>266.86861258239105</v>
      </c>
      <c r="AB27" s="99">
        <f t="shared" si="31"/>
        <v>37.271753762681705</v>
      </c>
      <c r="AC27" s="51">
        <f t="shared" si="32"/>
        <v>87.144539609190915</v>
      </c>
      <c r="AD27" s="98">
        <f t="shared" si="33"/>
        <v>267.14453960919093</v>
      </c>
      <c r="AE27" s="99">
        <f t="shared" si="34"/>
        <v>37.271608349205025</v>
      </c>
      <c r="AF27" s="100" t="s">
        <v>102</v>
      </c>
      <c r="AG27" s="101" cm="1">
        <f t="array" aca="1" ref="AG27" ca="1">_xlfn.IFS(AH27=W27,V27,AH27=AB27,AA27,AH27=AE27,AD27)</f>
        <v>266.86861258239105</v>
      </c>
      <c r="AH27" s="92">
        <f t="shared" ca="1" si="35"/>
        <v>37.271753762681705</v>
      </c>
      <c r="AI27" s="92">
        <f t="shared" ca="1" si="36"/>
        <v>516.86861258239105</v>
      </c>
      <c r="AJ27" s="102">
        <f t="shared" ca="1" si="37"/>
        <v>156.86861258239105</v>
      </c>
      <c r="AK27" s="102">
        <f t="shared" ca="1" si="38"/>
        <v>66.868612582391052</v>
      </c>
      <c r="AL27" s="51">
        <f t="shared" ca="1" si="39"/>
        <v>15.39559690066269</v>
      </c>
      <c r="AM27" s="51">
        <f t="shared" ca="1" si="40"/>
        <v>0.84225463305893467</v>
      </c>
      <c r="AN27" s="51">
        <f t="shared" ca="1" si="41"/>
        <v>0</v>
      </c>
      <c r="AO27" s="51">
        <f t="shared" ca="1" si="42"/>
        <v>0</v>
      </c>
      <c r="AP27" s="51">
        <f t="shared" ca="1" si="43"/>
        <v>266.86861258239105</v>
      </c>
      <c r="AQ27" s="5">
        <f t="shared" ca="1" si="44"/>
        <v>-0.84225463305893467</v>
      </c>
      <c r="AR27" s="95">
        <f t="shared" ca="1" si="45"/>
        <v>0</v>
      </c>
      <c r="AS27" s="95">
        <f t="shared" ca="1" si="46"/>
        <v>-15.39559690066269</v>
      </c>
      <c r="AT27" s="95">
        <f t="shared" ca="1" si="47"/>
        <v>0</v>
      </c>
      <c r="AU27" s="51">
        <f t="shared" ca="1" si="48"/>
        <v>-0.84225463305893467</v>
      </c>
      <c r="AV27" s="51">
        <f t="shared" ca="1" si="49"/>
        <v>-15.39559690066269</v>
      </c>
      <c r="AW27" s="51">
        <f t="shared" ca="1" si="50"/>
        <v>86.868612582391066</v>
      </c>
      <c r="AX27" s="51">
        <f t="shared" ca="1" si="51"/>
        <v>86.868612582391066</v>
      </c>
      <c r="AY27" s="51">
        <f t="shared" ca="1" si="9"/>
        <v>0</v>
      </c>
      <c r="AZ27" s="103">
        <v>1</v>
      </c>
      <c r="BA27" s="104">
        <f>_xlfn.IFS(AZ27=1,Références!$B$80,AZ27=2,Références!$B$81,AZ27=3,Références!$B$82,AZ27=4,Références!$B$83,AZ27=5,Références!$B$84,AZ27=6,Références!$B$85,AZ27=7,Références!$B$86,AZ27=8,Références!$B$87,AZ27=9,Références!$B$88,AZ27=10,Références!$B$89,AZ27=11,Références!$B$90,AZ27=12,Références!$B$91)</f>
        <v>1</v>
      </c>
      <c r="BB27" s="104" t="s">
        <v>69</v>
      </c>
      <c r="BC27" s="105" cm="1">
        <f t="array" ref="BC27">_xlfn.IFS(BB27="Beam", -0.0000000868778*BA27^5-0.0000459619*BA27^4+0.00347366*BA27^3-0.0884721*BA27^2+0.510463*BA27+14.9932,BB27="Following",0.000652681*BA27^3-0.0356523*BA27^2+0.29714*BA27+15.2038,BB27="Head",-0.00000154449*BA27^5+0.0000797696*BA27^4+0.000148965*BA27^3-0.0570448*BA27^2+0.244115*BA27+15.0029)</f>
        <v>15.418618511222199</v>
      </c>
      <c r="BD27" s="106"/>
      <c r="BE27" s="100">
        <v>250</v>
      </c>
      <c r="BF27" s="107">
        <v>0</v>
      </c>
      <c r="BG27" s="51">
        <f t="shared" ca="1" si="52"/>
        <v>15.418618511222199</v>
      </c>
      <c r="BH27" s="51">
        <f t="shared" ca="1" si="53"/>
        <v>266.86861258239105</v>
      </c>
      <c r="BI27" s="82">
        <f t="shared" ca="1" si="54"/>
        <v>266.86861258239105</v>
      </c>
      <c r="BJ27" s="106"/>
      <c r="BK27" s="108">
        <f t="shared" ca="1" si="55"/>
        <v>145.03927340398511</v>
      </c>
      <c r="BL27" s="93">
        <f t="shared" si="56"/>
        <v>9</v>
      </c>
      <c r="BM27" s="109">
        <f t="shared" si="57"/>
        <v>0.375</v>
      </c>
      <c r="BN27" s="110">
        <f t="shared" ca="1" si="58"/>
        <v>0.10072171764165633</v>
      </c>
      <c r="BO27" s="124">
        <f t="shared" ca="1" si="60"/>
        <v>44952.392571635181</v>
      </c>
      <c r="BP27" s="124">
        <f t="shared" ca="1" si="59"/>
        <v>44952.600904968516</v>
      </c>
      <c r="BS27" s="2"/>
      <c r="BT27" s="7"/>
    </row>
    <row r="28" spans="1:172" x14ac:dyDescent="0.25">
      <c r="A28" s="52">
        <v>17</v>
      </c>
      <c r="B28" s="79">
        <v>41</v>
      </c>
      <c r="C28" s="52">
        <v>38.200000000000003</v>
      </c>
      <c r="D28" s="112" t="s">
        <v>56</v>
      </c>
      <c r="E28" s="52">
        <v>140</v>
      </c>
      <c r="F28" s="52">
        <v>52.64</v>
      </c>
      <c r="G28" s="112" t="s">
        <v>29</v>
      </c>
      <c r="H28" s="79">
        <f t="shared" si="13"/>
        <v>41.63666666666667</v>
      </c>
      <c r="I28" s="82">
        <f t="shared" si="14"/>
        <v>0.72669692288870569</v>
      </c>
      <c r="J28" s="82">
        <f t="shared" si="15"/>
        <v>-0.72669692288870569</v>
      </c>
      <c r="K28" s="52">
        <f t="shared" si="16"/>
        <v>140.87733333333333</v>
      </c>
      <c r="L28" s="82">
        <f t="shared" si="17"/>
        <v>2.4587733080962249</v>
      </c>
      <c r="M28" s="52">
        <f t="shared" si="18"/>
        <v>2736.9984912481782</v>
      </c>
      <c r="N28" s="113" cm="1">
        <f t="array" aca="1" ref="N28" ca="1">_xlfn.IFS(D28&lt;&gt;OFFSET(D28,1,),M28+OFFSET(M28,1,),OFFSET(M28,1,)-M28&lt;0,(OFFSET(M28,1,)-M28)*-1,OFFSET(M28,1,)-M28&gt;0,OFFSET(M28,1,)-M28)</f>
        <v>40.885112082165961</v>
      </c>
      <c r="O28" s="52">
        <f t="shared" si="19"/>
        <v>-30.795000000000073</v>
      </c>
      <c r="P28" s="52">
        <f t="shared" si="20"/>
        <v>30.795000000000073</v>
      </c>
      <c r="Q28" s="52">
        <f t="shared" si="21"/>
        <v>-63.353999999998898</v>
      </c>
      <c r="R28" s="52" cm="1">
        <f t="array" ref="R28">_xlfn.IFS(AND(G29="E",G29&lt;&gt;G28,L28+L29&gt;(RADIANS(180)),Q28&lt;0),Q28*-1,AND(G29="W",G29&lt;&gt;G28,L29+L28&gt;(RADIANS(180)),Q28&lt;0),Q28,AND(G29="E",G29&lt;&gt;G28,L29+L28&gt;(RADIANS(180)),Q28&gt;0),Q28,AND(G29="W",G29&lt;&gt;G28,L29+L28&gt;(RADIANS(180)),Q28&gt;0),Q28*-1,AND(G29="W",G29=G28,Q28&lt;0),Q28,AND(G29="W",G29=G28,Q28&gt;0),Q28,AND(G29="E",G29=G28,Q28&lt;0),Q28*-1,AND(G29="E",G29=G28,Q28&gt;0),Q28*-1,AND(G29="E",G29&lt;&gt;G28,Q28&gt;0),Q28*-1,AND(G29="E",G29&lt;&gt;G28,Q28&lt;0),Q28,AND(G29="W",G29&lt;&gt;G28,Q28&gt;0),Q28,AND(G29="W",G29&lt;&gt;G28,Q28&lt;0),Q28*-1)</f>
        <v>63.353999999998898</v>
      </c>
      <c r="S28" s="114">
        <f t="shared" si="22"/>
        <v>30.795000000000073</v>
      </c>
      <c r="T28" s="114">
        <f t="shared" si="23"/>
        <v>63.353999999998898</v>
      </c>
      <c r="U28" s="52">
        <f t="shared" ca="1" si="24"/>
        <v>57.164074502966258</v>
      </c>
      <c r="V28" s="115">
        <f t="shared" ca="1" si="25"/>
        <v>237.16407450296626</v>
      </c>
      <c r="W28" s="116">
        <f t="shared" ca="1" si="26"/>
        <v>56.79270286006988</v>
      </c>
      <c r="X28" s="52">
        <f t="shared" si="27"/>
        <v>41.380041666666671</v>
      </c>
      <c r="Y28" s="52">
        <f t="shared" si="28"/>
        <v>47.537128079043242</v>
      </c>
      <c r="Z28" s="52">
        <f t="shared" si="29"/>
        <v>57.064452926385435</v>
      </c>
      <c r="AA28" s="115">
        <f t="shared" si="30"/>
        <v>237.06445292638543</v>
      </c>
      <c r="AB28" s="116">
        <f t="shared" si="31"/>
        <v>56.640185125080279</v>
      </c>
      <c r="AC28" s="52">
        <f t="shared" si="32"/>
        <v>57.414290997012074</v>
      </c>
      <c r="AD28" s="115">
        <f t="shared" si="33"/>
        <v>237.41429099701207</v>
      </c>
      <c r="AE28" s="116">
        <f t="shared" si="34"/>
        <v>56.639494391988222</v>
      </c>
      <c r="AF28" s="100" t="s">
        <v>102</v>
      </c>
      <c r="AG28" s="101" cm="1">
        <f t="array" aca="1" ref="AG28" ca="1">_xlfn.IFS(AH28=W28,V28,AH28=AB28,AA28,AH28=AE28,AD28)</f>
        <v>237.06445292638543</v>
      </c>
      <c r="AH28" s="79">
        <f t="shared" ca="1" si="35"/>
        <v>56.640185125080279</v>
      </c>
      <c r="AI28" s="79">
        <f t="shared" ca="1" si="36"/>
        <v>487.06445292638546</v>
      </c>
      <c r="AJ28" s="80">
        <f t="shared" ca="1" si="37"/>
        <v>127.06445292638546</v>
      </c>
      <c r="AK28" s="80">
        <f t="shared" ca="1" si="38"/>
        <v>37.064452926385457</v>
      </c>
      <c r="AL28" s="52">
        <f t="shared" ca="1" si="39"/>
        <v>12.940579931920514</v>
      </c>
      <c r="AM28" s="52">
        <f t="shared" ca="1" si="40"/>
        <v>8.3830297518367392</v>
      </c>
      <c r="AN28" s="52">
        <f t="shared" ca="1" si="41"/>
        <v>0</v>
      </c>
      <c r="AO28" s="52">
        <f t="shared" ca="1" si="42"/>
        <v>0</v>
      </c>
      <c r="AP28" s="52">
        <f t="shared" ca="1" si="43"/>
        <v>237.06445292638543</v>
      </c>
      <c r="AQ28" s="81">
        <f t="shared" ca="1" si="44"/>
        <v>-8.3830297518367392</v>
      </c>
      <c r="AR28" s="82">
        <f t="shared" ca="1" si="45"/>
        <v>0</v>
      </c>
      <c r="AS28" s="82">
        <f t="shared" ca="1" si="46"/>
        <v>-12.940579931920514</v>
      </c>
      <c r="AT28" s="82">
        <f t="shared" ca="1" si="47"/>
        <v>0</v>
      </c>
      <c r="AU28" s="52">
        <f t="shared" ca="1" si="48"/>
        <v>-8.3830297518367392</v>
      </c>
      <c r="AV28" s="52">
        <f t="shared" ca="1" si="49"/>
        <v>-12.940579931920514</v>
      </c>
      <c r="AW28" s="52">
        <f t="shared" ca="1" si="50"/>
        <v>57.064452926385435</v>
      </c>
      <c r="AX28" s="52">
        <f t="shared" ca="1" si="51"/>
        <v>57.064452926385435</v>
      </c>
      <c r="AY28" s="52">
        <f t="shared" ca="1" si="9"/>
        <v>0</v>
      </c>
      <c r="AZ28" s="71">
        <v>1</v>
      </c>
      <c r="BA28" s="117">
        <f>_xlfn.IFS(AZ28=1,Références!$B$80,AZ28=2,Références!$B$81,AZ28=3,Références!$B$82,AZ28=4,Références!$B$83,AZ28=5,Références!$B$84,AZ28=6,Références!$B$85,AZ28=7,Références!$B$86,AZ28=8,Références!$B$87,AZ28=9,Références!$B$88,AZ28=10,Références!$B$89,AZ28=11,Références!$B$90,AZ28=12,Références!$B$91)</f>
        <v>1</v>
      </c>
      <c r="BB28" s="117" t="s">
        <v>69</v>
      </c>
      <c r="BC28" s="118" cm="1">
        <f t="array" ref="BC28">_xlfn.IFS(BB28="Beam", -0.0000000868778*BA28^5-0.0000459619*BA28^4+0.00347366*BA28^3-0.0884721*BA28^2+0.510463*BA28+14.9932,BB28="Following",0.000652681*BA28^3-0.0356523*BA28^2+0.29714*BA28+15.2038,BB28="Head",-0.00000154449*BA28^5+0.0000797696*BA28^4+0.000148965*BA28^3-0.0570448*BA28^2+0.244115*BA28+15.0029)</f>
        <v>15.418618511222199</v>
      </c>
      <c r="BD28" s="106"/>
      <c r="BE28" s="100">
        <v>250</v>
      </c>
      <c r="BF28" s="119">
        <v>0</v>
      </c>
      <c r="BG28" s="52">
        <f t="shared" ca="1" si="52"/>
        <v>15.418618511222199</v>
      </c>
      <c r="BH28" s="52">
        <f t="shared" ca="1" si="53"/>
        <v>237.06445292638543</v>
      </c>
      <c r="BI28" s="82">
        <f t="shared" ca="1" si="54"/>
        <v>237.06445292638543</v>
      </c>
      <c r="BJ28" s="106"/>
      <c r="BK28" s="120">
        <f t="shared" ca="1" si="55"/>
        <v>220.40957203989041</v>
      </c>
      <c r="BL28" s="112">
        <f t="shared" si="56"/>
        <v>9</v>
      </c>
      <c r="BM28" s="121">
        <f t="shared" si="57"/>
        <v>0.375</v>
      </c>
      <c r="BN28" s="122">
        <f t="shared" ca="1" si="58"/>
        <v>0.15306220280547944</v>
      </c>
      <c r="BO28" s="123">
        <f t="shared" ca="1" si="60"/>
        <v>44952.493293352825</v>
      </c>
      <c r="BP28" s="123">
        <f t="shared" ca="1" si="59"/>
        <v>44952.701626686161</v>
      </c>
      <c r="BS28" s="2"/>
      <c r="BT28" s="7"/>
    </row>
    <row r="29" spans="1:172" x14ac:dyDescent="0.25">
      <c r="A29" s="51">
        <v>18</v>
      </c>
      <c r="B29" s="92">
        <v>41</v>
      </c>
      <c r="C29" s="51">
        <v>7.4050000000000002</v>
      </c>
      <c r="D29" s="93" t="s">
        <v>56</v>
      </c>
      <c r="E29" s="51">
        <v>139</v>
      </c>
      <c r="F29" s="51">
        <v>49.286000000000001</v>
      </c>
      <c r="G29" s="94" t="s">
        <v>29</v>
      </c>
      <c r="H29" s="92">
        <f t="shared" si="13"/>
        <v>41.123416666666664</v>
      </c>
      <c r="I29" s="95">
        <f t="shared" si="14"/>
        <v>0.71773902050284477</v>
      </c>
      <c r="J29" s="95">
        <f t="shared" si="15"/>
        <v>-0.71773902050284477</v>
      </c>
      <c r="K29" s="51">
        <f t="shared" si="16"/>
        <v>139.82143333333335</v>
      </c>
      <c r="L29" s="95">
        <f t="shared" si="17"/>
        <v>2.440344376524417</v>
      </c>
      <c r="M29" s="51">
        <f t="shared" si="18"/>
        <v>2696.1133791660122</v>
      </c>
      <c r="N29" s="96" cm="1">
        <f t="array" aca="1" ref="N29" ca="1">_xlfn.IFS(D29&lt;&gt;OFFSET(D29,1,),M29+OFFSET(M29,1,),OFFSET(M29,1,)-M29&lt;0,(OFFSET(M29,1,)-M29)*-1,OFFSET(M29,1,)-M29&gt;0,OFFSET(M29,1,)-M29)</f>
        <v>18.471221515916113</v>
      </c>
      <c r="O29" s="51">
        <f t="shared" si="19"/>
        <v>13.943000000000334</v>
      </c>
      <c r="P29" s="51">
        <f t="shared" si="20"/>
        <v>-13.943000000000334</v>
      </c>
      <c r="Q29" s="51">
        <f t="shared" si="21"/>
        <v>-46.183000000000639</v>
      </c>
      <c r="R29" s="51" cm="1">
        <f t="array" ref="R29">_xlfn.IFS(AND(G30="E",G30&lt;&gt;G29,L29+L30&gt;(RADIANS(180)),Q29&lt;0),Q29*-1,AND(G30="W",G30&lt;&gt;G29,L30+L29&gt;(RADIANS(180)),Q29&lt;0),Q29,AND(G30="E",G30&lt;&gt;G29,L30+L29&gt;(RADIANS(180)),Q29&gt;0),Q29,AND(G30="W",G30&lt;&gt;G29,L30+L29&gt;(RADIANS(180)),Q29&gt;0),Q29*-1,AND(G30="W",G30=G29,Q29&lt;0),Q29,AND(G30="W",G30=G29,Q29&gt;0),Q29,AND(G30="E",G30=G29,Q29&lt;0),Q29*-1,AND(G30="E",G30=G29,Q29&gt;0),Q29*-1,AND(G30="E",G30&lt;&gt;G29,Q29&gt;0),Q29*-1,AND(G30="E",G30&lt;&gt;G29,Q29&lt;0),Q29,AND(G30="W",G30&lt;&gt;G29,Q29&gt;0),Q29,AND(G30="W",G30&lt;&gt;G29,Q29&lt;0),Q29*-1)</f>
        <v>46.183000000000639</v>
      </c>
      <c r="S29" s="97">
        <f t="shared" si="22"/>
        <v>13.943000000000334</v>
      </c>
      <c r="T29" s="97">
        <f t="shared" si="23"/>
        <v>46.183000000000639</v>
      </c>
      <c r="U29" s="51">
        <f t="shared" ca="1" si="24"/>
        <v>68.200706541982527</v>
      </c>
      <c r="V29" s="98">
        <f t="shared" ca="1" si="25"/>
        <v>291.79929345801747</v>
      </c>
      <c r="W29" s="99">
        <f t="shared" ca="1" si="26"/>
        <v>37.546143082161102</v>
      </c>
      <c r="X29" s="51">
        <f t="shared" si="27"/>
        <v>41.239608333333337</v>
      </c>
      <c r="Y29" s="51">
        <f t="shared" si="28"/>
        <v>34.727740040563958</v>
      </c>
      <c r="Z29" s="51">
        <f t="shared" si="29"/>
        <v>68.124806070270438</v>
      </c>
      <c r="AA29" s="98">
        <f t="shared" si="30"/>
        <v>291.87519392972956</v>
      </c>
      <c r="AB29" s="99">
        <f t="shared" si="31"/>
        <v>37.422228385346052</v>
      </c>
      <c r="AC29" s="51">
        <f t="shared" si="32"/>
        <v>112.12858733530882</v>
      </c>
      <c r="AD29" s="98">
        <f t="shared" si="33"/>
        <v>292.12858733530879</v>
      </c>
      <c r="AE29" s="99">
        <f t="shared" si="34"/>
        <v>37.422050055587832</v>
      </c>
      <c r="AF29" s="100" t="s">
        <v>102</v>
      </c>
      <c r="AG29" s="101" cm="1">
        <f t="array" aca="1" ref="AG29" ca="1">_xlfn.IFS(AH29=W29,V29,AH29=AB29,AA29,AH29=AE29,AD29)</f>
        <v>291.87519392972956</v>
      </c>
      <c r="AH29" s="92">
        <f t="shared" ca="1" si="35"/>
        <v>37.422228385346052</v>
      </c>
      <c r="AI29" s="92">
        <f t="shared" ca="1" si="36"/>
        <v>541.87519392972956</v>
      </c>
      <c r="AJ29" s="102">
        <f t="shared" ca="1" si="37"/>
        <v>181.87519392972956</v>
      </c>
      <c r="AK29" s="102">
        <f t="shared" ca="1" si="38"/>
        <v>88.124806070270438</v>
      </c>
      <c r="AL29" s="51">
        <f t="shared" ca="1" si="39"/>
        <v>14.30844176163564</v>
      </c>
      <c r="AM29" s="51">
        <f t="shared" ca="1" si="40"/>
        <v>5.7447620619556607</v>
      </c>
      <c r="AN29" s="51">
        <f t="shared" ca="1" si="41"/>
        <v>0</v>
      </c>
      <c r="AO29" s="51">
        <f t="shared" ca="1" si="42"/>
        <v>0</v>
      </c>
      <c r="AP29" s="51">
        <f t="shared" ca="1" si="43"/>
        <v>291.87519392972956</v>
      </c>
      <c r="AQ29" s="5">
        <f t="shared" ca="1" si="44"/>
        <v>5.7447620619556607</v>
      </c>
      <c r="AR29" s="95">
        <f t="shared" ca="1" si="45"/>
        <v>0</v>
      </c>
      <c r="AS29" s="95">
        <f t="shared" ca="1" si="46"/>
        <v>-14.30844176163564</v>
      </c>
      <c r="AT29" s="95">
        <f t="shared" ca="1" si="47"/>
        <v>0</v>
      </c>
      <c r="AU29" s="51">
        <f t="shared" ca="1" si="48"/>
        <v>5.7447620619556607</v>
      </c>
      <c r="AV29" s="51">
        <f t="shared" ca="1" si="49"/>
        <v>-14.30844176163564</v>
      </c>
      <c r="AW29" s="51">
        <f t="shared" ca="1" si="50"/>
        <v>-68.124806070270452</v>
      </c>
      <c r="AX29" s="51">
        <f t="shared" ca="1" si="51"/>
        <v>68.124806070270452</v>
      </c>
      <c r="AY29" s="51">
        <f t="shared" ca="1" si="9"/>
        <v>0</v>
      </c>
      <c r="AZ29" s="103">
        <v>1</v>
      </c>
      <c r="BA29" s="104">
        <f>_xlfn.IFS(AZ29=1,Références!$B$80,AZ29=2,Références!$B$81,AZ29=3,Références!$B$82,AZ29=4,Références!$B$83,AZ29=5,Références!$B$84,AZ29=6,Références!$B$85,AZ29=7,Références!$B$86,AZ29=8,Références!$B$87,AZ29=9,Références!$B$88,AZ29=10,Références!$B$89,AZ29=11,Références!$B$90,AZ29=12,Références!$B$91)</f>
        <v>1</v>
      </c>
      <c r="BB29" s="104" t="s">
        <v>69</v>
      </c>
      <c r="BC29" s="105" cm="1">
        <f t="array" ref="BC29">_xlfn.IFS(BB29="Beam", -0.0000000868778*BA29^5-0.0000459619*BA29^4+0.00347366*BA29^3-0.0884721*BA29^2+0.510463*BA29+14.9932,BB29="Following",0.000652681*BA29^3-0.0356523*BA29^2+0.29714*BA29+15.2038,BB29="Head",-0.00000154449*BA29^5+0.0000797696*BA29^4+0.000148965*BA29^3-0.0570448*BA29^2+0.244115*BA29+15.0029)</f>
        <v>15.418618511222199</v>
      </c>
      <c r="BD29" s="106"/>
      <c r="BE29" s="100">
        <v>250</v>
      </c>
      <c r="BF29" s="107">
        <v>0</v>
      </c>
      <c r="BG29" s="51">
        <f t="shared" ca="1" si="52"/>
        <v>15.418618511222199</v>
      </c>
      <c r="BH29" s="51">
        <f t="shared" ca="1" si="53"/>
        <v>291.87519392972956</v>
      </c>
      <c r="BI29" s="82">
        <f t="shared" ca="1" si="54"/>
        <v>291.87519392972956</v>
      </c>
      <c r="BJ29" s="106"/>
      <c r="BK29" s="108">
        <f t="shared" ca="1" si="55"/>
        <v>145.62483023278202</v>
      </c>
      <c r="BL29" s="93">
        <f t="shared" si="56"/>
        <v>9</v>
      </c>
      <c r="BM29" s="109">
        <f t="shared" si="57"/>
        <v>0.375</v>
      </c>
      <c r="BN29" s="110">
        <f t="shared" ca="1" si="58"/>
        <v>0.10112835432832085</v>
      </c>
      <c r="BO29" s="124">
        <f t="shared" ca="1" si="60"/>
        <v>44952.646355555633</v>
      </c>
      <c r="BP29" s="124">
        <f t="shared" ca="1" si="59"/>
        <v>44952.854688888969</v>
      </c>
      <c r="BS29" s="2"/>
      <c r="BT29" s="7"/>
    </row>
    <row r="30" spans="1:172" x14ac:dyDescent="0.25">
      <c r="A30" s="52">
        <v>19</v>
      </c>
      <c r="B30" s="79">
        <v>41</v>
      </c>
      <c r="C30" s="52">
        <v>21.347999999999999</v>
      </c>
      <c r="D30" s="112" t="s">
        <v>56</v>
      </c>
      <c r="E30" s="52">
        <v>139</v>
      </c>
      <c r="F30" s="52">
        <v>3.1030000000000002</v>
      </c>
      <c r="G30" s="112" t="s">
        <v>29</v>
      </c>
      <c r="H30" s="79">
        <f t="shared" si="13"/>
        <v>41.355800000000002</v>
      </c>
      <c r="I30" s="82">
        <f t="shared" si="14"/>
        <v>0.72179487479627102</v>
      </c>
      <c r="J30" s="82">
        <f t="shared" si="15"/>
        <v>-0.72179487479627102</v>
      </c>
      <c r="K30" s="52">
        <f t="shared" si="16"/>
        <v>139.05171666666666</v>
      </c>
      <c r="L30" s="82">
        <f t="shared" si="17"/>
        <v>2.4269102863836078</v>
      </c>
      <c r="M30" s="52">
        <f t="shared" si="18"/>
        <v>2714.5846006819284</v>
      </c>
      <c r="N30" s="113" cm="1">
        <f t="array" aca="1" ref="N30" ca="1">_xlfn.IFS(D30&lt;&gt;OFFSET(D30,1,),M30+OFFSET(M30,1,),OFFSET(M30,1,)-M30&lt;0,(OFFSET(M30,1,)-M30)*-1,OFFSET(M30,1,)-M30&gt;0,OFFSET(M30,1,)-M30)</f>
        <v>7.3140026524170025</v>
      </c>
      <c r="O30" s="52">
        <f t="shared" si="19"/>
        <v>-5.5150000000003185</v>
      </c>
      <c r="P30" s="52">
        <f t="shared" si="20"/>
        <v>5.5150000000003185</v>
      </c>
      <c r="Q30" s="52">
        <f t="shared" si="21"/>
        <v>3.8349999999997357</v>
      </c>
      <c r="R30" s="52" cm="1">
        <f t="array" ref="R30">_xlfn.IFS(AND(G31="E",G31&lt;&gt;G30,L30+L31&gt;(RADIANS(180)),Q30&lt;0),Q30*-1,AND(G31="W",G31&lt;&gt;G30,L31+L30&gt;(RADIANS(180)),Q30&lt;0),Q30,AND(G31="E",G31&lt;&gt;G30,L31+L30&gt;(RADIANS(180)),Q30&gt;0),Q30,AND(G31="W",G31&lt;&gt;G30,L31+L30&gt;(RADIANS(180)),Q30&gt;0),Q30*-1,AND(G31="W",G31=G30,Q30&lt;0),Q30,AND(G31="W",G31=G30,Q30&gt;0),Q30,AND(G31="E",G31=G30,Q30&lt;0),Q30*-1,AND(G31="E",G31=G30,Q30&gt;0),Q30*-1,AND(G31="E",G31&lt;&gt;G30,Q30&gt;0),Q30*-1,AND(G31="E",G31&lt;&gt;G30,Q30&lt;0),Q30,AND(G31="W",G31&lt;&gt;G30,Q30&gt;0),Q30,AND(G31="W",G31&lt;&gt;G30,Q30&lt;0),Q30*-1)</f>
        <v>-3.8349999999997357</v>
      </c>
      <c r="S30" s="114">
        <f t="shared" si="22"/>
        <v>5.5150000000003185</v>
      </c>
      <c r="T30" s="114">
        <f t="shared" si="23"/>
        <v>3.8349999999997357</v>
      </c>
      <c r="U30" s="52">
        <f t="shared" ca="1" si="24"/>
        <v>27.669671903513176</v>
      </c>
      <c r="V30" s="115">
        <f t="shared" ca="1" si="25"/>
        <v>152.33032809648682</v>
      </c>
      <c r="W30" s="116">
        <f t="shared" ca="1" si="26"/>
        <v>6.2271383129931985</v>
      </c>
      <c r="X30" s="52">
        <f t="shared" si="27"/>
        <v>41.309841666666671</v>
      </c>
      <c r="Y30" s="52">
        <f t="shared" si="28"/>
        <v>2.8806631426370162</v>
      </c>
      <c r="Z30" s="52">
        <f t="shared" si="29"/>
        <v>27.579523420850915</v>
      </c>
      <c r="AA30" s="115">
        <f t="shared" si="30"/>
        <v>152.4204765791491</v>
      </c>
      <c r="AB30" s="116">
        <f t="shared" si="31"/>
        <v>6.2220129493075538</v>
      </c>
      <c r="AC30" s="52">
        <f t="shared" si="32"/>
        <v>27.600625065998742</v>
      </c>
      <c r="AD30" s="115">
        <f t="shared" si="33"/>
        <v>152.39937493400126</v>
      </c>
      <c r="AE30" s="116">
        <f t="shared" si="34"/>
        <v>6.2220124448065119</v>
      </c>
      <c r="AF30" s="100" t="s">
        <v>102</v>
      </c>
      <c r="AG30" s="101" cm="1">
        <f t="array" aca="1" ref="AG30" ca="1">_xlfn.IFS(AH30=W30,V30,AH30=AB30,AA30,AH30=AE30,AD30)</f>
        <v>152.4204765791491</v>
      </c>
      <c r="AH30" s="79">
        <f t="shared" ca="1" si="35"/>
        <v>6.2220129493075538</v>
      </c>
      <c r="AI30" s="79">
        <f t="shared" ca="1" si="36"/>
        <v>402.42047657914907</v>
      </c>
      <c r="AJ30" s="80">
        <f t="shared" ca="1" si="37"/>
        <v>42.420476579149067</v>
      </c>
      <c r="AK30" s="80">
        <f t="shared" ca="1" si="38"/>
        <v>47.579523420850933</v>
      </c>
      <c r="AL30" s="52">
        <f t="shared" ca="1" si="39"/>
        <v>7.1385010634864781</v>
      </c>
      <c r="AM30" s="52">
        <f t="shared" ca="1" si="40"/>
        <v>13.666586968267033</v>
      </c>
      <c r="AN30" s="52">
        <f t="shared" ca="1" si="41"/>
        <v>0</v>
      </c>
      <c r="AO30" s="52">
        <f t="shared" ca="1" si="42"/>
        <v>0</v>
      </c>
      <c r="AP30" s="52">
        <f t="shared" ca="1" si="43"/>
        <v>152.4204765791491</v>
      </c>
      <c r="AQ30" s="81">
        <f t="shared" ca="1" si="44"/>
        <v>-13.666586968267033</v>
      </c>
      <c r="AR30" s="82">
        <f t="shared" ca="1" si="45"/>
        <v>0</v>
      </c>
      <c r="AS30" s="82">
        <f t="shared" ca="1" si="46"/>
        <v>7.1385010634864781</v>
      </c>
      <c r="AT30" s="82">
        <f t="shared" ca="1" si="47"/>
        <v>0</v>
      </c>
      <c r="AU30" s="52">
        <f t="shared" ca="1" si="48"/>
        <v>-13.666586968267033</v>
      </c>
      <c r="AV30" s="52">
        <f t="shared" ca="1" si="49"/>
        <v>7.1385010634864781</v>
      </c>
      <c r="AW30" s="52">
        <f t="shared" ca="1" si="50"/>
        <v>-27.579523420850908</v>
      </c>
      <c r="AX30" s="52">
        <f t="shared" ca="1" si="51"/>
        <v>27.579523420850908</v>
      </c>
      <c r="AY30" s="52">
        <f t="shared" ca="1" si="9"/>
        <v>0</v>
      </c>
      <c r="AZ30" s="71">
        <v>1</v>
      </c>
      <c r="BA30" s="117">
        <f>_xlfn.IFS(AZ30=1,Références!$B$80,AZ30=2,Références!$B$81,AZ30=3,Références!$B$82,AZ30=4,Références!$B$83,AZ30=5,Références!$B$84,AZ30=6,Références!$B$85,AZ30=7,Références!$B$86,AZ30=8,Références!$B$87,AZ30=9,Références!$B$88,AZ30=10,Références!$B$89,AZ30=11,Références!$B$90,AZ30=12,Références!$B$91)</f>
        <v>1</v>
      </c>
      <c r="BB30" s="117" t="s">
        <v>69</v>
      </c>
      <c r="BC30" s="118" cm="1">
        <f t="array" ref="BC30">_xlfn.IFS(BB30="Beam", -0.0000000868778*BA30^5-0.0000459619*BA30^4+0.00347366*BA30^3-0.0884721*BA30^2+0.510463*BA30+14.9932,BB30="Following",0.000652681*BA30^3-0.0356523*BA30^2+0.29714*BA30+15.2038,BB30="Head",-0.00000154449*BA30^5+0.0000797696*BA30^4+0.000148965*BA30^3-0.0570448*BA30^2+0.244115*BA30+15.0029)</f>
        <v>15.418618511222199</v>
      </c>
      <c r="BD30" s="106"/>
      <c r="BE30" s="100">
        <v>250</v>
      </c>
      <c r="BF30" s="119">
        <v>0</v>
      </c>
      <c r="BG30" s="52">
        <f t="shared" ca="1" si="52"/>
        <v>15.418618511222199</v>
      </c>
      <c r="BH30" s="52">
        <f t="shared" ca="1" si="53"/>
        <v>152.4204765791491</v>
      </c>
      <c r="BI30" s="82">
        <f t="shared" ca="1" si="54"/>
        <v>152.4204765791491</v>
      </c>
      <c r="BJ30" s="106"/>
      <c r="BK30" s="120">
        <f t="shared" ca="1" si="55"/>
        <v>24.212336318376227</v>
      </c>
      <c r="BL30" s="112">
        <f t="shared" si="56"/>
        <v>9</v>
      </c>
      <c r="BM30" s="121">
        <f t="shared" si="57"/>
        <v>0.375</v>
      </c>
      <c r="BN30" s="122">
        <f t="shared" ca="1" si="58"/>
        <v>1.6814122443316825E-2</v>
      </c>
      <c r="BO30" s="123">
        <f t="shared" ca="1" si="60"/>
        <v>44952.74748390996</v>
      </c>
      <c r="BP30" s="123">
        <f t="shared" ca="1" si="59"/>
        <v>44952.955817243295</v>
      </c>
      <c r="BS30" s="2"/>
      <c r="BT30" s="7"/>
    </row>
    <row r="31" spans="1:172" x14ac:dyDescent="0.25">
      <c r="A31" s="51">
        <v>20</v>
      </c>
      <c r="B31" s="92">
        <v>41</v>
      </c>
      <c r="C31" s="51">
        <v>15.833</v>
      </c>
      <c r="D31" s="93" t="s">
        <v>56</v>
      </c>
      <c r="E31" s="51">
        <v>139</v>
      </c>
      <c r="F31" s="51">
        <v>6.9379999999999997</v>
      </c>
      <c r="G31" s="94" t="s">
        <v>29</v>
      </c>
      <c r="H31" s="92">
        <f t="shared" si="13"/>
        <v>41.263883333333332</v>
      </c>
      <c r="I31" s="95">
        <f t="shared" si="14"/>
        <v>0.72019062632547948</v>
      </c>
      <c r="J31" s="95">
        <f t="shared" si="15"/>
        <v>-0.72019062632547948</v>
      </c>
      <c r="K31" s="51">
        <f t="shared" si="16"/>
        <v>139.11563333333334</v>
      </c>
      <c r="L31" s="95">
        <f t="shared" si="17"/>
        <v>2.4280258426638408</v>
      </c>
      <c r="M31" s="51">
        <f t="shared" si="18"/>
        <v>2707.2705980295113</v>
      </c>
      <c r="N31" s="96" cm="1">
        <f t="array" aca="1" ref="N31" ca="1">_xlfn.IFS(D31&lt;&gt;OFFSET(D31,1,),M31+OFFSET(M31,1,),OFFSET(M31,1,)-M31&lt;0,(OFFSET(M31,1,)-M31)*-1,OFFSET(M31,1,)-M31&gt;0,OFFSET(M31,1,)-M31)</f>
        <v>42.53497204857922</v>
      </c>
      <c r="O31" s="51">
        <f t="shared" si="19"/>
        <v>31.962999999999923</v>
      </c>
      <c r="P31" s="51">
        <f t="shared" si="20"/>
        <v>-31.962999999999923</v>
      </c>
      <c r="Q31" s="51">
        <f t="shared" si="21"/>
        <v>26.468999999999436</v>
      </c>
      <c r="R31" s="51" cm="1">
        <f t="array" ref="R31">_xlfn.IFS(AND(G32="E",G32&lt;&gt;G31,L31+L32&gt;(RADIANS(180)),Q31&lt;0),Q31*-1,AND(G32="W",G32&lt;&gt;G31,L32+L31&gt;(RADIANS(180)),Q31&lt;0),Q31,AND(G32="E",G32&lt;&gt;G31,L32+L31&gt;(RADIANS(180)),Q31&gt;0),Q31,AND(G32="W",G32&lt;&gt;G31,L32+L31&gt;(RADIANS(180)),Q31&gt;0),Q31*-1,AND(G32="W",G32=G31,Q31&lt;0),Q31,AND(G32="W",G32=G31,Q31&gt;0),Q31,AND(G32="E",G32=G31,Q31&lt;0),Q31*-1,AND(G32="E",G32=G31,Q31&gt;0),Q31*-1,AND(G32="E",G32&lt;&gt;G31,Q31&gt;0),Q31*-1,AND(G32="E",G32&lt;&gt;G31,Q31&lt;0),Q31,AND(G32="W",G32&lt;&gt;G31,Q31&gt;0),Q31,AND(G32="W",G32&lt;&gt;G31,Q31&lt;0),Q31*-1)</f>
        <v>-26.468999999999436</v>
      </c>
      <c r="S31" s="97">
        <f t="shared" si="22"/>
        <v>31.962999999999923</v>
      </c>
      <c r="T31" s="97">
        <f t="shared" si="23"/>
        <v>26.468999999999436</v>
      </c>
      <c r="U31" s="51">
        <f t="shared" ca="1" si="24"/>
        <v>31.893506022545886</v>
      </c>
      <c r="V31" s="98">
        <f t="shared" ca="1" si="25"/>
        <v>31.893506022545886</v>
      </c>
      <c r="W31" s="99">
        <f t="shared" ca="1" si="26"/>
        <v>37.646420817963424</v>
      </c>
      <c r="X31" s="51">
        <f t="shared" si="27"/>
        <v>41.530241666666669</v>
      </c>
      <c r="Y31" s="51">
        <f t="shared" si="28"/>
        <v>19.814848894314849</v>
      </c>
      <c r="Z31" s="51">
        <f t="shared" si="29"/>
        <v>31.79604972465129</v>
      </c>
      <c r="AA31" s="98">
        <f t="shared" si="30"/>
        <v>31.79604972465129</v>
      </c>
      <c r="AB31" s="99">
        <f t="shared" si="31"/>
        <v>37.606669697070032</v>
      </c>
      <c r="AC31" s="51">
        <f t="shared" si="32"/>
        <v>148.34997767334218</v>
      </c>
      <c r="AD31" s="98">
        <f t="shared" si="33"/>
        <v>31.650022326657819</v>
      </c>
      <c r="AE31" s="99">
        <f t="shared" si="34"/>
        <v>37.606532259828448</v>
      </c>
      <c r="AF31" s="100" t="s">
        <v>102</v>
      </c>
      <c r="AG31" s="101" cm="1">
        <f t="array" aca="1" ref="AG31" ca="1">_xlfn.IFS(AH31=W31,V31,AH31=AB31,AA31,AH31=AE31,AD31)</f>
        <v>31.79604972465129</v>
      </c>
      <c r="AH31" s="92">
        <f t="shared" ca="1" si="35"/>
        <v>37.606669697070032</v>
      </c>
      <c r="AI31" s="92">
        <f t="shared" ca="1" si="36"/>
        <v>281.79604972465131</v>
      </c>
      <c r="AJ31" s="102">
        <f t="shared" ca="1" si="37"/>
        <v>281.79604972465131</v>
      </c>
      <c r="AK31" s="102">
        <f t="shared" ca="1" si="38"/>
        <v>11.796049724651311</v>
      </c>
      <c r="AL31" s="51">
        <f t="shared" ca="1" si="39"/>
        <v>8.1240268925689225</v>
      </c>
      <c r="AM31" s="51">
        <f t="shared" ca="1" si="40"/>
        <v>13.104731353347951</v>
      </c>
      <c r="AN31" s="51">
        <f t="shared" ca="1" si="41"/>
        <v>0</v>
      </c>
      <c r="AO31" s="51">
        <f t="shared" ca="1" si="42"/>
        <v>0</v>
      </c>
      <c r="AP31" s="51">
        <f t="shared" ca="1" si="43"/>
        <v>31.79604972465129</v>
      </c>
      <c r="AQ31" s="5">
        <f t="shared" ca="1" si="44"/>
        <v>13.104731353347951</v>
      </c>
      <c r="AR31" s="95">
        <f t="shared" ca="1" si="45"/>
        <v>0</v>
      </c>
      <c r="AS31" s="95">
        <f t="shared" ca="1" si="46"/>
        <v>8.1240268925689225</v>
      </c>
      <c r="AT31" s="95">
        <f t="shared" ca="1" si="47"/>
        <v>0</v>
      </c>
      <c r="AU31" s="51">
        <f t="shared" ca="1" si="48"/>
        <v>13.104731353347951</v>
      </c>
      <c r="AV31" s="51">
        <f t="shared" ca="1" si="49"/>
        <v>8.1240268925689225</v>
      </c>
      <c r="AW31" s="51">
        <f t="shared" ca="1" si="50"/>
        <v>31.796049724651294</v>
      </c>
      <c r="AX31" s="51">
        <f t="shared" ca="1" si="51"/>
        <v>31.796049724651294</v>
      </c>
      <c r="AY31" s="51">
        <f t="shared" ca="1" si="9"/>
        <v>3.5527136788005009E-15</v>
      </c>
      <c r="AZ31" s="103">
        <v>1</v>
      </c>
      <c r="BA31" s="104">
        <f>_xlfn.IFS(AZ31=1,Références!$B$80,AZ31=2,Références!$B$81,AZ31=3,Références!$B$82,AZ31=4,Références!$B$83,AZ31=5,Références!$B$84,AZ31=6,Références!$B$85,AZ31=7,Références!$B$86,AZ31=8,Références!$B$87,AZ31=9,Références!$B$88,AZ31=10,Références!$B$89,AZ31=11,Références!$B$90,AZ31=12,Références!$B$91)</f>
        <v>1</v>
      </c>
      <c r="BB31" s="104" t="s">
        <v>69</v>
      </c>
      <c r="BC31" s="105" cm="1">
        <f t="array" ref="BC31">_xlfn.IFS(BB31="Beam", -0.0000000868778*BA31^5-0.0000459619*BA31^4+0.00347366*BA31^3-0.0884721*BA31^2+0.510463*BA31+14.9932,BB31="Following",0.000652681*BA31^3-0.0356523*BA31^2+0.29714*BA31+15.2038,BB31="Head",-0.00000154449*BA31^5+0.0000797696*BA31^4+0.000148965*BA31^3-0.0570448*BA31^2+0.244115*BA31+15.0029)</f>
        <v>15.418618511222199</v>
      </c>
      <c r="BD31" s="106"/>
      <c r="BE31" s="100">
        <v>250</v>
      </c>
      <c r="BF31" s="107">
        <v>0</v>
      </c>
      <c r="BG31" s="51">
        <f t="shared" ca="1" si="52"/>
        <v>15.418618511222199</v>
      </c>
      <c r="BH31" s="51">
        <f t="shared" ca="1" si="53"/>
        <v>31.796049724651294</v>
      </c>
      <c r="BI31" s="82">
        <f t="shared" ca="1" si="54"/>
        <v>31.796049724651287</v>
      </c>
      <c r="BJ31" s="106"/>
      <c r="BK31" s="108">
        <f t="shared" ca="1" si="55"/>
        <v>146.34256500878575</v>
      </c>
      <c r="BL31" s="93">
        <f t="shared" si="56"/>
        <v>9</v>
      </c>
      <c r="BM31" s="109">
        <f t="shared" si="57"/>
        <v>0.375</v>
      </c>
      <c r="BN31" s="110">
        <f t="shared" ca="1" si="58"/>
        <v>0.10162678125610122</v>
      </c>
      <c r="BO31" s="124">
        <f t="shared" ca="1" si="60"/>
        <v>44952.764298032402</v>
      </c>
      <c r="BP31" s="124">
        <f t="shared" ca="1" si="59"/>
        <v>44952.972631365737</v>
      </c>
      <c r="BS31" s="2"/>
      <c r="BT31" s="7"/>
    </row>
    <row r="32" spans="1:172" x14ac:dyDescent="0.25">
      <c r="A32" s="52">
        <v>21</v>
      </c>
      <c r="B32" s="79">
        <v>41</v>
      </c>
      <c r="C32" s="52">
        <v>47.795999999999999</v>
      </c>
      <c r="D32" s="112" t="s">
        <v>56</v>
      </c>
      <c r="E32" s="52">
        <v>139</v>
      </c>
      <c r="F32" s="52">
        <v>33.406999999999996</v>
      </c>
      <c r="G32" s="112" t="s">
        <v>29</v>
      </c>
      <c r="H32" s="79">
        <f t="shared" si="13"/>
        <v>41.796599999999998</v>
      </c>
      <c r="I32" s="82">
        <f t="shared" si="14"/>
        <v>0.72948828613906191</v>
      </c>
      <c r="J32" s="82">
        <f t="shared" si="15"/>
        <v>-0.72948828613906191</v>
      </c>
      <c r="K32" s="52">
        <f t="shared" si="16"/>
        <v>139.55678333333333</v>
      </c>
      <c r="L32" s="82">
        <f t="shared" si="17"/>
        <v>2.4357253626590136</v>
      </c>
      <c r="M32" s="52">
        <f t="shared" si="18"/>
        <v>2749.8055700780906</v>
      </c>
      <c r="N32" s="113" cm="1">
        <f t="array" aca="1" ref="N32" ca="1">_xlfn.IFS(D32&lt;&gt;OFFSET(D32,1,),M32+OFFSET(M32,1,),OFFSET(M32,1,)-M32&lt;0,(OFFSET(M32,1,)-M32)*-1,OFFSET(M32,1,)-M32&gt;0,OFFSET(M32,1,)-M32)</f>
        <v>22.34348934839818</v>
      </c>
      <c r="O32" s="52">
        <f t="shared" si="19"/>
        <v>-16.756999999999792</v>
      </c>
      <c r="P32" s="52">
        <f t="shared" si="20"/>
        <v>16.756999999999792</v>
      </c>
      <c r="Q32" s="52">
        <f t="shared" si="21"/>
        <v>34.638999999999896</v>
      </c>
      <c r="R32" s="52" cm="1">
        <f t="array" ref="R32">_xlfn.IFS(AND(G33="E",G33&lt;&gt;G32,L32+L33&gt;(RADIANS(180)),Q32&lt;0),Q32*-1,AND(G33="W",G33&lt;&gt;G32,L33+L32&gt;(RADIANS(180)),Q32&lt;0),Q32,AND(G33="E",G33&lt;&gt;G32,L33+L32&gt;(RADIANS(180)),Q32&gt;0),Q32,AND(G33="W",G33&lt;&gt;G32,L33+L32&gt;(RADIANS(180)),Q32&gt;0),Q32*-1,AND(G33="W",G33=G32,Q32&lt;0),Q32,AND(G33="W",G33=G32,Q32&gt;0),Q32,AND(G33="E",G33=G32,Q32&lt;0),Q32*-1,AND(G33="E",G33=G32,Q32&gt;0),Q32*-1,AND(G33="E",G33&lt;&gt;G32,Q32&gt;0),Q32*-1,AND(G33="E",G33&lt;&gt;G32,Q32&lt;0),Q32,AND(G33="W",G33&lt;&gt;G32,Q32&gt;0),Q32,AND(G33="W",G33&lt;&gt;G32,Q32&lt;0),Q32*-1)</f>
        <v>-34.638999999999896</v>
      </c>
      <c r="S32" s="114">
        <f t="shared" si="22"/>
        <v>16.756999999999792</v>
      </c>
      <c r="T32" s="114">
        <f t="shared" si="23"/>
        <v>34.638999999999896</v>
      </c>
      <c r="U32" s="52">
        <f t="shared" ca="1" si="24"/>
        <v>57.176425275990773</v>
      </c>
      <c r="V32" s="115">
        <f t="shared" ca="1" si="25"/>
        <v>122.82357472400923</v>
      </c>
      <c r="W32" s="116">
        <f t="shared" ca="1" si="26"/>
        <v>30.913892986784798</v>
      </c>
      <c r="X32" s="52">
        <f t="shared" si="27"/>
        <v>41.656958333333336</v>
      </c>
      <c r="Y32" s="52">
        <f t="shared" si="28"/>
        <v>25.880102967352169</v>
      </c>
      <c r="Z32" s="52">
        <f t="shared" si="29"/>
        <v>57.077515045254529</v>
      </c>
      <c r="AA32" s="115">
        <f t="shared" si="30"/>
        <v>122.92248495474547</v>
      </c>
      <c r="AB32" s="116">
        <f t="shared" si="31"/>
        <v>30.831425179526544</v>
      </c>
      <c r="AC32" s="52">
        <f t="shared" si="32"/>
        <v>57.269625882591754</v>
      </c>
      <c r="AD32" s="115">
        <f t="shared" si="33"/>
        <v>122.73037411740825</v>
      </c>
      <c r="AE32" s="116">
        <f t="shared" si="34"/>
        <v>30.83131201031285</v>
      </c>
      <c r="AF32" s="100" t="s">
        <v>102</v>
      </c>
      <c r="AG32" s="101" cm="1">
        <f t="array" aca="1" ref="AG32" ca="1">_xlfn.IFS(AH32=W32,V32,AH32=AB32,AA32,AH32=AE32,AD32)</f>
        <v>122.92248495474547</v>
      </c>
      <c r="AH32" s="79">
        <f t="shared" ca="1" si="35"/>
        <v>30.831425179526544</v>
      </c>
      <c r="AI32" s="79">
        <f t="shared" ca="1" si="36"/>
        <v>372.92248495474547</v>
      </c>
      <c r="AJ32" s="80">
        <f t="shared" ca="1" si="37"/>
        <v>12.922484954745471</v>
      </c>
      <c r="AK32" s="80">
        <f t="shared" ca="1" si="38"/>
        <v>77.077515045254529</v>
      </c>
      <c r="AL32" s="52">
        <f t="shared" ca="1" si="39"/>
        <v>12.942490733439406</v>
      </c>
      <c r="AM32" s="52">
        <f t="shared" ca="1" si="40"/>
        <v>8.3800793796621615</v>
      </c>
      <c r="AN32" s="52">
        <f t="shared" ca="1" si="41"/>
        <v>0</v>
      </c>
      <c r="AO32" s="52">
        <f t="shared" ca="1" si="42"/>
        <v>0</v>
      </c>
      <c r="AP32" s="52">
        <f t="shared" ca="1" si="43"/>
        <v>122.92248495474547</v>
      </c>
      <c r="AQ32" s="81">
        <f t="shared" ca="1" si="44"/>
        <v>-8.3800793796621615</v>
      </c>
      <c r="AR32" s="82">
        <f t="shared" ca="1" si="45"/>
        <v>0</v>
      </c>
      <c r="AS32" s="82">
        <f t="shared" ca="1" si="46"/>
        <v>12.942490733439406</v>
      </c>
      <c r="AT32" s="82">
        <f t="shared" ca="1" si="47"/>
        <v>0</v>
      </c>
      <c r="AU32" s="52">
        <f t="shared" ca="1" si="48"/>
        <v>-8.3800793796621615</v>
      </c>
      <c r="AV32" s="52">
        <f t="shared" ca="1" si="49"/>
        <v>12.942490733439406</v>
      </c>
      <c r="AW32" s="52">
        <f t="shared" ca="1" si="50"/>
        <v>-57.077515045254536</v>
      </c>
      <c r="AX32" s="52">
        <f t="shared" ca="1" si="51"/>
        <v>57.077515045254536</v>
      </c>
      <c r="AY32" s="52">
        <f t="shared" ca="1" si="9"/>
        <v>0</v>
      </c>
      <c r="AZ32" s="71">
        <v>1</v>
      </c>
      <c r="BA32" s="117">
        <f>_xlfn.IFS(AZ32=1,Références!$B$80,AZ32=2,Références!$B$81,AZ32=3,Références!$B$82,AZ32=4,Références!$B$83,AZ32=5,Références!$B$84,AZ32=6,Références!$B$85,AZ32=7,Références!$B$86,AZ32=8,Références!$B$87,AZ32=9,Références!$B$88,AZ32=10,Références!$B$89,AZ32=11,Références!$B$90,AZ32=12,Références!$B$91)</f>
        <v>1</v>
      </c>
      <c r="BB32" s="117" t="s">
        <v>69</v>
      </c>
      <c r="BC32" s="118" cm="1">
        <f t="array" ref="BC32">_xlfn.IFS(BB32="Beam", -0.0000000868778*BA32^5-0.0000459619*BA32^4+0.00347366*BA32^3-0.0884721*BA32^2+0.510463*BA32+14.9932,BB32="Following",0.000652681*BA32^3-0.0356523*BA32^2+0.29714*BA32+15.2038,BB32="Head",-0.00000154449*BA32^5+0.0000797696*BA32^4+0.000148965*BA32^3-0.0570448*BA32^2+0.244115*BA32+15.0029)</f>
        <v>15.418618511222199</v>
      </c>
      <c r="BD32" s="106"/>
      <c r="BE32" s="100">
        <v>250</v>
      </c>
      <c r="BF32" s="119">
        <v>0</v>
      </c>
      <c r="BG32" s="52">
        <f t="shared" ca="1" si="52"/>
        <v>15.418618511222199</v>
      </c>
      <c r="BH32" s="52">
        <f t="shared" ca="1" si="53"/>
        <v>122.92248495474547</v>
      </c>
      <c r="BI32" s="82">
        <f t="shared" ca="1" si="54"/>
        <v>122.92248495474547</v>
      </c>
      <c r="BJ32" s="106"/>
      <c r="BK32" s="120">
        <f t="shared" ca="1" si="55"/>
        <v>119.97738379902081</v>
      </c>
      <c r="BL32" s="112">
        <f t="shared" si="56"/>
        <v>9</v>
      </c>
      <c r="BM32" s="121">
        <f t="shared" si="57"/>
        <v>0.375</v>
      </c>
      <c r="BN32" s="122">
        <f t="shared" ca="1" si="58"/>
        <v>8.3317627638208894E-2</v>
      </c>
      <c r="BO32" s="123">
        <f t="shared" ca="1" si="60"/>
        <v>44952.865924813661</v>
      </c>
      <c r="BP32" s="123">
        <f t="shared" ca="1" si="59"/>
        <v>44953.074258146997</v>
      </c>
      <c r="BS32" s="2"/>
      <c r="BT32" s="7"/>
    </row>
    <row r="33" spans="1:72" x14ac:dyDescent="0.25">
      <c r="A33" s="51">
        <v>22</v>
      </c>
      <c r="B33" s="92">
        <v>41</v>
      </c>
      <c r="C33" s="51">
        <v>31.039000000000001</v>
      </c>
      <c r="D33" s="93" t="s">
        <v>56</v>
      </c>
      <c r="E33" s="51">
        <v>140</v>
      </c>
      <c r="F33" s="51">
        <v>8.0459999999999994</v>
      </c>
      <c r="G33" s="94" t="s">
        <v>29</v>
      </c>
      <c r="H33" s="92">
        <f t="shared" si="13"/>
        <v>41.517316666666666</v>
      </c>
      <c r="I33" s="95">
        <f t="shared" si="14"/>
        <v>0.72461387242645048</v>
      </c>
      <c r="J33" s="95">
        <f t="shared" si="15"/>
        <v>-0.72461387242645048</v>
      </c>
      <c r="K33" s="51">
        <f t="shared" si="16"/>
        <v>140.13409999999999</v>
      </c>
      <c r="L33" s="95">
        <f t="shared" si="17"/>
        <v>2.4458014393189855</v>
      </c>
      <c r="M33" s="51">
        <f t="shared" si="18"/>
        <v>2727.4620807296924</v>
      </c>
      <c r="N33" s="96" cm="1">
        <f t="array" aca="1" ref="N33" ca="1">_xlfn.IFS(D33&lt;&gt;OFFSET(D33,1,),M33+OFFSET(M33,1,),OFFSET(M33,1,)-M33&lt;0,(OFFSET(M33,1,)-M33)*-1,OFFSET(M33,1,)-M33&gt;0,OFFSET(M33,1,)-M33)</f>
        <v>0.42710070647035536</v>
      </c>
      <c r="O33" s="51">
        <f t="shared" si="19"/>
        <v>0.3209999999998121</v>
      </c>
      <c r="P33" s="51">
        <f t="shared" si="20"/>
        <v>-0.3209999999998121</v>
      </c>
      <c r="Q33" s="51">
        <f t="shared" si="21"/>
        <v>22.331000000000071</v>
      </c>
      <c r="R33" s="51" cm="1">
        <f t="array" ref="R33">_xlfn.IFS(AND(G34="E",G34&lt;&gt;G33,L33+L34&gt;(RADIANS(180)),Q33&lt;0),Q33*-1,AND(G34="W",G34&lt;&gt;G33,L34+L33&gt;(RADIANS(180)),Q33&lt;0),Q33,AND(G34="E",G34&lt;&gt;G33,L34+L33&gt;(RADIANS(180)),Q33&gt;0),Q33,AND(G34="W",G34&lt;&gt;G33,L34+L33&gt;(RADIANS(180)),Q33&gt;0),Q33*-1,AND(G34="W",G34=G33,Q33&lt;0),Q33,AND(G34="W",G34=G33,Q33&gt;0),Q33,AND(G34="E",G34=G33,Q33&lt;0),Q33*-1,AND(G34="E",G34=G33,Q33&gt;0),Q33*-1,AND(G34="E",G34&lt;&gt;G33,Q33&gt;0),Q33*-1,AND(G34="E",G34&lt;&gt;G33,Q33&lt;0),Q33,AND(G34="W",G34&lt;&gt;G33,Q33&gt;0),Q33,AND(G34="W",G34&lt;&gt;G33,Q33&lt;0),Q33*-1)</f>
        <v>-22.331000000000071</v>
      </c>
      <c r="S33" s="97">
        <f t="shared" si="22"/>
        <v>0.3209999999998121</v>
      </c>
      <c r="T33" s="97">
        <f t="shared" si="23"/>
        <v>22.331000000000071</v>
      </c>
      <c r="U33" s="51">
        <f t="shared" ca="1" si="24"/>
        <v>88.90429964085925</v>
      </c>
      <c r="V33" s="98">
        <f t="shared" ca="1" si="25"/>
        <v>88.90429964085925</v>
      </c>
      <c r="W33" s="99">
        <f t="shared" ca="1" si="26"/>
        <v>16.786584162069371</v>
      </c>
      <c r="X33" s="51">
        <f t="shared" si="27"/>
        <v>41.51999166666667</v>
      </c>
      <c r="Y33" s="51">
        <f t="shared" si="28"/>
        <v>16.71976621876194</v>
      </c>
      <c r="Z33" s="51">
        <f t="shared" si="29"/>
        <v>88.900123018755949</v>
      </c>
      <c r="AA33" s="98">
        <f t="shared" si="30"/>
        <v>88.900123018755949</v>
      </c>
      <c r="AB33" s="99">
        <f t="shared" si="31"/>
        <v>16.722847347567669</v>
      </c>
      <c r="AC33" s="51">
        <f t="shared" si="32"/>
        <v>91.223230049786252</v>
      </c>
      <c r="AD33" s="98">
        <f t="shared" si="33"/>
        <v>88.776769950213748</v>
      </c>
      <c r="AE33" s="99">
        <f t="shared" si="34"/>
        <v>16.722834412698433</v>
      </c>
      <c r="AF33" s="100" t="s">
        <v>102</v>
      </c>
      <c r="AG33" s="101" cm="1">
        <f t="array" aca="1" ref="AG33" ca="1">_xlfn.IFS(AH33=W33,V33,AH33=AB33,AA33,AH33=AE33,AD33)</f>
        <v>88.900123018755949</v>
      </c>
      <c r="AH33" s="92">
        <f t="shared" ca="1" si="35"/>
        <v>16.722847347567669</v>
      </c>
      <c r="AI33" s="92">
        <f t="shared" ca="1" si="36"/>
        <v>338.90012301875595</v>
      </c>
      <c r="AJ33" s="102">
        <f t="shared" ca="1" si="37"/>
        <v>338.90012301875595</v>
      </c>
      <c r="AK33" s="102">
        <f t="shared" ca="1" si="38"/>
        <v>68.900123018755949</v>
      </c>
      <c r="AL33" s="51">
        <f t="shared" ca="1" si="39"/>
        <v>15.415777682226221</v>
      </c>
      <c r="AM33" s="51">
        <f t="shared" ca="1" si="40"/>
        <v>0.2959649418087239</v>
      </c>
      <c r="AN33" s="51">
        <f t="shared" ca="1" si="41"/>
        <v>0</v>
      </c>
      <c r="AO33" s="51">
        <f t="shared" ca="1" si="42"/>
        <v>0</v>
      </c>
      <c r="AP33" s="51">
        <f t="shared" ca="1" si="43"/>
        <v>88.900123018755949</v>
      </c>
      <c r="AQ33" s="5">
        <f t="shared" ca="1" si="44"/>
        <v>0.2959649418087239</v>
      </c>
      <c r="AR33" s="95">
        <f t="shared" ca="1" si="45"/>
        <v>0</v>
      </c>
      <c r="AS33" s="95">
        <f t="shared" ca="1" si="46"/>
        <v>15.415777682226221</v>
      </c>
      <c r="AT33" s="95">
        <f t="shared" ca="1" si="47"/>
        <v>0</v>
      </c>
      <c r="AU33" s="51">
        <f t="shared" ca="1" si="48"/>
        <v>0.2959649418087239</v>
      </c>
      <c r="AV33" s="51">
        <f t="shared" ca="1" si="49"/>
        <v>15.415777682226221</v>
      </c>
      <c r="AW33" s="51">
        <f t="shared" ca="1" si="50"/>
        <v>88.900123018756048</v>
      </c>
      <c r="AX33" s="51">
        <f t="shared" ca="1" si="51"/>
        <v>88.900123018756048</v>
      </c>
      <c r="AY33" s="51">
        <f t="shared" ca="1" si="9"/>
        <v>9.9475983006414026E-14</v>
      </c>
      <c r="AZ33" s="103">
        <v>1</v>
      </c>
      <c r="BA33" s="104">
        <f>_xlfn.IFS(AZ33=1,Références!$B$80,AZ33=2,Références!$B$81,AZ33=3,Références!$B$82,AZ33=4,Références!$B$83,AZ33=5,Références!$B$84,AZ33=6,Références!$B$85,AZ33=7,Références!$B$86,AZ33=8,Références!$B$87,AZ33=9,Références!$B$88,AZ33=10,Références!$B$89,AZ33=11,Références!$B$90,AZ33=12,Références!$B$91)</f>
        <v>1</v>
      </c>
      <c r="BB33" s="104" t="s">
        <v>69</v>
      </c>
      <c r="BC33" s="105" cm="1">
        <f t="array" ref="BC33">_xlfn.IFS(BB33="Beam", -0.0000000868778*BA33^5-0.0000459619*BA33^4+0.00347366*BA33^3-0.0884721*BA33^2+0.510463*BA33+14.9932,BB33="Following",0.000652681*BA33^3-0.0356523*BA33^2+0.29714*BA33+15.2038,BB33="Head",-0.00000154449*BA33^5+0.0000797696*BA33^4+0.000148965*BA33^3-0.0570448*BA33^2+0.244115*BA33+15.0029)</f>
        <v>15.418618511222199</v>
      </c>
      <c r="BD33" s="106"/>
      <c r="BE33" s="100">
        <v>250</v>
      </c>
      <c r="BF33" s="107">
        <v>0</v>
      </c>
      <c r="BG33" s="51">
        <f t="shared" ca="1" si="52"/>
        <v>15.418618511222199</v>
      </c>
      <c r="BH33" s="51">
        <f t="shared" ca="1" si="53"/>
        <v>88.900123018756048</v>
      </c>
      <c r="BI33" s="82">
        <f t="shared" ca="1" si="54"/>
        <v>88.900123018755849</v>
      </c>
      <c r="BJ33" s="106"/>
      <c r="BK33" s="108">
        <f t="shared" ca="1" si="55"/>
        <v>65.075275072392017</v>
      </c>
      <c r="BL33" s="93">
        <f t="shared" si="56"/>
        <v>9</v>
      </c>
      <c r="BM33" s="109">
        <f t="shared" si="57"/>
        <v>0.375</v>
      </c>
      <c r="BN33" s="110">
        <f t="shared" ca="1" si="58"/>
        <v>4.5191163244716677E-2</v>
      </c>
      <c r="BO33" s="124">
        <f t="shared" ca="1" si="60"/>
        <v>44952.949242441297</v>
      </c>
      <c r="BP33" s="124">
        <f t="shared" ca="1" si="59"/>
        <v>44953.157575774632</v>
      </c>
      <c r="BS33" s="2"/>
      <c r="BT33" s="7"/>
    </row>
    <row r="34" spans="1:72" x14ac:dyDescent="0.25">
      <c r="A34" s="52">
        <v>23</v>
      </c>
      <c r="B34" s="79">
        <v>41</v>
      </c>
      <c r="C34" s="52">
        <v>31.36</v>
      </c>
      <c r="D34" s="112" t="s">
        <v>56</v>
      </c>
      <c r="E34" s="52">
        <v>140</v>
      </c>
      <c r="F34" s="52">
        <v>30.376999999999999</v>
      </c>
      <c r="G34" s="112" t="s">
        <v>29</v>
      </c>
      <c r="H34" s="79">
        <f t="shared" si="13"/>
        <v>41.522666666666666</v>
      </c>
      <c r="I34" s="82">
        <f t="shared" si="14"/>
        <v>0.72470724754143212</v>
      </c>
      <c r="J34" s="82">
        <f t="shared" si="15"/>
        <v>-0.72470724754143212</v>
      </c>
      <c r="K34" s="52">
        <f t="shared" si="16"/>
        <v>140.50628333333333</v>
      </c>
      <c r="L34" s="82">
        <f t="shared" si="17"/>
        <v>2.4522972639066998</v>
      </c>
      <c r="M34" s="52">
        <f t="shared" si="18"/>
        <v>2727.8891814361627</v>
      </c>
      <c r="N34" s="113" cm="1">
        <f t="array" aca="1" ref="N34" ca="1">_xlfn.IFS(D34&lt;&gt;OFFSET(D34,1,),M34+OFFSET(M34,1,),OFFSET(M34,1,)-M34&lt;0,(OFFSET(M34,1,)-M34)*-1,OFFSET(M34,1,)-M34&gt;0,OFFSET(M34,1,)-M34)</f>
        <v>11.94275022255124</v>
      </c>
      <c r="O34" s="52">
        <f t="shared" si="19"/>
        <v>-8.9859999999999349</v>
      </c>
      <c r="P34" s="52">
        <f t="shared" si="20"/>
        <v>8.9859999999999349</v>
      </c>
      <c r="Q34" s="52">
        <f t="shared" si="21"/>
        <v>22.836000000001999</v>
      </c>
      <c r="R34" s="52" cm="1">
        <f t="array" ref="R34">_xlfn.IFS(AND(G35="E",G35&lt;&gt;G34,L34+L35&gt;(RADIANS(180)),Q34&lt;0),Q34*-1,AND(G35="W",G35&lt;&gt;G34,L35+L34&gt;(RADIANS(180)),Q34&lt;0),Q34,AND(G35="E",G35&lt;&gt;G34,L35+L34&gt;(RADIANS(180)),Q34&gt;0),Q34,AND(G35="W",G35&lt;&gt;G34,L35+L34&gt;(RADIANS(180)),Q34&gt;0),Q34*-1,AND(G35="W",G35=G34,Q34&lt;0),Q34,AND(G35="W",G35=G34,Q34&gt;0),Q34,AND(G35="E",G35=G34,Q34&lt;0),Q34*-1,AND(G35="E",G35=G34,Q34&gt;0),Q34*-1,AND(G35="E",G35&lt;&gt;G34,Q34&gt;0),Q34*-1,AND(G35="E",G35&lt;&gt;G34,Q34&lt;0),Q34,AND(G35="W",G35&lt;&gt;G34,Q34&gt;0),Q34,AND(G35="W",G35&lt;&gt;G34,Q34&lt;0),Q34*-1)</f>
        <v>-22.836000000001999</v>
      </c>
      <c r="S34" s="114">
        <f t="shared" si="22"/>
        <v>8.9859999999999349</v>
      </c>
      <c r="T34" s="114">
        <f t="shared" si="23"/>
        <v>22.836000000001999</v>
      </c>
      <c r="U34" s="52">
        <f t="shared" ca="1" si="24"/>
        <v>62.391374108628398</v>
      </c>
      <c r="V34" s="115">
        <f t="shared" ca="1" si="25"/>
        <v>117.6086258913716</v>
      </c>
      <c r="W34" s="116">
        <f t="shared" ca="1" si="26"/>
        <v>19.390222263138586</v>
      </c>
      <c r="X34" s="52">
        <f t="shared" si="27"/>
        <v>41.447783333333334</v>
      </c>
      <c r="Y34" s="52">
        <f t="shared" si="28"/>
        <v>17.116935952971193</v>
      </c>
      <c r="Z34" s="52">
        <f t="shared" si="29"/>
        <v>62.301554193487931</v>
      </c>
      <c r="AA34" s="115">
        <f t="shared" si="30"/>
        <v>117.69844580651207</v>
      </c>
      <c r="AB34" s="116">
        <f t="shared" si="31"/>
        <v>19.332296615201116</v>
      </c>
      <c r="AC34" s="52">
        <f t="shared" si="32"/>
        <v>62.427614633632331</v>
      </c>
      <c r="AD34" s="115">
        <f t="shared" si="33"/>
        <v>117.57238536636767</v>
      </c>
      <c r="AE34" s="116">
        <f t="shared" si="34"/>
        <v>19.332269996928794</v>
      </c>
      <c r="AF34" s="100" t="s">
        <v>102</v>
      </c>
      <c r="AG34" s="101" cm="1">
        <f t="array" aca="1" ref="AG34" ca="1">_xlfn.IFS(AH34=W34,V34,AH34=AB34,AA34,AH34=AE34,AD34)</f>
        <v>117.69844580651207</v>
      </c>
      <c r="AH34" s="79">
        <f t="shared" ca="1" si="35"/>
        <v>19.332296615201116</v>
      </c>
      <c r="AI34" s="79">
        <f t="shared" ca="1" si="36"/>
        <v>367.69844580651204</v>
      </c>
      <c r="AJ34" s="80">
        <f t="shared" ca="1" si="37"/>
        <v>7.6984458065120407</v>
      </c>
      <c r="AK34" s="80">
        <f t="shared" ca="1" si="38"/>
        <v>82.301554193487959</v>
      </c>
      <c r="AL34" s="52">
        <f t="shared" ca="1" si="39"/>
        <v>13.651740959341824</v>
      </c>
      <c r="AM34" s="52">
        <f t="shared" ca="1" si="40"/>
        <v>7.1668518593335433</v>
      </c>
      <c r="AN34" s="52">
        <f t="shared" ca="1" si="41"/>
        <v>0</v>
      </c>
      <c r="AO34" s="52">
        <f t="shared" ca="1" si="42"/>
        <v>0</v>
      </c>
      <c r="AP34" s="52">
        <f t="shared" ca="1" si="43"/>
        <v>117.69844580651207</v>
      </c>
      <c r="AQ34" s="81">
        <f t="shared" ca="1" si="44"/>
        <v>-7.1668518593335433</v>
      </c>
      <c r="AR34" s="82">
        <f t="shared" ca="1" si="45"/>
        <v>0</v>
      </c>
      <c r="AS34" s="82">
        <f t="shared" ca="1" si="46"/>
        <v>13.651740959341824</v>
      </c>
      <c r="AT34" s="82">
        <f t="shared" ca="1" si="47"/>
        <v>0</v>
      </c>
      <c r="AU34" s="52">
        <f t="shared" ca="1" si="48"/>
        <v>-7.1668518593335433</v>
      </c>
      <c r="AV34" s="52">
        <f t="shared" ca="1" si="49"/>
        <v>13.651740959341824</v>
      </c>
      <c r="AW34" s="52">
        <f t="shared" ca="1" si="50"/>
        <v>-62.301554193487931</v>
      </c>
      <c r="AX34" s="52">
        <f t="shared" ca="1" si="51"/>
        <v>62.301554193487931</v>
      </c>
      <c r="AY34" s="52">
        <f t="shared" ca="1" si="9"/>
        <v>0</v>
      </c>
      <c r="AZ34" s="71">
        <v>1</v>
      </c>
      <c r="BA34" s="117">
        <f>_xlfn.IFS(AZ34=1,Références!$B$80,AZ34=2,Références!$B$81,AZ34=3,Références!$B$82,AZ34=4,Références!$B$83,AZ34=5,Références!$B$84,AZ34=6,Références!$B$85,AZ34=7,Références!$B$86,AZ34=8,Références!$B$87,AZ34=9,Références!$B$88,AZ34=10,Références!$B$89,AZ34=11,Références!$B$90,AZ34=12,Références!$B$91)</f>
        <v>1</v>
      </c>
      <c r="BB34" s="117" t="s">
        <v>69</v>
      </c>
      <c r="BC34" s="118" cm="1">
        <f t="array" ref="BC34">_xlfn.IFS(BB34="Beam", -0.0000000868778*BA34^5-0.0000459619*BA34^4+0.00347366*BA34^3-0.0884721*BA34^2+0.510463*BA34+14.9932,BB34="Following",0.000652681*BA34^3-0.0356523*BA34^2+0.29714*BA34+15.2038,BB34="Head",-0.00000154449*BA34^5+0.0000797696*BA34^4+0.000148965*BA34^3-0.0570448*BA34^2+0.244115*BA34+15.0029)</f>
        <v>15.418618511222199</v>
      </c>
      <c r="BD34" s="106"/>
      <c r="BE34" s="100">
        <v>250</v>
      </c>
      <c r="BF34" s="119">
        <v>0</v>
      </c>
      <c r="BG34" s="52">
        <f t="shared" ca="1" si="52"/>
        <v>15.418618511222199</v>
      </c>
      <c r="BH34" s="52">
        <f t="shared" ca="1" si="53"/>
        <v>117.69844580651207</v>
      </c>
      <c r="BI34" s="82">
        <f t="shared" ca="1" si="54"/>
        <v>117.69844580651207</v>
      </c>
      <c r="BJ34" s="106"/>
      <c r="BK34" s="120">
        <f t="shared" ca="1" si="55"/>
        <v>75.229683908958805</v>
      </c>
      <c r="BL34" s="112">
        <f t="shared" si="56"/>
        <v>9</v>
      </c>
      <c r="BM34" s="121">
        <f t="shared" si="57"/>
        <v>0.375</v>
      </c>
      <c r="BN34" s="122">
        <f t="shared" ca="1" si="58"/>
        <v>5.2242836047888055E-2</v>
      </c>
      <c r="BO34" s="123">
        <f t="shared" ca="1" si="60"/>
        <v>44952.994433604545</v>
      </c>
      <c r="BP34" s="123">
        <f t="shared" ca="1" si="59"/>
        <v>44953.20276693788</v>
      </c>
      <c r="BS34" s="2"/>
      <c r="BT34" s="7"/>
    </row>
    <row r="35" spans="1:72" x14ac:dyDescent="0.25">
      <c r="A35" s="51">
        <v>24</v>
      </c>
      <c r="B35" s="92">
        <v>41</v>
      </c>
      <c r="C35" s="51">
        <v>22.373999999999999</v>
      </c>
      <c r="D35" s="93" t="s">
        <v>56</v>
      </c>
      <c r="E35" s="51">
        <v>140</v>
      </c>
      <c r="F35" s="51">
        <v>53.213000000000001</v>
      </c>
      <c r="G35" s="94" t="s">
        <v>29</v>
      </c>
      <c r="H35" s="92">
        <f t="shared" si="13"/>
        <v>41.372900000000001</v>
      </c>
      <c r="I35" s="95">
        <f t="shared" si="14"/>
        <v>0.72209332609836197</v>
      </c>
      <c r="J35" s="95">
        <f t="shared" si="15"/>
        <v>-0.72209332609836197</v>
      </c>
      <c r="K35" s="51">
        <f t="shared" si="16"/>
        <v>140.88688333333334</v>
      </c>
      <c r="L35" s="95">
        <f t="shared" si="17"/>
        <v>2.4589399870397908</v>
      </c>
      <c r="M35" s="51">
        <f t="shared" si="18"/>
        <v>2715.9464312136115</v>
      </c>
      <c r="N35" s="96" cm="1">
        <f t="array" aca="1" ref="N35" ca="1">_xlfn.IFS(D35&lt;&gt;OFFSET(D35,1,),M35+OFFSET(M35,1,),OFFSET(M35,1,)-M35&lt;0,(OFFSET(M35,1,)-M35)*-1,OFFSET(M35,1,)-M35&gt;0,OFFSET(M35,1,)-M35)</f>
        <v>13.339964626726669</v>
      </c>
      <c r="O35" s="51">
        <f t="shared" si="19"/>
        <v>-10.062000000000259</v>
      </c>
      <c r="P35" s="51">
        <f t="shared" si="20"/>
        <v>10.062000000000259</v>
      </c>
      <c r="Q35" s="51">
        <f t="shared" si="21"/>
        <v>22.697999999999841</v>
      </c>
      <c r="R35" s="51" cm="1">
        <f t="array" ref="R35">_xlfn.IFS(AND(G36="E",G36&lt;&gt;G35,L35+L36&gt;(RADIANS(180)),Q35&lt;0),Q35*-1,AND(G36="W",G36&lt;&gt;G35,L36+L35&gt;(RADIANS(180)),Q35&lt;0),Q35,AND(G36="E",G36&lt;&gt;G35,L36+L35&gt;(RADIANS(180)),Q35&gt;0),Q35,AND(G36="W",G36&lt;&gt;G35,L36+L35&gt;(RADIANS(180)),Q35&gt;0),Q35*-1,AND(G36="W",G36=G35,Q35&lt;0),Q35,AND(G36="W",G36=G35,Q35&gt;0),Q35,AND(G36="E",G36=G35,Q35&lt;0),Q35*-1,AND(G36="E",G36=G35,Q35&gt;0),Q35*-1,AND(G36="E",G36&lt;&gt;G35,Q35&gt;0),Q35*-1,AND(G36="E",G36&lt;&gt;G35,Q35&lt;0),Q35,AND(G36="W",G36&lt;&gt;G35,Q35&gt;0),Q35,AND(G36="W",G36&lt;&gt;G35,Q35&lt;0),Q35*-1)</f>
        <v>-22.697999999999841</v>
      </c>
      <c r="S35" s="97">
        <f t="shared" si="22"/>
        <v>10.062000000000259</v>
      </c>
      <c r="T35" s="97">
        <f t="shared" si="23"/>
        <v>22.697999999999841</v>
      </c>
      <c r="U35" s="51">
        <f t="shared" ca="1" si="24"/>
        <v>59.556589435048174</v>
      </c>
      <c r="V35" s="98">
        <f t="shared" ca="1" si="25"/>
        <v>120.44341056495182</v>
      </c>
      <c r="W35" s="99">
        <f t="shared" ca="1" si="26"/>
        <v>19.858409321142819</v>
      </c>
      <c r="X35" s="51">
        <f t="shared" si="27"/>
        <v>41.289050000000003</v>
      </c>
      <c r="Y35" s="51">
        <f t="shared" si="28"/>
        <v>17.05505600905266</v>
      </c>
      <c r="Z35" s="51">
        <f t="shared" si="29"/>
        <v>59.460598912387759</v>
      </c>
      <c r="AA35" s="98">
        <f t="shared" si="30"/>
        <v>120.53940108761225</v>
      </c>
      <c r="AB35" s="99">
        <f t="shared" si="31"/>
        <v>19.801989280674011</v>
      </c>
      <c r="AC35" s="51">
        <f t="shared" si="32"/>
        <v>59.585511502192553</v>
      </c>
      <c r="AD35" s="98">
        <f t="shared" si="33"/>
        <v>120.41448849780744</v>
      </c>
      <c r="AE35" s="99">
        <f t="shared" si="34"/>
        <v>19.801960288682821</v>
      </c>
      <c r="AF35" s="100" t="s">
        <v>102</v>
      </c>
      <c r="AG35" s="101" cm="1">
        <f t="array" aca="1" ref="AG35" ca="1">_xlfn.IFS(AH35=W35,V35,AH35=AB35,AA35,AH35=AE35,AD35)</f>
        <v>120.53940108761225</v>
      </c>
      <c r="AH35" s="92">
        <f t="shared" ca="1" si="35"/>
        <v>19.801989280674011</v>
      </c>
      <c r="AI35" s="92">
        <f t="shared" ca="1" si="36"/>
        <v>370.53940108761225</v>
      </c>
      <c r="AJ35" s="102">
        <f t="shared" ca="1" si="37"/>
        <v>10.539401087612248</v>
      </c>
      <c r="AK35" s="102">
        <f t="shared" ca="1" si="38"/>
        <v>79.460598912387752</v>
      </c>
      <c r="AL35" s="51">
        <f t="shared" ca="1" si="39"/>
        <v>13.279746724626044</v>
      </c>
      <c r="AM35" s="51">
        <f t="shared" ca="1" si="40"/>
        <v>7.8346744491642868</v>
      </c>
      <c r="AN35" s="51">
        <f t="shared" ca="1" si="41"/>
        <v>0</v>
      </c>
      <c r="AO35" s="51">
        <f t="shared" ca="1" si="42"/>
        <v>0</v>
      </c>
      <c r="AP35" s="51">
        <f t="shared" ca="1" si="43"/>
        <v>120.53940108761225</v>
      </c>
      <c r="AQ35" s="5">
        <f t="shared" ca="1" si="44"/>
        <v>-7.8346744491642868</v>
      </c>
      <c r="AR35" s="95">
        <f t="shared" ca="1" si="45"/>
        <v>0</v>
      </c>
      <c r="AS35" s="95">
        <f t="shared" ca="1" si="46"/>
        <v>13.279746724626044</v>
      </c>
      <c r="AT35" s="95">
        <f t="shared" ca="1" si="47"/>
        <v>0</v>
      </c>
      <c r="AU35" s="51">
        <f t="shared" ca="1" si="48"/>
        <v>-7.8346744491642868</v>
      </c>
      <c r="AV35" s="51">
        <f t="shared" ca="1" si="49"/>
        <v>13.279746724626044</v>
      </c>
      <c r="AW35" s="51">
        <f t="shared" ca="1" si="50"/>
        <v>-59.460598912387759</v>
      </c>
      <c r="AX35" s="51">
        <f t="shared" ca="1" si="51"/>
        <v>59.460598912387759</v>
      </c>
      <c r="AY35" s="51">
        <f t="shared" ca="1" si="9"/>
        <v>0</v>
      </c>
      <c r="AZ35" s="103">
        <v>1</v>
      </c>
      <c r="BA35" s="104">
        <f>_xlfn.IFS(AZ35=1,Références!$B$80,AZ35=2,Références!$B$81,AZ35=3,Références!$B$82,AZ35=4,Références!$B$83,AZ35=5,Références!$B$84,AZ35=6,Références!$B$85,AZ35=7,Références!$B$86,AZ35=8,Références!$B$87,AZ35=9,Références!$B$88,AZ35=10,Références!$B$89,AZ35=11,Références!$B$90,AZ35=12,Références!$B$91)</f>
        <v>1</v>
      </c>
      <c r="BB35" s="104" t="s">
        <v>69</v>
      </c>
      <c r="BC35" s="105" cm="1">
        <f t="array" ref="BC35">_xlfn.IFS(BB35="Beam", -0.0000000868778*BA35^5-0.0000459619*BA35^4+0.00347366*BA35^3-0.0884721*BA35^2+0.510463*BA35+14.9932,BB35="Following",0.000652681*BA35^3-0.0356523*BA35^2+0.29714*BA35+15.2038,BB35="Head",-0.00000154449*BA35^5+0.0000797696*BA35^4+0.000148965*BA35^3-0.0570448*BA35^2+0.244115*BA35+15.0029)</f>
        <v>15.418618511222199</v>
      </c>
      <c r="BD35" s="106"/>
      <c r="BE35" s="100">
        <v>250</v>
      </c>
      <c r="BF35" s="107">
        <v>0</v>
      </c>
      <c r="BG35" s="51">
        <f t="shared" ca="1" si="52"/>
        <v>15.418618511222199</v>
      </c>
      <c r="BH35" s="51">
        <f t="shared" ca="1" si="53"/>
        <v>120.53940108761225</v>
      </c>
      <c r="BI35" s="82">
        <f t="shared" ca="1" si="54"/>
        <v>120.53940108761225</v>
      </c>
      <c r="BJ35" s="106"/>
      <c r="BK35" s="108">
        <f t="shared" ca="1" si="55"/>
        <v>77.057445579556088</v>
      </c>
      <c r="BL35" s="93">
        <f t="shared" si="56"/>
        <v>9</v>
      </c>
      <c r="BM35" s="109">
        <f t="shared" si="57"/>
        <v>0.375</v>
      </c>
      <c r="BN35" s="110">
        <f t="shared" ca="1" si="58"/>
        <v>5.3512114985802842E-2</v>
      </c>
      <c r="BO35" s="124">
        <f t="shared" ca="1" si="60"/>
        <v>44953.046676440594</v>
      </c>
      <c r="BP35" s="124">
        <f t="shared" ca="1" si="59"/>
        <v>44953.255009773929</v>
      </c>
      <c r="BS35" s="2"/>
      <c r="BT35" s="7"/>
    </row>
    <row r="36" spans="1:72" ht="15.75" thickBot="1" x14ac:dyDescent="0.3">
      <c r="A36" s="128">
        <v>25</v>
      </c>
      <c r="B36" s="129">
        <v>41</v>
      </c>
      <c r="C36" s="130">
        <v>12.311999999999999</v>
      </c>
      <c r="D36" s="131" t="s">
        <v>56</v>
      </c>
      <c r="E36" s="130">
        <v>141</v>
      </c>
      <c r="F36" s="130">
        <v>15.911</v>
      </c>
      <c r="G36" s="131" t="s">
        <v>29</v>
      </c>
      <c r="H36" s="132">
        <f t="shared" si="13"/>
        <v>41.205199999999998</v>
      </c>
      <c r="I36" s="133">
        <f t="shared" si="14"/>
        <v>0.7191664089427674</v>
      </c>
      <c r="J36" s="133">
        <f t="shared" si="15"/>
        <v>-0.7191664089427674</v>
      </c>
      <c r="K36" s="128">
        <f t="shared" si="16"/>
        <v>141.26518333333334</v>
      </c>
      <c r="L36" s="133">
        <f t="shared" si="17"/>
        <v>2.4655425676000853</v>
      </c>
      <c r="M36" s="128">
        <f t="shared" si="18"/>
        <v>2702.6064665868848</v>
      </c>
      <c r="N36" s="134" cm="1">
        <f t="array" aca="1" ref="N36" ca="1">_xlfn.IFS(D36&lt;&gt;OFFSET(D36,1,),M36+OFFSET(M36,1,),OFFSET(M36,1,)-M36&lt;0,(OFFSET(M36,1,)-M36)*-1,OFFSET(M36,1,)-M36&gt;0,OFFSET(M36,1,)-M36)</f>
        <v>2702.6064665868848</v>
      </c>
      <c r="O36" s="128">
        <f t="shared" si="19"/>
        <v>2472.3119999999999</v>
      </c>
      <c r="P36" s="128" t="e">
        <f t="shared" si="20"/>
        <v>#N/A</v>
      </c>
      <c r="Q36" s="128">
        <f t="shared" si="21"/>
        <v>8475.9110000000001</v>
      </c>
      <c r="R36" s="128" t="e" cm="1">
        <f t="array" ref="R36">_xlfn.IFS(AND(G37="E",G37&lt;&gt;G36,L36+L37&gt;(RADIANS(180)),Q36&lt;0),Q36*-1,AND(G37="W",G37&lt;&gt;G36,L37+L36&gt;(RADIANS(180)),Q36&lt;0),Q36,AND(G37="E",G37&lt;&gt;G36,L37+L36&gt;(RADIANS(180)),Q36&gt;0),Q36,AND(G37="W",G37&lt;&gt;G36,L37+L36&gt;(RADIANS(180)),Q36&gt;0),Q36*-1,AND(G37="W",G37=G36,Q36&lt;0),Q36,AND(G37="W",G37=G36,Q36&gt;0),Q36,AND(G37="E",G37=G36,Q36&lt;0),Q36*-1,AND(G37="E",G37=G36,Q36&gt;0),Q36*-1,AND(G37="E",G37&lt;&gt;G36,Q36&gt;0),Q36*-1,AND(G37="E",G37&lt;&gt;G36,Q36&lt;0),Q36,AND(G37="W",G37&lt;&gt;G36,Q36&gt;0),Q36,AND(G37="W",G37&lt;&gt;G36,Q36&lt;0),Q36*-1)</f>
        <v>#N/A</v>
      </c>
      <c r="S36" s="135">
        <f t="shared" si="22"/>
        <v>2472.3119999999999</v>
      </c>
      <c r="T36" s="135">
        <f t="shared" si="23"/>
        <v>8475.9110000000001</v>
      </c>
      <c r="U36" s="128">
        <f t="shared" ca="1" si="24"/>
        <v>72.314736107619041</v>
      </c>
      <c r="V36" s="136" t="e">
        <f t="shared" ca="1" si="25"/>
        <v>#N/A</v>
      </c>
      <c r="W36" s="137">
        <f t="shared" ca="1" si="26"/>
        <v>8138.2797740460428</v>
      </c>
      <c r="X36" s="128">
        <f t="shared" si="27"/>
        <v>41.205199999999998</v>
      </c>
      <c r="Y36" s="128">
        <f t="shared" si="28"/>
        <v>6376.8950802154386</v>
      </c>
      <c r="Z36" s="128">
        <f t="shared" si="29"/>
        <v>68.808767888594531</v>
      </c>
      <c r="AA36" s="136" t="e">
        <f t="shared" si="30"/>
        <v>#N/A</v>
      </c>
      <c r="AB36" s="137">
        <f t="shared" si="31"/>
        <v>6839.3799053291286</v>
      </c>
      <c r="AC36" s="128">
        <f t="shared" si="32"/>
        <v>129.39423841918145</v>
      </c>
      <c r="AD36" s="136" t="e">
        <f t="shared" si="33"/>
        <v>#N/A</v>
      </c>
      <c r="AE36" s="137">
        <f t="shared" si="34"/>
        <v>7556.1330584711432</v>
      </c>
      <c r="AF36" s="138" t="s">
        <v>102</v>
      </c>
      <c r="AG36" s="139" t="e" cm="1">
        <f t="array" aca="1" ref="AG36" ca="1">_xlfn.IFS(AH36=W36,V36,AH36=AB36,AA36,AH36=AE36,AD36)</f>
        <v>#N/A</v>
      </c>
      <c r="AH36" s="129">
        <f t="shared" ca="1" si="35"/>
        <v>8138.2797740460428</v>
      </c>
      <c r="AI36" s="132" t="e">
        <f t="shared" ca="1" si="36"/>
        <v>#N/A</v>
      </c>
      <c r="AJ36" s="140" t="e">
        <f t="shared" ca="1" si="37"/>
        <v>#N/A</v>
      </c>
      <c r="AK36" s="140" t="e">
        <f t="shared" ca="1" si="38"/>
        <v>#N/A</v>
      </c>
      <c r="AL36" s="128">
        <f t="shared" ca="1" si="39"/>
        <v>14.689929128324126</v>
      </c>
      <c r="AM36" s="128">
        <f t="shared" ca="1" si="40"/>
        <v>4.6839917804601541</v>
      </c>
      <c r="AN36" s="128" t="e">
        <f t="shared" ca="1" si="41"/>
        <v>#N/A</v>
      </c>
      <c r="AO36" s="128" t="e">
        <f t="shared" ca="1" si="42"/>
        <v>#N/A</v>
      </c>
      <c r="AP36" s="128" t="e">
        <f t="shared" ca="1" si="43"/>
        <v>#N/A</v>
      </c>
      <c r="AQ36" s="141" t="e">
        <f t="shared" ca="1" si="44"/>
        <v>#N/A</v>
      </c>
      <c r="AR36" s="133" t="e">
        <f t="shared" ca="1" si="45"/>
        <v>#N/A</v>
      </c>
      <c r="AS36" s="133" t="e">
        <f t="shared" ca="1" si="46"/>
        <v>#N/A</v>
      </c>
      <c r="AT36" s="133" t="e">
        <f t="shared" ca="1" si="47"/>
        <v>#N/A</v>
      </c>
      <c r="AU36" s="128" t="e">
        <f t="shared" ca="1" si="48"/>
        <v>#N/A</v>
      </c>
      <c r="AV36" s="128" t="e">
        <f t="shared" ca="1" si="49"/>
        <v>#N/A</v>
      </c>
      <c r="AW36" s="128" t="e">
        <f t="shared" ca="1" si="50"/>
        <v>#N/A</v>
      </c>
      <c r="AX36" s="128" t="e">
        <f t="shared" ca="1" si="51"/>
        <v>#N/A</v>
      </c>
      <c r="AY36" s="128" t="e">
        <f t="shared" ca="1" si="9"/>
        <v>#N/A</v>
      </c>
      <c r="AZ36" s="142">
        <v>1</v>
      </c>
      <c r="BA36" s="143">
        <f>_xlfn.IFS(AZ36=1,Références!$B$80,AZ36=2,Références!$B$81,AZ36=3,Références!$B$82,AZ36=4,Références!$B$83,AZ36=5,Références!$B$84,AZ36=6,Références!$B$85,AZ36=7,Références!$B$86,AZ36=8,Références!$B$87,AZ36=9,Références!$B$88,AZ36=10,Références!$B$89,AZ36=11,Références!$B$90,AZ36=12,Références!$B$91)</f>
        <v>1</v>
      </c>
      <c r="BB36" s="143" t="s">
        <v>69</v>
      </c>
      <c r="BC36" s="144" cm="1">
        <f t="array" ref="BC36">_xlfn.IFS(BB36="Beam", -0.0000000868778*BA36^5-0.0000459619*BA36^4+0.00347366*BA36^3-0.0884721*BA36^2+0.510463*BA36+14.9932,BB36="Following",0.000652681*BA36^3-0.0356523*BA36^2+0.29714*BA36+15.2038,BB36="Head",-0.00000154449*BA36^5+0.0000797696*BA36^4+0.000148965*BA36^3-0.0570448*BA36^2+0.244115*BA36+15.0029)</f>
        <v>15.418618511222199</v>
      </c>
      <c r="BD36" s="145"/>
      <c r="BE36" s="138">
        <v>250</v>
      </c>
      <c r="BF36" s="146">
        <v>0</v>
      </c>
      <c r="BG36" s="130" t="e">
        <f t="shared" ca="1" si="52"/>
        <v>#N/A</v>
      </c>
      <c r="BH36" s="130" t="e">
        <f t="shared" ca="1" si="53"/>
        <v>#N/A</v>
      </c>
      <c r="BI36" s="147" t="e">
        <f t="shared" ca="1" si="54"/>
        <v>#N/A</v>
      </c>
      <c r="BJ36" s="145"/>
      <c r="BK36" s="148" t="e">
        <f t="shared" ca="1" si="55"/>
        <v>#N/A</v>
      </c>
      <c r="BL36" s="149">
        <f t="shared" si="56"/>
        <v>9</v>
      </c>
      <c r="BM36" s="150">
        <f t="shared" si="57"/>
        <v>0.375</v>
      </c>
      <c r="BN36" s="151" t="e">
        <f t="shared" ca="1" si="58"/>
        <v>#N/A</v>
      </c>
      <c r="BO36" s="152">
        <f ca="1">BO35+BN35</f>
        <v>44953.100188555582</v>
      </c>
      <c r="BP36" s="152">
        <f t="shared" ca="1" si="59"/>
        <v>44953.308521888917</v>
      </c>
    </row>
    <row r="37" spans="1:72" ht="15.75" thickBot="1" x14ac:dyDescent="0.3">
      <c r="BQ37" s="14"/>
      <c r="BR37" s="14"/>
      <c r="BS37" s="14"/>
    </row>
    <row r="38" spans="1:72" ht="15.75" thickBot="1" x14ac:dyDescent="0.3">
      <c r="BK38" s="10"/>
      <c r="BM38" s="15" t="s">
        <v>131</v>
      </c>
      <c r="BO38" s="14"/>
      <c r="BP38" s="14"/>
    </row>
    <row r="39" spans="1:72" ht="15.75" thickBot="1" x14ac:dyDescent="0.3">
      <c r="C39" s="38" t="s">
        <v>76</v>
      </c>
      <c r="D39" s="39"/>
      <c r="E39" s="39"/>
      <c r="F39" s="40"/>
      <c r="O39" s="1"/>
      <c r="P39" s="1"/>
      <c r="AG39" s="16" t="s">
        <v>62</v>
      </c>
      <c r="AH39" s="28">
        <f ca="1">SUM(AH4:AH35)</f>
        <v>9239.9615111044877</v>
      </c>
      <c r="BN39" s="17">
        <f ca="1">SUM(BN4:BN35)</f>
        <v>25.668244111132378</v>
      </c>
    </row>
    <row r="40" spans="1:72" x14ac:dyDescent="0.25">
      <c r="C40" s="21" t="s">
        <v>66</v>
      </c>
      <c r="D40" s="22" t="s">
        <v>74</v>
      </c>
      <c r="E40" s="22" t="s">
        <v>67</v>
      </c>
      <c r="F40" s="23" t="s">
        <v>75</v>
      </c>
    </row>
    <row r="41" spans="1:72" ht="15.75" thickBot="1" x14ac:dyDescent="0.3">
      <c r="C41" s="34">
        <v>5</v>
      </c>
      <c r="D41" s="35">
        <f>_xlfn.IFS(C41=1,Références!B80,C41=2,Références!B81,C41=3,Références!B82,C41=4,Références!B83,C41=5,Références!B84,C41=6,Références!B85,C41=7,Références!B86,C41=8,Références!B87,C41=9,Références!B88,C41=10,Références!B89,C41=11,Références!B90,C41=12,Références!B91)</f>
        <v>9</v>
      </c>
      <c r="E41" s="25" t="s">
        <v>69</v>
      </c>
      <c r="F41" s="36" cm="1">
        <f t="array" ref="F41">_xlfn.IFS(E41="Beam", -0.0000000868778*D41^5-0.0000459619*D41^4+0.00347366*D41^3-0.0884721*D41^2+0.510463*D41+14.9932,E41="Following",0.000652681*D41^3-0.0356523*D41^2+0.29714*D41+15.2038,E41="Head",-0.00000154449*D41^5+0.0000797696*D41^4+0.000148965*D41^3-0.0570448*D41^2+0.244115*D41+15.0029)</f>
        <v>14.646738966887799</v>
      </c>
    </row>
    <row r="42" spans="1:72" x14ac:dyDescent="0.25">
      <c r="AD42" s="1"/>
      <c r="AF42" s="1"/>
      <c r="AG42" s="1"/>
      <c r="BK42" s="9"/>
    </row>
    <row r="43" spans="1:72" ht="15.75" thickBot="1" x14ac:dyDescent="0.3">
      <c r="BK43" s="8"/>
    </row>
    <row r="44" spans="1:72" ht="15.75" thickBot="1" x14ac:dyDescent="0.3">
      <c r="C44" s="38" t="s">
        <v>81</v>
      </c>
      <c r="D44" s="39"/>
      <c r="E44" s="39"/>
      <c r="F44" s="40"/>
      <c r="AC44" s="1"/>
    </row>
    <row r="45" spans="1:72" x14ac:dyDescent="0.25">
      <c r="C45" s="21" t="s">
        <v>97</v>
      </c>
      <c r="D45" s="47" t="s">
        <v>80</v>
      </c>
      <c r="E45" s="47"/>
      <c r="F45" s="24" t="s">
        <v>82</v>
      </c>
      <c r="R45" s="2"/>
      <c r="AF45" s="1"/>
      <c r="AG45" s="1"/>
    </row>
    <row r="46" spans="1:72" ht="15.75" thickBot="1" x14ac:dyDescent="0.3">
      <c r="C46" s="34">
        <v>250</v>
      </c>
      <c r="D46" s="48">
        <v>3</v>
      </c>
      <c r="E46" s="48"/>
      <c r="F46" s="37">
        <f>SQRT(((F41^2)+(D46^2))-(2*F41*D46*(COS(RADIANS(Références!A95)))))</f>
        <v>13.909352386070953</v>
      </c>
      <c r="R46" s="2"/>
    </row>
    <row r="47" spans="1:72" x14ac:dyDescent="0.25">
      <c r="BK47" s="8"/>
    </row>
    <row r="48" spans="1:72" ht="15.75" thickBot="1" x14ac:dyDescent="0.3">
      <c r="D48" s="4"/>
    </row>
    <row r="49" spans="3:33" ht="15.75" thickBot="1" x14ac:dyDescent="0.3">
      <c r="C49" s="38" t="s">
        <v>106</v>
      </c>
      <c r="D49" s="39"/>
      <c r="E49" s="40"/>
    </row>
    <row r="50" spans="3:33" ht="15.75" thickBot="1" x14ac:dyDescent="0.3">
      <c r="C50" s="18" t="s">
        <v>110</v>
      </c>
      <c r="D50" s="20" t="s">
        <v>109</v>
      </c>
      <c r="E50" s="19" t="s">
        <v>111</v>
      </c>
      <c r="F50" s="2"/>
      <c r="H50" s="2"/>
      <c r="AA50" s="7"/>
    </row>
    <row r="51" spans="3:33" ht="15.75" thickBot="1" x14ac:dyDescent="0.3">
      <c r="C51" s="41">
        <v>44927.431944444441</v>
      </c>
      <c r="D51" s="42"/>
      <c r="E51" s="43"/>
      <c r="H51" s="6"/>
      <c r="AF51" s="8"/>
      <c r="AG51" s="8"/>
    </row>
    <row r="52" spans="3:33" ht="15.75" thickBot="1" x14ac:dyDescent="0.3">
      <c r="F52" s="8"/>
    </row>
    <row r="53" spans="3:33" ht="15.75" thickBot="1" x14ac:dyDescent="0.3">
      <c r="C53" s="38" t="s">
        <v>128</v>
      </c>
      <c r="D53" s="39"/>
      <c r="E53" s="40"/>
      <c r="F53" s="2"/>
    </row>
    <row r="54" spans="3:33" ht="15.75" thickBot="1" x14ac:dyDescent="0.3">
      <c r="C54" s="44" t="s">
        <v>129</v>
      </c>
      <c r="D54" s="45"/>
      <c r="E54" s="46"/>
    </row>
    <row r="55" spans="3:33" ht="15.75" thickBot="1" x14ac:dyDescent="0.3"/>
    <row r="56" spans="3:33" ht="15.75" thickBot="1" x14ac:dyDescent="0.3">
      <c r="C56" s="38" t="s">
        <v>130</v>
      </c>
      <c r="D56" s="39"/>
      <c r="E56" s="40"/>
    </row>
    <row r="57" spans="3:33" ht="15.75" thickBot="1" x14ac:dyDescent="0.3">
      <c r="C57" s="41" cm="1">
        <f t="array" aca="1" ref="C57" ca="1">_xlfn.IFS(AND(C54="oui",BL36&gt;0),(BP36+1)+BM36,AND(C54="oui",BL36&lt;0),(BP36-1)-BM36,AND(C54="non",BL36&gt;0),BP36+BM36,AND(C54="non",BL36&lt;0),BP36-BM36)</f>
        <v>44954.683521888917</v>
      </c>
      <c r="D57" s="42"/>
      <c r="E57" s="43"/>
    </row>
  </sheetData>
  <mergeCells count="10">
    <mergeCell ref="C39:F39"/>
    <mergeCell ref="D45:E45"/>
    <mergeCell ref="D46:E46"/>
    <mergeCell ref="C51:E51"/>
    <mergeCell ref="C53:E53"/>
    <mergeCell ref="C44:F44"/>
    <mergeCell ref="C57:E57"/>
    <mergeCell ref="C54:E54"/>
    <mergeCell ref="C56:E56"/>
    <mergeCell ref="C49:E49"/>
  </mergeCells>
  <dataValidations disablePrompts="1" count="2">
    <dataValidation type="whole" allowBlank="1" showInputMessage="1" showErrorMessage="1" sqref="C46" xr:uid="{00EDDC2F-85AB-4282-AE25-F55FF7DF16EE}">
      <formula1>0</formula1>
      <formula2>360</formula2>
    </dataValidation>
    <dataValidation type="decimal" allowBlank="1" showInputMessage="1" showErrorMessage="1" errorTitle="Valeur trop élevé" sqref="D46" xr:uid="{92C8829F-8D31-49DE-886B-D0C17E9B7222}">
      <formula1>0</formula1>
      <formula2>15</formula2>
    </dataValidation>
  </dataValidation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F49A4EE0-C46C-4EF2-A9E9-2F7895AB2C0F}">
          <x14:formula1>
            <xm:f>Références!$A$79:$A$91</xm:f>
          </x14:formula1>
          <xm:sqref>C41 AZ4:AZ36</xm:sqref>
        </x14:dataValidation>
        <x14:dataValidation type="list" allowBlank="1" showInputMessage="1" showErrorMessage="1" xr:uid="{F3ECDA64-E48B-4738-9574-94E76AC3E57C}">
          <x14:formula1>
            <xm:f>Références!$D$79:$D$81</xm:f>
          </x14:formula1>
          <xm:sqref>E41 BB4:BB36</xm:sqref>
        </x14:dataValidation>
        <x14:dataValidation type="list" allowBlank="1" showInputMessage="1" showErrorMessage="1" xr:uid="{E3CD9BC9-56CC-407C-9431-6730697754F4}">
          <x14:formula1>
            <xm:f>Références!$C$101:$C$102</xm:f>
          </x14:formula1>
          <xm:sqref>AF4:AF37 AG37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09"/>
  <sheetViews>
    <sheetView topLeftCell="A81" workbookViewId="0">
      <selection activeCell="B109" sqref="B109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D1" t="s">
        <v>6</v>
      </c>
      <c r="F1" t="s">
        <v>7</v>
      </c>
    </row>
    <row r="2" spans="1:6" x14ac:dyDescent="0.25">
      <c r="A2">
        <v>0</v>
      </c>
      <c r="B2">
        <v>15</v>
      </c>
      <c r="D2">
        <f xml:space="preserve"> 0.000652681*A2^3-0.0356523*A2^2+0.29714*A2+15.2038</f>
        <v>15.203799999999999</v>
      </c>
      <c r="F2" s="1" t="s">
        <v>8</v>
      </c>
    </row>
    <row r="3" spans="1:6" x14ac:dyDescent="0.25">
      <c r="A3">
        <v>2.5</v>
      </c>
      <c r="B3">
        <v>15.9</v>
      </c>
      <c r="D3">
        <f t="shared" ref="D3:D14" si="0" xml:space="preserve"> 0.000652681*A3^3-0.0356523*A3^2+0.29714*A3+15.2038</f>
        <v>15.734021265625</v>
      </c>
    </row>
    <row r="4" spans="1:6" x14ac:dyDescent="0.25">
      <c r="A4">
        <v>5</v>
      </c>
      <c r="B4">
        <v>16.100000000000001</v>
      </c>
      <c r="D4">
        <f t="shared" si="0"/>
        <v>15.879777624999999</v>
      </c>
    </row>
    <row r="5" spans="1:6" x14ac:dyDescent="0.25">
      <c r="A5">
        <v>7.5</v>
      </c>
      <c r="B5">
        <v>15.8</v>
      </c>
      <c r="D5">
        <f t="shared" si="0"/>
        <v>15.702257921874999</v>
      </c>
    </row>
    <row r="6" spans="1:6" x14ac:dyDescent="0.25">
      <c r="A6">
        <v>10</v>
      </c>
      <c r="B6">
        <v>15</v>
      </c>
      <c r="D6">
        <f t="shared" si="0"/>
        <v>15.262651</v>
      </c>
    </row>
    <row r="7" spans="1:6" x14ac:dyDescent="0.25">
      <c r="A7">
        <v>12.5</v>
      </c>
      <c r="B7">
        <v>14.6</v>
      </c>
      <c r="D7">
        <f t="shared" si="0"/>
        <v>14.622145703125</v>
      </c>
    </row>
    <row r="8" spans="1:6" x14ac:dyDescent="0.25">
      <c r="A8">
        <v>15</v>
      </c>
      <c r="B8">
        <v>13.8</v>
      </c>
      <c r="D8">
        <f t="shared" si="0"/>
        <v>13.841930875000001</v>
      </c>
    </row>
    <row r="9" spans="1:6" x14ac:dyDescent="0.25">
      <c r="A9">
        <v>17.5</v>
      </c>
      <c r="B9">
        <v>12.9</v>
      </c>
      <c r="D9">
        <f t="shared" si="0"/>
        <v>12.983195359374999</v>
      </c>
    </row>
    <row r="10" spans="1:6" x14ac:dyDescent="0.25">
      <c r="A10">
        <v>20</v>
      </c>
      <c r="B10">
        <v>12.1</v>
      </c>
      <c r="D10">
        <f t="shared" si="0"/>
        <v>12.107127999999999</v>
      </c>
    </row>
    <row r="11" spans="1:6" x14ac:dyDescent="0.25">
      <c r="A11">
        <v>22.5</v>
      </c>
      <c r="B11">
        <v>11.3</v>
      </c>
      <c r="D11">
        <f t="shared" si="0"/>
        <v>11.274917640625002</v>
      </c>
    </row>
    <row r="12" spans="1:6" x14ac:dyDescent="0.25">
      <c r="A12">
        <v>25</v>
      </c>
      <c r="B12">
        <v>10.7</v>
      </c>
      <c r="D12">
        <f t="shared" si="0"/>
        <v>10.547753125000003</v>
      </c>
    </row>
    <row r="13" spans="1:6" x14ac:dyDescent="0.25">
      <c r="A13">
        <v>27.5</v>
      </c>
      <c r="B13">
        <v>10.1</v>
      </c>
      <c r="D13">
        <f t="shared" si="0"/>
        <v>9.9868232968750039</v>
      </c>
    </row>
    <row r="14" spans="1:6" x14ac:dyDescent="0.25">
      <c r="A14">
        <v>30</v>
      </c>
      <c r="B14">
        <v>9.5</v>
      </c>
      <c r="D14">
        <f t="shared" si="0"/>
        <v>9.653317000000003</v>
      </c>
    </row>
    <row r="16" spans="1:6" x14ac:dyDescent="0.25">
      <c r="A16" t="s">
        <v>2</v>
      </c>
      <c r="B16" t="s">
        <v>3</v>
      </c>
      <c r="D16" t="s">
        <v>6</v>
      </c>
      <c r="F16" t="s">
        <v>7</v>
      </c>
    </row>
    <row r="17" spans="1:6" ht="17.25" x14ac:dyDescent="0.25">
      <c r="A17">
        <v>0</v>
      </c>
      <c r="B17">
        <v>15</v>
      </c>
      <c r="D17">
        <f xml:space="preserve"> -0.0000000868778*A17^5-0.0000459619*A17^4+0.00347366*A17^3-0.0884721*A17^2+0.510463*A17+14.9932</f>
        <v>14.9932</v>
      </c>
      <c r="F17" s="1" t="s">
        <v>10</v>
      </c>
    </row>
    <row r="18" spans="1:6" x14ac:dyDescent="0.25">
      <c r="A18">
        <v>2.5</v>
      </c>
      <c r="B18">
        <v>15.7</v>
      </c>
      <c r="D18">
        <f t="shared" ref="D18:D29" si="1" xml:space="preserve"> -0.0000000868778*A18^5-0.0000459619*A18^4+0.00347366*A18^3-0.0884721*A18^2+0.510463*A18+14.9932</f>
        <v>15.768878941621093</v>
      </c>
    </row>
    <row r="19" spans="1:6" x14ac:dyDescent="0.25">
      <c r="A19">
        <v>5</v>
      </c>
      <c r="B19">
        <v>15.9</v>
      </c>
      <c r="D19">
        <f t="shared" si="1"/>
        <v>15.738922319375</v>
      </c>
    </row>
    <row r="20" spans="1:6" x14ac:dyDescent="0.25">
      <c r="A20">
        <v>7.5</v>
      </c>
      <c r="B20">
        <v>15.1</v>
      </c>
      <c r="D20">
        <f t="shared" si="1"/>
        <v>15.163079212363282</v>
      </c>
    </row>
    <row r="21" spans="1:6" x14ac:dyDescent="0.25">
      <c r="A21">
        <v>10</v>
      </c>
      <c r="B21">
        <v>14.1</v>
      </c>
      <c r="D21">
        <f t="shared" si="1"/>
        <v>14.25597322</v>
      </c>
    </row>
    <row r="22" spans="1:6" x14ac:dyDescent="0.25">
      <c r="A22">
        <v>12.5</v>
      </c>
      <c r="B22">
        <v>13.3</v>
      </c>
      <c r="D22">
        <f t="shared" si="1"/>
        <v>13.186084362792968</v>
      </c>
    </row>
    <row r="23" spans="1:6" x14ac:dyDescent="0.25">
      <c r="A23">
        <v>15</v>
      </c>
      <c r="B23">
        <v>12.1</v>
      </c>
      <c r="D23">
        <f t="shared" si="1"/>
        <v>12.074730983125002</v>
      </c>
    </row>
    <row r="24" spans="1:6" x14ac:dyDescent="0.25">
      <c r="A24">
        <v>17.5</v>
      </c>
      <c r="B24">
        <v>11</v>
      </c>
      <c r="D24">
        <f t="shared" si="1"/>
        <v>10.995051646035156</v>
      </c>
    </row>
    <row r="25" spans="1:6" x14ac:dyDescent="0.25">
      <c r="A25">
        <v>20</v>
      </c>
      <c r="B25">
        <v>10</v>
      </c>
      <c r="D25">
        <f t="shared" si="1"/>
        <v>9.9709870399999954</v>
      </c>
    </row>
    <row r="26" spans="1:6" x14ac:dyDescent="0.25">
      <c r="A26">
        <v>22.5</v>
      </c>
      <c r="B26">
        <v>8.9</v>
      </c>
      <c r="D26">
        <f t="shared" si="1"/>
        <v>8.9762618777148422</v>
      </c>
    </row>
    <row r="27" spans="1:6" x14ac:dyDescent="0.25">
      <c r="A27">
        <v>25</v>
      </c>
      <c r="B27">
        <v>7.9</v>
      </c>
      <c r="D27">
        <f t="shared" si="1"/>
        <v>7.9333667968749975</v>
      </c>
    </row>
    <row r="28" spans="1:6" x14ac:dyDescent="0.25">
      <c r="A28">
        <v>27.5</v>
      </c>
      <c r="B28">
        <v>6.8</v>
      </c>
      <c r="D28">
        <f t="shared" si="1"/>
        <v>6.712540260957029</v>
      </c>
    </row>
    <row r="29" spans="1:6" x14ac:dyDescent="0.25">
      <c r="A29">
        <v>30</v>
      </c>
      <c r="B29">
        <v>5.0999999999999996</v>
      </c>
      <c r="D29">
        <f t="shared" si="1"/>
        <v>5.130750460000014</v>
      </c>
    </row>
    <row r="31" spans="1:6" x14ac:dyDescent="0.25">
      <c r="A31" t="s">
        <v>4</v>
      </c>
      <c r="B31" t="s">
        <v>5</v>
      </c>
      <c r="D31" t="s">
        <v>9</v>
      </c>
      <c r="F31" t="s">
        <v>7</v>
      </c>
    </row>
    <row r="32" spans="1:6" x14ac:dyDescent="0.25">
      <c r="A32">
        <v>0</v>
      </c>
      <c r="B32">
        <v>15</v>
      </c>
      <c r="D32">
        <f>-0.00000154449*A32^5+0.0000797696*A32^4+0.000148965*A32^3-0.0570448*A32^2+0.244115*A32+15.0029</f>
        <v>15.0029</v>
      </c>
      <c r="F32" s="1" t="s">
        <v>11</v>
      </c>
    </row>
    <row r="33" spans="1:4" x14ac:dyDescent="0.25">
      <c r="A33">
        <v>2.5</v>
      </c>
      <c r="B33">
        <v>15.3</v>
      </c>
      <c r="D33">
        <f t="shared" ref="D33:D44" si="2">-0.00000154449*A33^5+0.0000797696*A33^4+0.000148965*A33^3-0.0570448*A33^2+0.244115*A33+15.0029</f>
        <v>15.261950249023437</v>
      </c>
    </row>
    <row r="34" spans="1:4" x14ac:dyDescent="0.25">
      <c r="A34">
        <v>5</v>
      </c>
      <c r="B34">
        <v>14.8</v>
      </c>
      <c r="D34">
        <f t="shared" si="2"/>
        <v>14.86100509375</v>
      </c>
    </row>
    <row r="35" spans="1:4" x14ac:dyDescent="0.25">
      <c r="A35">
        <v>7.5</v>
      </c>
      <c r="B35">
        <v>13.8</v>
      </c>
      <c r="D35">
        <f t="shared" si="2"/>
        <v>13.903581637695313</v>
      </c>
    </row>
    <row r="36" spans="1:4" x14ac:dyDescent="0.25">
      <c r="A36">
        <v>10</v>
      </c>
      <c r="B36">
        <v>12.8</v>
      </c>
      <c r="D36">
        <f t="shared" si="2"/>
        <v>12.531782</v>
      </c>
    </row>
    <row r="37" spans="1:4" x14ac:dyDescent="0.25">
      <c r="A37">
        <v>12.5</v>
      </c>
      <c r="B37">
        <v>10.9</v>
      </c>
      <c r="D37">
        <f t="shared" si="2"/>
        <v>10.908193823242188</v>
      </c>
    </row>
    <row r="38" spans="1:4" x14ac:dyDescent="0.25">
      <c r="A38">
        <v>15</v>
      </c>
      <c r="B38">
        <v>8.9</v>
      </c>
      <c r="D38">
        <f t="shared" si="2"/>
        <v>9.1977907812500028</v>
      </c>
    </row>
    <row r="39" spans="1:4" x14ac:dyDescent="0.25">
      <c r="A39">
        <v>17.5</v>
      </c>
      <c r="B39">
        <v>7.7</v>
      </c>
      <c r="D39">
        <f t="shared" si="2"/>
        <v>7.549833086914064</v>
      </c>
    </row>
    <row r="40" spans="1:4" x14ac:dyDescent="0.25">
      <c r="A40">
        <v>20</v>
      </c>
      <c r="B40">
        <v>6.1</v>
      </c>
      <c r="D40">
        <f t="shared" si="2"/>
        <v>6.0797680000000014</v>
      </c>
    </row>
    <row r="41" spans="1:4" x14ac:dyDescent="0.25">
      <c r="A41">
        <v>22.5</v>
      </c>
      <c r="B41">
        <v>4.9000000000000004</v>
      </c>
      <c r="D41">
        <f t="shared" si="2"/>
        <v>4.8511303349609385</v>
      </c>
    </row>
    <row r="42" spans="1:4" x14ac:dyDescent="0.25">
      <c r="A42">
        <v>25</v>
      </c>
      <c r="B42">
        <v>3.8</v>
      </c>
      <c r="D42">
        <f t="shared" si="2"/>
        <v>3.8574429687500036</v>
      </c>
    </row>
    <row r="43" spans="1:4" x14ac:dyDescent="0.25">
      <c r="A43">
        <v>27.5</v>
      </c>
      <c r="B43">
        <v>3</v>
      </c>
      <c r="D43">
        <f t="shared" si="2"/>
        <v>3.0041173486328105</v>
      </c>
    </row>
    <row r="44" spans="1:4" x14ac:dyDescent="0.25">
      <c r="A44">
        <v>30</v>
      </c>
      <c r="B44">
        <v>2.1</v>
      </c>
      <c r="D44">
        <f t="shared" si="2"/>
        <v>2.0903540000000085</v>
      </c>
    </row>
    <row r="49" spans="1:7" x14ac:dyDescent="0.25">
      <c r="B49">
        <f>RADIANS(20)</f>
        <v>0.3490658503988659</v>
      </c>
      <c r="D49" s="1">
        <f>7915.704468*LOG((TAN((RADIANS(45)+(B49/2)))))-23.268932*SIN(B49)-0.0525*(SIN(B49)^3)*(SIN(B49)^5)</f>
        <v>1217.1806005213464</v>
      </c>
      <c r="F49" s="1" t="s">
        <v>20</v>
      </c>
    </row>
    <row r="53" spans="1:7" x14ac:dyDescent="0.25">
      <c r="A53">
        <v>160</v>
      </c>
      <c r="B53" t="s">
        <v>29</v>
      </c>
      <c r="D53">
        <f>RADIANS(A53)</f>
        <v>2.7925268031909272</v>
      </c>
      <c r="F53">
        <f>RADIANS(360)</f>
        <v>6.2831853071795862</v>
      </c>
      <c r="G53">
        <f>RADIANS(180)</f>
        <v>3.1415926535897931</v>
      </c>
    </row>
    <row r="54" spans="1:7" x14ac:dyDescent="0.25">
      <c r="A54">
        <v>140</v>
      </c>
      <c r="B54" t="s">
        <v>18</v>
      </c>
      <c r="D54">
        <f t="shared" ref="D54:D56" si="3">RADIANS(A54)</f>
        <v>2.4434609527920612</v>
      </c>
      <c r="F54">
        <f>(360-(A53+A54))</f>
        <v>60</v>
      </c>
    </row>
    <row r="55" spans="1:7" x14ac:dyDescent="0.25">
      <c r="A55">
        <f>(A53+A54)</f>
        <v>300</v>
      </c>
      <c r="B55" t="s">
        <v>18</v>
      </c>
      <c r="D55">
        <f t="shared" si="3"/>
        <v>5.2359877559829888</v>
      </c>
      <c r="F55" cm="1">
        <f t="array" ref="F55">_xlfn.IFS(B53=B54,A54-A53,(A53+A54)&gt;180,360-(A53+A54),B53&lt;&gt;B54,A53+A54)</f>
        <v>60</v>
      </c>
    </row>
    <row r="56" spans="1:7" x14ac:dyDescent="0.25">
      <c r="A56">
        <f>(360-A55)</f>
        <v>60</v>
      </c>
      <c r="D56">
        <f t="shared" si="3"/>
        <v>1.0471975511965976</v>
      </c>
      <c r="F56" s="1" cm="1">
        <f t="array" ref="F56">_xlfn.IFS(B53=B54,D54-D53,(D53+D54)&gt;(RADIANS(180)),RADIANS(360)-(D53+D54),B53&lt;&gt;B54,D53+D54)</f>
        <v>1.0471975511965983</v>
      </c>
      <c r="G56">
        <f>DEGREES(F56)</f>
        <v>60.000000000000036</v>
      </c>
    </row>
    <row r="57" spans="1:7" x14ac:dyDescent="0.25">
      <c r="F57" s="1" t="s">
        <v>30</v>
      </c>
    </row>
    <row r="58" spans="1:7" x14ac:dyDescent="0.25">
      <c r="F58" s="1" t="s">
        <v>32</v>
      </c>
    </row>
    <row r="60" spans="1:7" x14ac:dyDescent="0.25">
      <c r="A60" t="s">
        <v>35</v>
      </c>
      <c r="B60" t="s">
        <v>36</v>
      </c>
      <c r="C60" t="s">
        <v>38</v>
      </c>
    </row>
    <row r="61" spans="1:7" x14ac:dyDescent="0.25">
      <c r="A61">
        <v>4200</v>
      </c>
      <c r="B61">
        <v>121.8</v>
      </c>
      <c r="C61">
        <v>696</v>
      </c>
      <c r="F61" s="1">
        <f>DEGREES(ATAN(A61/B61))</f>
        <v>88.338887954810119</v>
      </c>
    </row>
    <row r="62" spans="1:7" x14ac:dyDescent="0.25">
      <c r="F62" s="1" t="s">
        <v>37</v>
      </c>
    </row>
    <row r="64" spans="1:7" x14ac:dyDescent="0.25">
      <c r="F64">
        <f>(C61/(COS(RADIANS(F61))))</f>
        <v>24010.089879048992</v>
      </c>
    </row>
    <row r="65" spans="1:6" x14ac:dyDescent="0.25">
      <c r="F65" t="s">
        <v>39</v>
      </c>
    </row>
    <row r="67" spans="1:6" x14ac:dyDescent="0.25">
      <c r="A67" t="s">
        <v>46</v>
      </c>
      <c r="B67" t="s">
        <v>47</v>
      </c>
      <c r="F67" t="s">
        <v>77</v>
      </c>
    </row>
    <row r="68" spans="1:6" x14ac:dyDescent="0.25">
      <c r="A68">
        <v>130.6</v>
      </c>
      <c r="B68">
        <v>420</v>
      </c>
      <c r="F68">
        <f>DEGREES(ATAN(A68/B68))</f>
        <v>17.273206012669817</v>
      </c>
    </row>
    <row r="73" spans="1:6" x14ac:dyDescent="0.25">
      <c r="A73" t="s">
        <v>53</v>
      </c>
      <c r="B73" t="s">
        <v>54</v>
      </c>
      <c r="C73" t="s">
        <v>55</v>
      </c>
      <c r="F73" t="s">
        <v>40</v>
      </c>
    </row>
    <row r="74" spans="1:6" x14ac:dyDescent="0.25">
      <c r="A74">
        <f>RADIANS(35.9333)</f>
        <v>0.62715439610687851</v>
      </c>
      <c r="B74">
        <f>RADIANS(36.9666)</f>
        <v>0.64518888326773582</v>
      </c>
      <c r="C74">
        <v>97.3</v>
      </c>
      <c r="F74">
        <f>(DEGREES(ACOS((SIN(A74)*SIN(B74)+(COS(A74)*COS(B74)*COS(RADIANS(C74)))))))*60</f>
        <v>4457.6639290232724</v>
      </c>
    </row>
    <row r="75" spans="1:6" x14ac:dyDescent="0.25">
      <c r="F75">
        <v>4457.6610000000001</v>
      </c>
    </row>
    <row r="76" spans="1:6" x14ac:dyDescent="0.25">
      <c r="F76" s="1"/>
    </row>
    <row r="77" spans="1:6" x14ac:dyDescent="0.25">
      <c r="A77" s="49" t="s">
        <v>63</v>
      </c>
      <c r="B77" s="49"/>
    </row>
    <row r="78" spans="1:6" x14ac:dyDescent="0.25">
      <c r="A78" t="s">
        <v>64</v>
      </c>
      <c r="B78" t="s">
        <v>65</v>
      </c>
      <c r="D78" t="s">
        <v>79</v>
      </c>
    </row>
    <row r="79" spans="1:6" x14ac:dyDescent="0.25">
      <c r="A79">
        <v>0</v>
      </c>
      <c r="B79">
        <v>0</v>
      </c>
      <c r="D79" t="s">
        <v>68</v>
      </c>
      <c r="E79" t="s">
        <v>73</v>
      </c>
    </row>
    <row r="80" spans="1:6" x14ac:dyDescent="0.25">
      <c r="A80">
        <v>1</v>
      </c>
      <c r="B80">
        <v>1</v>
      </c>
      <c r="D80" t="s">
        <v>69</v>
      </c>
      <c r="E80" t="s">
        <v>71</v>
      </c>
    </row>
    <row r="81" spans="1:5" x14ac:dyDescent="0.25">
      <c r="A81">
        <v>2</v>
      </c>
      <c r="B81">
        <v>2</v>
      </c>
      <c r="D81" t="s">
        <v>70</v>
      </c>
      <c r="E81" t="s">
        <v>72</v>
      </c>
    </row>
    <row r="82" spans="1:5" x14ac:dyDescent="0.25">
      <c r="A82">
        <v>3</v>
      </c>
      <c r="B82">
        <v>3.5</v>
      </c>
    </row>
    <row r="83" spans="1:5" x14ac:dyDescent="0.25">
      <c r="A83">
        <v>4</v>
      </c>
      <c r="B83">
        <v>6</v>
      </c>
    </row>
    <row r="84" spans="1:5" x14ac:dyDescent="0.25">
      <c r="A84">
        <v>5</v>
      </c>
      <c r="B84">
        <v>9</v>
      </c>
    </row>
    <row r="85" spans="1:5" x14ac:dyDescent="0.25">
      <c r="A85">
        <v>6</v>
      </c>
      <c r="B85">
        <v>13</v>
      </c>
    </row>
    <row r="86" spans="1:5" x14ac:dyDescent="0.25">
      <c r="A86">
        <v>7</v>
      </c>
      <c r="B86">
        <v>19</v>
      </c>
    </row>
    <row r="87" spans="1:5" x14ac:dyDescent="0.25">
      <c r="A87">
        <v>8</v>
      </c>
      <c r="B87">
        <v>25</v>
      </c>
    </row>
    <row r="88" spans="1:5" x14ac:dyDescent="0.25">
      <c r="A88">
        <v>9</v>
      </c>
      <c r="B88">
        <v>32</v>
      </c>
    </row>
    <row r="89" spans="1:5" x14ac:dyDescent="0.25">
      <c r="A89">
        <v>10</v>
      </c>
      <c r="B89">
        <v>41</v>
      </c>
    </row>
    <row r="90" spans="1:5" x14ac:dyDescent="0.25">
      <c r="A90">
        <v>11</v>
      </c>
      <c r="B90">
        <v>52</v>
      </c>
    </row>
    <row r="91" spans="1:5" x14ac:dyDescent="0.25">
      <c r="A91">
        <v>12</v>
      </c>
      <c r="B91">
        <v>60</v>
      </c>
    </row>
    <row r="93" spans="1:5" x14ac:dyDescent="0.25">
      <c r="A93" t="s">
        <v>78</v>
      </c>
    </row>
    <row r="95" spans="1:5" x14ac:dyDescent="0.25">
      <c r="A95" s="1">
        <f>_xlfn.IFS(Feuil2!C46=180,0,Feuil2!C46&gt;180,Feuil2!C46-180,Feuil2!C46&lt;180,180-Feuil2!C46)</f>
        <v>70</v>
      </c>
    </row>
    <row r="97" spans="1:3" x14ac:dyDescent="0.25">
      <c r="A97" s="1" t="s">
        <v>96</v>
      </c>
    </row>
    <row r="101" spans="1:3" x14ac:dyDescent="0.25">
      <c r="A101" t="s">
        <v>51</v>
      </c>
      <c r="C101" t="s">
        <v>101</v>
      </c>
    </row>
    <row r="102" spans="1:3" x14ac:dyDescent="0.25">
      <c r="A102" t="s">
        <v>52</v>
      </c>
      <c r="C102" t="s">
        <v>102</v>
      </c>
    </row>
    <row r="105" spans="1:3" x14ac:dyDescent="0.25">
      <c r="A105" t="s">
        <v>123</v>
      </c>
    </row>
    <row r="109" spans="1:3" x14ac:dyDescent="0.25">
      <c r="A109" t="s">
        <v>120</v>
      </c>
      <c r="B109" s="1" t="s">
        <v>127</v>
      </c>
    </row>
  </sheetData>
  <mergeCells count="1">
    <mergeCell ref="A77:B77"/>
  </mergeCells>
  <dataValidations count="1">
    <dataValidation type="list" allowBlank="1" showInputMessage="1" showErrorMessage="1" sqref="B77:B91 A77:A78" xr:uid="{607B9829-3E5F-4094-A69D-6DE189B13F4E}">
      <formula1>$A$79:$A$91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Références</vt:lpstr>
      <vt:lpstr>Références!Loxo</vt:lpstr>
    </vt:vector>
  </TitlesOfParts>
  <Company>Institut maritime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Institut maritime du Québec</dc:creator>
  <cp:lastModifiedBy>Chris_W10</cp:lastModifiedBy>
  <dcterms:created xsi:type="dcterms:W3CDTF">2023-01-19T18:47:51Z</dcterms:created>
  <dcterms:modified xsi:type="dcterms:W3CDTF">2023-02-11T21:00:37Z</dcterms:modified>
</cp:coreProperties>
</file>