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tables/table4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89C1D1F6-A931-4161-A827-3A8681B9A568}" xr6:coauthVersionLast="47" xr6:coauthVersionMax="47" xr10:uidLastSave="{00000000-0000-0000-0000-000000000000}"/>
  <bookViews>
    <workbookView xWindow="-120" yWindow="-120" windowWidth="29040" windowHeight="15990" activeTab="2" xr2:uid="{00000000-000D-0000-FFFF-FFFF00000000}"/>
  </bookViews>
  <sheets>
    <sheet name="Feuil1" sheetId="1" r:id="rId1"/>
    <sheet name="Feuil2" sheetId="2" r:id="rId2"/>
    <sheet name="Feuil3" sheetId="3" r:id="rId3"/>
  </sheets>
  <definedNames>
    <definedName name="DonnéesExternes_1" localSheetId="2" hidden="1">Feuil3!$A$1:$F$35</definedName>
  </definedNames>
  <calcPr calcId="191029"/>
  <pivotCaches>
    <pivotCache cacheId="1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36" i="3" l="1"/>
  <c r="F36" i="3"/>
  <c r="E30" i="2"/>
  <c r="E31" i="2"/>
  <c r="E32" i="2"/>
  <c r="E33" i="2"/>
  <c r="E34" i="2"/>
  <c r="E35" i="2"/>
  <c r="E29" i="2"/>
  <c r="E25" i="2"/>
  <c r="E26" i="2"/>
  <c r="E27" i="2"/>
  <c r="E28" i="2"/>
  <c r="E24" i="2"/>
  <c r="E21" i="2"/>
  <c r="E22" i="2"/>
  <c r="E23" i="2"/>
  <c r="E20" i="2"/>
  <c r="E19" i="2"/>
  <c r="E18" i="2"/>
  <c r="E17" i="2"/>
  <c r="E15" i="2"/>
  <c r="E16" i="2"/>
  <c r="E14" i="2"/>
  <c r="E12" i="2"/>
  <c r="E13" i="2"/>
  <c r="E11" i="2"/>
  <c r="E10" i="2"/>
  <c r="E9" i="2"/>
  <c r="E8" i="2"/>
  <c r="E7" i="2"/>
  <c r="E6" i="2"/>
  <c r="E5" i="2"/>
  <c r="E4" i="2"/>
  <c r="E3" i="2"/>
  <c r="E2" i="2"/>
  <c r="D8" i="1"/>
  <c r="E8" i="1"/>
  <c r="F8" i="1"/>
  <c r="H8" i="1"/>
  <c r="J8" i="1" s="1"/>
  <c r="I8" i="1"/>
  <c r="D3" i="1"/>
  <c r="D4" i="1"/>
  <c r="D5" i="1"/>
  <c r="D6" i="1"/>
  <c r="D7" i="1"/>
  <c r="C1" i="1"/>
  <c r="H3" i="1"/>
  <c r="E3" i="1"/>
  <c r="F3" i="1"/>
  <c r="I3" i="1"/>
  <c r="B1" i="1"/>
  <c r="B6" i="1"/>
  <c r="I4" i="1"/>
  <c r="I5" i="1"/>
  <c r="I6" i="1"/>
  <c r="I7" i="1"/>
  <c r="H4" i="1"/>
  <c r="H5" i="1"/>
  <c r="H7" i="1"/>
  <c r="K59" i="2"/>
  <c r="K55" i="2"/>
  <c r="K45" i="2"/>
  <c r="K42" i="2"/>
  <c r="K39" i="2"/>
  <c r="K71" i="2"/>
  <c r="K62" i="2"/>
  <c r="G8" i="1" l="1"/>
  <c r="J7" i="1"/>
  <c r="G3" i="1"/>
  <c r="J3" i="1"/>
  <c r="J5" i="1"/>
  <c r="H6" i="1"/>
  <c r="J6" i="1" s="1"/>
  <c r="J4" i="1"/>
  <c r="F4" i="1"/>
  <c r="F5" i="1"/>
  <c r="F6" i="1"/>
  <c r="F7" i="1"/>
  <c r="E4" i="1" l="1"/>
  <c r="G4" i="1" s="1"/>
  <c r="E5" i="1"/>
  <c r="G5" i="1" s="1"/>
  <c r="E6" i="1"/>
  <c r="G6" i="1" s="1"/>
  <c r="E7" i="1"/>
  <c r="G7" i="1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1EB6DA71-DB11-418C-83B5-9C853ED5F8CC}" keepAlive="1" name="Requête - Tableau2" description="Connexion à la requête « Tableau2 » dans le classeur." type="5" refreshedVersion="8" background="1" saveData="1">
    <dbPr connection="Provider=Microsoft.Mashup.OleDb.1;Data Source=$Workbook$;Location=Tableau2;Extended Properties=&quot;&quot;" command="SELECT * FROM [Tableau2]"/>
  </connection>
</connections>
</file>

<file path=xl/sharedStrings.xml><?xml version="1.0" encoding="utf-8"?>
<sst xmlns="http://schemas.openxmlformats.org/spreadsheetml/2006/main" count="172" uniqueCount="45">
  <si>
    <t>Date</t>
  </si>
  <si>
    <t>Versement</t>
  </si>
  <si>
    <t>Relevé</t>
  </si>
  <si>
    <t>Année</t>
  </si>
  <si>
    <t>Mois</t>
  </si>
  <si>
    <t>Année-Mois</t>
  </si>
  <si>
    <t>rendement moyen mensuel</t>
  </si>
  <si>
    <t>Colonne1</t>
  </si>
  <si>
    <t>Colonne2</t>
  </si>
  <si>
    <t>Colonne3</t>
  </si>
  <si>
    <t>Fond de placement</t>
  </si>
  <si>
    <t>PEG MODEREE</t>
  </si>
  <si>
    <t>PERCO MODEREE</t>
  </si>
  <si>
    <t>PEG EQUILIBRE</t>
  </si>
  <si>
    <t>PEG MONETAIRE</t>
  </si>
  <si>
    <t>PEG OBLIGATION</t>
  </si>
  <si>
    <t>PEG DYNAMIQUE</t>
  </si>
  <si>
    <t>PERCO EQULIBRE</t>
  </si>
  <si>
    <t>PERCO DYNAMIQUE</t>
  </si>
  <si>
    <t>PRIX</t>
  </si>
  <si>
    <t>Transaction</t>
  </si>
  <si>
    <t>PERCO OBLIGATION</t>
  </si>
  <si>
    <t>Étiquettes de lignes</t>
  </si>
  <si>
    <t>Total général</t>
  </si>
  <si>
    <t>liste</t>
  </si>
  <si>
    <t>2017-12</t>
  </si>
  <si>
    <t>2018-07</t>
  </si>
  <si>
    <t>2018-12</t>
  </si>
  <si>
    <t>2019-07</t>
  </si>
  <si>
    <t>2019-12</t>
  </si>
  <si>
    <t>2020-06</t>
  </si>
  <si>
    <t>2020-12</t>
  </si>
  <si>
    <t>2021-07</t>
  </si>
  <si>
    <t>2021-12</t>
  </si>
  <si>
    <t>Étiquettes de colonnes</t>
  </si>
  <si>
    <t>Somme de PRIX</t>
  </si>
  <si>
    <t>2022-06</t>
  </si>
  <si>
    <t xml:space="preserve">ACTION </t>
  </si>
  <si>
    <t>Nombre de parts</t>
  </si>
  <si>
    <t>évolution du prix des parts</t>
  </si>
  <si>
    <t>placements</t>
  </si>
  <si>
    <t>Somme de PRIX2</t>
  </si>
  <si>
    <t>Evolution prix</t>
  </si>
  <si>
    <t>Montant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</si>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</sst>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00\ &quot;€&quot;"/>
    <numFmt numFmtId="165" formatCode="0.0000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7">
    <xf numFmtId="0" fontId="0" fillId="0" borderId="0" xfId="0"/>
    <xf numFmtId="14" fontId="0" fillId="0" borderId="0" xfId="0" applyNumberFormat="1"/>
    <xf numFmtId="44" fontId="0" fillId="0" borderId="0" xfId="1" applyFont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NumberFormat="1" applyAlignment="1">
      <alignment horizontal="left"/>
    </xf>
    <xf numFmtId="44" fontId="0" fillId="0" borderId="0" xfId="0" applyNumberFormat="1"/>
    <xf numFmtId="8" fontId="0" fillId="0" borderId="0" xfId="1" applyNumberFormat="1" applyFont="1"/>
    <xf numFmtId="9" fontId="0" fillId="0" borderId="0" xfId="2" applyFont="1"/>
    <xf numFmtId="44" fontId="0" fillId="0" borderId="0" xfId="1" applyNumberFormat="1" applyFont="1"/>
    <xf numFmtId="0" fontId="0" fillId="0" borderId="0" xfId="0" pivotButton="1"/>
    <xf numFmtId="164" fontId="0" fillId="0" borderId="0" xfId="0" applyNumberFormat="1"/>
    <xf numFmtId="165" fontId="0" fillId="0" borderId="0" xfId="0" applyNumberFormat="1"/>
    <xf numFmtId="0" fontId="0" fillId="0" borderId="0" xfId="0" applyAlignment="1">
      <alignment horizontal="left" indent="1"/>
    </xf>
    <xf numFmtId="44" fontId="0" fillId="2" borderId="0" xfId="1" applyFont="1" applyFill="1"/>
    <xf numFmtId="10" fontId="0" fillId="0" borderId="0" xfId="0" applyNumberFormat="1"/>
    <xf numFmtId="10" fontId="0" fillId="0" borderId="0" xfId="2" applyNumberFormat="1" applyFont="1"/>
  </cellXfs>
  <cellStyles count="3">
    <cellStyle name="Monétaire" xfId="1" builtinId="4"/>
    <cellStyle name="Normal" xfId="0" builtinId="0"/>
    <cellStyle name="Pourcentage" xfId="2" builtinId="5"/>
  </cellStyles>
  <dxfs count="14">
    <dxf>
      <numFmt numFmtId="14" formatCode="0.00%"/>
    </dxf>
    <dxf>
      <numFmt numFmtId="0" formatCode="General"/>
    </dxf>
    <dxf>
      <numFmt numFmtId="19" formatCode="dd/mm/yyyy"/>
    </dxf>
    <dxf>
      <numFmt numFmtId="165" formatCode="0.0000"/>
    </dxf>
    <dxf>
      <numFmt numFmtId="164" formatCode="#,##0.0000\ &quot;€&quot;"/>
    </dxf>
    <dxf>
      <numFmt numFmtId="19" formatCode="dd/mm/yyyy"/>
    </dxf>
    <dxf>
      <numFmt numFmtId="0" formatCode="General"/>
    </dxf>
    <dxf>
      <numFmt numFmtId="0" formatCode="General"/>
    </dxf>
    <dxf>
      <numFmt numFmtId="0" formatCode="General"/>
      <alignment horizontal="left" vertical="bottom" textRotation="0" wrapText="0" indent="0" justifyLastLine="0" shrinkToFit="0" readingOrder="0"/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2" formatCode="#,##0.00\ &quot;€&quot;;[Red]\-#,##0.0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pivotCacheDefinition" Target="pivotCache/pivotCacheDefinition1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[Achat_Ventes_placements_PQ.xlsx]Feuil2!Tableau croisé dynamique3</c:name>
    <c:fmtId val="0"/>
  </c:pivotSource>
  <c:chart>
    <c:autoTitleDeleted val="0"/>
    <c:pivotFmts>
      <c:pivotFmt>
        <c:idx val="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ln w="28575" cap="rnd">
            <a:solidFill>
              <a:schemeClr val="accent2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ln w="28575" cap="rnd">
            <a:solidFill>
              <a:schemeClr val="accent3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ln w="28575" cap="rnd">
            <a:solidFill>
              <a:schemeClr val="accent4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ln w="28575" cap="rnd">
            <a:solidFill>
              <a:schemeClr val="accent5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ln w="28575" cap="rnd">
            <a:solidFill>
              <a:schemeClr val="accent6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ln w="28575" cap="rnd">
            <a:solidFill>
              <a:schemeClr val="accent1">
                <a:lumMod val="60000"/>
              </a:schemeClr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Feuil2!$H$18:$H$19</c:f>
              <c:strCache>
                <c:ptCount val="1"/>
                <c:pt idx="0">
                  <c:v>ACTION 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Feuil2!$G$20:$G$29</c:f>
              <c:strCache>
                <c:ptCount val="10"/>
                <c:pt idx="0">
                  <c:v>2017-12</c:v>
                </c:pt>
                <c:pt idx="1">
                  <c:v>2018-07</c:v>
                </c:pt>
                <c:pt idx="2">
                  <c:v>2018-12</c:v>
                </c:pt>
                <c:pt idx="3">
                  <c:v>2019-07</c:v>
                </c:pt>
                <c:pt idx="4">
                  <c:v>2019-12</c:v>
                </c:pt>
                <c:pt idx="5">
                  <c:v>2020-06</c:v>
                </c:pt>
                <c:pt idx="6">
                  <c:v>2020-12</c:v>
                </c:pt>
                <c:pt idx="7">
                  <c:v>2021-07</c:v>
                </c:pt>
                <c:pt idx="8">
                  <c:v>2021-12</c:v>
                </c:pt>
                <c:pt idx="9">
                  <c:v>2022-06</c:v>
                </c:pt>
              </c:strCache>
            </c:strRef>
          </c:cat>
          <c:val>
            <c:numRef>
              <c:f>Feuil2!$H$20:$H$29</c:f>
              <c:numCache>
                <c:formatCode>General</c:formatCode>
                <c:ptCount val="10"/>
                <c:pt idx="0">
                  <c:v>89.22</c:v>
                </c:pt>
                <c:pt idx="1">
                  <c:v>91.17</c:v>
                </c:pt>
                <c:pt idx="4">
                  <c:v>92.18</c:v>
                </c:pt>
                <c:pt idx="5">
                  <c:v>71.819999999999993</c:v>
                </c:pt>
                <c:pt idx="6">
                  <c:v>74.89</c:v>
                </c:pt>
                <c:pt idx="7">
                  <c:v>85.96</c:v>
                </c:pt>
                <c:pt idx="8">
                  <c:v>74.69</c:v>
                </c:pt>
                <c:pt idx="9">
                  <c:v>114.29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C40-49E5-8563-DFF793145FCD}"/>
            </c:ext>
          </c:extLst>
        </c:ser>
        <c:ser>
          <c:idx val="1"/>
          <c:order val="1"/>
          <c:tx>
            <c:strRef>
              <c:f>Feuil2!$I$18:$I$19</c:f>
              <c:strCache>
                <c:ptCount val="1"/>
                <c:pt idx="0">
                  <c:v>PEG DYNAMIQUE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Feuil2!$G$20:$G$29</c:f>
              <c:strCache>
                <c:ptCount val="10"/>
                <c:pt idx="0">
                  <c:v>2017-12</c:v>
                </c:pt>
                <c:pt idx="1">
                  <c:v>2018-07</c:v>
                </c:pt>
                <c:pt idx="2">
                  <c:v>2018-12</c:v>
                </c:pt>
                <c:pt idx="3">
                  <c:v>2019-07</c:v>
                </c:pt>
                <c:pt idx="4">
                  <c:v>2019-12</c:v>
                </c:pt>
                <c:pt idx="5">
                  <c:v>2020-06</c:v>
                </c:pt>
                <c:pt idx="6">
                  <c:v>2020-12</c:v>
                </c:pt>
                <c:pt idx="7">
                  <c:v>2021-07</c:v>
                </c:pt>
                <c:pt idx="8">
                  <c:v>2021-12</c:v>
                </c:pt>
                <c:pt idx="9">
                  <c:v>2022-06</c:v>
                </c:pt>
              </c:strCache>
            </c:strRef>
          </c:cat>
          <c:val>
            <c:numRef>
              <c:f>Feuil2!$I$20:$I$29</c:f>
              <c:numCache>
                <c:formatCode>General</c:formatCode>
                <c:ptCount val="10"/>
                <c:pt idx="8">
                  <c:v>28.41</c:v>
                </c:pt>
                <c:pt idx="9">
                  <c:v>26.533999999999999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C40-49E5-8563-DFF793145FCD}"/>
            </c:ext>
          </c:extLst>
        </c:ser>
        <c:ser>
          <c:idx val="2"/>
          <c:order val="2"/>
          <c:tx>
            <c:strRef>
              <c:f>Feuil2!$J$18:$J$19</c:f>
              <c:strCache>
                <c:ptCount val="1"/>
                <c:pt idx="0">
                  <c:v>PEG EQUILIBRE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Feuil2!$G$20:$G$29</c:f>
              <c:strCache>
                <c:ptCount val="10"/>
                <c:pt idx="0">
                  <c:v>2017-12</c:v>
                </c:pt>
                <c:pt idx="1">
                  <c:v>2018-07</c:v>
                </c:pt>
                <c:pt idx="2">
                  <c:v>2018-12</c:v>
                </c:pt>
                <c:pt idx="3">
                  <c:v>2019-07</c:v>
                </c:pt>
                <c:pt idx="4">
                  <c:v>2019-12</c:v>
                </c:pt>
                <c:pt idx="5">
                  <c:v>2020-06</c:v>
                </c:pt>
                <c:pt idx="6">
                  <c:v>2020-12</c:v>
                </c:pt>
                <c:pt idx="7">
                  <c:v>2021-07</c:v>
                </c:pt>
                <c:pt idx="8">
                  <c:v>2021-12</c:v>
                </c:pt>
                <c:pt idx="9">
                  <c:v>2022-06</c:v>
                </c:pt>
              </c:strCache>
            </c:strRef>
          </c:cat>
          <c:val>
            <c:numRef>
              <c:f>Feuil2!$J$20:$J$29</c:f>
              <c:numCache>
                <c:formatCode>General</c:formatCode>
                <c:ptCount val="10"/>
                <c:pt idx="7">
                  <c:v>13.67</c:v>
                </c:pt>
                <c:pt idx="8">
                  <c:v>14.17</c:v>
                </c:pt>
                <c:pt idx="9">
                  <c:v>12.82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C40-49E5-8563-DFF793145FCD}"/>
            </c:ext>
          </c:extLst>
        </c:ser>
        <c:ser>
          <c:idx val="3"/>
          <c:order val="3"/>
          <c:tx>
            <c:strRef>
              <c:f>Feuil2!$K$18:$K$19</c:f>
              <c:strCache>
                <c:ptCount val="1"/>
                <c:pt idx="0">
                  <c:v>PEG MODEREE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Ref>
              <c:f>Feuil2!$G$20:$G$29</c:f>
              <c:strCache>
                <c:ptCount val="10"/>
                <c:pt idx="0">
                  <c:v>2017-12</c:v>
                </c:pt>
                <c:pt idx="1">
                  <c:v>2018-07</c:v>
                </c:pt>
                <c:pt idx="2">
                  <c:v>2018-12</c:v>
                </c:pt>
                <c:pt idx="3">
                  <c:v>2019-07</c:v>
                </c:pt>
                <c:pt idx="4">
                  <c:v>2019-12</c:v>
                </c:pt>
                <c:pt idx="5">
                  <c:v>2020-06</c:v>
                </c:pt>
                <c:pt idx="6">
                  <c:v>2020-12</c:v>
                </c:pt>
                <c:pt idx="7">
                  <c:v>2021-07</c:v>
                </c:pt>
                <c:pt idx="8">
                  <c:v>2021-12</c:v>
                </c:pt>
                <c:pt idx="9">
                  <c:v>2022-06</c:v>
                </c:pt>
              </c:strCache>
            </c:strRef>
          </c:cat>
          <c:val>
            <c:numRef>
              <c:f>Feuil2!$K$20:$K$29</c:f>
              <c:numCache>
                <c:formatCode>General</c:formatCode>
                <c:ptCount val="10"/>
                <c:pt idx="1">
                  <c:v>913.86</c:v>
                </c:pt>
                <c:pt idx="2">
                  <c:v>875.32</c:v>
                </c:pt>
                <c:pt idx="3">
                  <c:v>933.95</c:v>
                </c:pt>
                <c:pt idx="4">
                  <c:v>949.57</c:v>
                </c:pt>
                <c:pt idx="5">
                  <c:v>923.56</c:v>
                </c:pt>
                <c:pt idx="6">
                  <c:v>968.92</c:v>
                </c:pt>
                <c:pt idx="7">
                  <c:v>1003.29</c:v>
                </c:pt>
                <c:pt idx="8">
                  <c:v>1029.3599999999999</c:v>
                </c:pt>
                <c:pt idx="9">
                  <c:v>970.77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4C40-49E5-8563-DFF793145FCD}"/>
            </c:ext>
          </c:extLst>
        </c:ser>
        <c:ser>
          <c:idx val="4"/>
          <c:order val="4"/>
          <c:tx>
            <c:strRef>
              <c:f>Feuil2!$L$18:$L$19</c:f>
              <c:strCache>
                <c:ptCount val="1"/>
                <c:pt idx="0">
                  <c:v>PERCO DYNAMIQUE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strRef>
              <c:f>Feuil2!$G$20:$G$29</c:f>
              <c:strCache>
                <c:ptCount val="10"/>
                <c:pt idx="0">
                  <c:v>2017-12</c:v>
                </c:pt>
                <c:pt idx="1">
                  <c:v>2018-07</c:v>
                </c:pt>
                <c:pt idx="2">
                  <c:v>2018-12</c:v>
                </c:pt>
                <c:pt idx="3">
                  <c:v>2019-07</c:v>
                </c:pt>
                <c:pt idx="4">
                  <c:v>2019-12</c:v>
                </c:pt>
                <c:pt idx="5">
                  <c:v>2020-06</c:v>
                </c:pt>
                <c:pt idx="6">
                  <c:v>2020-12</c:v>
                </c:pt>
                <c:pt idx="7">
                  <c:v>2021-07</c:v>
                </c:pt>
                <c:pt idx="8">
                  <c:v>2021-12</c:v>
                </c:pt>
                <c:pt idx="9">
                  <c:v>2022-06</c:v>
                </c:pt>
              </c:strCache>
            </c:strRef>
          </c:cat>
          <c:val>
            <c:numRef>
              <c:f>Feuil2!$L$20:$L$29</c:f>
              <c:numCache>
                <c:formatCode>General</c:formatCode>
                <c:ptCount val="10"/>
                <c:pt idx="8">
                  <c:v>26.73</c:v>
                </c:pt>
                <c:pt idx="9">
                  <c:v>24.943000000000001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4C40-49E5-8563-DFF793145FCD}"/>
            </c:ext>
          </c:extLst>
        </c:ser>
        <c:ser>
          <c:idx val="5"/>
          <c:order val="5"/>
          <c:tx>
            <c:strRef>
              <c:f>Feuil2!$M$18:$M$19</c:f>
              <c:strCache>
                <c:ptCount val="1"/>
                <c:pt idx="0">
                  <c:v>PERCO EQULIBRE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strRef>
              <c:f>Feuil2!$G$20:$G$29</c:f>
              <c:strCache>
                <c:ptCount val="10"/>
                <c:pt idx="0">
                  <c:v>2017-12</c:v>
                </c:pt>
                <c:pt idx="1">
                  <c:v>2018-07</c:v>
                </c:pt>
                <c:pt idx="2">
                  <c:v>2018-12</c:v>
                </c:pt>
                <c:pt idx="3">
                  <c:v>2019-07</c:v>
                </c:pt>
                <c:pt idx="4">
                  <c:v>2019-12</c:v>
                </c:pt>
                <c:pt idx="5">
                  <c:v>2020-06</c:v>
                </c:pt>
                <c:pt idx="6">
                  <c:v>2020-12</c:v>
                </c:pt>
                <c:pt idx="7">
                  <c:v>2021-07</c:v>
                </c:pt>
                <c:pt idx="8">
                  <c:v>2021-12</c:v>
                </c:pt>
                <c:pt idx="9">
                  <c:v>2022-06</c:v>
                </c:pt>
              </c:strCache>
            </c:strRef>
          </c:cat>
          <c:val>
            <c:numRef>
              <c:f>Feuil2!$M$20:$M$29</c:f>
              <c:numCache>
                <c:formatCode>General</c:formatCode>
                <c:ptCount val="10"/>
                <c:pt idx="8">
                  <c:v>13.38</c:v>
                </c:pt>
                <c:pt idx="9">
                  <c:v>12.09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4C40-49E5-8563-DFF793145FCD}"/>
            </c:ext>
          </c:extLst>
        </c:ser>
        <c:ser>
          <c:idx val="6"/>
          <c:order val="6"/>
          <c:tx>
            <c:strRef>
              <c:f>Feuil2!$N$18:$N$19</c:f>
              <c:strCache>
                <c:ptCount val="1"/>
                <c:pt idx="0">
                  <c:v>PERCO MODEREE</c:v>
                </c:pt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Feuil2!$G$20:$G$29</c:f>
              <c:strCache>
                <c:ptCount val="10"/>
                <c:pt idx="0">
                  <c:v>2017-12</c:v>
                </c:pt>
                <c:pt idx="1">
                  <c:v>2018-07</c:v>
                </c:pt>
                <c:pt idx="2">
                  <c:v>2018-12</c:v>
                </c:pt>
                <c:pt idx="3">
                  <c:v>2019-07</c:v>
                </c:pt>
                <c:pt idx="4">
                  <c:v>2019-12</c:v>
                </c:pt>
                <c:pt idx="5">
                  <c:v>2020-06</c:v>
                </c:pt>
                <c:pt idx="6">
                  <c:v>2020-12</c:v>
                </c:pt>
                <c:pt idx="7">
                  <c:v>2021-07</c:v>
                </c:pt>
                <c:pt idx="8">
                  <c:v>2021-12</c:v>
                </c:pt>
                <c:pt idx="9">
                  <c:v>2022-06</c:v>
                </c:pt>
              </c:strCache>
            </c:strRef>
          </c:cat>
          <c:val>
            <c:numRef>
              <c:f>Feuil2!$N$20:$N$29</c:f>
              <c:numCache>
                <c:formatCode>General</c:formatCode>
                <c:ptCount val="10"/>
                <c:pt idx="6">
                  <c:v>141.08000000000001</c:v>
                </c:pt>
                <c:pt idx="8">
                  <c:v>149.61000000000001</c:v>
                </c:pt>
                <c:pt idx="9">
                  <c:v>140.99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4C40-49E5-8563-DFF793145FC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14100280"/>
        <c:axId val="514100608"/>
      </c:lineChart>
      <c:catAx>
        <c:axId val="51410028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14100608"/>
        <c:crosses val="autoZero"/>
        <c:auto val="1"/>
        <c:lblAlgn val="ctr"/>
        <c:lblOffset val="100"/>
        <c:noMultiLvlLbl val="0"/>
      </c:catAx>
      <c:valAx>
        <c:axId val="5141006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1410028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476250</xdr:colOff>
      <xdr:row>0</xdr:row>
      <xdr:rowOff>123825</xdr:rowOff>
    </xdr:from>
    <xdr:to>
      <xdr:col>14</xdr:col>
      <xdr:colOff>571500</xdr:colOff>
      <xdr:row>16</xdr:row>
      <xdr:rowOff>28575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8F6B0E7E-6923-D241-1BEA-AD7DCDF96F2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onathan" refreshedDate="44718.587679398152" createdVersion="8" refreshedVersion="8" minRefreshableVersion="3" recordCount="34" xr:uid="{E063EB78-015B-47E2-854A-D4261C9996F2}">
  <cacheSource type="worksheet">
    <worksheetSource name="Tableau2"/>
  </cacheSource>
  <cacheFields count="8">
    <cacheField name="Date" numFmtId="14">
      <sharedItems containsSemiMixedTypes="0" containsNonDate="0" containsDate="1" containsString="0" minDate="2017-12-31T00:00:00" maxDate="2022-06-07T00:00:00" count="10">
        <d v="2017-12-31T00:00:00"/>
        <d v="2018-07-21T00:00:00"/>
        <d v="2018-12-31T00:00:00"/>
        <d v="2019-07-21T00:00:00"/>
        <d v="2019-12-31T00:00:00"/>
        <d v="2020-06-30T00:00:00"/>
        <d v="2020-12-31T00:00:00"/>
        <d v="2021-07-21T00:00:00"/>
        <d v="2021-12-31T00:00:00"/>
        <d v="2022-06-06T00:00:00"/>
      </sharedItems>
    </cacheField>
    <cacheField name="Qui " numFmtId="0">
      <sharedItems/>
    </cacheField>
    <cacheField name="Etablissement" numFmtId="0">
      <sharedItems/>
    </cacheField>
    <cacheField name="Fond de placement" numFmtId="0">
      <sharedItems count="8">
        <s v="ACTION THALES"/>
        <s v="PEG MODEREE"/>
        <s v="PERCO OBLIGATION"/>
        <s v="PERCO MODEREE"/>
        <s v="PEG EQUILIBRE"/>
        <s v="PEG DYNAMIQUE"/>
        <s v="PERCO EQULIBRE"/>
        <s v="PERCO DYNAMIQUE"/>
      </sharedItems>
    </cacheField>
    <cacheField name="PRIX" numFmtId="164">
      <sharedItems containsSemiMixedTypes="0" containsString="0" containsNumber="1" minValue="12.09" maxValue="1029.3599999999999"/>
    </cacheField>
    <cacheField name="Transaction" numFmtId="165">
      <sharedItems containsSemiMixedTypes="0" containsString="0" containsNumber="1" minValue="-48.754899999999999" maxValue="101.9755" count="21">
        <n v="48.754899999999999"/>
        <n v="-48.754899999999999"/>
        <n v="2.2818999999999998"/>
        <n v="0"/>
        <n v="1.1649"/>
        <n v="4.9964000000000004"/>
        <n v="45.163400000000003"/>
        <n v="1.55"/>
        <n v="0.2346"/>
        <n v="6.1532999999999998"/>
        <n v="53.821800000000003"/>
        <n v="0.73329999999999995"/>
        <n v="-2.7008000000000001"/>
        <n v="101.9755"/>
        <n v="47.216700000000003"/>
        <n v="30.604399999999998"/>
        <n v="-4.9964000000000004"/>
        <n v="1.0734999999999999"/>
        <n v="75.529899999999998"/>
        <n v="22.7943"/>
        <n v="1.306"/>
      </sharedItems>
    </cacheField>
    <cacheField name="Année-Mois" numFmtId="0">
      <sharedItems count="11">
        <s v="2017-12"/>
        <s v="2018-07"/>
        <s v="2018-12"/>
        <s v="2019-07"/>
        <s v="2019-12"/>
        <s v="2020-06"/>
        <s v="2020-12"/>
        <s v="2021-07"/>
        <s v="2021-12"/>
        <s v="2022-06"/>
        <s v="2021-06" u="1"/>
      </sharedItems>
    </cacheField>
    <cacheField name="Total" numFmtId="0" formula="PRIX*Transaction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4">
  <r>
    <x v="0"/>
    <s v="Jonathan"/>
    <s v="AMUNDI"/>
    <x v="0"/>
    <n v="89.22"/>
    <x v="0"/>
    <x v="0"/>
  </r>
  <r>
    <x v="1"/>
    <s v="Jonathan"/>
    <s v="AMUNDI"/>
    <x v="0"/>
    <n v="91.17"/>
    <x v="1"/>
    <x v="1"/>
  </r>
  <r>
    <x v="1"/>
    <s v="Jonathan"/>
    <s v="AMUNDI"/>
    <x v="1"/>
    <n v="913.86"/>
    <x v="2"/>
    <x v="1"/>
  </r>
  <r>
    <x v="2"/>
    <s v="Jonathan"/>
    <s v="AMUNDI"/>
    <x v="1"/>
    <n v="875.32"/>
    <x v="3"/>
    <x v="2"/>
  </r>
  <r>
    <x v="3"/>
    <s v="Jonathan"/>
    <s v="AMUNDI"/>
    <x v="1"/>
    <n v="933.95"/>
    <x v="4"/>
    <x v="3"/>
  </r>
  <r>
    <x v="3"/>
    <s v="Jonathan"/>
    <s v="AMUNDI"/>
    <x v="2"/>
    <n v="167.53"/>
    <x v="5"/>
    <x v="3"/>
  </r>
  <r>
    <x v="4"/>
    <s v="Jonathan"/>
    <s v="AMUNDI"/>
    <x v="1"/>
    <n v="949.57"/>
    <x v="3"/>
    <x v="4"/>
  </r>
  <r>
    <x v="4"/>
    <s v="Jonathan"/>
    <s v="AMUNDI"/>
    <x v="0"/>
    <n v="92.18"/>
    <x v="6"/>
    <x v="4"/>
  </r>
  <r>
    <x v="4"/>
    <s v="Jonathan"/>
    <s v="AMUNDI"/>
    <x v="2"/>
    <n v="167.35"/>
    <x v="3"/>
    <x v="4"/>
  </r>
  <r>
    <x v="5"/>
    <s v="Jonathan"/>
    <s v="AMUNDI"/>
    <x v="1"/>
    <n v="923.56"/>
    <x v="3"/>
    <x v="5"/>
  </r>
  <r>
    <x v="5"/>
    <s v="Jonathan"/>
    <s v="AMUNDI"/>
    <x v="0"/>
    <n v="71.819999999999993"/>
    <x v="3"/>
    <x v="5"/>
  </r>
  <r>
    <x v="5"/>
    <s v="Jonathan"/>
    <s v="AMUNDI"/>
    <x v="2"/>
    <n v="169.29"/>
    <x v="3"/>
    <x v="5"/>
  </r>
  <r>
    <x v="6"/>
    <s v="Jonathan"/>
    <s v="AMUNDI"/>
    <x v="1"/>
    <n v="968.92"/>
    <x v="7"/>
    <x v="6"/>
  </r>
  <r>
    <x v="6"/>
    <s v="Jonathan"/>
    <s v="AMUNDI"/>
    <x v="0"/>
    <n v="74.89"/>
    <x v="8"/>
    <x v="6"/>
  </r>
  <r>
    <x v="6"/>
    <s v="Jonathan"/>
    <s v="AMUNDI"/>
    <x v="2"/>
    <n v="175.81"/>
    <x v="3"/>
    <x v="6"/>
  </r>
  <r>
    <x v="6"/>
    <s v="Jonathan"/>
    <s v="AMUNDI"/>
    <x v="3"/>
    <n v="141.08000000000001"/>
    <x v="9"/>
    <x v="6"/>
  </r>
  <r>
    <x v="7"/>
    <s v="Jonathan"/>
    <s v="AMUNDI"/>
    <x v="1"/>
    <n v="1003.29"/>
    <x v="3"/>
    <x v="7"/>
  </r>
  <r>
    <x v="7"/>
    <s v="Jonathan"/>
    <s v="AMUNDI"/>
    <x v="4"/>
    <n v="13.67"/>
    <x v="10"/>
    <x v="7"/>
  </r>
  <r>
    <x v="7"/>
    <s v="Jonathan"/>
    <s v="AMUNDI"/>
    <x v="0"/>
    <n v="85.96"/>
    <x v="11"/>
    <x v="7"/>
  </r>
  <r>
    <x v="8"/>
    <s v="Jonathan"/>
    <s v="AMUNDI"/>
    <x v="1"/>
    <n v="1029.3599999999999"/>
    <x v="12"/>
    <x v="8"/>
  </r>
  <r>
    <x v="8"/>
    <s v="Jonathan"/>
    <s v="AMUNDI"/>
    <x v="4"/>
    <n v="14.17"/>
    <x v="13"/>
    <x v="8"/>
  </r>
  <r>
    <x v="8"/>
    <s v="Jonathan"/>
    <s v="AMUNDI"/>
    <x v="5"/>
    <n v="28.41"/>
    <x v="14"/>
    <x v="8"/>
  </r>
  <r>
    <x v="8"/>
    <s v="Jonathan"/>
    <s v="AMUNDI"/>
    <x v="0"/>
    <n v="74.69"/>
    <x v="15"/>
    <x v="8"/>
  </r>
  <r>
    <x v="8"/>
    <s v="Jonathan"/>
    <s v="AMUNDI"/>
    <x v="2"/>
    <n v="175.81"/>
    <x v="16"/>
    <x v="8"/>
  </r>
  <r>
    <x v="8"/>
    <s v="Jonathan"/>
    <s v="AMUNDI"/>
    <x v="3"/>
    <n v="149.61000000000001"/>
    <x v="17"/>
    <x v="8"/>
  </r>
  <r>
    <x v="8"/>
    <s v="Jonathan"/>
    <s v="AMUNDI"/>
    <x v="6"/>
    <n v="13.38"/>
    <x v="18"/>
    <x v="8"/>
  </r>
  <r>
    <x v="8"/>
    <s v="Jonathan"/>
    <s v="AMUNDI"/>
    <x v="7"/>
    <n v="26.73"/>
    <x v="19"/>
    <x v="8"/>
  </r>
  <r>
    <x v="9"/>
    <s v="Jonathan"/>
    <s v="AMUNDI"/>
    <x v="1"/>
    <n v="970.77"/>
    <x v="3"/>
    <x v="9"/>
  </r>
  <r>
    <x v="9"/>
    <s v="Jonathan"/>
    <s v="AMUNDI"/>
    <x v="4"/>
    <n v="12.82"/>
    <x v="3"/>
    <x v="9"/>
  </r>
  <r>
    <x v="9"/>
    <s v="Jonathan"/>
    <s v="AMUNDI"/>
    <x v="5"/>
    <n v="26.533999999999999"/>
    <x v="3"/>
    <x v="9"/>
  </r>
  <r>
    <x v="9"/>
    <s v="Jonathan"/>
    <s v="AMUNDI"/>
    <x v="0"/>
    <n v="114.29"/>
    <x v="20"/>
    <x v="9"/>
  </r>
  <r>
    <x v="9"/>
    <s v="Jonathan"/>
    <s v="AMUNDI"/>
    <x v="3"/>
    <n v="140.99"/>
    <x v="3"/>
    <x v="9"/>
  </r>
  <r>
    <x v="9"/>
    <s v="Jonathan"/>
    <s v="AMUNDI"/>
    <x v="6"/>
    <n v="12.09"/>
    <x v="3"/>
    <x v="9"/>
  </r>
  <r>
    <x v="9"/>
    <s v="Jonathan"/>
    <s v="AMUNDI"/>
    <x v="7"/>
    <n v="24.943000000000001"/>
    <x v="3"/>
    <x v="9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8B4B615-C713-44DE-B98D-E097710CB24C}" name="Tableau croisé dynamique1" cacheId="1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 rowHeaderCaption="placements">
  <location ref="G3:H12" firstHeaderRow="1" firstDataRow="1" firstDataCol="1"/>
  <pivotFields count="8">
    <pivotField numFmtId="14" showAll="0"/>
    <pivotField showAll="0"/>
    <pivotField showAll="0"/>
    <pivotField axis="axisRow" showAll="0" sortType="descending">
      <items count="9">
        <item x="2"/>
        <item x="3"/>
        <item x="6"/>
        <item x="7"/>
        <item x="1"/>
        <item x="4"/>
        <item x="5"/>
        <item n="ACTION " x="0"/>
        <item t="default"/>
      </items>
    </pivotField>
    <pivotField showAll="0"/>
    <pivotField dataField="1" showAll="0"/>
    <pivotField showAll="0"/>
    <pivotField dragToRow="0" dragToCol="0" dragToPage="0" showAll="0" defaultSubtotal="0"/>
  </pivotFields>
  <rowFields count="1">
    <field x="3"/>
  </rowFields>
  <rowItems count="9">
    <i>
      <x/>
    </i>
    <i>
      <x v="1"/>
    </i>
    <i>
      <x v="2"/>
    </i>
    <i>
      <x v="3"/>
    </i>
    <i>
      <x v="4"/>
    </i>
    <i>
      <x v="5"/>
    </i>
    <i>
      <x v="6"/>
    </i>
    <i>
      <x v="7"/>
    </i>
    <i t="grand">
      <x/>
    </i>
  </rowItems>
  <colItems count="1">
    <i/>
  </colItems>
  <dataFields count="1">
    <dataField name="Nombre de parts" fld="5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9356E63-E109-4944-B4DC-50A45D2F4C39}" name="Tableau croisé dynamique5" cacheId="1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>
  <location ref="G35:I72" firstHeaderRow="0" firstDataRow="1" firstDataCol="1"/>
  <pivotFields count="8">
    <pivotField numFmtId="14" showAll="0">
      <items count="11">
        <item x="0"/>
        <item x="1"/>
        <item x="2"/>
        <item x="3"/>
        <item x="4"/>
        <item x="5"/>
        <item x="6"/>
        <item x="7"/>
        <item x="8"/>
        <item x="9"/>
        <item t="default"/>
      </items>
    </pivotField>
    <pivotField showAll="0"/>
    <pivotField showAll="0"/>
    <pivotField axis="axisRow" showAll="0" sortType="descending">
      <items count="9">
        <item h="1" x="2"/>
        <item x="3"/>
        <item x="6"/>
        <item x="7"/>
        <item x="1"/>
        <item x="4"/>
        <item x="5"/>
        <item n="ACTION " x="0"/>
        <item t="default"/>
      </items>
    </pivotField>
    <pivotField dataField="1" numFmtId="164" showAll="0"/>
    <pivotField numFmtId="165" showAll="0">
      <items count="22">
        <item x="1"/>
        <item x="16"/>
        <item x="12"/>
        <item x="3"/>
        <item x="8"/>
        <item x="11"/>
        <item x="17"/>
        <item x="4"/>
        <item x="20"/>
        <item x="7"/>
        <item x="2"/>
        <item x="5"/>
        <item x="9"/>
        <item x="19"/>
        <item x="15"/>
        <item x="6"/>
        <item x="14"/>
        <item x="0"/>
        <item x="10"/>
        <item x="18"/>
        <item x="13"/>
        <item t="default"/>
      </items>
    </pivotField>
    <pivotField axis="axisRow" showAll="0">
      <items count="12">
        <item x="0"/>
        <item x="1"/>
        <item x="2"/>
        <item x="3"/>
        <item x="4"/>
        <item x="5"/>
        <item x="6"/>
        <item m="1" x="10"/>
        <item x="7"/>
        <item x="8"/>
        <item x="9"/>
        <item t="default"/>
      </items>
    </pivotField>
    <pivotField dragToRow="0" dragToCol="0" dragToPage="0" showAll="0" defaultSubtotal="0"/>
  </pivotFields>
  <rowFields count="2">
    <field x="3"/>
    <field x="6"/>
  </rowFields>
  <rowItems count="37">
    <i>
      <x v="1"/>
    </i>
    <i r="1">
      <x v="6"/>
    </i>
    <i r="1">
      <x v="9"/>
    </i>
    <i r="1">
      <x v="10"/>
    </i>
    <i>
      <x v="2"/>
    </i>
    <i r="1">
      <x v="9"/>
    </i>
    <i r="1">
      <x v="10"/>
    </i>
    <i>
      <x v="3"/>
    </i>
    <i r="1">
      <x v="9"/>
    </i>
    <i r="1">
      <x v="10"/>
    </i>
    <i>
      <x v="4"/>
    </i>
    <i r="1">
      <x v="1"/>
    </i>
    <i r="1">
      <x v="2"/>
    </i>
    <i r="1">
      <x v="3"/>
    </i>
    <i r="1">
      <x v="4"/>
    </i>
    <i r="1">
      <x v="5"/>
    </i>
    <i r="1">
      <x v="6"/>
    </i>
    <i r="1">
      <x v="8"/>
    </i>
    <i r="1">
      <x v="9"/>
    </i>
    <i r="1">
      <x v="10"/>
    </i>
    <i>
      <x v="5"/>
    </i>
    <i r="1">
      <x v="8"/>
    </i>
    <i r="1">
      <x v="9"/>
    </i>
    <i r="1">
      <x v="10"/>
    </i>
    <i>
      <x v="6"/>
    </i>
    <i r="1">
      <x v="9"/>
    </i>
    <i r="1">
      <x v="10"/>
    </i>
    <i>
      <x v="7"/>
    </i>
    <i r="1">
      <x/>
    </i>
    <i r="1">
      <x v="1"/>
    </i>
    <i r="1">
      <x v="4"/>
    </i>
    <i r="1">
      <x v="5"/>
    </i>
    <i r="1">
      <x v="6"/>
    </i>
    <i r="1">
      <x v="8"/>
    </i>
    <i r="1">
      <x v="9"/>
    </i>
    <i r="1">
      <x v="10"/>
    </i>
    <i t="grand">
      <x/>
    </i>
  </rowItems>
  <colFields count="1">
    <field x="-2"/>
  </colFields>
  <colItems count="2">
    <i>
      <x/>
    </i>
    <i i="1">
      <x v="1"/>
    </i>
  </colItems>
  <dataFields count="2">
    <dataField name="Somme de PRIX" fld="4" baseField="0" baseItem="0"/>
    <dataField name="Somme de PRIX2" fld="4" showDataAs="percent" baseField="6" baseItem="1048828" numFmtId="1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9883E95-E43E-4B9B-99FA-750E4FBA821A}" name="Tableau croisé dynamique3" cacheId="1" applyNumberFormats="0" applyBorderFormats="0" applyFontFormats="0" applyPatternFormats="0" applyAlignmentFormats="0" applyWidthHeightFormats="1" dataCaption="Valeurs" updatedVersion="8" minRefreshableVersion="3" useAutoFormatting="1" rowGrandTotals="0" colGrandTotals="0" itemPrintTitles="1" createdVersion="8" indent="0" outline="1" outlineData="1" multipleFieldFilters="0" chartFormat="1">
  <location ref="G18:N29" firstHeaderRow="1" firstDataRow="2" firstDataCol="1"/>
  <pivotFields count="8">
    <pivotField numFmtId="14" showAll="0"/>
    <pivotField showAll="0"/>
    <pivotField showAll="0"/>
    <pivotField axis="axisCol" showAll="0">
      <items count="9">
        <item n="ACTION " x="0"/>
        <item x="5"/>
        <item x="4"/>
        <item x="1"/>
        <item x="7"/>
        <item x="6"/>
        <item x="3"/>
        <item h="1" x="2"/>
        <item t="default"/>
      </items>
    </pivotField>
    <pivotField dataField="1" showAll="0"/>
    <pivotField showAll="0"/>
    <pivotField axis="axisRow" showAll="0">
      <items count="12">
        <item x="0"/>
        <item x="1"/>
        <item x="2"/>
        <item x="3"/>
        <item x="4"/>
        <item x="5"/>
        <item x="6"/>
        <item x="7"/>
        <item x="8"/>
        <item m="1" x="10"/>
        <item x="9"/>
        <item t="default"/>
      </items>
    </pivotField>
    <pivotField dragToRow="0" dragToCol="0" dragToPage="0" showAll="0" defaultSubtotal="0"/>
  </pivotFields>
  <rowFields count="1">
    <field x="6"/>
  </rowFields>
  <rowItems count="1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10"/>
    </i>
  </rowItems>
  <colFields count="1">
    <field x="3"/>
  </colFields>
  <colItems count="7">
    <i>
      <x/>
    </i>
    <i>
      <x v="1"/>
    </i>
    <i>
      <x v="2"/>
    </i>
    <i>
      <x v="3"/>
    </i>
    <i>
      <x v="4"/>
    </i>
    <i>
      <x v="5"/>
    </i>
    <i>
      <x v="6"/>
    </i>
  </colItems>
  <dataFields count="1">
    <dataField name="évolution du prix des parts" fld="4" baseField="0" baseItem="0"/>
  </dataFields>
  <chartFormats count="8">
    <chartFormat chart="0" format="0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1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2"/>
          </reference>
        </references>
      </pivotArea>
    </chartFormat>
    <chartFormat chart="0" format="3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3"/>
          </reference>
        </references>
      </pivotArea>
    </chartFormat>
    <chartFormat chart="0" format="4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4"/>
          </reference>
        </references>
      </pivotArea>
    </chartFormat>
    <chartFormat chart="0" format="5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5"/>
          </reference>
        </references>
      </pivotArea>
    </chartFormat>
    <chartFormat chart="0" format="6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6"/>
          </reference>
        </references>
      </pivotArea>
    </chartFormat>
    <chartFormat chart="0" format="7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7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A76298E3-3892-4E45-AF8B-0DEBA7ECBB21}" autoFormatId="16" applyNumberFormats="0" applyBorderFormats="0" applyFontFormats="0" applyPatternFormats="0" applyAlignmentFormats="0" applyWidthHeightFormats="0">
  <queryTableRefresh nextId="9">
    <queryTableFields count="6">
      <queryTableField id="1" name="Date" tableColumnId="1"/>
      <queryTableField id="2" name="Fond de placement" tableColumnId="2"/>
      <queryTableField id="3" name="PRIX" tableColumnId="3"/>
      <queryTableField id="5" name="Transaction" tableColumnId="5"/>
      <queryTableField id="6" name="Montant" tableColumnId="6"/>
      <queryTableField id="4" name="Evolution prix" tableColumnId="4"/>
    </queryTableFields>
  </queryTableRefresh>
</queryTable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2:J8" totalsRowShown="0">
  <autoFilter ref="A2:J8" xr:uid="{00000000-0009-0000-0100-000001000000}"/>
  <tableColumns count="10">
    <tableColumn id="1" xr3:uid="{00000000-0010-0000-0000-000001000000}" name="Date" dataDxfId="13"/>
    <tableColumn id="2" xr3:uid="{00000000-0010-0000-0000-000002000000}" name="Versement" dataDxfId="12" dataCellStyle="Monétaire"/>
    <tableColumn id="3" xr3:uid="{00000000-0010-0000-0000-000003000000}" name="Relevé" dataDxfId="11" dataCellStyle="Monétaire">
      <calculatedColumnFormula>C2*(1+(0.02/12))</calculatedColumnFormula>
    </tableColumn>
    <tableColumn id="10" xr3:uid="{BBF684A9-1B70-4929-A4F3-224CE0CF1232}" name="Colonne3" dataDxfId="10" dataCellStyle="Monétaire">
      <calculatedColumnFormula>IF(A2="Date",Tableau1[[#This Row],[Relevé]]-Tableau1[[#This Row],[Versement]]-C1,Tableau1[[#This Row],[Relevé]]-Tableau1[[#This Row],[Versement]]-C2)</calculatedColumnFormula>
    </tableColumn>
    <tableColumn id="4" xr3:uid="{00000000-0010-0000-0000-000004000000}" name="Année" dataDxfId="9">
      <calculatedColumnFormula>YEAR(Tableau1[[#This Row],[Date]])</calculatedColumnFormula>
    </tableColumn>
    <tableColumn id="5" xr3:uid="{00000000-0010-0000-0000-000005000000}" name="Mois" dataDxfId="8">
      <calculatedColumnFormula>IF(MONTH(Tableau1[[#This Row],[Date]])&lt;10,CONCATENATE("0",MONTH(Tableau1[[#This Row],[Date]])),MONTH(Tableau1[[#This Row],[Date]]))</calculatedColumnFormula>
    </tableColumn>
    <tableColumn id="6" xr3:uid="{00000000-0010-0000-0000-000006000000}" name="Année-Mois" dataDxfId="7">
      <calculatedColumnFormula>CONCATENATE(Tableau1[[#This Row],[Année]],"-",Tableau1[[#This Row],[Mois]])</calculatedColumnFormula>
    </tableColumn>
    <tableColumn id="7" xr3:uid="{00000000-0010-0000-0000-000007000000}" name="rendement moyen mensuel" dataCellStyle="Pourcentage">
      <calculatedColumnFormula>IF(A2="Date",(Tableau1[[#This Row],[Relevé]]-C1-Tableau1[[#This Row],[Versement]])/C1,(Tableau1[[#This Row],[Relevé]]-C2-Tableau1[[#This Row],[Versement]])/C2)</calculatedColumnFormula>
    </tableColumn>
    <tableColumn id="8" xr3:uid="{00000000-0010-0000-0000-000008000000}" name="Colonne1" dataDxfId="6">
      <calculatedColumnFormula>IF(A2="Date",Tableau1[[#This Row],[Date]]-A1,Tableau1[[#This Row],[Date]]-A2)</calculatedColumnFormula>
    </tableColumn>
    <tableColumn id="9" xr3:uid="{00000000-0010-0000-0000-000009000000}" name="Colonne2" dataCellStyle="Pourcentage">
      <calculatedColumnFormula>Tableau1[[#This Row],[rendement moyen mensuel]]*364/Tableau1[[#This Row],[Colonne1]]</calculatedColumnFormula>
    </tableColumn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3BAE315-7B9B-45EF-817C-9D5158793AFD}" name="Tableau2" displayName="Tableau2" ref="A1:E35" totalsRowShown="0">
  <autoFilter ref="A1:E35" xr:uid="{33BAE315-7B9B-45EF-817C-9D5158793AFD}"/>
  <tableColumns count="5">
    <tableColumn id="1" xr3:uid="{4B7AF38E-02E4-4AC5-BBD1-9121A80F0CB7}" name="Date" dataDxfId="5"/>
    <tableColumn id="4" xr3:uid="{5A4F92D5-3F06-4DDD-B0C2-2816E060DD5E}" name="Fond de placement"/>
    <tableColumn id="12" xr3:uid="{4E817985-0FD0-4648-92EC-F75643DB897A}" name="PRIX" dataDxfId="4"/>
    <tableColumn id="11" xr3:uid="{9CC06A65-12D0-4164-8DAE-26D707D171FE}" name="Transaction" dataDxfId="3"/>
    <tableColumn id="9" xr3:uid="{7D19744E-A693-4B5C-B4F6-FD9D23C597A2}" name="Année-Mois">
      <calculatedColumnFormula>CONCATENATE(YEAR(Tableau2[[#This Row],[Date]]),"-",IF(MONTH(Tableau2[[#This Row],[Date]])&lt;10,CONCATENATE("0",MONTH(Tableau2[[#This Row],[Date]])),MONTH(Tableau2[[#This Row],[Date]])))</calculatedColumnFormula>
    </tableColumn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A71A8655-ABC8-420B-ACAB-7F776CA64DDB}" name="Tableau3" displayName="Tableau3" ref="J2:J12" totalsRowShown="0">
  <autoFilter ref="J2:J12" xr:uid="{A71A8655-ABC8-420B-ACAB-7F776CA64DDB}"/>
  <sortState xmlns:xlrd2="http://schemas.microsoft.com/office/spreadsheetml/2017/richdata2" ref="J3:J12">
    <sortCondition descending="1" ref="J2:J12"/>
  </sortState>
  <tableColumns count="1">
    <tableColumn id="1" xr3:uid="{A46C8987-831A-4412-935F-6F44B96D72D2}" name="liste"/>
  </tableColumns>
  <tableStyleInfo name="TableStyleLight21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4523359F-6ADD-47B2-A4DA-C3682596F026}" name="Tableau2_2" displayName="Tableau2_2" ref="A1:F36" tableType="queryTable" totalsRowCount="1">
  <autoFilter ref="A1:F35" xr:uid="{4523359F-6ADD-47B2-A4DA-C3682596F026}"/>
  <tableColumns count="6">
    <tableColumn id="1" xr3:uid="{7474B670-ED56-4C4F-A75A-F6942749D74A}" uniqueName="1" name="Date" totalsRowLabel="Total" queryTableFieldId="1" dataDxfId="2"/>
    <tableColumn id="2" xr3:uid="{35420587-37D2-449D-B6C9-F857ECC86D1D}" uniqueName="2" name="Fond de placement" queryTableFieldId="2" dataDxfId="1"/>
    <tableColumn id="3" xr3:uid="{DCDD0ACE-010A-40F2-886C-62B4F0B9AD59}" uniqueName="3" name="PRIX" queryTableFieldId="3"/>
    <tableColumn id="5" xr3:uid="{CC858D76-3C1D-4700-9980-5939C08F29D3}" uniqueName="5" name="Transaction" queryTableFieldId="5" dataCellStyle="Pourcentage" totalsRowCellStyle="Pourcentage"/>
    <tableColumn id="6" xr3:uid="{265A6D9D-C521-452C-88B2-72E759C7986C}" uniqueName="6" name="Montant" totalsRowFunction="sum" queryTableFieldId="6" dataCellStyle="Monétaire" totalsRowCellStyle="Monétaire"/>
    <tableColumn id="4" xr3:uid="{F2F160AA-8387-4505-87A9-106A5D2B623D}" uniqueName="4" name="Evolution prix" totalsRowFunction="sum" queryTableFieldId="4" dataDxfId="0" dataCellStyle="Pourcentage" totalsRowCellStyle="Pourcentage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7" Type="http://schemas.openxmlformats.org/officeDocument/2006/relationships/table" Target="../tables/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table" Target="../tables/table2.xm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1"/>
  <sheetViews>
    <sheetView workbookViewId="0">
      <selection activeCell="D4" sqref="D4"/>
    </sheetView>
  </sheetViews>
  <sheetFormatPr baseColWidth="10" defaultRowHeight="15" x14ac:dyDescent="0.25"/>
  <cols>
    <col min="1" max="1" width="10.7109375" bestFit="1" customWidth="1"/>
    <col min="2" max="2" width="13.140625" bestFit="1" customWidth="1"/>
    <col min="3" max="3" width="11.85546875" bestFit="1" customWidth="1"/>
    <col min="4" max="4" width="11.7109375" bestFit="1" customWidth="1"/>
    <col min="5" max="5" width="9.140625" bestFit="1" customWidth="1"/>
    <col min="6" max="6" width="7.7109375" bestFit="1" customWidth="1"/>
    <col min="7" max="7" width="14.28515625" bestFit="1" customWidth="1"/>
    <col min="8" max="8" width="28.28515625" bestFit="1" customWidth="1"/>
    <col min="9" max="10" width="11.7109375" bestFit="1" customWidth="1"/>
    <col min="11" max="13" width="10.7109375" customWidth="1"/>
    <col min="14" max="14" width="13.28515625" bestFit="1" customWidth="1"/>
  </cols>
  <sheetData>
    <row r="1" spans="1:10" x14ac:dyDescent="0.25">
      <c r="A1" s="1">
        <v>43646</v>
      </c>
      <c r="B1" s="2">
        <f>2984.04+746.01</f>
        <v>3730.05</v>
      </c>
      <c r="C1" s="2">
        <f>4163.16-433.11</f>
        <v>3730.0499999999997</v>
      </c>
    </row>
    <row r="2" spans="1:10" x14ac:dyDescent="0.25">
      <c r="A2" t="s">
        <v>0</v>
      </c>
      <c r="B2" t="s">
        <v>1</v>
      </c>
      <c r="C2" t="s">
        <v>2</v>
      </c>
      <c r="D2" t="s">
        <v>9</v>
      </c>
      <c r="E2" t="s">
        <v>3</v>
      </c>
      <c r="F2" t="s">
        <v>4</v>
      </c>
      <c r="G2" t="s">
        <v>5</v>
      </c>
      <c r="H2" t="s">
        <v>6</v>
      </c>
      <c r="I2" t="s">
        <v>7</v>
      </c>
      <c r="J2" t="s">
        <v>8</v>
      </c>
    </row>
    <row r="3" spans="1:10" x14ac:dyDescent="0.25">
      <c r="A3" s="1">
        <v>43830</v>
      </c>
      <c r="B3" s="2">
        <v>0</v>
      </c>
      <c r="C3" s="2">
        <v>4163.16</v>
      </c>
      <c r="D3" s="7">
        <f>IF(A2="Date",Tableau1[[#This Row],[Relevé]]-Tableau1[[#This Row],[Versement]]-C1,Tableau1[[#This Row],[Relevé]]-Tableau1[[#This Row],[Versement]]-C2)</f>
        <v>433.11000000000013</v>
      </c>
      <c r="E3" s="4">
        <f>YEAR(Tableau1[[#This Row],[Date]])</f>
        <v>2019</v>
      </c>
      <c r="F3" s="5">
        <f>IF(MONTH(Tableau1[[#This Row],[Date]])&lt;10,CONCATENATE("0",MONTH(Tableau1[[#This Row],[Date]])),MONTH(Tableau1[[#This Row],[Date]]))</f>
        <v>12</v>
      </c>
      <c r="G3" s="4" t="str">
        <f>CONCATENATE(Tableau1[[#This Row],[Année]],"-",Tableau1[[#This Row],[Mois]])</f>
        <v>2019-12</v>
      </c>
      <c r="H3" s="8">
        <f>IF(A2="Date",(Tableau1[[#This Row],[Relevé]]-C1-Tableau1[[#This Row],[Versement]])/C1,(Tableau1[[#This Row],[Relevé]]-C2-Tableau1[[#This Row],[Versement]])/C2)</f>
        <v>0.11611372501709097</v>
      </c>
      <c r="I3" s="4">
        <f>IF(A2="Date",Tableau1[[#This Row],[Date]]-A1,Tableau1[[#This Row],[Date]]-A2)</f>
        <v>184</v>
      </c>
      <c r="J3" s="8">
        <f>Tableau1[[#This Row],[rendement moyen mensuel]]*364/Tableau1[[#This Row],[Colonne1]]</f>
        <v>0.22970323862076694</v>
      </c>
    </row>
    <row r="4" spans="1:10" x14ac:dyDescent="0.25">
      <c r="A4" s="1">
        <v>44012</v>
      </c>
      <c r="B4" s="2">
        <v>0</v>
      </c>
      <c r="C4" s="2">
        <v>3243.64</v>
      </c>
      <c r="D4" s="7">
        <f>IF(A3="Date",Tableau1[[#This Row],[Relevé]]-Tableau1[[#This Row],[Versement]]-C2,Tableau1[[#This Row],[Relevé]]-Tableau1[[#This Row],[Versement]]-C3)</f>
        <v>-919.52</v>
      </c>
      <c r="E4">
        <f>YEAR(Tableau1[[#This Row],[Date]])</f>
        <v>2020</v>
      </c>
      <c r="F4" s="3" t="str">
        <f>IF(MONTH(Tableau1[[#This Row],[Date]])&lt;10,CONCATENATE("0",MONTH(Tableau1[[#This Row],[Date]])),MONTH(Tableau1[[#This Row],[Date]]))</f>
        <v>06</v>
      </c>
      <c r="G4" t="str">
        <f>CONCATENATE(Tableau1[[#This Row],[Année]],"-",Tableau1[[#This Row],[Mois]])</f>
        <v>2020-06</v>
      </c>
      <c r="H4" s="8">
        <f>IF(A2="Date",(Tableau1[[#This Row],[Relevé]]-C1-Tableau1[[#This Row],[Versement]])/C1,(Tableau1[[#This Row],[Relevé]]-C2-Tableau1[[#This Row],[Versement]])/C2)</f>
        <v>-0.13040307770673312</v>
      </c>
      <c r="I4" s="4">
        <f>IF(A2="Date",Tableau1[[#This Row],[Date]]-A1,Tableau1[[#This Row],[Date]]-A2)</f>
        <v>366</v>
      </c>
      <c r="J4" s="8">
        <f>Tableau1[[#This Row],[rendement moyen mensuel]]*364/Tableau1[[#This Row],[Colonne1]]</f>
        <v>-0.12969049258265261</v>
      </c>
    </row>
    <row r="5" spans="1:10" x14ac:dyDescent="0.25">
      <c r="A5" s="1">
        <v>44196</v>
      </c>
      <c r="B5" s="2">
        <v>2318.86</v>
      </c>
      <c r="C5" s="2">
        <v>5797.99</v>
      </c>
      <c r="D5" s="7">
        <f>IF(A4="Date",Tableau1[[#This Row],[Relevé]]-Tableau1[[#This Row],[Versement]]-C3,Tableau1[[#This Row],[Relevé]]-Tableau1[[#This Row],[Versement]]-C4)</f>
        <v>235.48999999999978</v>
      </c>
      <c r="E5">
        <f>YEAR(Tableau1[[#This Row],[Date]])</f>
        <v>2020</v>
      </c>
      <c r="F5" s="3">
        <f>IF(MONTH(Tableau1[[#This Row],[Date]])&lt;10,CONCATENATE("0",MONTH(Tableau1[[#This Row],[Date]])),MONTH(Tableau1[[#This Row],[Date]]))</f>
        <v>12</v>
      </c>
      <c r="G5" t="str">
        <f>CONCATENATE(Tableau1[[#This Row],[Année]],"-",Tableau1[[#This Row],[Mois]])</f>
        <v>2020-12</v>
      </c>
      <c r="H5" s="8">
        <f>IF(A4="Date",(Tableau1[[#This Row],[Relevé]]-C2-Tableau1[[#This Row],[Versement]])/C2,(Tableau1[[#This Row],[Relevé]]-C4-Tableau1[[#This Row],[Versement]])/C4)</f>
        <v>7.2600535201193653E-2</v>
      </c>
      <c r="I5" s="4">
        <f>IF(A4="Date",Tableau1[[#This Row],[Date]]-A2,Tableau1[[#This Row],[Date]]-A4)</f>
        <v>184</v>
      </c>
      <c r="J5" s="8">
        <f>Tableau1[[#This Row],[rendement moyen mensuel]]*364/Tableau1[[#This Row],[Colonne1]]</f>
        <v>0.14362279789801355</v>
      </c>
    </row>
    <row r="6" spans="1:10" x14ac:dyDescent="0.25">
      <c r="A6" s="1">
        <v>44398</v>
      </c>
      <c r="B6" s="2">
        <f>1440.49+300</f>
        <v>1740.49</v>
      </c>
      <c r="C6" s="2">
        <v>8143.93</v>
      </c>
      <c r="D6" s="7">
        <f>IF(A5="Date",Tableau1[[#This Row],[Relevé]]-Tableau1[[#This Row],[Versement]]-C4,Tableau1[[#This Row],[Relevé]]-Tableau1[[#This Row],[Versement]]-C5)</f>
        <v>605.45000000000073</v>
      </c>
      <c r="E6">
        <f>YEAR(Tableau1[[#This Row],[Date]])</f>
        <v>2021</v>
      </c>
      <c r="F6" s="3" t="str">
        <f>IF(MONTH(Tableau1[[#This Row],[Date]])&lt;10,CONCATENATE("0",MONTH(Tableau1[[#This Row],[Date]])),MONTH(Tableau1[[#This Row],[Date]]))</f>
        <v>07</v>
      </c>
      <c r="G6" t="str">
        <f>CONCATENATE(Tableau1[[#This Row],[Année]],"-",Tableau1[[#This Row],[Mois]])</f>
        <v>2021-07</v>
      </c>
      <c r="H6" s="8">
        <f>IF(A5="Date",(Tableau1[[#This Row],[Relevé]]-C4-Tableau1[[#This Row],[Versement]])/C4,(Tableau1[[#This Row],[Relevé]]-C5-Tableau1[[#This Row],[Versement]])/C5)</f>
        <v>0.10442411939310012</v>
      </c>
      <c r="I6" s="4">
        <f>IF(A5="Date",Tableau1[[#This Row],[Date]]-A4,Tableau1[[#This Row],[Date]]-A5)</f>
        <v>202</v>
      </c>
      <c r="J6" s="8">
        <f>Tableau1[[#This Row],[rendement moyen mensuel]]*364/Tableau1[[#This Row],[Colonne1]]</f>
        <v>0.18817019534202198</v>
      </c>
    </row>
    <row r="7" spans="1:10" x14ac:dyDescent="0.25">
      <c r="A7" s="1">
        <v>44561</v>
      </c>
      <c r="B7" s="2">
        <v>0</v>
      </c>
      <c r="C7" s="2">
        <v>10015.9</v>
      </c>
      <c r="D7" s="7">
        <f>IF(A6="Date",Tableau1[[#This Row],[Relevé]]-Tableau1[[#This Row],[Versement]]-C5,Tableau1[[#This Row],[Relevé]]-Tableau1[[#This Row],[Versement]]-C6)</f>
        <v>1871.9699999999993</v>
      </c>
      <c r="E7">
        <f>YEAR(Tableau1[[#This Row],[Date]])</f>
        <v>2021</v>
      </c>
      <c r="F7" s="3">
        <f>IF(MONTH(Tableau1[[#This Row],[Date]])&lt;10,CONCATENATE("0",MONTH(Tableau1[[#This Row],[Date]])),MONTH(Tableau1[[#This Row],[Date]]))</f>
        <v>12</v>
      </c>
      <c r="G7" t="str">
        <f>CONCATENATE(Tableau1[[#This Row],[Année]],"-",Tableau1[[#This Row],[Mois]])</f>
        <v>2021-12</v>
      </c>
      <c r="H7" s="8">
        <f>IF(A6="Date",(Tableau1[[#This Row],[Relevé]]-C5-Tableau1[[#This Row],[Versement]])/C5,(Tableau1[[#This Row],[Relevé]]-C6-Tableau1[[#This Row],[Versement]])/C6)</f>
        <v>0.22986076746730377</v>
      </c>
      <c r="I7" s="4">
        <f>IF(A6="Date",Tableau1[[#This Row],[Date]]-A5,Tableau1[[#This Row],[Date]]-A6)</f>
        <v>163</v>
      </c>
      <c r="J7" s="8">
        <f>Tableau1[[#This Row],[rendement moyen mensuel]]*364/Tableau1[[#This Row],[Colonne1]]</f>
        <v>0.51330870771839621</v>
      </c>
    </row>
    <row r="8" spans="1:10" x14ac:dyDescent="0.25">
      <c r="A8" s="1">
        <v>44717</v>
      </c>
      <c r="B8" s="2"/>
      <c r="C8" s="9">
        <v>12923.49</v>
      </c>
      <c r="D8" s="7">
        <f>IF(A7="Date",Tableau1[[#This Row],[Relevé]]-Tableau1[[#This Row],[Versement]]-C6,Tableau1[[#This Row],[Relevé]]-Tableau1[[#This Row],[Versement]]-C7)</f>
        <v>2907.59</v>
      </c>
      <c r="E8" s="4">
        <f>YEAR(Tableau1[[#This Row],[Date]])</f>
        <v>2022</v>
      </c>
      <c r="F8" s="5" t="str">
        <f>IF(MONTH(Tableau1[[#This Row],[Date]])&lt;10,CONCATENATE("0",MONTH(Tableau1[[#This Row],[Date]])),MONTH(Tableau1[[#This Row],[Date]]))</f>
        <v>06</v>
      </c>
      <c r="G8" s="4" t="str">
        <f>CONCATENATE(Tableau1[[#This Row],[Année]],"-",Tableau1[[#This Row],[Mois]])</f>
        <v>2022-06</v>
      </c>
      <c r="H8" s="8">
        <f>IF(A7="Date",(Tableau1[[#This Row],[Relevé]]-C6-Tableau1[[#This Row],[Versement]])/C6,(Tableau1[[#This Row],[Relevé]]-C7-Tableau1[[#This Row],[Versement]])/C7)</f>
        <v>0.29029742709092543</v>
      </c>
      <c r="I8" s="4">
        <f>IF(A7="Date",Tableau1[[#This Row],[Date]]-A6,Tableau1[[#This Row],[Date]]-A7)</f>
        <v>156</v>
      </c>
      <c r="J8" s="8">
        <f>Tableau1[[#This Row],[rendement moyen mensuel]]*364/Tableau1[[#This Row],[Colonne1]]</f>
        <v>0.67736066321215938</v>
      </c>
    </row>
    <row r="11" spans="1:10" x14ac:dyDescent="0.25">
      <c r="E11" s="6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464EE1-1A75-4B1B-9EBB-1377B3706ABA}">
  <dimension ref="A1:N72"/>
  <sheetViews>
    <sheetView workbookViewId="0">
      <selection activeCell="D7" sqref="D7"/>
    </sheetView>
  </sheetViews>
  <sheetFormatPr baseColWidth="10" defaultRowHeight="15" x14ac:dyDescent="0.25"/>
  <cols>
    <col min="1" max="1" width="11.85546875" customWidth="1"/>
    <col min="2" max="2" width="21.85546875" customWidth="1"/>
    <col min="4" max="4" width="17" customWidth="1"/>
    <col min="7" max="7" width="21" bestFit="1" customWidth="1"/>
    <col min="8" max="8" width="14.85546875" bestFit="1" customWidth="1"/>
    <col min="9" max="9" width="15.85546875" bestFit="1" customWidth="1"/>
    <col min="10" max="10" width="15.28515625" bestFit="1" customWidth="1"/>
    <col min="11" max="11" width="13.7109375" bestFit="1" customWidth="1"/>
    <col min="12" max="12" width="18.85546875" bestFit="1" customWidth="1"/>
    <col min="13" max="13" width="15.85546875" bestFit="1" customWidth="1"/>
    <col min="14" max="14" width="16.140625" bestFit="1" customWidth="1"/>
    <col min="15" max="15" width="12.5703125" bestFit="1" customWidth="1"/>
    <col min="16" max="16" width="18.85546875" bestFit="1" customWidth="1"/>
    <col min="17" max="17" width="21.28515625" bestFit="1" customWidth="1"/>
    <col min="18" max="18" width="15.85546875" bestFit="1" customWidth="1"/>
    <col min="19" max="19" width="21.28515625" bestFit="1" customWidth="1"/>
    <col min="20" max="20" width="16.140625" bestFit="1" customWidth="1"/>
    <col min="21" max="21" width="21.28515625" bestFit="1" customWidth="1"/>
    <col min="22" max="22" width="19.85546875" bestFit="1" customWidth="1"/>
    <col min="23" max="23" width="26.140625" bestFit="1" customWidth="1"/>
  </cols>
  <sheetData>
    <row r="1" spans="1:10" x14ac:dyDescent="0.25">
      <c r="A1" t="s">
        <v>0</v>
      </c>
      <c r="B1" t="s">
        <v>10</v>
      </c>
      <c r="C1" t="s">
        <v>19</v>
      </c>
      <c r="D1" t="s">
        <v>20</v>
      </c>
      <c r="E1" t="s">
        <v>5</v>
      </c>
    </row>
    <row r="2" spans="1:10" x14ac:dyDescent="0.25">
      <c r="A2" s="1">
        <v>43100</v>
      </c>
      <c r="B2" t="s">
        <v>37</v>
      </c>
      <c r="C2" s="11">
        <v>89.22</v>
      </c>
      <c r="D2" s="12">
        <v>48.754899999999999</v>
      </c>
      <c r="E2" t="str">
        <f>CONCATENATE(YEAR(Tableau2[[#This Row],[Date]]),"-",IF(MONTH(Tableau2[[#This Row],[Date]])&lt;10,CONCATENATE("0",MONTH(Tableau2[[#This Row],[Date]])),MONTH(Tableau2[[#This Row],[Date]])))</f>
        <v>2017-12</v>
      </c>
      <c r="J2" t="s">
        <v>24</v>
      </c>
    </row>
    <row r="3" spans="1:10" x14ac:dyDescent="0.25">
      <c r="A3" s="1">
        <v>43302</v>
      </c>
      <c r="B3" t="s">
        <v>37</v>
      </c>
      <c r="C3" s="11">
        <v>91.17</v>
      </c>
      <c r="D3" s="12">
        <v>-48.754899999999999</v>
      </c>
      <c r="E3" t="str">
        <f>CONCATENATE(YEAR(Tableau2[[#This Row],[Date]]),"-",IF(MONTH(Tableau2[[#This Row],[Date]])&lt;10,CONCATENATE("0",MONTH(Tableau2[[#This Row],[Date]])),MONTH(Tableau2[[#This Row],[Date]])))</f>
        <v>2018-07</v>
      </c>
      <c r="G3" s="10" t="s">
        <v>40</v>
      </c>
      <c r="H3" t="s">
        <v>38</v>
      </c>
      <c r="J3" t="s">
        <v>21</v>
      </c>
    </row>
    <row r="4" spans="1:10" x14ac:dyDescent="0.25">
      <c r="A4" s="1">
        <v>43302</v>
      </c>
      <c r="B4" t="s">
        <v>11</v>
      </c>
      <c r="C4" s="11">
        <v>913.86</v>
      </c>
      <c r="D4" s="12">
        <v>2.2818999999999998</v>
      </c>
      <c r="E4" t="str">
        <f>CONCATENATE(YEAR(Tableau2[[#This Row],[Date]]),"-",IF(MONTH(Tableau2[[#This Row],[Date]])&lt;10,CONCATENATE("0",MONTH(Tableau2[[#This Row],[Date]])),MONTH(Tableau2[[#This Row],[Date]])))</f>
        <v>2018-07</v>
      </c>
      <c r="G4" s="3" t="s">
        <v>21</v>
      </c>
      <c r="H4" s="4">
        <v>0</v>
      </c>
      <c r="J4" t="s">
        <v>12</v>
      </c>
    </row>
    <row r="5" spans="1:10" x14ac:dyDescent="0.25">
      <c r="A5" s="1">
        <v>43465</v>
      </c>
      <c r="B5" t="s">
        <v>11</v>
      </c>
      <c r="C5" s="11">
        <v>875.32</v>
      </c>
      <c r="D5" s="12">
        <v>0</v>
      </c>
      <c r="E5" t="str">
        <f>CONCATENATE(YEAR(Tableau2[[#This Row],[Date]]),"-",IF(MONTH(Tableau2[[#This Row],[Date]])&lt;10,CONCATENATE("0",MONTH(Tableau2[[#This Row],[Date]])),MONTH(Tableau2[[#This Row],[Date]])))</f>
        <v>2018-12</v>
      </c>
      <c r="G5" s="3" t="s">
        <v>12</v>
      </c>
      <c r="H5" s="4">
        <v>7.2267999999999999</v>
      </c>
      <c r="J5" t="s">
        <v>17</v>
      </c>
    </row>
    <row r="6" spans="1:10" x14ac:dyDescent="0.25">
      <c r="A6" s="1">
        <v>43667</v>
      </c>
      <c r="B6" t="s">
        <v>11</v>
      </c>
      <c r="C6" s="11">
        <v>933.95</v>
      </c>
      <c r="D6" s="12">
        <v>1.1649</v>
      </c>
      <c r="E6" t="str">
        <f>CONCATENATE(YEAR(Tableau2[[#This Row],[Date]]),"-",IF(MONTH(Tableau2[[#This Row],[Date]])&lt;10,CONCATENATE("0",MONTH(Tableau2[[#This Row],[Date]])),MONTH(Tableau2[[#This Row],[Date]])))</f>
        <v>2019-07</v>
      </c>
      <c r="G6" s="3" t="s">
        <v>17</v>
      </c>
      <c r="H6" s="4">
        <v>75.529899999999998</v>
      </c>
      <c r="J6" t="s">
        <v>18</v>
      </c>
    </row>
    <row r="7" spans="1:10" x14ac:dyDescent="0.25">
      <c r="A7" s="1">
        <v>43667</v>
      </c>
      <c r="B7" t="s">
        <v>21</v>
      </c>
      <c r="C7" s="11">
        <v>167.53</v>
      </c>
      <c r="D7" s="12">
        <v>4.9964000000000004</v>
      </c>
      <c r="E7" t="str">
        <f>CONCATENATE(YEAR(Tableau2[[#This Row],[Date]]),"-",IF(MONTH(Tableau2[[#This Row],[Date]])&lt;10,CONCATENATE("0",MONTH(Tableau2[[#This Row],[Date]])),MONTH(Tableau2[[#This Row],[Date]])))</f>
        <v>2019-07</v>
      </c>
      <c r="G7" s="3" t="s">
        <v>18</v>
      </c>
      <c r="H7" s="4">
        <v>22.7943</v>
      </c>
      <c r="J7" t="s">
        <v>15</v>
      </c>
    </row>
    <row r="8" spans="1:10" x14ac:dyDescent="0.25">
      <c r="A8" s="1">
        <v>43830</v>
      </c>
      <c r="B8" t="s">
        <v>11</v>
      </c>
      <c r="C8" s="11">
        <v>949.57</v>
      </c>
      <c r="D8" s="12">
        <v>0</v>
      </c>
      <c r="E8" t="str">
        <f>CONCATENATE(YEAR(Tableau2[[#This Row],[Date]]),"-",IF(MONTH(Tableau2[[#This Row],[Date]])&lt;10,CONCATENATE("0",MONTH(Tableau2[[#This Row],[Date]])),MONTH(Tableau2[[#This Row],[Date]])))</f>
        <v>2019-12</v>
      </c>
      <c r="G8" s="3" t="s">
        <v>11</v>
      </c>
      <c r="H8" s="4">
        <v>2.2959999999999994</v>
      </c>
      <c r="J8" t="s">
        <v>14</v>
      </c>
    </row>
    <row r="9" spans="1:10" x14ac:dyDescent="0.25">
      <c r="A9" s="1">
        <v>43830</v>
      </c>
      <c r="B9" t="s">
        <v>37</v>
      </c>
      <c r="C9" s="11">
        <v>92.18</v>
      </c>
      <c r="D9" s="12">
        <v>45.163400000000003</v>
      </c>
      <c r="E9" t="str">
        <f>CONCATENATE(YEAR(Tableau2[[#This Row],[Date]]),"-",IF(MONTH(Tableau2[[#This Row],[Date]])&lt;10,CONCATENATE("0",MONTH(Tableau2[[#This Row],[Date]])),MONTH(Tableau2[[#This Row],[Date]])))</f>
        <v>2019-12</v>
      </c>
      <c r="G9" s="3" t="s">
        <v>13</v>
      </c>
      <c r="H9" s="4">
        <v>155.79730000000001</v>
      </c>
      <c r="J9" t="s">
        <v>11</v>
      </c>
    </row>
    <row r="10" spans="1:10" x14ac:dyDescent="0.25">
      <c r="A10" s="1">
        <v>43830</v>
      </c>
      <c r="B10" t="s">
        <v>21</v>
      </c>
      <c r="C10" s="11">
        <v>167.35</v>
      </c>
      <c r="D10" s="12">
        <v>0</v>
      </c>
      <c r="E10" t="str">
        <f>CONCATENATE(YEAR(Tableau2[[#This Row],[Date]]),"-",IF(MONTH(Tableau2[[#This Row],[Date]])&lt;10,CONCATENATE("0",MONTH(Tableau2[[#This Row],[Date]])),MONTH(Tableau2[[#This Row],[Date]])))</f>
        <v>2019-12</v>
      </c>
      <c r="G10" s="3" t="s">
        <v>16</v>
      </c>
      <c r="H10" s="4">
        <v>47.216700000000003</v>
      </c>
      <c r="J10" t="s">
        <v>13</v>
      </c>
    </row>
    <row r="11" spans="1:10" x14ac:dyDescent="0.25">
      <c r="A11" s="1">
        <v>44012</v>
      </c>
      <c r="B11" t="s">
        <v>11</v>
      </c>
      <c r="C11" s="11">
        <v>923.56</v>
      </c>
      <c r="D11" s="12">
        <v>0</v>
      </c>
      <c r="E11" t="str">
        <f>CONCATENATE(YEAR(Tableau2[[#This Row],[Date]]),"-",IF(MONTH(Tableau2[[#This Row],[Date]])&lt;10,CONCATENATE("0",MONTH(Tableau2[[#This Row],[Date]])),MONTH(Tableau2[[#This Row],[Date]])))</f>
        <v>2020-06</v>
      </c>
      <c r="G11" s="3" t="s">
        <v>37</v>
      </c>
      <c r="H11" s="4">
        <v>78.041700000000006</v>
      </c>
      <c r="J11" t="s">
        <v>16</v>
      </c>
    </row>
    <row r="12" spans="1:10" x14ac:dyDescent="0.25">
      <c r="A12" s="1">
        <v>44012</v>
      </c>
      <c r="B12" t="s">
        <v>37</v>
      </c>
      <c r="C12" s="11">
        <v>71.819999999999993</v>
      </c>
      <c r="D12" s="12">
        <v>0</v>
      </c>
      <c r="E12" t="str">
        <f>CONCATENATE(YEAR(Tableau2[[#This Row],[Date]]),"-",IF(MONTH(Tableau2[[#This Row],[Date]])&lt;10,CONCATENATE("0",MONTH(Tableau2[[#This Row],[Date]])),MONTH(Tableau2[[#This Row],[Date]])))</f>
        <v>2020-06</v>
      </c>
      <c r="G12" s="3" t="s">
        <v>23</v>
      </c>
      <c r="H12" s="4">
        <v>388.90269999999998</v>
      </c>
      <c r="J12" t="s">
        <v>37</v>
      </c>
    </row>
    <row r="13" spans="1:10" x14ac:dyDescent="0.25">
      <c r="A13" s="1">
        <v>44012</v>
      </c>
      <c r="B13" t="s">
        <v>21</v>
      </c>
      <c r="C13" s="11">
        <v>169.29</v>
      </c>
      <c r="D13" s="12">
        <v>0</v>
      </c>
      <c r="E13" t="str">
        <f>CONCATENATE(YEAR(Tableau2[[#This Row],[Date]]),"-",IF(MONTH(Tableau2[[#This Row],[Date]])&lt;10,CONCATENATE("0",MONTH(Tableau2[[#This Row],[Date]])),MONTH(Tableau2[[#This Row],[Date]])))</f>
        <v>2020-06</v>
      </c>
    </row>
    <row r="14" spans="1:10" x14ac:dyDescent="0.25">
      <c r="A14" s="1">
        <v>44196</v>
      </c>
      <c r="B14" t="s">
        <v>11</v>
      </c>
      <c r="C14" s="11">
        <v>968.92</v>
      </c>
      <c r="D14" s="12">
        <v>1.55</v>
      </c>
      <c r="E14" t="str">
        <f>CONCATENATE(YEAR(Tableau2[[#This Row],[Date]]),"-",IF(MONTH(Tableau2[[#This Row],[Date]])&lt;10,CONCATENATE("0",MONTH(Tableau2[[#This Row],[Date]])),MONTH(Tableau2[[#This Row],[Date]])))</f>
        <v>2020-12</v>
      </c>
    </row>
    <row r="15" spans="1:10" x14ac:dyDescent="0.25">
      <c r="A15" s="1">
        <v>44196</v>
      </c>
      <c r="B15" t="s">
        <v>37</v>
      </c>
      <c r="C15" s="11">
        <v>74.89</v>
      </c>
      <c r="D15" s="12">
        <v>0.2346</v>
      </c>
      <c r="E15" t="str">
        <f>CONCATENATE(YEAR(Tableau2[[#This Row],[Date]]),"-",IF(MONTH(Tableau2[[#This Row],[Date]])&lt;10,CONCATENATE("0",MONTH(Tableau2[[#This Row],[Date]])),MONTH(Tableau2[[#This Row],[Date]])))</f>
        <v>2020-12</v>
      </c>
    </row>
    <row r="16" spans="1:10" x14ac:dyDescent="0.25">
      <c r="A16" s="1">
        <v>44196</v>
      </c>
      <c r="B16" t="s">
        <v>21</v>
      </c>
      <c r="C16" s="11">
        <v>175.81</v>
      </c>
      <c r="D16" s="12">
        <v>0</v>
      </c>
      <c r="E16" t="str">
        <f>CONCATENATE(YEAR(Tableau2[[#This Row],[Date]]),"-",IF(MONTH(Tableau2[[#This Row],[Date]])&lt;10,CONCATENATE("0",MONTH(Tableau2[[#This Row],[Date]])),MONTH(Tableau2[[#This Row],[Date]])))</f>
        <v>2020-12</v>
      </c>
    </row>
    <row r="17" spans="1:14" x14ac:dyDescent="0.25">
      <c r="A17" s="1">
        <v>44196</v>
      </c>
      <c r="B17" t="s">
        <v>12</v>
      </c>
      <c r="C17" s="11">
        <v>141.08000000000001</v>
      </c>
      <c r="D17" s="12">
        <v>6.1532999999999998</v>
      </c>
      <c r="E17" t="str">
        <f>CONCATENATE(YEAR(Tableau2[[#This Row],[Date]]),"-",IF(MONTH(Tableau2[[#This Row],[Date]])&lt;10,CONCATENATE("0",MONTH(Tableau2[[#This Row],[Date]])),MONTH(Tableau2[[#This Row],[Date]])))</f>
        <v>2020-12</v>
      </c>
    </row>
    <row r="18" spans="1:14" x14ac:dyDescent="0.25">
      <c r="A18" s="1">
        <v>44398</v>
      </c>
      <c r="B18" t="s">
        <v>11</v>
      </c>
      <c r="C18" s="11">
        <v>1003.29</v>
      </c>
      <c r="D18" s="12">
        <v>0</v>
      </c>
      <c r="E18" t="str">
        <f>CONCATENATE(YEAR(Tableau2[[#This Row],[Date]]),"-",IF(MONTH(Tableau2[[#This Row],[Date]])&lt;10,CONCATENATE("0",MONTH(Tableau2[[#This Row],[Date]])),MONTH(Tableau2[[#This Row],[Date]])))</f>
        <v>2021-07</v>
      </c>
      <c r="G18" s="10" t="s">
        <v>39</v>
      </c>
      <c r="H18" s="10" t="s">
        <v>34</v>
      </c>
    </row>
    <row r="19" spans="1:14" x14ac:dyDescent="0.25">
      <c r="A19" s="1">
        <v>44398</v>
      </c>
      <c r="B19" t="s">
        <v>13</v>
      </c>
      <c r="C19" s="11">
        <v>13.67</v>
      </c>
      <c r="D19" s="12">
        <v>53.821800000000003</v>
      </c>
      <c r="E19" t="str">
        <f>CONCATENATE(YEAR(Tableau2[[#This Row],[Date]]),"-",IF(MONTH(Tableau2[[#This Row],[Date]])&lt;10,CONCATENATE("0",MONTH(Tableau2[[#This Row],[Date]])),MONTH(Tableau2[[#This Row],[Date]])))</f>
        <v>2021-07</v>
      </c>
      <c r="G19" s="10" t="s">
        <v>22</v>
      </c>
      <c r="H19" t="s">
        <v>37</v>
      </c>
      <c r="I19" t="s">
        <v>16</v>
      </c>
      <c r="J19" t="s">
        <v>13</v>
      </c>
      <c r="K19" t="s">
        <v>11</v>
      </c>
      <c r="L19" t="s">
        <v>18</v>
      </c>
      <c r="M19" t="s">
        <v>17</v>
      </c>
      <c r="N19" t="s">
        <v>12</v>
      </c>
    </row>
    <row r="20" spans="1:14" x14ac:dyDescent="0.25">
      <c r="A20" s="1">
        <v>44398</v>
      </c>
      <c r="B20" t="s">
        <v>37</v>
      </c>
      <c r="C20" s="11">
        <v>85.96</v>
      </c>
      <c r="D20" s="12">
        <v>0.73329999999999995</v>
      </c>
      <c r="E20" t="str">
        <f>CONCATENATE(YEAR(Tableau2[[#This Row],[Date]]),"-",IF(MONTH(Tableau2[[#This Row],[Date]])&lt;10,CONCATENATE("0",MONTH(Tableau2[[#This Row],[Date]])),MONTH(Tableau2[[#This Row],[Date]])))</f>
        <v>2021-07</v>
      </c>
      <c r="G20" s="3" t="s">
        <v>25</v>
      </c>
      <c r="H20" s="4">
        <v>89.22</v>
      </c>
      <c r="I20" s="4"/>
      <c r="J20" s="4"/>
      <c r="K20" s="4"/>
      <c r="L20" s="4"/>
      <c r="M20" s="4"/>
      <c r="N20" s="4"/>
    </row>
    <row r="21" spans="1:14" x14ac:dyDescent="0.25">
      <c r="A21" s="1">
        <v>44561</v>
      </c>
      <c r="B21" t="s">
        <v>11</v>
      </c>
      <c r="C21" s="11">
        <v>1029.3599999999999</v>
      </c>
      <c r="D21" s="12">
        <v>-2.7008000000000001</v>
      </c>
      <c r="E21" t="str">
        <f>CONCATENATE(YEAR(Tableau2[[#This Row],[Date]]),"-",IF(MONTH(Tableau2[[#This Row],[Date]])&lt;10,CONCATENATE("0",MONTH(Tableau2[[#This Row],[Date]])),MONTH(Tableau2[[#This Row],[Date]])))</f>
        <v>2021-12</v>
      </c>
      <c r="G21" s="3" t="s">
        <v>26</v>
      </c>
      <c r="H21" s="4">
        <v>91.17</v>
      </c>
      <c r="I21" s="4"/>
      <c r="J21" s="4"/>
      <c r="K21" s="4">
        <v>913.86</v>
      </c>
      <c r="L21" s="4"/>
      <c r="M21" s="4"/>
      <c r="N21" s="4"/>
    </row>
    <row r="22" spans="1:14" x14ac:dyDescent="0.25">
      <c r="A22" s="1">
        <v>44561</v>
      </c>
      <c r="B22" t="s">
        <v>13</v>
      </c>
      <c r="C22" s="11">
        <v>14.17</v>
      </c>
      <c r="D22" s="12">
        <v>101.9755</v>
      </c>
      <c r="E22" t="str">
        <f>CONCATENATE(YEAR(Tableau2[[#This Row],[Date]]),"-",IF(MONTH(Tableau2[[#This Row],[Date]])&lt;10,CONCATENATE("0",MONTH(Tableau2[[#This Row],[Date]])),MONTH(Tableau2[[#This Row],[Date]])))</f>
        <v>2021-12</v>
      </c>
      <c r="G22" s="3" t="s">
        <v>27</v>
      </c>
      <c r="H22" s="4"/>
      <c r="I22" s="4"/>
      <c r="J22" s="4"/>
      <c r="K22" s="4">
        <v>875.32</v>
      </c>
      <c r="L22" s="4"/>
      <c r="M22" s="4"/>
      <c r="N22" s="4"/>
    </row>
    <row r="23" spans="1:14" x14ac:dyDescent="0.25">
      <c r="A23" s="1">
        <v>44561</v>
      </c>
      <c r="B23" t="s">
        <v>16</v>
      </c>
      <c r="C23" s="11">
        <v>28.41</v>
      </c>
      <c r="D23" s="12">
        <v>47.216700000000003</v>
      </c>
      <c r="E23" t="str">
        <f>CONCATENATE(YEAR(Tableau2[[#This Row],[Date]]),"-",IF(MONTH(Tableau2[[#This Row],[Date]])&lt;10,CONCATENATE("0",MONTH(Tableau2[[#This Row],[Date]])),MONTH(Tableau2[[#This Row],[Date]])))</f>
        <v>2021-12</v>
      </c>
      <c r="G23" s="3" t="s">
        <v>28</v>
      </c>
      <c r="H23" s="4"/>
      <c r="I23" s="4"/>
      <c r="J23" s="4"/>
      <c r="K23" s="4">
        <v>933.95</v>
      </c>
      <c r="L23" s="4"/>
      <c r="M23" s="4"/>
      <c r="N23" s="4"/>
    </row>
    <row r="24" spans="1:14" x14ac:dyDescent="0.25">
      <c r="A24" s="1">
        <v>44561</v>
      </c>
      <c r="B24" t="s">
        <v>37</v>
      </c>
      <c r="C24" s="11">
        <v>74.69</v>
      </c>
      <c r="D24" s="12">
        <v>30.604399999999998</v>
      </c>
      <c r="E24" t="str">
        <f>CONCATENATE(YEAR(Tableau2[[#This Row],[Date]]),"-",IF(MONTH(Tableau2[[#This Row],[Date]])&lt;10,CONCATENATE("0",MONTH(Tableau2[[#This Row],[Date]])),MONTH(Tableau2[[#This Row],[Date]])))</f>
        <v>2021-12</v>
      </c>
      <c r="G24" s="3" t="s">
        <v>29</v>
      </c>
      <c r="H24" s="4">
        <v>92.18</v>
      </c>
      <c r="I24" s="4"/>
      <c r="J24" s="4"/>
      <c r="K24" s="4">
        <v>949.57</v>
      </c>
      <c r="L24" s="4"/>
      <c r="M24" s="4"/>
      <c r="N24" s="4"/>
    </row>
    <row r="25" spans="1:14" x14ac:dyDescent="0.25">
      <c r="A25" s="1">
        <v>44561</v>
      </c>
      <c r="B25" t="s">
        <v>21</v>
      </c>
      <c r="C25" s="11">
        <v>175.81</v>
      </c>
      <c r="D25" s="12">
        <v>-4.9964000000000004</v>
      </c>
      <c r="E25" t="str">
        <f>CONCATENATE(YEAR(Tableau2[[#This Row],[Date]]),"-",IF(MONTH(Tableau2[[#This Row],[Date]])&lt;10,CONCATENATE("0",MONTH(Tableau2[[#This Row],[Date]])),MONTH(Tableau2[[#This Row],[Date]])))</f>
        <v>2021-12</v>
      </c>
      <c r="G25" s="3" t="s">
        <v>30</v>
      </c>
      <c r="H25" s="4">
        <v>71.819999999999993</v>
      </c>
      <c r="I25" s="4"/>
      <c r="J25" s="4"/>
      <c r="K25" s="4">
        <v>923.56</v>
      </c>
      <c r="L25" s="4"/>
      <c r="M25" s="4"/>
      <c r="N25" s="4"/>
    </row>
    <row r="26" spans="1:14" x14ac:dyDescent="0.25">
      <c r="A26" s="1">
        <v>44561</v>
      </c>
      <c r="B26" t="s">
        <v>12</v>
      </c>
      <c r="C26" s="11">
        <v>149.61000000000001</v>
      </c>
      <c r="D26" s="12">
        <v>1.0734999999999999</v>
      </c>
      <c r="E26" t="str">
        <f>CONCATENATE(YEAR(Tableau2[[#This Row],[Date]]),"-",IF(MONTH(Tableau2[[#This Row],[Date]])&lt;10,CONCATENATE("0",MONTH(Tableau2[[#This Row],[Date]])),MONTH(Tableau2[[#This Row],[Date]])))</f>
        <v>2021-12</v>
      </c>
      <c r="G26" s="3" t="s">
        <v>31</v>
      </c>
      <c r="H26" s="4">
        <v>74.89</v>
      </c>
      <c r="I26" s="4"/>
      <c r="J26" s="4"/>
      <c r="K26" s="4">
        <v>968.92</v>
      </c>
      <c r="L26" s="4"/>
      <c r="M26" s="4"/>
      <c r="N26" s="4">
        <v>141.08000000000001</v>
      </c>
    </row>
    <row r="27" spans="1:14" x14ac:dyDescent="0.25">
      <c r="A27" s="1">
        <v>44561</v>
      </c>
      <c r="B27" t="s">
        <v>17</v>
      </c>
      <c r="C27" s="11">
        <v>13.38</v>
      </c>
      <c r="D27" s="12">
        <v>75.529899999999998</v>
      </c>
      <c r="E27" t="str">
        <f>CONCATENATE(YEAR(Tableau2[[#This Row],[Date]]),"-",IF(MONTH(Tableau2[[#This Row],[Date]])&lt;10,CONCATENATE("0",MONTH(Tableau2[[#This Row],[Date]])),MONTH(Tableau2[[#This Row],[Date]])))</f>
        <v>2021-12</v>
      </c>
      <c r="G27" s="3" t="s">
        <v>32</v>
      </c>
      <c r="H27" s="4">
        <v>85.96</v>
      </c>
      <c r="I27" s="4"/>
      <c r="J27" s="4">
        <v>13.67</v>
      </c>
      <c r="K27" s="4">
        <v>1003.29</v>
      </c>
      <c r="L27" s="4"/>
      <c r="M27" s="4"/>
      <c r="N27" s="4"/>
    </row>
    <row r="28" spans="1:14" x14ac:dyDescent="0.25">
      <c r="A28" s="1">
        <v>44561</v>
      </c>
      <c r="B28" t="s">
        <v>18</v>
      </c>
      <c r="C28" s="11">
        <v>26.73</v>
      </c>
      <c r="D28" s="12">
        <v>22.7943</v>
      </c>
      <c r="E28" t="str">
        <f>CONCATENATE(YEAR(Tableau2[[#This Row],[Date]]),"-",IF(MONTH(Tableau2[[#This Row],[Date]])&lt;10,CONCATENATE("0",MONTH(Tableau2[[#This Row],[Date]])),MONTH(Tableau2[[#This Row],[Date]])))</f>
        <v>2021-12</v>
      </c>
      <c r="G28" s="3" t="s">
        <v>33</v>
      </c>
      <c r="H28" s="4">
        <v>74.69</v>
      </c>
      <c r="I28" s="4">
        <v>28.41</v>
      </c>
      <c r="J28" s="4">
        <v>14.17</v>
      </c>
      <c r="K28" s="4">
        <v>1029.3599999999999</v>
      </c>
      <c r="L28" s="4">
        <v>26.73</v>
      </c>
      <c r="M28" s="4">
        <v>13.38</v>
      </c>
      <c r="N28" s="4">
        <v>149.61000000000001</v>
      </c>
    </row>
    <row r="29" spans="1:14" x14ac:dyDescent="0.25">
      <c r="A29" s="1">
        <v>44718</v>
      </c>
      <c r="B29" t="s">
        <v>11</v>
      </c>
      <c r="C29" s="11">
        <v>970.77</v>
      </c>
      <c r="D29" s="12">
        <v>0</v>
      </c>
      <c r="E29" t="str">
        <f>CONCATENATE(YEAR(Tableau2[[#This Row],[Date]]),"-",IF(MONTH(Tableau2[[#This Row],[Date]])&lt;10,CONCATENATE("0",MONTH(Tableau2[[#This Row],[Date]])),MONTH(Tableau2[[#This Row],[Date]])))</f>
        <v>2022-06</v>
      </c>
      <c r="G29" s="3" t="s">
        <v>36</v>
      </c>
      <c r="H29" s="4">
        <v>114.29</v>
      </c>
      <c r="I29" s="4">
        <v>26.533999999999999</v>
      </c>
      <c r="J29" s="4">
        <v>12.82</v>
      </c>
      <c r="K29" s="4">
        <v>970.77</v>
      </c>
      <c r="L29" s="4">
        <v>24.943000000000001</v>
      </c>
      <c r="M29" s="4">
        <v>12.09</v>
      </c>
      <c r="N29" s="4">
        <v>140.99</v>
      </c>
    </row>
    <row r="30" spans="1:14" x14ac:dyDescent="0.25">
      <c r="A30" s="1">
        <v>44718</v>
      </c>
      <c r="B30" t="s">
        <v>13</v>
      </c>
      <c r="C30" s="11">
        <v>12.82</v>
      </c>
      <c r="D30" s="12">
        <v>0</v>
      </c>
      <c r="E30" t="str">
        <f>CONCATENATE(YEAR(Tableau2[[#This Row],[Date]]),"-",IF(MONTH(Tableau2[[#This Row],[Date]])&lt;10,CONCATENATE("0",MONTH(Tableau2[[#This Row],[Date]])),MONTH(Tableau2[[#This Row],[Date]])))</f>
        <v>2022-06</v>
      </c>
    </row>
    <row r="31" spans="1:14" x14ac:dyDescent="0.25">
      <c r="A31" s="1">
        <v>44718</v>
      </c>
      <c r="B31" t="s">
        <v>16</v>
      </c>
      <c r="C31" s="11">
        <v>26.533999999999999</v>
      </c>
      <c r="D31" s="12">
        <v>0</v>
      </c>
      <c r="E31" t="str">
        <f>CONCATENATE(YEAR(Tableau2[[#This Row],[Date]]),"-",IF(MONTH(Tableau2[[#This Row],[Date]])&lt;10,CONCATENATE("0",MONTH(Tableau2[[#This Row],[Date]])),MONTH(Tableau2[[#This Row],[Date]])))</f>
        <v>2022-06</v>
      </c>
    </row>
    <row r="32" spans="1:14" x14ac:dyDescent="0.25">
      <c r="A32" s="1">
        <v>44718</v>
      </c>
      <c r="B32" t="s">
        <v>37</v>
      </c>
      <c r="C32" s="11">
        <v>114.29</v>
      </c>
      <c r="D32" s="12">
        <v>1.306</v>
      </c>
      <c r="E32" t="str">
        <f>CONCATENATE(YEAR(Tableau2[[#This Row],[Date]]),"-",IF(MONTH(Tableau2[[#This Row],[Date]])&lt;10,CONCATENATE("0",MONTH(Tableau2[[#This Row],[Date]])),MONTH(Tableau2[[#This Row],[Date]])))</f>
        <v>2022-06</v>
      </c>
    </row>
    <row r="33" spans="1:11" x14ac:dyDescent="0.25">
      <c r="A33" s="1">
        <v>44718</v>
      </c>
      <c r="B33" t="s">
        <v>12</v>
      </c>
      <c r="C33" s="11">
        <v>140.99</v>
      </c>
      <c r="D33" s="12">
        <v>0</v>
      </c>
      <c r="E33" t="str">
        <f>CONCATENATE(YEAR(Tableau2[[#This Row],[Date]]),"-",IF(MONTH(Tableau2[[#This Row],[Date]])&lt;10,CONCATENATE("0",MONTH(Tableau2[[#This Row],[Date]])),MONTH(Tableau2[[#This Row],[Date]])))</f>
        <v>2022-06</v>
      </c>
    </row>
    <row r="34" spans="1:11" x14ac:dyDescent="0.25">
      <c r="A34" s="1">
        <v>44718</v>
      </c>
      <c r="B34" t="s">
        <v>17</v>
      </c>
      <c r="C34" s="11">
        <v>12.09</v>
      </c>
      <c r="D34" s="12">
        <v>0</v>
      </c>
      <c r="E34" t="str">
        <f>CONCATENATE(YEAR(Tableau2[[#This Row],[Date]]),"-",IF(MONTH(Tableau2[[#This Row],[Date]])&lt;10,CONCATENATE("0",MONTH(Tableau2[[#This Row],[Date]])),MONTH(Tableau2[[#This Row],[Date]])))</f>
        <v>2022-06</v>
      </c>
    </row>
    <row r="35" spans="1:11" x14ac:dyDescent="0.25">
      <c r="A35" s="1">
        <v>44718</v>
      </c>
      <c r="B35" t="s">
        <v>18</v>
      </c>
      <c r="C35" s="11">
        <v>24.943000000000001</v>
      </c>
      <c r="D35" s="12">
        <v>0</v>
      </c>
      <c r="E35" t="str">
        <f>CONCATENATE(YEAR(Tableau2[[#This Row],[Date]]),"-",IF(MONTH(Tableau2[[#This Row],[Date]])&lt;10,CONCATENATE("0",MONTH(Tableau2[[#This Row],[Date]])),MONTH(Tableau2[[#This Row],[Date]])))</f>
        <v>2022-06</v>
      </c>
      <c r="G35" s="10" t="s">
        <v>22</v>
      </c>
      <c r="H35" t="s">
        <v>35</v>
      </c>
      <c r="I35" t="s">
        <v>41</v>
      </c>
    </row>
    <row r="36" spans="1:11" x14ac:dyDescent="0.25">
      <c r="G36" s="3" t="s">
        <v>12</v>
      </c>
      <c r="H36" s="4">
        <v>431.68000000000006</v>
      </c>
      <c r="I36" s="15"/>
    </row>
    <row r="37" spans="1:11" x14ac:dyDescent="0.25">
      <c r="G37" s="13" t="s">
        <v>31</v>
      </c>
      <c r="H37" s="4">
        <v>141.08000000000001</v>
      </c>
      <c r="I37" s="15">
        <v>1</v>
      </c>
    </row>
    <row r="38" spans="1:11" x14ac:dyDescent="0.25">
      <c r="G38" s="13" t="s">
        <v>33</v>
      </c>
      <c r="H38" s="4">
        <v>149.61000000000001</v>
      </c>
      <c r="I38" s="15">
        <v>1.0604621491352424</v>
      </c>
    </row>
    <row r="39" spans="1:11" x14ac:dyDescent="0.25">
      <c r="G39" s="13" t="s">
        <v>36</v>
      </c>
      <c r="H39" s="4">
        <v>140.99</v>
      </c>
      <c r="I39" s="15">
        <v>0.94238353051266621</v>
      </c>
      <c r="K39" s="14" t="e">
        <f>GETPIVOTDATA("Somme de Transaction",$G$35,"Fond de placement","PERCO MODEREE","Année-Mois","2022-06")*GETPIVOTDATA("Somme de PRIX",$G$35,"Fond de placement","PERCO MODEREE","Année-Mois","2022-06")</f>
        <v>#REF!</v>
      </c>
    </row>
    <row r="40" spans="1:11" x14ac:dyDescent="0.25">
      <c r="G40" s="3" t="s">
        <v>17</v>
      </c>
      <c r="H40" s="4">
        <v>25.47</v>
      </c>
      <c r="I40" s="15"/>
      <c r="K40" s="2"/>
    </row>
    <row r="41" spans="1:11" x14ac:dyDescent="0.25">
      <c r="G41" s="13" t="s">
        <v>33</v>
      </c>
      <c r="H41" s="4">
        <v>13.38</v>
      </c>
      <c r="I41" s="15">
        <v>1</v>
      </c>
      <c r="K41" s="2"/>
    </row>
    <row r="42" spans="1:11" x14ac:dyDescent="0.25">
      <c r="G42" s="13" t="s">
        <v>36</v>
      </c>
      <c r="H42" s="4">
        <v>12.09</v>
      </c>
      <c r="I42" s="15">
        <v>0.90358744394618828</v>
      </c>
      <c r="K42" s="14" t="e">
        <f>GETPIVOTDATA("Somme de Transaction",$G$35,"Fond de placement","PERCO EQULIBRE","Année-Mois","2022-06")*GETPIVOTDATA("Somme de PRIX",$G$35,"Fond de placement","PERCO EQULIBRE","Année-Mois","2022-06")</f>
        <v>#REF!</v>
      </c>
    </row>
    <row r="43" spans="1:11" x14ac:dyDescent="0.25">
      <c r="G43" s="3" t="s">
        <v>18</v>
      </c>
      <c r="H43" s="4">
        <v>51.673000000000002</v>
      </c>
      <c r="I43" s="15"/>
      <c r="K43" s="2"/>
    </row>
    <row r="44" spans="1:11" x14ac:dyDescent="0.25">
      <c r="G44" s="13" t="s">
        <v>33</v>
      </c>
      <c r="H44" s="4">
        <v>26.73</v>
      </c>
      <c r="I44" s="15">
        <v>1</v>
      </c>
      <c r="K44" s="2"/>
    </row>
    <row r="45" spans="1:11" x14ac:dyDescent="0.25">
      <c r="G45" s="13" t="s">
        <v>36</v>
      </c>
      <c r="H45" s="4">
        <v>24.943000000000001</v>
      </c>
      <c r="I45" s="15">
        <v>0.93314627759072211</v>
      </c>
      <c r="K45" s="14" t="e">
        <f>GETPIVOTDATA("Somme de Transaction",$G$35,"Fond de placement","PERCO DYNAMIQUE","Année-Mois","2022-06")*GETPIVOTDATA("Somme de PRIX",$G$35,"Fond de placement","PERCO DYNAMIQUE","Année-Mois","2022-06")</f>
        <v>#REF!</v>
      </c>
    </row>
    <row r="46" spans="1:11" x14ac:dyDescent="0.25">
      <c r="G46" s="3" t="s">
        <v>11</v>
      </c>
      <c r="H46" s="4">
        <v>8568.6</v>
      </c>
      <c r="I46" s="15"/>
      <c r="K46" s="2"/>
    </row>
    <row r="47" spans="1:11" x14ac:dyDescent="0.25">
      <c r="G47" s="13" t="s">
        <v>26</v>
      </c>
      <c r="H47" s="4">
        <v>913.86</v>
      </c>
      <c r="I47" s="15">
        <v>1</v>
      </c>
      <c r="K47" s="2"/>
    </row>
    <row r="48" spans="1:11" x14ac:dyDescent="0.25">
      <c r="G48" s="13" t="s">
        <v>27</v>
      </c>
      <c r="H48" s="4">
        <v>875.32</v>
      </c>
      <c r="I48" s="15">
        <v>0.95782723830783711</v>
      </c>
      <c r="K48" s="2"/>
    </row>
    <row r="49" spans="7:11" x14ac:dyDescent="0.25">
      <c r="G49" s="13" t="s">
        <v>28</v>
      </c>
      <c r="H49" s="4">
        <v>933.95</v>
      </c>
      <c r="I49" s="15">
        <v>1.0669812182973084</v>
      </c>
      <c r="K49" s="2"/>
    </row>
    <row r="50" spans="7:11" x14ac:dyDescent="0.25">
      <c r="G50" s="13" t="s">
        <v>29</v>
      </c>
      <c r="H50" s="4">
        <v>949.57</v>
      </c>
      <c r="I50" s="15">
        <v>1.0167246640612453</v>
      </c>
      <c r="K50" s="2"/>
    </row>
    <row r="51" spans="7:11" x14ac:dyDescent="0.25">
      <c r="G51" s="13" t="s">
        <v>30</v>
      </c>
      <c r="H51" s="4">
        <v>923.56</v>
      </c>
      <c r="I51" s="15">
        <v>0.97260865444359013</v>
      </c>
      <c r="K51" s="2"/>
    </row>
    <row r="52" spans="7:11" x14ac:dyDescent="0.25">
      <c r="G52" s="13" t="s">
        <v>31</v>
      </c>
      <c r="H52" s="4">
        <v>968.92</v>
      </c>
      <c r="I52" s="15">
        <v>1.0491142968513145</v>
      </c>
      <c r="K52" s="2"/>
    </row>
    <row r="53" spans="7:11" x14ac:dyDescent="0.25">
      <c r="G53" s="13" t="s">
        <v>32</v>
      </c>
      <c r="H53" s="4">
        <v>1003.29</v>
      </c>
      <c r="I53" s="15">
        <v>1.0354724848284689</v>
      </c>
      <c r="K53" s="2"/>
    </row>
    <row r="54" spans="7:11" x14ac:dyDescent="0.25">
      <c r="G54" s="13" t="s">
        <v>33</v>
      </c>
      <c r="H54" s="4">
        <v>1029.3599999999999</v>
      </c>
      <c r="I54" s="15">
        <v>1.0259845109589449</v>
      </c>
      <c r="K54" s="2"/>
    </row>
    <row r="55" spans="7:11" x14ac:dyDescent="0.25">
      <c r="G55" s="13" t="s">
        <v>36</v>
      </c>
      <c r="H55" s="4">
        <v>970.77</v>
      </c>
      <c r="I55" s="15">
        <v>0.94308113779435776</v>
      </c>
      <c r="K55" s="14" t="e">
        <f>GETPIVOTDATA("Somme de Transaction",$G$35,"Fond de placement","PEG MODEREE","Année-Mois","2022-06")*GETPIVOTDATA("Somme de PRIX",$G$35,"Fond de placement","PEG MODEREE","Année-Mois","2022-06")</f>
        <v>#REF!</v>
      </c>
    </row>
    <row r="56" spans="7:11" x14ac:dyDescent="0.25">
      <c r="G56" s="3" t="s">
        <v>13</v>
      </c>
      <c r="H56" s="4">
        <v>40.659999999999997</v>
      </c>
      <c r="I56" s="15"/>
      <c r="K56" s="2"/>
    </row>
    <row r="57" spans="7:11" x14ac:dyDescent="0.25">
      <c r="G57" s="13" t="s">
        <v>32</v>
      </c>
      <c r="H57" s="4">
        <v>13.67</v>
      </c>
      <c r="I57" s="15">
        <v>1</v>
      </c>
      <c r="K57" s="2"/>
    </row>
    <row r="58" spans="7:11" x14ac:dyDescent="0.25">
      <c r="G58" s="13" t="s">
        <v>33</v>
      </c>
      <c r="H58" s="4">
        <v>14.17</v>
      </c>
      <c r="I58" s="15">
        <v>1.0365764447695685</v>
      </c>
      <c r="K58" s="2"/>
    </row>
    <row r="59" spans="7:11" x14ac:dyDescent="0.25">
      <c r="G59" s="13" t="s">
        <v>36</v>
      </c>
      <c r="H59" s="4">
        <v>12.82</v>
      </c>
      <c r="I59" s="15">
        <v>0.90472829922371212</v>
      </c>
      <c r="K59" s="14" t="e">
        <f>GETPIVOTDATA("Somme de Transaction",$G$35,"Fond de placement","PEG EQUILIBRE","Année-Mois","2022-06")*GETPIVOTDATA("Somme de PRIX",$G$35,"Fond de placement","PEG EQUILIBRE","Année-Mois","2022-06")</f>
        <v>#REF!</v>
      </c>
    </row>
    <row r="60" spans="7:11" x14ac:dyDescent="0.25">
      <c r="G60" s="3" t="s">
        <v>16</v>
      </c>
      <c r="H60" s="4">
        <v>54.944000000000003</v>
      </c>
      <c r="I60" s="15"/>
      <c r="K60" s="2"/>
    </row>
    <row r="61" spans="7:11" x14ac:dyDescent="0.25">
      <c r="G61" s="13" t="s">
        <v>33</v>
      </c>
      <c r="H61" s="4">
        <v>28.41</v>
      </c>
      <c r="I61" s="15">
        <v>1</v>
      </c>
      <c r="K61" s="2"/>
    </row>
    <row r="62" spans="7:11" x14ac:dyDescent="0.25">
      <c r="G62" s="13" t="s">
        <v>36</v>
      </c>
      <c r="H62" s="4">
        <v>26.533999999999999</v>
      </c>
      <c r="I62" s="15">
        <v>0.9339669130587821</v>
      </c>
      <c r="K62" s="14" t="e">
        <f>GETPIVOTDATA("Somme de Transaction",$G$35,"Fond de placement","PEG DYNAMIQUE","Année-Mois","2022-06")*GETPIVOTDATA("Somme de PRIX",$G$35,"Fond de placement","PEG DYNAMIQUE","Année-Mois","2022-06")</f>
        <v>#REF!</v>
      </c>
    </row>
    <row r="63" spans="7:11" x14ac:dyDescent="0.25">
      <c r="G63" s="3" t="s">
        <v>37</v>
      </c>
      <c r="H63" s="4">
        <v>694.21999999999991</v>
      </c>
      <c r="I63" s="15"/>
      <c r="K63" s="2"/>
    </row>
    <row r="64" spans="7:11" x14ac:dyDescent="0.25">
      <c r="G64" s="13" t="s">
        <v>25</v>
      </c>
      <c r="H64" s="4">
        <v>89.22</v>
      </c>
      <c r="I64" s="15">
        <v>1</v>
      </c>
      <c r="K64" s="2"/>
    </row>
    <row r="65" spans="7:11" x14ac:dyDescent="0.25">
      <c r="G65" s="13" t="s">
        <v>26</v>
      </c>
      <c r="H65" s="4">
        <v>91.17</v>
      </c>
      <c r="I65" s="15">
        <v>1.0218560860793544</v>
      </c>
      <c r="K65" s="2"/>
    </row>
    <row r="66" spans="7:11" x14ac:dyDescent="0.25">
      <c r="G66" s="13" t="s">
        <v>29</v>
      </c>
      <c r="H66" s="4">
        <v>92.18</v>
      </c>
      <c r="I66" s="15">
        <v>1.0110782055500713</v>
      </c>
      <c r="K66" s="2"/>
    </row>
    <row r="67" spans="7:11" x14ac:dyDescent="0.25">
      <c r="G67" s="13" t="s">
        <v>30</v>
      </c>
      <c r="H67" s="4">
        <v>71.819999999999993</v>
      </c>
      <c r="I67" s="15">
        <v>0.77912779344760241</v>
      </c>
      <c r="K67" s="2"/>
    </row>
    <row r="68" spans="7:11" x14ac:dyDescent="0.25">
      <c r="G68" s="13" t="s">
        <v>31</v>
      </c>
      <c r="H68" s="4">
        <v>74.89</v>
      </c>
      <c r="I68" s="15">
        <v>1.0427457532720692</v>
      </c>
      <c r="K68" s="2"/>
    </row>
    <row r="69" spans="7:11" x14ac:dyDescent="0.25">
      <c r="G69" s="13" t="s">
        <v>32</v>
      </c>
      <c r="H69" s="4">
        <v>85.96</v>
      </c>
      <c r="I69" s="15">
        <v>1.1478167979703564</v>
      </c>
      <c r="K69" s="2"/>
    </row>
    <row r="70" spans="7:11" x14ac:dyDescent="0.25">
      <c r="G70" s="13" t="s">
        <v>33</v>
      </c>
      <c r="H70" s="4">
        <v>74.69</v>
      </c>
      <c r="I70" s="15">
        <v>0.86889250814332253</v>
      </c>
      <c r="K70" s="2"/>
    </row>
    <row r="71" spans="7:11" x14ac:dyDescent="0.25">
      <c r="G71" s="13" t="s">
        <v>36</v>
      </c>
      <c r="H71" s="4">
        <v>114.29</v>
      </c>
      <c r="I71" s="15">
        <v>1.5301914580265097</v>
      </c>
      <c r="K71" s="14" t="e">
        <f>GETPIVOTDATA("Somme de Transaction",$G$35,"Fond de placement","ACTION ","Année-Mois","2022-06")*GETPIVOTDATA("Somme de PRIX",$G$35,"Fond de placement","ACTION ","Année-Mois","2022-06")</f>
        <v>#REF!</v>
      </c>
    </row>
    <row r="72" spans="7:11" x14ac:dyDescent="0.25">
      <c r="G72" s="3" t="s">
        <v>23</v>
      </c>
      <c r="H72" s="4">
        <v>9867.2469999999994</v>
      </c>
      <c r="I72" s="15"/>
    </row>
  </sheetData>
  <pageMargins left="0.7" right="0.7" top="0.75" bottom="0.75" header="0.3" footer="0.3"/>
  <pageSetup paperSize="9" orientation="portrait" r:id="rId4"/>
  <drawing r:id="rId5"/>
  <tableParts count="2">
    <tablePart r:id="rId6"/>
    <tablePart r:id="rId7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645D7A-BC14-41A4-B90B-61367E97CFB3}">
  <dimension ref="A1:F36"/>
  <sheetViews>
    <sheetView tabSelected="1" workbookViewId="0">
      <selection activeCell="K8" sqref="K8"/>
    </sheetView>
  </sheetViews>
  <sheetFormatPr baseColWidth="10" defaultRowHeight="15" x14ac:dyDescent="0.25"/>
  <cols>
    <col min="1" max="1" width="10.7109375" bestFit="1" customWidth="1"/>
    <col min="2" max="2" width="20.42578125" bestFit="1" customWidth="1"/>
    <col min="3" max="3" width="8" bestFit="1" customWidth="1"/>
    <col min="4" max="4" width="13.42578125" bestFit="1" customWidth="1"/>
    <col min="5" max="5" width="11.85546875" bestFit="1" customWidth="1"/>
    <col min="6" max="6" width="15.5703125" customWidth="1"/>
  </cols>
  <sheetData>
    <row r="1" spans="1:6" x14ac:dyDescent="0.25">
      <c r="A1" t="s">
        <v>0</v>
      </c>
      <c r="B1" t="s">
        <v>10</v>
      </c>
      <c r="C1" t="s">
        <v>19</v>
      </c>
      <c r="D1" t="s">
        <v>20</v>
      </c>
      <c r="E1" t="s">
        <v>43</v>
      </c>
      <c r="F1" t="s">
        <v>42</v>
      </c>
    </row>
    <row r="2" spans="1:6" x14ac:dyDescent="0.25">
      <c r="A2" s="1">
        <v>43100</v>
      </c>
      <c r="B2" s="4" t="s">
        <v>37</v>
      </c>
      <c r="C2">
        <v>89.22</v>
      </c>
      <c r="D2">
        <v>48.754899999999999</v>
      </c>
      <c r="E2" s="2">
        <v>4349.9121999999998</v>
      </c>
      <c r="F2" s="16">
        <v>0</v>
      </c>
    </row>
    <row r="3" spans="1:6" x14ac:dyDescent="0.25">
      <c r="A3" s="1">
        <v>43302</v>
      </c>
      <c r="B3" s="4" t="s">
        <v>37</v>
      </c>
      <c r="C3">
        <v>91.17</v>
      </c>
      <c r="D3">
        <v>-48.754899999999999</v>
      </c>
      <c r="E3" s="2">
        <v>-4444.9841999999999</v>
      </c>
      <c r="F3" s="16">
        <v>2.1856086079354398E-2</v>
      </c>
    </row>
    <row r="4" spans="1:6" x14ac:dyDescent="0.25">
      <c r="A4" s="1">
        <v>43830</v>
      </c>
      <c r="B4" s="4" t="s">
        <v>37</v>
      </c>
      <c r="C4">
        <v>92.18</v>
      </c>
      <c r="D4">
        <v>45.163400000000003</v>
      </c>
      <c r="E4" s="2">
        <v>4163.1621999999998</v>
      </c>
      <c r="F4" s="16">
        <v>1.1078205550071401E-2</v>
      </c>
    </row>
    <row r="5" spans="1:6" x14ac:dyDescent="0.25">
      <c r="A5" s="1">
        <v>44012</v>
      </c>
      <c r="B5" s="4" t="s">
        <v>37</v>
      </c>
      <c r="C5">
        <v>71.819999999999993</v>
      </c>
      <c r="D5">
        <v>0</v>
      </c>
      <c r="E5" s="2">
        <v>0</v>
      </c>
      <c r="F5" s="16">
        <v>-0.220872206552398</v>
      </c>
    </row>
    <row r="6" spans="1:6" x14ac:dyDescent="0.25">
      <c r="A6" s="1">
        <v>44196</v>
      </c>
      <c r="B6" s="4" t="s">
        <v>37</v>
      </c>
      <c r="C6">
        <v>74.89</v>
      </c>
      <c r="D6">
        <v>0.2346</v>
      </c>
      <c r="E6" s="2">
        <v>17.569199999999999</v>
      </c>
      <c r="F6" s="16">
        <v>4.2745753272069198E-2</v>
      </c>
    </row>
    <row r="7" spans="1:6" x14ac:dyDescent="0.25">
      <c r="A7" s="1">
        <v>44398</v>
      </c>
      <c r="B7" s="4" t="s">
        <v>37</v>
      </c>
      <c r="C7">
        <v>85.96</v>
      </c>
      <c r="D7">
        <v>0.73329999999999995</v>
      </c>
      <c r="E7" s="2">
        <v>63.034500000000001</v>
      </c>
      <c r="F7" s="16">
        <v>0.14781679797035599</v>
      </c>
    </row>
    <row r="8" spans="1:6" x14ac:dyDescent="0.25">
      <c r="A8" s="1">
        <v>44561</v>
      </c>
      <c r="B8" s="4" t="s">
        <v>37</v>
      </c>
      <c r="C8">
        <v>74.69</v>
      </c>
      <c r="D8">
        <v>30.604399999999998</v>
      </c>
      <c r="E8" s="2">
        <v>2285.8425999999999</v>
      </c>
      <c r="F8" s="16">
        <v>-0.131107491856678</v>
      </c>
    </row>
    <row r="9" spans="1:6" x14ac:dyDescent="0.25">
      <c r="A9" s="1">
        <v>44718</v>
      </c>
      <c r="B9" s="4" t="s">
        <v>37</v>
      </c>
      <c r="C9">
        <v>114.29</v>
      </c>
      <c r="D9">
        <v>1.306</v>
      </c>
      <c r="E9" s="2">
        <v>149.2627</v>
      </c>
      <c r="F9" s="16">
        <v>0.53019145802651002</v>
      </c>
    </row>
    <row r="10" spans="1:6" x14ac:dyDescent="0.25">
      <c r="A10" s="1">
        <v>44561</v>
      </c>
      <c r="B10" s="4" t="s">
        <v>16</v>
      </c>
      <c r="C10">
        <v>28.41</v>
      </c>
      <c r="D10">
        <v>47.216700000000003</v>
      </c>
      <c r="E10" s="2">
        <v>1341.4264000000001</v>
      </c>
      <c r="F10" s="16">
        <v>0</v>
      </c>
    </row>
    <row r="11" spans="1:6" x14ac:dyDescent="0.25">
      <c r="A11" s="1">
        <v>44718</v>
      </c>
      <c r="B11" s="4" t="s">
        <v>16</v>
      </c>
      <c r="C11">
        <v>26.533999999999999</v>
      </c>
      <c r="D11">
        <v>0</v>
      </c>
      <c r="E11" s="2">
        <v>0</v>
      </c>
      <c r="F11" s="16">
        <v>-6.60330869412179E-2</v>
      </c>
    </row>
    <row r="12" spans="1:6" x14ac:dyDescent="0.25">
      <c r="A12" s="1">
        <v>44398</v>
      </c>
      <c r="B12" s="4" t="s">
        <v>13</v>
      </c>
      <c r="C12">
        <v>13.67</v>
      </c>
      <c r="D12">
        <v>53.821800000000003</v>
      </c>
      <c r="E12" s="2">
        <v>735.74400000000003</v>
      </c>
      <c r="F12" s="16">
        <v>0</v>
      </c>
    </row>
    <row r="13" spans="1:6" x14ac:dyDescent="0.25">
      <c r="A13" s="1">
        <v>44561</v>
      </c>
      <c r="B13" s="4" t="s">
        <v>13</v>
      </c>
      <c r="C13">
        <v>14.17</v>
      </c>
      <c r="D13">
        <v>101.9755</v>
      </c>
      <c r="E13" s="2">
        <v>1444.9928</v>
      </c>
      <c r="F13" s="16">
        <v>3.6576444769568402E-2</v>
      </c>
    </row>
    <row r="14" spans="1:6" x14ac:dyDescent="0.25">
      <c r="A14" s="1">
        <v>44718</v>
      </c>
      <c r="B14" s="4" t="s">
        <v>13</v>
      </c>
      <c r="C14">
        <v>12.82</v>
      </c>
      <c r="D14">
        <v>0</v>
      </c>
      <c r="E14" s="2">
        <v>0</v>
      </c>
      <c r="F14" s="16">
        <v>-9.5271700776287896E-2</v>
      </c>
    </row>
    <row r="15" spans="1:6" x14ac:dyDescent="0.25">
      <c r="A15" s="1">
        <v>43302</v>
      </c>
      <c r="B15" s="4" t="s">
        <v>11</v>
      </c>
      <c r="C15">
        <v>913.86</v>
      </c>
      <c r="D15">
        <v>2.2818999999999998</v>
      </c>
      <c r="E15" s="2">
        <v>2085.3371000000002</v>
      </c>
      <c r="F15" s="16">
        <v>0</v>
      </c>
    </row>
    <row r="16" spans="1:6" x14ac:dyDescent="0.25">
      <c r="A16" s="1">
        <v>43465</v>
      </c>
      <c r="B16" s="4" t="s">
        <v>11</v>
      </c>
      <c r="C16">
        <v>875.32</v>
      </c>
      <c r="D16">
        <v>0</v>
      </c>
      <c r="E16" s="2">
        <v>0</v>
      </c>
      <c r="F16" s="16">
        <v>-4.2172761692162899E-2</v>
      </c>
    </row>
    <row r="17" spans="1:6" x14ac:dyDescent="0.25">
      <c r="A17" s="1">
        <v>43667</v>
      </c>
      <c r="B17" s="4" t="s">
        <v>11</v>
      </c>
      <c r="C17">
        <v>933.95</v>
      </c>
      <c r="D17">
        <v>1.1649</v>
      </c>
      <c r="E17" s="2">
        <v>1087.9584</v>
      </c>
      <c r="F17" s="16">
        <v>6.6981218297308395E-2</v>
      </c>
    </row>
    <row r="18" spans="1:6" x14ac:dyDescent="0.25">
      <c r="A18" s="1">
        <v>43830</v>
      </c>
      <c r="B18" s="4" t="s">
        <v>11</v>
      </c>
      <c r="C18">
        <v>949.57</v>
      </c>
      <c r="D18">
        <v>0</v>
      </c>
      <c r="E18" s="2">
        <v>0</v>
      </c>
      <c r="F18" s="16">
        <v>1.6724664061245301E-2</v>
      </c>
    </row>
    <row r="19" spans="1:6" x14ac:dyDescent="0.25">
      <c r="A19" s="1">
        <v>44012</v>
      </c>
      <c r="B19" s="4" t="s">
        <v>11</v>
      </c>
      <c r="C19">
        <v>923.56</v>
      </c>
      <c r="D19">
        <v>0</v>
      </c>
      <c r="E19" s="2">
        <v>0</v>
      </c>
      <c r="F19" s="16">
        <v>-2.7391345556409898E-2</v>
      </c>
    </row>
    <row r="20" spans="1:6" x14ac:dyDescent="0.25">
      <c r="A20" s="1">
        <v>44196</v>
      </c>
      <c r="B20" s="4" t="s">
        <v>11</v>
      </c>
      <c r="C20">
        <v>968.92</v>
      </c>
      <c r="D20">
        <v>1.55</v>
      </c>
      <c r="E20" s="2">
        <v>1501.826</v>
      </c>
      <c r="F20" s="16">
        <v>4.91142968513145E-2</v>
      </c>
    </row>
    <row r="21" spans="1:6" x14ac:dyDescent="0.25">
      <c r="A21" s="1">
        <v>44398</v>
      </c>
      <c r="B21" s="4" t="s">
        <v>11</v>
      </c>
      <c r="C21">
        <v>1003.29</v>
      </c>
      <c r="D21">
        <v>0</v>
      </c>
      <c r="E21" s="2">
        <v>0</v>
      </c>
      <c r="F21" s="16">
        <v>3.5472484828468799E-2</v>
      </c>
    </row>
    <row r="22" spans="1:6" x14ac:dyDescent="0.25">
      <c r="A22" s="1">
        <v>44561</v>
      </c>
      <c r="B22" s="4" t="s">
        <v>11</v>
      </c>
      <c r="C22">
        <v>1029.3599999999999</v>
      </c>
      <c r="D22">
        <v>-2.7008000000000001</v>
      </c>
      <c r="E22" s="2">
        <v>-2780.0954999999999</v>
      </c>
      <c r="F22" s="16">
        <v>2.5984510958944999E-2</v>
      </c>
    </row>
    <row r="23" spans="1:6" x14ac:dyDescent="0.25">
      <c r="A23" s="1">
        <v>44718</v>
      </c>
      <c r="B23" s="4" t="s">
        <v>11</v>
      </c>
      <c r="C23">
        <v>970.77</v>
      </c>
      <c r="D23">
        <v>0</v>
      </c>
      <c r="E23" s="2">
        <v>0</v>
      </c>
      <c r="F23" s="16">
        <v>-5.6918862205642302E-2</v>
      </c>
    </row>
    <row r="24" spans="1:6" x14ac:dyDescent="0.25">
      <c r="A24" s="1">
        <v>44561</v>
      </c>
      <c r="B24" s="4" t="s">
        <v>18</v>
      </c>
      <c r="C24">
        <v>26.73</v>
      </c>
      <c r="D24">
        <v>22.7943</v>
      </c>
      <c r="E24" s="2">
        <v>609.29160000000002</v>
      </c>
      <c r="F24" s="16">
        <v>0</v>
      </c>
    </row>
    <row r="25" spans="1:6" x14ac:dyDescent="0.25">
      <c r="A25" s="1">
        <v>44718</v>
      </c>
      <c r="B25" s="4" t="s">
        <v>18</v>
      </c>
      <c r="C25">
        <v>24.943000000000001</v>
      </c>
      <c r="D25">
        <v>0</v>
      </c>
      <c r="E25" s="2">
        <v>0</v>
      </c>
      <c r="F25" s="16">
        <v>-6.6853722409277894E-2</v>
      </c>
    </row>
    <row r="26" spans="1:6" x14ac:dyDescent="0.25">
      <c r="A26" s="1">
        <v>44561</v>
      </c>
      <c r="B26" s="4" t="s">
        <v>17</v>
      </c>
      <c r="C26">
        <v>13.38</v>
      </c>
      <c r="D26">
        <v>75.529899999999998</v>
      </c>
      <c r="E26" s="2">
        <v>1010.5901</v>
      </c>
      <c r="F26" s="16">
        <v>0</v>
      </c>
    </row>
    <row r="27" spans="1:6" x14ac:dyDescent="0.25">
      <c r="A27" s="1">
        <v>44718</v>
      </c>
      <c r="B27" s="4" t="s">
        <v>17</v>
      </c>
      <c r="C27">
        <v>12.09</v>
      </c>
      <c r="D27">
        <v>0</v>
      </c>
      <c r="E27" s="2">
        <v>0</v>
      </c>
      <c r="F27" s="16">
        <v>-9.6412556053811702E-2</v>
      </c>
    </row>
    <row r="28" spans="1:6" x14ac:dyDescent="0.25">
      <c r="A28" s="1">
        <v>44196</v>
      </c>
      <c r="B28" s="4" t="s">
        <v>12</v>
      </c>
      <c r="C28">
        <v>141.08000000000001</v>
      </c>
      <c r="D28">
        <v>6.1532999999999998</v>
      </c>
      <c r="E28" s="2">
        <v>868.10760000000005</v>
      </c>
      <c r="F28" s="16">
        <v>0</v>
      </c>
    </row>
    <row r="29" spans="1:6" x14ac:dyDescent="0.25">
      <c r="A29" s="1">
        <v>44561</v>
      </c>
      <c r="B29" s="4" t="s">
        <v>12</v>
      </c>
      <c r="C29">
        <v>149.61000000000001</v>
      </c>
      <c r="D29">
        <v>1.0734999999999999</v>
      </c>
      <c r="E29" s="2">
        <v>160.6063</v>
      </c>
      <c r="F29" s="16">
        <v>6.04621491352424E-2</v>
      </c>
    </row>
    <row r="30" spans="1:6" x14ac:dyDescent="0.25">
      <c r="A30" s="1">
        <v>44718</v>
      </c>
      <c r="B30" s="4" t="s">
        <v>12</v>
      </c>
      <c r="C30">
        <v>140.99</v>
      </c>
      <c r="D30">
        <v>0</v>
      </c>
      <c r="E30" s="2">
        <v>0</v>
      </c>
      <c r="F30" s="16">
        <v>-5.7616469487333802E-2</v>
      </c>
    </row>
    <row r="31" spans="1:6" x14ac:dyDescent="0.25">
      <c r="A31" s="1">
        <v>43667</v>
      </c>
      <c r="B31" s="4" t="s">
        <v>21</v>
      </c>
      <c r="C31">
        <v>167.53</v>
      </c>
      <c r="D31">
        <v>4.9964000000000004</v>
      </c>
      <c r="E31" s="2">
        <v>837.04690000000005</v>
      </c>
      <c r="F31" s="16">
        <v>0</v>
      </c>
    </row>
    <row r="32" spans="1:6" x14ac:dyDescent="0.25">
      <c r="A32" s="1">
        <v>43830</v>
      </c>
      <c r="B32" s="4" t="s">
        <v>21</v>
      </c>
      <c r="C32">
        <v>167.35</v>
      </c>
      <c r="D32">
        <v>0</v>
      </c>
      <c r="E32" s="2">
        <v>0</v>
      </c>
      <c r="F32" s="16">
        <v>-1.0744344296544301E-3</v>
      </c>
    </row>
    <row r="33" spans="1:6" x14ac:dyDescent="0.25">
      <c r="A33" s="1">
        <v>44012</v>
      </c>
      <c r="B33" s="4" t="s">
        <v>21</v>
      </c>
      <c r="C33">
        <v>169.29</v>
      </c>
      <c r="D33">
        <v>0</v>
      </c>
      <c r="E33" s="2">
        <v>0</v>
      </c>
      <c r="F33" s="16">
        <v>1.15924708694353E-2</v>
      </c>
    </row>
    <row r="34" spans="1:6" x14ac:dyDescent="0.25">
      <c r="A34" s="1">
        <v>44196</v>
      </c>
      <c r="B34" s="4" t="s">
        <v>21</v>
      </c>
      <c r="C34">
        <v>175.81</v>
      </c>
      <c r="D34">
        <v>0</v>
      </c>
      <c r="E34" s="2">
        <v>0</v>
      </c>
      <c r="F34" s="16">
        <v>3.8513792899757898E-2</v>
      </c>
    </row>
    <row r="35" spans="1:6" x14ac:dyDescent="0.25">
      <c r="A35" s="1">
        <v>44561</v>
      </c>
      <c r="B35" s="4" t="s">
        <v>21</v>
      </c>
      <c r="C35">
        <v>175.81</v>
      </c>
      <c r="D35">
        <v>-4.9964000000000004</v>
      </c>
      <c r="E35" s="2">
        <v>-878.4171</v>
      </c>
      <c r="F35" s="16">
        <v>0</v>
      </c>
    </row>
    <row r="36" spans="1:6" x14ac:dyDescent="0.25">
      <c r="A36" t="s">
        <v>44</v>
      </c>
      <c r="D36" s="4"/>
      <c r="E36" s="2">
        <f>SUBTOTAL(109,Tableau2_2[Montant])</f>
        <v>14608.2138</v>
      </c>
      <c r="F36" s="15">
        <f>SUBTOTAL(109,Tableau2_2[Evolution prix])</f>
        <v>0.23338569560877231</v>
      </c>
    </row>
  </sheetData>
  <phoneticPr fontId="2" type="noConversion"/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9225910-A326-444F-91E3-8C5AD32F08D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Thales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Jonathan PEREZ</dc:creator>
  <cp:lastModifiedBy>Chris_W10</cp:lastModifiedBy>
  <dcterms:created xsi:type="dcterms:W3CDTF">2022-06-02T08:47:40Z</dcterms:created>
  <dcterms:modified xsi:type="dcterms:W3CDTF">2022-06-06T19:51:32Z</dcterms:modified>
</cp:coreProperties>
</file>